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hidePivotFieldList="1" autoCompressPictures="0"/>
  <mc:AlternateContent xmlns:mc="http://schemas.openxmlformats.org/markup-compatibility/2006">
    <mc:Choice Requires="x15">
      <x15ac:absPath xmlns:x15ac="http://schemas.microsoft.com/office/spreadsheetml/2010/11/ac" url="/Users/A/Documents/WTP/MPV/"/>
    </mc:Choice>
  </mc:AlternateContent>
  <bookViews>
    <workbookView xWindow="1060" yWindow="480" windowWidth="23440" windowHeight="14580" tabRatio="500"/>
  </bookViews>
  <sheets>
    <sheet name="2013-2017 Police Killings" sheetId="1" r:id="rId1"/>
    <sheet name="2013-2017 Killings by PD" sheetId="4" r:id="rId2"/>
    <sheet name="2013-2016 Killings by State" sheetId="5" r:id="rId3"/>
    <sheet name="2016 Killings by PD" sheetId="3" r:id="rId4"/>
    <sheet name="Police Killings of Black Men" sheetId="6" r:id="rId5"/>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R102" i="4" l="1"/>
  <c r="Q102" i="4"/>
  <c r="P102" i="4"/>
  <c r="H102" i="4"/>
  <c r="G102" i="4"/>
  <c r="F102" i="4"/>
  <c r="E102" i="4"/>
  <c r="D102" i="4"/>
  <c r="F33" i="6"/>
  <c r="F32" i="6"/>
  <c r="F29" i="6"/>
  <c r="F30" i="6"/>
  <c r="F31" i="6"/>
  <c r="F28" i="6"/>
  <c r="F4" i="6"/>
  <c r="F3" i="6"/>
  <c r="F5" i="6"/>
  <c r="F12" i="6"/>
  <c r="F8" i="6"/>
  <c r="F10" i="6"/>
  <c r="F6" i="6"/>
  <c r="F7" i="6"/>
  <c r="F11" i="6"/>
  <c r="F9" i="6"/>
  <c r="F14" i="6"/>
  <c r="F13" i="6"/>
  <c r="F23" i="6"/>
  <c r="F16" i="6"/>
  <c r="F21" i="6"/>
  <c r="F17" i="6"/>
  <c r="F15" i="6"/>
  <c r="F26" i="6"/>
  <c r="F19" i="6"/>
  <c r="F18" i="6"/>
  <c r="F25" i="6"/>
  <c r="F27" i="6"/>
  <c r="F24" i="6"/>
  <c r="F20" i="6"/>
  <c r="F22" i="6"/>
  <c r="F2" i="6"/>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2" i="4"/>
  <c r="I62" i="3"/>
  <c r="I6" i="3"/>
  <c r="Q2984" i="1"/>
  <c r="J52" i="5"/>
  <c r="I52" i="5"/>
  <c r="E52" i="5"/>
  <c r="D52" i="5"/>
  <c r="F52" i="5"/>
  <c r="J51" i="5"/>
  <c r="I51" i="5"/>
  <c r="E51" i="5"/>
  <c r="D51" i="5"/>
  <c r="F51" i="5"/>
  <c r="J50" i="5"/>
  <c r="I50" i="5"/>
  <c r="E50" i="5"/>
  <c r="D50" i="5"/>
  <c r="F50" i="5"/>
  <c r="J49" i="5"/>
  <c r="I49" i="5"/>
  <c r="E49" i="5"/>
  <c r="D49" i="5"/>
  <c r="F49" i="5"/>
  <c r="J48" i="5"/>
  <c r="I48" i="5"/>
  <c r="E48" i="5"/>
  <c r="D48" i="5"/>
  <c r="F48" i="5"/>
  <c r="J47" i="5"/>
  <c r="I47" i="5"/>
  <c r="E47" i="5"/>
  <c r="D47" i="5"/>
  <c r="F47" i="5"/>
  <c r="J46" i="5"/>
  <c r="I46" i="5"/>
  <c r="E46" i="5"/>
  <c r="D46" i="5"/>
  <c r="F46" i="5"/>
  <c r="J45" i="5"/>
  <c r="I45" i="5"/>
  <c r="E45" i="5"/>
  <c r="D45" i="5"/>
  <c r="F45" i="5"/>
  <c r="J44" i="5"/>
  <c r="I44" i="5"/>
  <c r="E44" i="5"/>
  <c r="D44" i="5"/>
  <c r="F44" i="5"/>
  <c r="J43" i="5"/>
  <c r="I43" i="5"/>
  <c r="E43" i="5"/>
  <c r="D43" i="5"/>
  <c r="F43" i="5"/>
  <c r="J42" i="5"/>
  <c r="I42" i="5"/>
  <c r="E42" i="5"/>
  <c r="D42" i="5"/>
  <c r="F42" i="5"/>
  <c r="J41" i="5"/>
  <c r="I41" i="5"/>
  <c r="E41" i="5"/>
  <c r="D41" i="5"/>
  <c r="F41" i="5"/>
  <c r="J40" i="5"/>
  <c r="I40" i="5"/>
  <c r="E40" i="5"/>
  <c r="D40" i="5"/>
  <c r="F40" i="5"/>
  <c r="J39" i="5"/>
  <c r="I39" i="5"/>
  <c r="E39" i="5"/>
  <c r="D39" i="5"/>
  <c r="F39" i="5"/>
  <c r="J38" i="5"/>
  <c r="I38" i="5"/>
  <c r="E38" i="5"/>
  <c r="D38" i="5"/>
  <c r="F38" i="5"/>
  <c r="J37" i="5"/>
  <c r="I37" i="5"/>
  <c r="E37" i="5"/>
  <c r="D37" i="5"/>
  <c r="F37" i="5"/>
  <c r="J36" i="5"/>
  <c r="I36" i="5"/>
  <c r="E36" i="5"/>
  <c r="D36" i="5"/>
  <c r="F36" i="5"/>
  <c r="J35" i="5"/>
  <c r="I35" i="5"/>
  <c r="E35" i="5"/>
  <c r="D35" i="5"/>
  <c r="F35" i="5"/>
  <c r="J34" i="5"/>
  <c r="I34" i="5"/>
  <c r="E34" i="5"/>
  <c r="D34" i="5"/>
  <c r="F34" i="5"/>
  <c r="J33" i="5"/>
  <c r="I33" i="5"/>
  <c r="E33" i="5"/>
  <c r="D33" i="5"/>
  <c r="F33" i="5"/>
  <c r="J32" i="5"/>
  <c r="I32" i="5"/>
  <c r="E32" i="5"/>
  <c r="D32" i="5"/>
  <c r="F32" i="5"/>
  <c r="J31" i="5"/>
  <c r="I31" i="5"/>
  <c r="E31" i="5"/>
  <c r="D31" i="5"/>
  <c r="F31" i="5"/>
  <c r="J30" i="5"/>
  <c r="I30" i="5"/>
  <c r="E30" i="5"/>
  <c r="D30" i="5"/>
  <c r="F30" i="5"/>
  <c r="J29" i="5"/>
  <c r="I29" i="5"/>
  <c r="E29" i="5"/>
  <c r="D29" i="5"/>
  <c r="F29" i="5"/>
  <c r="J28" i="5"/>
  <c r="I28" i="5"/>
  <c r="E28" i="5"/>
  <c r="D28" i="5"/>
  <c r="F28" i="5"/>
  <c r="J27" i="5"/>
  <c r="I27" i="5"/>
  <c r="E27" i="5"/>
  <c r="D27" i="5"/>
  <c r="F27" i="5"/>
  <c r="J26" i="5"/>
  <c r="I26" i="5"/>
  <c r="E26" i="5"/>
  <c r="D26" i="5"/>
  <c r="F26" i="5"/>
  <c r="J25" i="5"/>
  <c r="I25" i="5"/>
  <c r="E25" i="5"/>
  <c r="D25" i="5"/>
  <c r="F25" i="5"/>
  <c r="J24" i="5"/>
  <c r="I24" i="5"/>
  <c r="E24" i="5"/>
  <c r="D24" i="5"/>
  <c r="F24" i="5"/>
  <c r="J23" i="5"/>
  <c r="I23" i="5"/>
  <c r="E23" i="5"/>
  <c r="D23" i="5"/>
  <c r="F23" i="5"/>
  <c r="J22" i="5"/>
  <c r="I22" i="5"/>
  <c r="E22" i="5"/>
  <c r="D22" i="5"/>
  <c r="F22" i="5"/>
  <c r="J21" i="5"/>
  <c r="I21" i="5"/>
  <c r="E21" i="5"/>
  <c r="D21" i="5"/>
  <c r="F21" i="5"/>
  <c r="J20" i="5"/>
  <c r="I20" i="5"/>
  <c r="E20" i="5"/>
  <c r="D20" i="5"/>
  <c r="F20" i="5"/>
  <c r="J19" i="5"/>
  <c r="I19" i="5"/>
  <c r="E19" i="5"/>
  <c r="D19" i="5"/>
  <c r="F19" i="5"/>
  <c r="J18" i="5"/>
  <c r="I18" i="5"/>
  <c r="E18" i="5"/>
  <c r="D18" i="5"/>
  <c r="F18" i="5"/>
  <c r="J17" i="5"/>
  <c r="I17" i="5"/>
  <c r="E17" i="5"/>
  <c r="D17" i="5"/>
  <c r="F17" i="5"/>
  <c r="J16" i="5"/>
  <c r="I16" i="5"/>
  <c r="E16" i="5"/>
  <c r="D16" i="5"/>
  <c r="F16" i="5"/>
  <c r="J15" i="5"/>
  <c r="I15" i="5"/>
  <c r="E15" i="5"/>
  <c r="D15" i="5"/>
  <c r="F15" i="5"/>
  <c r="J14" i="5"/>
  <c r="I14" i="5"/>
  <c r="E14" i="5"/>
  <c r="D14" i="5"/>
  <c r="F14" i="5"/>
  <c r="J13" i="5"/>
  <c r="I13" i="5"/>
  <c r="E13" i="5"/>
  <c r="D13" i="5"/>
  <c r="F13" i="5"/>
  <c r="J12" i="5"/>
  <c r="I12" i="5"/>
  <c r="E12" i="5"/>
  <c r="D12" i="5"/>
  <c r="F12" i="5"/>
  <c r="J11" i="5"/>
  <c r="I11" i="5"/>
  <c r="E11" i="5"/>
  <c r="D11" i="5"/>
  <c r="F11" i="5"/>
  <c r="J10" i="5"/>
  <c r="I10" i="5"/>
  <c r="E10" i="5"/>
  <c r="D10" i="5"/>
  <c r="F10" i="5"/>
  <c r="J9" i="5"/>
  <c r="I9" i="5"/>
  <c r="E9" i="5"/>
  <c r="D9" i="5"/>
  <c r="F9" i="5"/>
  <c r="J8" i="5"/>
  <c r="I8" i="5"/>
  <c r="E8" i="5"/>
  <c r="D8" i="5"/>
  <c r="F8" i="5"/>
  <c r="J7" i="5"/>
  <c r="I7" i="5"/>
  <c r="E7" i="5"/>
  <c r="D7" i="5"/>
  <c r="F7" i="5"/>
  <c r="J6" i="5"/>
  <c r="I6" i="5"/>
  <c r="E6" i="5"/>
  <c r="D6" i="5"/>
  <c r="F6" i="5"/>
  <c r="J5" i="5"/>
  <c r="I5" i="5"/>
  <c r="E5" i="5"/>
  <c r="D5" i="5"/>
  <c r="F5" i="5"/>
  <c r="J4" i="5"/>
  <c r="I4" i="5"/>
  <c r="E4" i="5"/>
  <c r="D4" i="5"/>
  <c r="F4" i="5"/>
  <c r="J3" i="5"/>
  <c r="I3" i="5"/>
  <c r="E3" i="5"/>
  <c r="D3" i="5"/>
  <c r="F3" i="5"/>
  <c r="J2" i="5"/>
  <c r="I2" i="5"/>
  <c r="E2" i="5"/>
  <c r="D2" i="5"/>
  <c r="F2" i="5"/>
  <c r="Q4932" i="1"/>
  <c r="H62" i="3"/>
  <c r="D62" i="3"/>
  <c r="E62" i="3"/>
  <c r="F62" i="3"/>
  <c r="G62" i="3"/>
  <c r="I63" i="3"/>
  <c r="Q3200" i="1"/>
  <c r="Q2626" i="1"/>
  <c r="Q2586" i="1"/>
  <c r="Q2585" i="1"/>
  <c r="Q2500" i="1"/>
  <c r="A2500" i="1"/>
  <c r="Q2432" i="1"/>
  <c r="Q2329" i="1"/>
  <c r="E2329" i="1"/>
  <c r="Q2140" i="1"/>
  <c r="E4277" i="1"/>
  <c r="Q3446" i="1"/>
  <c r="E3446" i="1"/>
  <c r="Q2470" i="1"/>
  <c r="E2470" i="1"/>
  <c r="Q2471" i="1"/>
  <c r="E2471" i="1"/>
  <c r="Q2409" i="1"/>
  <c r="Q2370" i="1"/>
  <c r="E2370" i="1"/>
  <c r="Q2333" i="1"/>
  <c r="E2333" i="1"/>
  <c r="K62" i="3"/>
  <c r="I2" i="3"/>
  <c r="I3" i="3"/>
  <c r="I4" i="3"/>
  <c r="I5" i="3"/>
  <c r="I7" i="3"/>
  <c r="I8" i="3"/>
  <c r="I9" i="3"/>
  <c r="I10" i="3"/>
  <c r="I11" i="3"/>
  <c r="I12" i="3"/>
  <c r="I13"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L6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2" i="3"/>
  <c r="AL63" i="3"/>
  <c r="AL62" i="3"/>
  <c r="AG63" i="3"/>
  <c r="AL3" i="3"/>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2" i="3"/>
  <c r="J62" i="3"/>
  <c r="AG3" i="3"/>
  <c r="AG4" i="3"/>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R62" i="3"/>
  <c r="AG62" i="3"/>
  <c r="AG2" i="3"/>
  <c r="AH2" i="3"/>
  <c r="M2" i="3"/>
  <c r="N2" i="3"/>
  <c r="O2" i="3"/>
  <c r="P2" i="3"/>
  <c r="Q2" i="3"/>
  <c r="S62" i="3"/>
  <c r="M62" i="3"/>
  <c r="N62" i="3"/>
  <c r="O62" i="3"/>
  <c r="P62" i="3"/>
  <c r="Q62" i="3"/>
  <c r="M3" i="3"/>
  <c r="N3" i="3"/>
  <c r="O3" i="3"/>
  <c r="P3" i="3"/>
  <c r="Q3" i="3"/>
  <c r="M4" i="3"/>
  <c r="N4" i="3"/>
  <c r="O4" i="3"/>
  <c r="P4" i="3"/>
  <c r="Q4" i="3"/>
  <c r="M5" i="3"/>
  <c r="N5" i="3"/>
  <c r="O5" i="3"/>
  <c r="P5" i="3"/>
  <c r="Q5" i="3"/>
  <c r="M6" i="3"/>
  <c r="N6" i="3"/>
  <c r="O6" i="3"/>
  <c r="P6" i="3"/>
  <c r="Q6" i="3"/>
  <c r="M7" i="3"/>
  <c r="N7" i="3"/>
  <c r="O7" i="3"/>
  <c r="P7" i="3"/>
  <c r="Q7" i="3"/>
  <c r="M8" i="3"/>
  <c r="N8" i="3"/>
  <c r="O8" i="3"/>
  <c r="P8" i="3"/>
  <c r="Q8" i="3"/>
  <c r="M9" i="3"/>
  <c r="N9" i="3"/>
  <c r="O9" i="3"/>
  <c r="P9" i="3"/>
  <c r="Q9" i="3"/>
  <c r="M10" i="3"/>
  <c r="N10" i="3"/>
  <c r="O10" i="3"/>
  <c r="P10" i="3"/>
  <c r="Q10" i="3"/>
  <c r="M11" i="3"/>
  <c r="N11" i="3"/>
  <c r="O11" i="3"/>
  <c r="P11" i="3"/>
  <c r="Q11" i="3"/>
  <c r="M12" i="3"/>
  <c r="N12" i="3"/>
  <c r="O12" i="3"/>
  <c r="P12" i="3"/>
  <c r="Q12" i="3"/>
  <c r="M13" i="3"/>
  <c r="N13" i="3"/>
  <c r="O13" i="3"/>
  <c r="P13" i="3"/>
  <c r="Q13" i="3"/>
  <c r="M14" i="3"/>
  <c r="N14" i="3"/>
  <c r="O14" i="3"/>
  <c r="P14" i="3"/>
  <c r="Q14" i="3"/>
  <c r="M15" i="3"/>
  <c r="N15" i="3"/>
  <c r="O15" i="3"/>
  <c r="P15" i="3"/>
  <c r="Q15" i="3"/>
  <c r="M16" i="3"/>
  <c r="N16" i="3"/>
  <c r="O16" i="3"/>
  <c r="P16" i="3"/>
  <c r="Q16" i="3"/>
  <c r="M17" i="3"/>
  <c r="N17" i="3"/>
  <c r="O17" i="3"/>
  <c r="P17" i="3"/>
  <c r="Q17" i="3"/>
  <c r="M18" i="3"/>
  <c r="N18" i="3"/>
  <c r="O18" i="3"/>
  <c r="P18" i="3"/>
  <c r="Q18" i="3"/>
  <c r="M19" i="3"/>
  <c r="N19" i="3"/>
  <c r="O19" i="3"/>
  <c r="P19" i="3"/>
  <c r="Q19" i="3"/>
  <c r="M20" i="3"/>
  <c r="N20" i="3"/>
  <c r="O20" i="3"/>
  <c r="P20" i="3"/>
  <c r="Q20" i="3"/>
  <c r="M21" i="3"/>
  <c r="N21" i="3"/>
  <c r="O21" i="3"/>
  <c r="P21" i="3"/>
  <c r="Q21" i="3"/>
  <c r="M22" i="3"/>
  <c r="N22" i="3"/>
  <c r="O22" i="3"/>
  <c r="P22" i="3"/>
  <c r="Q22" i="3"/>
  <c r="M23" i="3"/>
  <c r="N23" i="3"/>
  <c r="O23" i="3"/>
  <c r="P23" i="3"/>
  <c r="Q23" i="3"/>
  <c r="M24" i="3"/>
  <c r="N24" i="3"/>
  <c r="O24" i="3"/>
  <c r="P24" i="3"/>
  <c r="Q24" i="3"/>
  <c r="M25" i="3"/>
  <c r="N25" i="3"/>
  <c r="O25" i="3"/>
  <c r="P25" i="3"/>
  <c r="Q25" i="3"/>
  <c r="M26" i="3"/>
  <c r="N26" i="3"/>
  <c r="O26" i="3"/>
  <c r="P26" i="3"/>
  <c r="Q26" i="3"/>
  <c r="M27" i="3"/>
  <c r="N27" i="3"/>
  <c r="O27" i="3"/>
  <c r="P27" i="3"/>
  <c r="Q27" i="3"/>
  <c r="M28" i="3"/>
  <c r="N28" i="3"/>
  <c r="O28" i="3"/>
  <c r="P28" i="3"/>
  <c r="Q28" i="3"/>
  <c r="M29" i="3"/>
  <c r="N29" i="3"/>
  <c r="O29" i="3"/>
  <c r="P29" i="3"/>
  <c r="Q29" i="3"/>
  <c r="M30" i="3"/>
  <c r="N30" i="3"/>
  <c r="O30" i="3"/>
  <c r="P30" i="3"/>
  <c r="Q30" i="3"/>
  <c r="M31" i="3"/>
  <c r="N31" i="3"/>
  <c r="O31" i="3"/>
  <c r="P31" i="3"/>
  <c r="Q31" i="3"/>
  <c r="M32" i="3"/>
  <c r="N32" i="3"/>
  <c r="O32" i="3"/>
  <c r="P32" i="3"/>
  <c r="Q32" i="3"/>
  <c r="M33" i="3"/>
  <c r="N33" i="3"/>
  <c r="O33" i="3"/>
  <c r="P33" i="3"/>
  <c r="Q33" i="3"/>
  <c r="M34" i="3"/>
  <c r="N34" i="3"/>
  <c r="O34" i="3"/>
  <c r="P34" i="3"/>
  <c r="Q34" i="3"/>
  <c r="M35" i="3"/>
  <c r="N35" i="3"/>
  <c r="O35" i="3"/>
  <c r="P35" i="3"/>
  <c r="Q35" i="3"/>
  <c r="M36" i="3"/>
  <c r="N36" i="3"/>
  <c r="O36" i="3"/>
  <c r="P36" i="3"/>
  <c r="Q36" i="3"/>
  <c r="M37" i="3"/>
  <c r="N37" i="3"/>
  <c r="O37" i="3"/>
  <c r="P37" i="3"/>
  <c r="Q37" i="3"/>
  <c r="M38" i="3"/>
  <c r="N38" i="3"/>
  <c r="O38" i="3"/>
  <c r="P38" i="3"/>
  <c r="Q38" i="3"/>
  <c r="M39" i="3"/>
  <c r="N39" i="3"/>
  <c r="O39" i="3"/>
  <c r="P39" i="3"/>
  <c r="Q39" i="3"/>
  <c r="M40" i="3"/>
  <c r="N40" i="3"/>
  <c r="O40" i="3"/>
  <c r="P40" i="3"/>
  <c r="Q40" i="3"/>
  <c r="M41" i="3"/>
  <c r="N41" i="3"/>
  <c r="O41" i="3"/>
  <c r="P41" i="3"/>
  <c r="Q41" i="3"/>
  <c r="M42" i="3"/>
  <c r="N42" i="3"/>
  <c r="O42" i="3"/>
  <c r="P42" i="3"/>
  <c r="Q42" i="3"/>
  <c r="M43" i="3"/>
  <c r="N43" i="3"/>
  <c r="O43" i="3"/>
  <c r="P43" i="3"/>
  <c r="Q43" i="3"/>
  <c r="M44" i="3"/>
  <c r="N44" i="3"/>
  <c r="O44" i="3"/>
  <c r="P44" i="3"/>
  <c r="Q44" i="3"/>
  <c r="M45" i="3"/>
  <c r="N45" i="3"/>
  <c r="O45" i="3"/>
  <c r="P45" i="3"/>
  <c r="Q45" i="3"/>
  <c r="M46" i="3"/>
  <c r="N46" i="3"/>
  <c r="O46" i="3"/>
  <c r="P46" i="3"/>
  <c r="Q46" i="3"/>
  <c r="M47" i="3"/>
  <c r="N47" i="3"/>
  <c r="O47" i="3"/>
  <c r="P47" i="3"/>
  <c r="Q47" i="3"/>
  <c r="M48" i="3"/>
  <c r="N48" i="3"/>
  <c r="O48" i="3"/>
  <c r="P48" i="3"/>
  <c r="Q48" i="3"/>
  <c r="M49" i="3"/>
  <c r="N49" i="3"/>
  <c r="O49" i="3"/>
  <c r="P49" i="3"/>
  <c r="Q49" i="3"/>
  <c r="M50" i="3"/>
  <c r="N50" i="3"/>
  <c r="O50" i="3"/>
  <c r="P50" i="3"/>
  <c r="Q50" i="3"/>
  <c r="M51" i="3"/>
  <c r="N51" i="3"/>
  <c r="O51" i="3"/>
  <c r="P51" i="3"/>
  <c r="Q51" i="3"/>
  <c r="M52" i="3"/>
  <c r="N52" i="3"/>
  <c r="O52" i="3"/>
  <c r="P52" i="3"/>
  <c r="Q52" i="3"/>
  <c r="M53" i="3"/>
  <c r="N53" i="3"/>
  <c r="O53" i="3"/>
  <c r="P53" i="3"/>
  <c r="Q53" i="3"/>
  <c r="M54" i="3"/>
  <c r="N54" i="3"/>
  <c r="O54" i="3"/>
  <c r="P54" i="3"/>
  <c r="Q54" i="3"/>
  <c r="M55" i="3"/>
  <c r="N55" i="3"/>
  <c r="O55" i="3"/>
  <c r="P55" i="3"/>
  <c r="Q55" i="3"/>
  <c r="M56" i="3"/>
  <c r="N56" i="3"/>
  <c r="O56" i="3"/>
  <c r="P56" i="3"/>
  <c r="Q56" i="3"/>
  <c r="M57" i="3"/>
  <c r="N57" i="3"/>
  <c r="O57" i="3"/>
  <c r="P57" i="3"/>
  <c r="Q57" i="3"/>
  <c r="M58" i="3"/>
  <c r="N58" i="3"/>
  <c r="O58" i="3"/>
  <c r="P58" i="3"/>
  <c r="Q58" i="3"/>
  <c r="M59" i="3"/>
  <c r="N59" i="3"/>
  <c r="O59" i="3"/>
  <c r="P59" i="3"/>
  <c r="Q59" i="3"/>
  <c r="M60" i="3"/>
  <c r="N60" i="3"/>
  <c r="O60" i="3"/>
  <c r="P60" i="3"/>
  <c r="Q60" i="3"/>
  <c r="M61" i="3"/>
  <c r="N61" i="3"/>
  <c r="O61" i="3"/>
  <c r="P61" i="3"/>
  <c r="Q61" i="3"/>
  <c r="V103" i="4"/>
  <c r="W103" i="4"/>
  <c r="X103" i="4"/>
  <c r="U103" i="4"/>
  <c r="V102" i="4"/>
  <c r="W102" i="4"/>
  <c r="X102" i="4"/>
  <c r="U102" i="4"/>
  <c r="T102" i="4"/>
  <c r="S102" i="4"/>
  <c r="W101" i="4"/>
  <c r="X101" i="4"/>
  <c r="U101" i="4"/>
  <c r="T101" i="4"/>
  <c r="S101" i="4"/>
  <c r="L101" i="4"/>
  <c r="W100" i="4"/>
  <c r="X100" i="4"/>
  <c r="U100" i="4"/>
  <c r="T100" i="4"/>
  <c r="S100" i="4"/>
  <c r="L100" i="4"/>
  <c r="W99" i="4"/>
  <c r="X99" i="4"/>
  <c r="U99" i="4"/>
  <c r="T99" i="4"/>
  <c r="S99" i="4"/>
  <c r="L99" i="4"/>
  <c r="W98" i="4"/>
  <c r="X98" i="4"/>
  <c r="U98" i="4"/>
  <c r="T98" i="4"/>
  <c r="S98" i="4"/>
  <c r="L98" i="4"/>
  <c r="W97" i="4"/>
  <c r="X97" i="4"/>
  <c r="U97" i="4"/>
  <c r="T97" i="4"/>
  <c r="S97" i="4"/>
  <c r="L97" i="4"/>
  <c r="W96" i="4"/>
  <c r="X96" i="4"/>
  <c r="U96" i="4"/>
  <c r="T96" i="4"/>
  <c r="S96" i="4"/>
  <c r="L96" i="4"/>
  <c r="W95" i="4"/>
  <c r="X95" i="4"/>
  <c r="U95" i="4"/>
  <c r="T95" i="4"/>
  <c r="S95" i="4"/>
  <c r="L95" i="4"/>
  <c r="W94" i="4"/>
  <c r="X94" i="4"/>
  <c r="U94" i="4"/>
  <c r="T94" i="4"/>
  <c r="S94" i="4"/>
  <c r="L94" i="4"/>
  <c r="W93" i="4"/>
  <c r="X93" i="4"/>
  <c r="U93" i="4"/>
  <c r="T93" i="4"/>
  <c r="S93" i="4"/>
  <c r="L93" i="4"/>
  <c r="W92" i="4"/>
  <c r="X92" i="4"/>
  <c r="U92" i="4"/>
  <c r="T92" i="4"/>
  <c r="S92" i="4"/>
  <c r="L92" i="4"/>
  <c r="W91" i="4"/>
  <c r="X91" i="4"/>
  <c r="U91" i="4"/>
  <c r="T91" i="4"/>
  <c r="S91" i="4"/>
  <c r="L91" i="4"/>
  <c r="W90" i="4"/>
  <c r="X90" i="4"/>
  <c r="U90" i="4"/>
  <c r="T90" i="4"/>
  <c r="S90" i="4"/>
  <c r="L90" i="4"/>
  <c r="W89" i="4"/>
  <c r="X89" i="4"/>
  <c r="U89" i="4"/>
  <c r="T89" i="4"/>
  <c r="S89" i="4"/>
  <c r="L89" i="4"/>
  <c r="W88" i="4"/>
  <c r="X88" i="4"/>
  <c r="U88" i="4"/>
  <c r="T88" i="4"/>
  <c r="S88" i="4"/>
  <c r="L88" i="4"/>
  <c r="W87" i="4"/>
  <c r="X87" i="4"/>
  <c r="U87" i="4"/>
  <c r="T87" i="4"/>
  <c r="S87" i="4"/>
  <c r="L87" i="4"/>
  <c r="W86" i="4"/>
  <c r="X86" i="4"/>
  <c r="U86" i="4"/>
  <c r="T86" i="4"/>
  <c r="S86" i="4"/>
  <c r="L86" i="4"/>
  <c r="W85" i="4"/>
  <c r="X85" i="4"/>
  <c r="U85" i="4"/>
  <c r="T85" i="4"/>
  <c r="S85" i="4"/>
  <c r="L85" i="4"/>
  <c r="W84" i="4"/>
  <c r="X84" i="4"/>
  <c r="U84" i="4"/>
  <c r="T84" i="4"/>
  <c r="S84" i="4"/>
  <c r="L84" i="4"/>
  <c r="W83" i="4"/>
  <c r="X83" i="4"/>
  <c r="U83" i="4"/>
  <c r="T83" i="4"/>
  <c r="S83" i="4"/>
  <c r="L83" i="4"/>
  <c r="W82" i="4"/>
  <c r="X82" i="4"/>
  <c r="U82" i="4"/>
  <c r="T82" i="4"/>
  <c r="S82" i="4"/>
  <c r="L82" i="4"/>
  <c r="W81" i="4"/>
  <c r="X81" i="4"/>
  <c r="U81" i="4"/>
  <c r="T81" i="4"/>
  <c r="S81" i="4"/>
  <c r="L81" i="4"/>
  <c r="W80" i="4"/>
  <c r="X80" i="4"/>
  <c r="U80" i="4"/>
  <c r="T80" i="4"/>
  <c r="S80" i="4"/>
  <c r="L80" i="4"/>
  <c r="W79" i="4"/>
  <c r="X79" i="4"/>
  <c r="U79" i="4"/>
  <c r="T79" i="4"/>
  <c r="S79" i="4"/>
  <c r="L79" i="4"/>
  <c r="W78" i="4"/>
  <c r="X78" i="4"/>
  <c r="U78" i="4"/>
  <c r="T78" i="4"/>
  <c r="S78" i="4"/>
  <c r="L78" i="4"/>
  <c r="W77" i="4"/>
  <c r="X77" i="4"/>
  <c r="U77" i="4"/>
  <c r="T77" i="4"/>
  <c r="S77" i="4"/>
  <c r="L77" i="4"/>
  <c r="W76" i="4"/>
  <c r="X76" i="4"/>
  <c r="U76" i="4"/>
  <c r="T76" i="4"/>
  <c r="S76" i="4"/>
  <c r="L76" i="4"/>
  <c r="W75" i="4"/>
  <c r="X75" i="4"/>
  <c r="U75" i="4"/>
  <c r="T75" i="4"/>
  <c r="S75" i="4"/>
  <c r="L75" i="4"/>
  <c r="W74" i="4"/>
  <c r="X74" i="4"/>
  <c r="U74" i="4"/>
  <c r="T74" i="4"/>
  <c r="S74" i="4"/>
  <c r="L74" i="4"/>
  <c r="W73" i="4"/>
  <c r="X73" i="4"/>
  <c r="U73" i="4"/>
  <c r="T73" i="4"/>
  <c r="S73" i="4"/>
  <c r="L73" i="4"/>
  <c r="W72" i="4"/>
  <c r="X72" i="4"/>
  <c r="U72" i="4"/>
  <c r="T72" i="4"/>
  <c r="S72" i="4"/>
  <c r="L72" i="4"/>
  <c r="W71" i="4"/>
  <c r="X71" i="4"/>
  <c r="U71" i="4"/>
  <c r="T71" i="4"/>
  <c r="S71" i="4"/>
  <c r="L71" i="4"/>
  <c r="W70" i="4"/>
  <c r="X70" i="4"/>
  <c r="U70" i="4"/>
  <c r="T70" i="4"/>
  <c r="S70" i="4"/>
  <c r="L70" i="4"/>
  <c r="W69" i="4"/>
  <c r="X69" i="4"/>
  <c r="U69" i="4"/>
  <c r="T69" i="4"/>
  <c r="S69" i="4"/>
  <c r="L69" i="4"/>
  <c r="W68" i="4"/>
  <c r="X68" i="4"/>
  <c r="U68" i="4"/>
  <c r="T68" i="4"/>
  <c r="S68" i="4"/>
  <c r="L68" i="4"/>
  <c r="W67" i="4"/>
  <c r="X67" i="4"/>
  <c r="U67" i="4"/>
  <c r="T67" i="4"/>
  <c r="S67" i="4"/>
  <c r="L67" i="4"/>
  <c r="W66" i="4"/>
  <c r="X66" i="4"/>
  <c r="U66" i="4"/>
  <c r="T66" i="4"/>
  <c r="S66" i="4"/>
  <c r="L66" i="4"/>
  <c r="W65" i="4"/>
  <c r="X65" i="4"/>
  <c r="U65" i="4"/>
  <c r="T65" i="4"/>
  <c r="S65" i="4"/>
  <c r="L65" i="4"/>
  <c r="W64" i="4"/>
  <c r="X64" i="4"/>
  <c r="U64" i="4"/>
  <c r="T64" i="4"/>
  <c r="S64" i="4"/>
  <c r="L64" i="4"/>
  <c r="W63" i="4"/>
  <c r="X63" i="4"/>
  <c r="U63" i="4"/>
  <c r="T63" i="4"/>
  <c r="S63" i="4"/>
  <c r="L63" i="4"/>
  <c r="W62" i="4"/>
  <c r="X62" i="4"/>
  <c r="U62" i="4"/>
  <c r="T62" i="4"/>
  <c r="S62" i="4"/>
  <c r="L62" i="4"/>
  <c r="W61" i="4"/>
  <c r="X61" i="4"/>
  <c r="U61" i="4"/>
  <c r="T61" i="4"/>
  <c r="S61" i="4"/>
  <c r="L61" i="4"/>
  <c r="W60" i="4"/>
  <c r="X60" i="4"/>
  <c r="U60" i="4"/>
  <c r="T60" i="4"/>
  <c r="S60" i="4"/>
  <c r="L60" i="4"/>
  <c r="W59" i="4"/>
  <c r="X59" i="4"/>
  <c r="U59" i="4"/>
  <c r="T59" i="4"/>
  <c r="S59" i="4"/>
  <c r="L59" i="4"/>
  <c r="W58" i="4"/>
  <c r="X58" i="4"/>
  <c r="U58" i="4"/>
  <c r="T58" i="4"/>
  <c r="S58" i="4"/>
  <c r="L58" i="4"/>
  <c r="W57" i="4"/>
  <c r="X57" i="4"/>
  <c r="U57" i="4"/>
  <c r="T57" i="4"/>
  <c r="S57" i="4"/>
  <c r="L57" i="4"/>
  <c r="W56" i="4"/>
  <c r="X56" i="4"/>
  <c r="U56" i="4"/>
  <c r="T56" i="4"/>
  <c r="S56" i="4"/>
  <c r="L56" i="4"/>
  <c r="W55" i="4"/>
  <c r="X55" i="4"/>
  <c r="U55" i="4"/>
  <c r="T55" i="4"/>
  <c r="S55" i="4"/>
  <c r="L55" i="4"/>
  <c r="W54" i="4"/>
  <c r="X54" i="4"/>
  <c r="U54" i="4"/>
  <c r="T54" i="4"/>
  <c r="S54" i="4"/>
  <c r="L54" i="4"/>
  <c r="W53" i="4"/>
  <c r="X53" i="4"/>
  <c r="U53" i="4"/>
  <c r="T53" i="4"/>
  <c r="S53" i="4"/>
  <c r="L53" i="4"/>
  <c r="W52" i="4"/>
  <c r="X52" i="4"/>
  <c r="U52" i="4"/>
  <c r="T52" i="4"/>
  <c r="S52" i="4"/>
  <c r="L52" i="4"/>
  <c r="W51" i="4"/>
  <c r="X51" i="4"/>
  <c r="U51" i="4"/>
  <c r="T51" i="4"/>
  <c r="S51" i="4"/>
  <c r="L51" i="4"/>
  <c r="W50" i="4"/>
  <c r="X50" i="4"/>
  <c r="U50" i="4"/>
  <c r="T50" i="4"/>
  <c r="S50" i="4"/>
  <c r="L50" i="4"/>
  <c r="W49" i="4"/>
  <c r="X49" i="4"/>
  <c r="U49" i="4"/>
  <c r="T49" i="4"/>
  <c r="S49" i="4"/>
  <c r="L49" i="4"/>
  <c r="W48" i="4"/>
  <c r="X48" i="4"/>
  <c r="U48" i="4"/>
  <c r="T48" i="4"/>
  <c r="S48" i="4"/>
  <c r="L48" i="4"/>
  <c r="W47" i="4"/>
  <c r="X47" i="4"/>
  <c r="U47" i="4"/>
  <c r="T47" i="4"/>
  <c r="S47" i="4"/>
  <c r="L47" i="4"/>
  <c r="W46" i="4"/>
  <c r="X46" i="4"/>
  <c r="U46" i="4"/>
  <c r="T46" i="4"/>
  <c r="S46" i="4"/>
  <c r="L46" i="4"/>
  <c r="W45" i="4"/>
  <c r="X45" i="4"/>
  <c r="U45" i="4"/>
  <c r="T45" i="4"/>
  <c r="S45" i="4"/>
  <c r="L45" i="4"/>
  <c r="W44" i="4"/>
  <c r="X44" i="4"/>
  <c r="U44" i="4"/>
  <c r="T44" i="4"/>
  <c r="S44" i="4"/>
  <c r="L44" i="4"/>
  <c r="W43" i="4"/>
  <c r="X43" i="4"/>
  <c r="U43" i="4"/>
  <c r="T43" i="4"/>
  <c r="S43" i="4"/>
  <c r="L43" i="4"/>
  <c r="W42" i="4"/>
  <c r="X42" i="4"/>
  <c r="U42" i="4"/>
  <c r="T42" i="4"/>
  <c r="S42" i="4"/>
  <c r="L42" i="4"/>
  <c r="W41" i="4"/>
  <c r="X41" i="4"/>
  <c r="U41" i="4"/>
  <c r="T41" i="4"/>
  <c r="S41" i="4"/>
  <c r="L41" i="4"/>
  <c r="W40" i="4"/>
  <c r="X40" i="4"/>
  <c r="U40" i="4"/>
  <c r="T40" i="4"/>
  <c r="S40" i="4"/>
  <c r="L40" i="4"/>
  <c r="W39" i="4"/>
  <c r="X39" i="4"/>
  <c r="U39" i="4"/>
  <c r="T39" i="4"/>
  <c r="S39" i="4"/>
  <c r="L39" i="4"/>
  <c r="W38" i="4"/>
  <c r="X38" i="4"/>
  <c r="U38" i="4"/>
  <c r="T38" i="4"/>
  <c r="S38" i="4"/>
  <c r="L38" i="4"/>
  <c r="W37" i="4"/>
  <c r="X37" i="4"/>
  <c r="U37" i="4"/>
  <c r="T37" i="4"/>
  <c r="S37" i="4"/>
  <c r="L37" i="4"/>
  <c r="W36" i="4"/>
  <c r="X36" i="4"/>
  <c r="U36" i="4"/>
  <c r="T36" i="4"/>
  <c r="S36" i="4"/>
  <c r="L36" i="4"/>
  <c r="W35" i="4"/>
  <c r="X35" i="4"/>
  <c r="U35" i="4"/>
  <c r="T35" i="4"/>
  <c r="S35" i="4"/>
  <c r="L35" i="4"/>
  <c r="W34" i="4"/>
  <c r="X34" i="4"/>
  <c r="U34" i="4"/>
  <c r="T34" i="4"/>
  <c r="S34" i="4"/>
  <c r="L34" i="4"/>
  <c r="W33" i="4"/>
  <c r="X33" i="4"/>
  <c r="U33" i="4"/>
  <c r="T33" i="4"/>
  <c r="S33" i="4"/>
  <c r="L33" i="4"/>
  <c r="W32" i="4"/>
  <c r="X32" i="4"/>
  <c r="U32" i="4"/>
  <c r="T32" i="4"/>
  <c r="S32" i="4"/>
  <c r="L32" i="4"/>
  <c r="W31" i="4"/>
  <c r="X31" i="4"/>
  <c r="U31" i="4"/>
  <c r="T31" i="4"/>
  <c r="S31" i="4"/>
  <c r="L31" i="4"/>
  <c r="W30" i="4"/>
  <c r="X30" i="4"/>
  <c r="U30" i="4"/>
  <c r="T30" i="4"/>
  <c r="S30" i="4"/>
  <c r="L30" i="4"/>
  <c r="W29" i="4"/>
  <c r="X29" i="4"/>
  <c r="U29" i="4"/>
  <c r="T29" i="4"/>
  <c r="S29" i="4"/>
  <c r="L29" i="4"/>
  <c r="W28" i="4"/>
  <c r="X28" i="4"/>
  <c r="U28" i="4"/>
  <c r="T28" i="4"/>
  <c r="S28" i="4"/>
  <c r="L28" i="4"/>
  <c r="W27" i="4"/>
  <c r="X27" i="4"/>
  <c r="U27" i="4"/>
  <c r="T27" i="4"/>
  <c r="S27" i="4"/>
  <c r="L27" i="4"/>
  <c r="W26" i="4"/>
  <c r="X26" i="4"/>
  <c r="U26" i="4"/>
  <c r="T26" i="4"/>
  <c r="S26" i="4"/>
  <c r="L26" i="4"/>
  <c r="W25" i="4"/>
  <c r="X25" i="4"/>
  <c r="U25" i="4"/>
  <c r="T25" i="4"/>
  <c r="S25" i="4"/>
  <c r="L25" i="4"/>
  <c r="W24" i="4"/>
  <c r="X24" i="4"/>
  <c r="U24" i="4"/>
  <c r="T24" i="4"/>
  <c r="S24" i="4"/>
  <c r="L24" i="4"/>
  <c r="W23" i="4"/>
  <c r="X23" i="4"/>
  <c r="U23" i="4"/>
  <c r="T23" i="4"/>
  <c r="S23" i="4"/>
  <c r="L23" i="4"/>
  <c r="W22" i="4"/>
  <c r="X22" i="4"/>
  <c r="U22" i="4"/>
  <c r="T22" i="4"/>
  <c r="S22" i="4"/>
  <c r="L22" i="4"/>
  <c r="W21" i="4"/>
  <c r="X21" i="4"/>
  <c r="U21" i="4"/>
  <c r="T21" i="4"/>
  <c r="S21" i="4"/>
  <c r="L21" i="4"/>
  <c r="W20" i="4"/>
  <c r="X20" i="4"/>
  <c r="U20" i="4"/>
  <c r="T20" i="4"/>
  <c r="S20" i="4"/>
  <c r="L20" i="4"/>
  <c r="W19" i="4"/>
  <c r="X19" i="4"/>
  <c r="U19" i="4"/>
  <c r="T19" i="4"/>
  <c r="S19" i="4"/>
  <c r="L19" i="4"/>
  <c r="W18" i="4"/>
  <c r="X18" i="4"/>
  <c r="U18" i="4"/>
  <c r="T18" i="4"/>
  <c r="S18" i="4"/>
  <c r="L18" i="4"/>
  <c r="W17" i="4"/>
  <c r="X17" i="4"/>
  <c r="U17" i="4"/>
  <c r="T17" i="4"/>
  <c r="S17" i="4"/>
  <c r="L17" i="4"/>
  <c r="W16" i="4"/>
  <c r="X16" i="4"/>
  <c r="U16" i="4"/>
  <c r="T16" i="4"/>
  <c r="S16" i="4"/>
  <c r="L16" i="4"/>
  <c r="W15" i="4"/>
  <c r="X15" i="4"/>
  <c r="U15" i="4"/>
  <c r="T15" i="4"/>
  <c r="S15" i="4"/>
  <c r="L15" i="4"/>
  <c r="W14" i="4"/>
  <c r="X14" i="4"/>
  <c r="U14" i="4"/>
  <c r="T14" i="4"/>
  <c r="S14" i="4"/>
  <c r="L14" i="4"/>
  <c r="W13" i="4"/>
  <c r="X13" i="4"/>
  <c r="U13" i="4"/>
  <c r="T13" i="4"/>
  <c r="S13" i="4"/>
  <c r="L13" i="4"/>
  <c r="W12" i="4"/>
  <c r="X12" i="4"/>
  <c r="U12" i="4"/>
  <c r="T12" i="4"/>
  <c r="S12" i="4"/>
  <c r="L12" i="4"/>
  <c r="W11" i="4"/>
  <c r="X11" i="4"/>
  <c r="U11" i="4"/>
  <c r="T11" i="4"/>
  <c r="S11" i="4"/>
  <c r="L11" i="4"/>
  <c r="W10" i="4"/>
  <c r="X10" i="4"/>
  <c r="U10" i="4"/>
  <c r="T10" i="4"/>
  <c r="S10" i="4"/>
  <c r="L10" i="4"/>
  <c r="W9" i="4"/>
  <c r="X9" i="4"/>
  <c r="U9" i="4"/>
  <c r="T9" i="4"/>
  <c r="S9" i="4"/>
  <c r="L9" i="4"/>
  <c r="W8" i="4"/>
  <c r="X8" i="4"/>
  <c r="U8" i="4"/>
  <c r="T8" i="4"/>
  <c r="S8" i="4"/>
  <c r="L8" i="4"/>
  <c r="W7" i="4"/>
  <c r="X7" i="4"/>
  <c r="U7" i="4"/>
  <c r="T7" i="4"/>
  <c r="S7" i="4"/>
  <c r="L7" i="4"/>
  <c r="W6" i="4"/>
  <c r="X6" i="4"/>
  <c r="U6" i="4"/>
  <c r="T6" i="4"/>
  <c r="S6" i="4"/>
  <c r="L6" i="4"/>
  <c r="W5" i="4"/>
  <c r="X5" i="4"/>
  <c r="U5" i="4"/>
  <c r="T5" i="4"/>
  <c r="S5" i="4"/>
  <c r="L5" i="4"/>
  <c r="W4" i="4"/>
  <c r="X4" i="4"/>
  <c r="U4" i="4"/>
  <c r="T4" i="4"/>
  <c r="S4" i="4"/>
  <c r="L4" i="4"/>
  <c r="W3" i="4"/>
  <c r="X3" i="4"/>
  <c r="U3" i="4"/>
  <c r="T3" i="4"/>
  <c r="S3" i="4"/>
  <c r="L3" i="4"/>
  <c r="W2" i="4"/>
  <c r="X2" i="4"/>
  <c r="U2" i="4"/>
  <c r="T2" i="4"/>
  <c r="S2" i="4"/>
  <c r="L2" i="4"/>
  <c r="Q3194" i="1"/>
  <c r="AD62" i="3"/>
  <c r="AC62" i="3"/>
  <c r="AB62" i="3"/>
  <c r="T62" i="3"/>
  <c r="AH62" i="3"/>
  <c r="AH63" i="3"/>
  <c r="Q2524" i="1"/>
  <c r="AI63" i="3"/>
  <c r="AJ63" i="3"/>
  <c r="AF62" i="3"/>
  <c r="AE62" i="3"/>
  <c r="AH14" i="3"/>
  <c r="AI14" i="3"/>
  <c r="AJ14" i="3"/>
  <c r="AF14" i="3"/>
  <c r="AE14" i="3"/>
  <c r="X14" i="3"/>
  <c r="AH46" i="3"/>
  <c r="AI46" i="3"/>
  <c r="AJ46" i="3"/>
  <c r="AF46" i="3"/>
  <c r="AE46" i="3"/>
  <c r="X46" i="3"/>
  <c r="AH39" i="3"/>
  <c r="AI39" i="3"/>
  <c r="AJ39" i="3"/>
  <c r="AF39" i="3"/>
  <c r="AE39" i="3"/>
  <c r="X39" i="3"/>
  <c r="AH59" i="3"/>
  <c r="AI59" i="3"/>
  <c r="AJ59" i="3"/>
  <c r="AF59" i="3"/>
  <c r="AE59" i="3"/>
  <c r="X59" i="3"/>
  <c r="AH36" i="3"/>
  <c r="AI36" i="3"/>
  <c r="AJ36" i="3"/>
  <c r="AF36" i="3"/>
  <c r="AE36" i="3"/>
  <c r="X36" i="3"/>
  <c r="AH11" i="3"/>
  <c r="AI11" i="3"/>
  <c r="AJ11" i="3"/>
  <c r="AF11" i="3"/>
  <c r="AE11" i="3"/>
  <c r="X11" i="3"/>
  <c r="AH10" i="3"/>
  <c r="AI10" i="3"/>
  <c r="AJ10" i="3"/>
  <c r="AF10" i="3"/>
  <c r="AE10" i="3"/>
  <c r="X10" i="3"/>
  <c r="AH16" i="3"/>
  <c r="AI16" i="3"/>
  <c r="AJ16" i="3"/>
  <c r="AF16" i="3"/>
  <c r="AE16" i="3"/>
  <c r="X16" i="3"/>
  <c r="AH52" i="3"/>
  <c r="AI52" i="3"/>
  <c r="AJ52" i="3"/>
  <c r="AF52" i="3"/>
  <c r="AE52" i="3"/>
  <c r="X52" i="3"/>
  <c r="AH37" i="3"/>
  <c r="AI37" i="3"/>
  <c r="AJ37" i="3"/>
  <c r="AF37" i="3"/>
  <c r="AE37" i="3"/>
  <c r="X37" i="3"/>
  <c r="AH35" i="3"/>
  <c r="AI35" i="3"/>
  <c r="AJ35" i="3"/>
  <c r="AF35" i="3"/>
  <c r="AE35" i="3"/>
  <c r="X35" i="3"/>
  <c r="AH43" i="3"/>
  <c r="AI43" i="3"/>
  <c r="AJ43" i="3"/>
  <c r="AF43" i="3"/>
  <c r="AE43" i="3"/>
  <c r="X43" i="3"/>
  <c r="AH56" i="3"/>
  <c r="AI56" i="3"/>
  <c r="AJ56" i="3"/>
  <c r="AF56" i="3"/>
  <c r="AE56" i="3"/>
  <c r="X56" i="3"/>
  <c r="AH45" i="3"/>
  <c r="AI45" i="3"/>
  <c r="AJ45" i="3"/>
  <c r="AF45" i="3"/>
  <c r="AE45" i="3"/>
  <c r="X45" i="3"/>
  <c r="AH28" i="3"/>
  <c r="AI28" i="3"/>
  <c r="AJ28" i="3"/>
  <c r="AF28" i="3"/>
  <c r="AE28" i="3"/>
  <c r="X28" i="3"/>
  <c r="AH34" i="3"/>
  <c r="AI34" i="3"/>
  <c r="AJ34" i="3"/>
  <c r="AF34" i="3"/>
  <c r="AE34" i="3"/>
  <c r="X34" i="3"/>
  <c r="AH19" i="3"/>
  <c r="AI19" i="3"/>
  <c r="AJ19" i="3"/>
  <c r="AF19" i="3"/>
  <c r="AE19" i="3"/>
  <c r="X19" i="3"/>
  <c r="AH48" i="3"/>
  <c r="AI48" i="3"/>
  <c r="AJ48" i="3"/>
  <c r="AF48" i="3"/>
  <c r="AE48" i="3"/>
  <c r="X48" i="3"/>
  <c r="AH31" i="3"/>
  <c r="AI31" i="3"/>
  <c r="AJ31" i="3"/>
  <c r="AF31" i="3"/>
  <c r="AE31" i="3"/>
  <c r="X31" i="3"/>
  <c r="AH4" i="3"/>
  <c r="AI4" i="3"/>
  <c r="AJ4" i="3"/>
  <c r="AF4" i="3"/>
  <c r="AE4" i="3"/>
  <c r="X4" i="3"/>
  <c r="AH50" i="3"/>
  <c r="AI50" i="3"/>
  <c r="AJ50" i="3"/>
  <c r="AF50" i="3"/>
  <c r="AE50" i="3"/>
  <c r="X50" i="3"/>
  <c r="AH20" i="3"/>
  <c r="AI20" i="3"/>
  <c r="AJ20" i="3"/>
  <c r="AF20" i="3"/>
  <c r="AE20" i="3"/>
  <c r="X20" i="3"/>
  <c r="AH5" i="3"/>
  <c r="AI5" i="3"/>
  <c r="AJ5" i="3"/>
  <c r="AF5" i="3"/>
  <c r="AE5" i="3"/>
  <c r="X5" i="3"/>
  <c r="AH3" i="3"/>
  <c r="AI3" i="3"/>
  <c r="AJ3" i="3"/>
  <c r="AF3" i="3"/>
  <c r="AE3" i="3"/>
  <c r="X3" i="3"/>
  <c r="AH51" i="3"/>
  <c r="AI51" i="3"/>
  <c r="AJ51" i="3"/>
  <c r="AF51" i="3"/>
  <c r="AE51" i="3"/>
  <c r="X51" i="3"/>
  <c r="AH60" i="3"/>
  <c r="AI60" i="3"/>
  <c r="AJ60" i="3"/>
  <c r="AF60" i="3"/>
  <c r="AE60" i="3"/>
  <c r="X60" i="3"/>
  <c r="AH49" i="3"/>
  <c r="AI49" i="3"/>
  <c r="AJ49" i="3"/>
  <c r="AF49" i="3"/>
  <c r="AE49" i="3"/>
  <c r="X49" i="3"/>
  <c r="AH13" i="3"/>
  <c r="AI13" i="3"/>
  <c r="AJ13" i="3"/>
  <c r="AF13" i="3"/>
  <c r="AE13" i="3"/>
  <c r="X13" i="3"/>
  <c r="AH7" i="3"/>
  <c r="AI7" i="3"/>
  <c r="AJ7" i="3"/>
  <c r="AF7" i="3"/>
  <c r="AE7" i="3"/>
  <c r="X7" i="3"/>
  <c r="AH58" i="3"/>
  <c r="AI58" i="3"/>
  <c r="AJ58" i="3"/>
  <c r="AF58" i="3"/>
  <c r="AE58" i="3"/>
  <c r="X58" i="3"/>
  <c r="AH12" i="3"/>
  <c r="AI12" i="3"/>
  <c r="AJ12" i="3"/>
  <c r="AF12" i="3"/>
  <c r="AE12" i="3"/>
  <c r="X12" i="3"/>
  <c r="AH30" i="3"/>
  <c r="AI30" i="3"/>
  <c r="AJ30" i="3"/>
  <c r="AF30" i="3"/>
  <c r="AE30" i="3"/>
  <c r="X30" i="3"/>
  <c r="AH24" i="3"/>
  <c r="AI24" i="3"/>
  <c r="AJ24" i="3"/>
  <c r="AF24" i="3"/>
  <c r="AE24" i="3"/>
  <c r="X24" i="3"/>
  <c r="AH33" i="3"/>
  <c r="AI33" i="3"/>
  <c r="AJ33" i="3"/>
  <c r="AF33" i="3"/>
  <c r="AE33" i="3"/>
  <c r="X33" i="3"/>
  <c r="AH61" i="3"/>
  <c r="AI61" i="3"/>
  <c r="AJ61" i="3"/>
  <c r="AF61" i="3"/>
  <c r="AE61" i="3"/>
  <c r="X61" i="3"/>
  <c r="AH21" i="3"/>
  <c r="AI21" i="3"/>
  <c r="AJ21" i="3"/>
  <c r="AF21" i="3"/>
  <c r="AE21" i="3"/>
  <c r="X21" i="3"/>
  <c r="AH47" i="3"/>
  <c r="AI47" i="3"/>
  <c r="AJ47" i="3"/>
  <c r="AF47" i="3"/>
  <c r="AE47" i="3"/>
  <c r="X47" i="3"/>
  <c r="AH18" i="3"/>
  <c r="AI18" i="3"/>
  <c r="AJ18" i="3"/>
  <c r="AF18" i="3"/>
  <c r="AE18" i="3"/>
  <c r="X18" i="3"/>
  <c r="AH38" i="3"/>
  <c r="AI38" i="3"/>
  <c r="AJ38" i="3"/>
  <c r="AF38" i="3"/>
  <c r="AE38" i="3"/>
  <c r="X38" i="3"/>
  <c r="AH40" i="3"/>
  <c r="AI40" i="3"/>
  <c r="AJ40" i="3"/>
  <c r="AF40" i="3"/>
  <c r="AE40" i="3"/>
  <c r="X40" i="3"/>
  <c r="AH23" i="3"/>
  <c r="AI23" i="3"/>
  <c r="AJ23" i="3"/>
  <c r="AF23" i="3"/>
  <c r="AE23" i="3"/>
  <c r="X23" i="3"/>
  <c r="AH32" i="3"/>
  <c r="AI32" i="3"/>
  <c r="AJ32" i="3"/>
  <c r="AF32" i="3"/>
  <c r="AE32" i="3"/>
  <c r="X32" i="3"/>
  <c r="AH17" i="3"/>
  <c r="AI17" i="3"/>
  <c r="AJ17" i="3"/>
  <c r="AF17" i="3"/>
  <c r="AE17" i="3"/>
  <c r="X17" i="3"/>
  <c r="AH15" i="3"/>
  <c r="AI15" i="3"/>
  <c r="AJ15" i="3"/>
  <c r="AF15" i="3"/>
  <c r="AE15" i="3"/>
  <c r="X15" i="3"/>
  <c r="AH54" i="3"/>
  <c r="AI54" i="3"/>
  <c r="AJ54" i="3"/>
  <c r="AF54" i="3"/>
  <c r="AE54" i="3"/>
  <c r="X54" i="3"/>
  <c r="AH26" i="3"/>
  <c r="AI26" i="3"/>
  <c r="AJ26" i="3"/>
  <c r="AF26" i="3"/>
  <c r="AE26" i="3"/>
  <c r="X26" i="3"/>
  <c r="AI2" i="3"/>
  <c r="AJ2" i="3"/>
  <c r="AF2" i="3"/>
  <c r="AE2" i="3"/>
  <c r="X2" i="3"/>
  <c r="AH42" i="3"/>
  <c r="AI42" i="3"/>
  <c r="AJ42" i="3"/>
  <c r="AF42" i="3"/>
  <c r="AE42" i="3"/>
  <c r="X42" i="3"/>
  <c r="AH6" i="3"/>
  <c r="AI6" i="3"/>
  <c r="AJ6" i="3"/>
  <c r="AF6" i="3"/>
  <c r="AE6" i="3"/>
  <c r="X6" i="3"/>
  <c r="AH53" i="3"/>
  <c r="AI53" i="3"/>
  <c r="AJ53" i="3"/>
  <c r="AF53" i="3"/>
  <c r="AE53" i="3"/>
  <c r="X53" i="3"/>
  <c r="AH57" i="3"/>
  <c r="AI57" i="3"/>
  <c r="AJ57" i="3"/>
  <c r="AF57" i="3"/>
  <c r="AE57" i="3"/>
  <c r="X57" i="3"/>
  <c r="AH25" i="3"/>
  <c r="AI25" i="3"/>
  <c r="AJ25" i="3"/>
  <c r="AF25" i="3"/>
  <c r="AE25" i="3"/>
  <c r="X25" i="3"/>
  <c r="AH27" i="3"/>
  <c r="AI27" i="3"/>
  <c r="AJ27" i="3"/>
  <c r="AF27" i="3"/>
  <c r="AE27" i="3"/>
  <c r="X27" i="3"/>
  <c r="AH22" i="3"/>
  <c r="AI22" i="3"/>
  <c r="AJ22" i="3"/>
  <c r="AF22" i="3"/>
  <c r="AE22" i="3"/>
  <c r="X22" i="3"/>
  <c r="AH44" i="3"/>
  <c r="AI44" i="3"/>
  <c r="AJ44" i="3"/>
  <c r="AF44" i="3"/>
  <c r="AE44" i="3"/>
  <c r="X44" i="3"/>
  <c r="AH29" i="3"/>
  <c r="AI29" i="3"/>
  <c r="AJ29" i="3"/>
  <c r="AF29" i="3"/>
  <c r="AE29" i="3"/>
  <c r="X29" i="3"/>
  <c r="AH9" i="3"/>
  <c r="AI9" i="3"/>
  <c r="AJ9" i="3"/>
  <c r="AF9" i="3"/>
  <c r="AE9" i="3"/>
  <c r="X9" i="3"/>
  <c r="AH8" i="3"/>
  <c r="AI8" i="3"/>
  <c r="AJ8" i="3"/>
  <c r="AF8" i="3"/>
  <c r="AE8" i="3"/>
  <c r="X8" i="3"/>
  <c r="AH41" i="3"/>
  <c r="AI41" i="3"/>
  <c r="AJ41" i="3"/>
  <c r="AF41" i="3"/>
  <c r="AE41" i="3"/>
  <c r="X41" i="3"/>
  <c r="AH55" i="3"/>
  <c r="AI55" i="3"/>
  <c r="AJ55" i="3"/>
  <c r="AF55" i="3"/>
  <c r="AE55" i="3"/>
  <c r="X55" i="3"/>
  <c r="Q2451" i="1"/>
  <c r="E2451" i="1"/>
  <c r="Q2149" i="1"/>
  <c r="Q2371" i="1"/>
  <c r="E2334" i="1"/>
  <c r="Q2545" i="1"/>
  <c r="Q2893" i="1"/>
  <c r="E2893" i="1"/>
  <c r="Q2568" i="1"/>
  <c r="Q2148" i="1"/>
  <c r="E2341" i="1"/>
  <c r="Q2381" i="1"/>
  <c r="E2421" i="1"/>
  <c r="Q2508" i="1"/>
  <c r="A2508" i="1"/>
  <c r="Q2444" i="1"/>
  <c r="E2444" i="1"/>
  <c r="Q2454" i="1"/>
  <c r="E2454" i="1"/>
  <c r="Q2398" i="1"/>
  <c r="Q2620" i="1"/>
  <c r="Q2801" i="1"/>
  <c r="Q2660" i="1"/>
  <c r="Q2613" i="1"/>
  <c r="Q2437" i="1"/>
  <c r="Q2502" i="1"/>
  <c r="A2502" i="1"/>
  <c r="E2639" i="1"/>
  <c r="Q2344" i="1"/>
  <c r="Q2577" i="1"/>
  <c r="Q2372" i="1"/>
  <c r="E2372" i="1"/>
  <c r="Q2481" i="1"/>
  <c r="Q2560" i="1"/>
  <c r="Q2960" i="1"/>
  <c r="Q2706" i="1"/>
  <c r="E2706" i="1"/>
  <c r="E2411" i="1"/>
  <c r="Q2514" i="1"/>
  <c r="Q2485" i="1"/>
  <c r="E2485" i="1"/>
  <c r="A2485" i="1"/>
  <c r="Q2699" i="1"/>
  <c r="Q2583" i="1"/>
  <c r="Q2897" i="1"/>
  <c r="Q2728" i="1"/>
  <c r="A2728" i="1"/>
  <c r="Q2415" i="1"/>
  <c r="Q2383" i="1"/>
  <c r="Q2549" i="1"/>
  <c r="Q2392" i="1"/>
  <c r="Q2671" i="1"/>
  <c r="Q2566" i="1"/>
  <c r="Q2575" i="1"/>
  <c r="E2464" i="1"/>
  <c r="Q2316" i="1"/>
  <c r="Q2428" i="1"/>
  <c r="E2428" i="1"/>
  <c r="Q2450" i="1"/>
  <c r="Q2518" i="1"/>
  <c r="Q2525" i="1"/>
  <c r="Q2573" i="1"/>
  <c r="E2412" i="1"/>
  <c r="Q2668" i="1"/>
  <c r="Q2697" i="1"/>
  <c r="Q2147" i="1"/>
  <c r="Q2390" i="1"/>
  <c r="E2390" i="1"/>
  <c r="Q2789" i="1"/>
  <c r="Q2904" i="1"/>
  <c r="Q2543" i="1"/>
  <c r="Q2459" i="1"/>
  <c r="Q2652" i="1"/>
  <c r="Q2605" i="1"/>
  <c r="E2605" i="1"/>
  <c r="Q2542" i="1"/>
  <c r="Q2401" i="1"/>
  <c r="Q2610" i="1"/>
  <c r="Q2898" i="1"/>
  <c r="Q2480" i="1"/>
  <c r="E2480" i="1"/>
  <c r="Q2377" i="1"/>
  <c r="Q2476" i="1"/>
  <c r="E2476" i="1"/>
  <c r="Q2379" i="1"/>
  <c r="Q2701" i="1"/>
  <c r="Q2596" i="1"/>
  <c r="Q2355" i="1"/>
  <c r="Q2319" i="1"/>
  <c r="Q2661" i="1"/>
  <c r="E2661" i="1"/>
  <c r="Q2703" i="1"/>
  <c r="Q2677" i="1"/>
  <c r="Q2684" i="1"/>
  <c r="Q2330" i="1"/>
  <c r="Q2691" i="1"/>
  <c r="Q2890" i="1"/>
  <c r="Q2467" i="1"/>
  <c r="E2467" i="1"/>
  <c r="Q2493" i="1"/>
  <c r="A2493" i="1"/>
  <c r="Q2578" i="1"/>
  <c r="Q2617" i="1"/>
  <c r="E2617" i="1"/>
  <c r="Q2350" i="1"/>
  <c r="Q2702" i="1"/>
  <c r="E2702" i="1"/>
  <c r="Q2638" i="1"/>
  <c r="Q2438" i="1"/>
  <c r="E2438" i="1"/>
  <c r="Q2533" i="1"/>
  <c r="Q2666" i="1"/>
  <c r="Q2548" i="1"/>
  <c r="Q2475" i="1"/>
  <c r="E2475" i="1"/>
  <c r="Q2363" i="1"/>
  <c r="Q2540" i="1"/>
  <c r="Q2318" i="1"/>
  <c r="Q2994" i="1"/>
  <c r="Q2588" i="1"/>
  <c r="Q2550" i="1"/>
  <c r="Q2536" i="1"/>
  <c r="Q2498" i="1"/>
  <c r="Q2331" i="1"/>
  <c r="Q2991" i="1"/>
  <c r="Q2452" i="1"/>
  <c r="Q2608" i="1"/>
  <c r="E2608" i="1"/>
  <c r="Q2351" i="1"/>
  <c r="Q4582" i="1"/>
  <c r="Q5297" i="1"/>
  <c r="Q5217" i="1"/>
  <c r="Q5115" i="1"/>
  <c r="Q4709" i="1"/>
  <c r="Q4659" i="1"/>
  <c r="Q4638" i="1"/>
  <c r="Q4583" i="1"/>
  <c r="Q4540" i="1"/>
  <c r="Q4496" i="1"/>
  <c r="Q4457" i="1"/>
  <c r="Q4393" i="1"/>
  <c r="Q4251" i="1"/>
  <c r="Q3634" i="1"/>
  <c r="Q3602" i="1"/>
  <c r="Q3496" i="1"/>
  <c r="Q3463" i="1"/>
  <c r="Q3356" i="1"/>
  <c r="Q3281" i="1"/>
  <c r="Q3175" i="1"/>
  <c r="Q3121" i="1"/>
  <c r="Q2177" i="1"/>
  <c r="Q2098" i="1"/>
  <c r="Q2093" i="1"/>
  <c r="Q2171" i="1"/>
  <c r="Q2121" i="1"/>
  <c r="Q2109" i="1"/>
  <c r="Q2230" i="1"/>
  <c r="E2230" i="1"/>
  <c r="Q2369" i="1"/>
  <c r="Q2362" i="1"/>
  <c r="Q2418" i="1"/>
  <c r="Q2348" i="1"/>
  <c r="Q2422" i="1"/>
  <c r="Q2416" i="1"/>
  <c r="Q2366" i="1"/>
  <c r="Q2328" i="1"/>
  <c r="Q2397" i="1"/>
  <c r="Q2322" i="1"/>
  <c r="Q2404" i="1"/>
  <c r="E5308" i="1"/>
  <c r="E5301" i="1"/>
  <c r="Q5277" i="1"/>
  <c r="E5277" i="1"/>
  <c r="Q5245" i="1"/>
  <c r="Q5208" i="1"/>
  <c r="Q5189" i="1"/>
  <c r="Q5177" i="1"/>
  <c r="Q5152" i="1"/>
  <c r="Q5124" i="1"/>
  <c r="Q5117" i="1"/>
  <c r="Q5099" i="1"/>
  <c r="Q5073" i="1"/>
  <c r="Q5037" i="1"/>
  <c r="Q4920" i="1"/>
  <c r="Q4876" i="1"/>
  <c r="Q4850" i="1"/>
  <c r="Q4735" i="1"/>
  <c r="Q4728" i="1"/>
  <c r="Q4723" i="1"/>
  <c r="Q4714" i="1"/>
  <c r="Q4713" i="1"/>
  <c r="Q4693" i="1"/>
  <c r="Q4681" i="1"/>
  <c r="Q4653" i="1"/>
  <c r="Q4646" i="1"/>
  <c r="Q4635" i="1"/>
  <c r="Q4631" i="1"/>
  <c r="Q4621" i="1"/>
  <c r="Q4568" i="1"/>
  <c r="Q4563" i="1"/>
  <c r="Q4518" i="1"/>
  <c r="Q4497" i="1"/>
  <c r="Q4491" i="1"/>
  <c r="Q4490" i="1"/>
  <c r="Q4484" i="1"/>
  <c r="Q4469" i="1"/>
  <c r="Q4459" i="1"/>
  <c r="Q4445" i="1"/>
  <c r="Q4437" i="1"/>
  <c r="Q4418" i="1"/>
  <c r="Q4398" i="1"/>
  <c r="Q4362" i="1"/>
  <c r="Q4326" i="1"/>
  <c r="Q4318" i="1"/>
  <c r="Q4303" i="1"/>
  <c r="Q4279" i="1"/>
  <c r="Q4242" i="1"/>
  <c r="Q4239" i="1"/>
  <c r="Q4214" i="1"/>
  <c r="Q4213" i="1"/>
  <c r="Q4212" i="1"/>
  <c r="Q4209" i="1"/>
  <c r="Q4196" i="1"/>
  <c r="Q4183" i="1"/>
  <c r="Q4178" i="1"/>
  <c r="Q4173" i="1"/>
  <c r="Q4151" i="1"/>
  <c r="E4151" i="1"/>
  <c r="Q4146" i="1"/>
  <c r="Q4126" i="1"/>
  <c r="Q4121" i="1"/>
  <c r="Q4102" i="1"/>
  <c r="E4100" i="1"/>
  <c r="E4096" i="1"/>
  <c r="Q4094" i="1"/>
  <c r="Q4089" i="1"/>
  <c r="Q4087" i="1"/>
  <c r="Q4081" i="1"/>
  <c r="E4075" i="1"/>
  <c r="Q4076" i="1"/>
  <c r="Q4073" i="1"/>
  <c r="Q4071" i="1"/>
  <c r="Q4069" i="1"/>
  <c r="Q4067" i="1"/>
  <c r="Q4045" i="1"/>
  <c r="E4045" i="1"/>
  <c r="Q4043" i="1"/>
  <c r="Q4036" i="1"/>
  <c r="Q4039" i="1"/>
  <c r="Q4012" i="1"/>
  <c r="Q4006" i="1"/>
  <c r="Q4000" i="1"/>
  <c r="Q3993" i="1"/>
  <c r="Q3981" i="1"/>
  <c r="Q3973" i="1"/>
  <c r="E3971" i="1"/>
  <c r="Q3968" i="1"/>
  <c r="Q3962" i="1"/>
  <c r="Q3963" i="1"/>
  <c r="Q3955" i="1"/>
  <c r="E3957" i="1"/>
  <c r="E3934" i="1"/>
  <c r="Q3933" i="1"/>
  <c r="Q3931" i="1"/>
  <c r="Q3929" i="1"/>
  <c r="Q3922" i="1"/>
  <c r="Q3915" i="1"/>
  <c r="Q3913" i="1"/>
  <c r="Q3909" i="1"/>
  <c r="Q3903" i="1"/>
  <c r="Q3902" i="1"/>
  <c r="E3902" i="1"/>
  <c r="Q3898" i="1"/>
  <c r="Q3892" i="1"/>
  <c r="Q3879" i="1"/>
  <c r="Q3850" i="1"/>
  <c r="Q3836" i="1"/>
  <c r="Q3837" i="1"/>
  <c r="E3832" i="1"/>
  <c r="Q3829" i="1"/>
  <c r="Q3815" i="1"/>
  <c r="Q3809" i="1"/>
  <c r="Q3803" i="1"/>
  <c r="Q3797" i="1"/>
  <c r="Q3790" i="1"/>
  <c r="Q3794" i="1"/>
  <c r="Q3782" i="1"/>
  <c r="Q3784" i="1"/>
  <c r="Q3777" i="1"/>
  <c r="Q3773" i="1"/>
  <c r="Q3767" i="1"/>
  <c r="Q3764" i="1"/>
  <c r="Q3758" i="1"/>
  <c r="E3758" i="1"/>
  <c r="Q3760" i="1"/>
  <c r="E3755" i="1"/>
  <c r="Q3737" i="1"/>
  <c r="Q3733" i="1"/>
  <c r="Q3725" i="1"/>
  <c r="Q3712" i="1"/>
  <c r="Q3711" i="1"/>
  <c r="Q3708" i="1"/>
  <c r="Q3707" i="1"/>
  <c r="Q3706" i="1"/>
  <c r="Q3704" i="1"/>
  <c r="Q3699" i="1"/>
  <c r="Q3700" i="1"/>
  <c r="Q3691" i="1"/>
  <c r="Q3690" i="1"/>
  <c r="Q3686" i="1"/>
  <c r="Q3681" i="1"/>
  <c r="Q3662" i="1"/>
  <c r="Q3651" i="1"/>
  <c r="Q3647" i="1"/>
  <c r="Q3635" i="1"/>
  <c r="Q3621" i="1"/>
  <c r="Q3619" i="1"/>
  <c r="Q3606" i="1"/>
  <c r="Q3591" i="1"/>
  <c r="Q3581" i="1"/>
  <c r="Q3578" i="1"/>
  <c r="Q3568" i="1"/>
  <c r="Q3554" i="1"/>
  <c r="Q3552" i="1"/>
  <c r="Q3549" i="1"/>
  <c r="Q3544" i="1"/>
  <c r="Q3546" i="1"/>
  <c r="Q3536" i="1"/>
  <c r="Q3530" i="1"/>
  <c r="Q3523" i="1"/>
  <c r="Q3521" i="1"/>
  <c r="Q3511" i="1"/>
  <c r="Q3501" i="1"/>
  <c r="E3503" i="1"/>
  <c r="Q3491" i="1"/>
  <c r="Q3490" i="1"/>
  <c r="Q3466" i="1"/>
  <c r="Q3468" i="1"/>
  <c r="Q3467" i="1"/>
  <c r="E3463" i="1"/>
  <c r="E3459" i="1"/>
  <c r="Q3461" i="1"/>
  <c r="Q3457" i="1"/>
  <c r="Q3439" i="1"/>
  <c r="Q3432" i="1"/>
  <c r="Q3429" i="1"/>
  <c r="Q3401" i="1"/>
  <c r="Q3400" i="1"/>
  <c r="Q3393" i="1"/>
  <c r="E3393" i="1"/>
  <c r="Q3391" i="1"/>
  <c r="Q3387" i="1"/>
  <c r="Q3381" i="1"/>
  <c r="Q3377" i="1"/>
  <c r="Q3353" i="1"/>
  <c r="E3356" i="1"/>
  <c r="Q3350" i="1"/>
  <c r="Q3341" i="1"/>
  <c r="Q3338" i="1"/>
  <c r="Q3337" i="1"/>
  <c r="Q3335" i="1"/>
  <c r="Q3323" i="1"/>
  <c r="Q3325" i="1"/>
  <c r="Q3303" i="1"/>
  <c r="Q3298" i="1"/>
  <c r="E3296" i="1"/>
  <c r="Q3289" i="1"/>
  <c r="Q3283" i="1"/>
  <c r="Q3285" i="1"/>
  <c r="E3285" i="1"/>
  <c r="E3281" i="1"/>
  <c r="Q3286" i="1"/>
  <c r="Q3241" i="1"/>
  <c r="Q3234" i="1"/>
  <c r="Q3238" i="1"/>
  <c r="Q3224" i="1"/>
  <c r="Q3218" i="1"/>
  <c r="Q3206" i="1"/>
  <c r="Q3205" i="1"/>
  <c r="Q3196" i="1"/>
  <c r="Q3195" i="1"/>
  <c r="E3195" i="1"/>
  <c r="Q3192" i="1"/>
  <c r="Q3190" i="1"/>
  <c r="E3175" i="1"/>
  <c r="Q3174" i="1"/>
  <c r="Q3166" i="1"/>
  <c r="Q3161" i="1"/>
  <c r="Q3150" i="1"/>
  <c r="E3149" i="1"/>
  <c r="Q3145" i="1"/>
  <c r="Q3131" i="1"/>
  <c r="Q3135" i="1"/>
  <c r="Q3126" i="1"/>
  <c r="Q3108" i="1"/>
  <c r="Q3104" i="1"/>
  <c r="E3104" i="1"/>
  <c r="Q3103" i="1"/>
  <c r="Q3100" i="1"/>
  <c r="Q3095" i="1"/>
  <c r="E3095" i="1"/>
  <c r="Q3097" i="1"/>
  <c r="Q3093" i="1"/>
  <c r="Q3087" i="1"/>
  <c r="Q3084" i="1"/>
  <c r="Q3081" i="1"/>
  <c r="Q3079" i="1"/>
  <c r="Q3075" i="1"/>
  <c r="Q3069" i="1"/>
  <c r="Q3067" i="1"/>
  <c r="E3067" i="1"/>
  <c r="E3068" i="1"/>
  <c r="Q3066" i="1"/>
  <c r="Q3065" i="1"/>
  <c r="Q3061" i="1"/>
  <c r="Q3060" i="1"/>
  <c r="E3057" i="1"/>
  <c r="Q3059" i="1"/>
  <c r="Q3062" i="1"/>
  <c r="Q3058" i="1"/>
  <c r="Q3055" i="1"/>
  <c r="Q3053" i="1"/>
  <c r="Q3047" i="1"/>
  <c r="Q3048" i="1"/>
  <c r="Q3045" i="1"/>
  <c r="Q3040" i="1"/>
  <c r="Q3037" i="1"/>
  <c r="Q3038" i="1"/>
  <c r="Q3032" i="1"/>
  <c r="Q3031" i="1"/>
  <c r="E3031" i="1"/>
  <c r="Q3030" i="1"/>
  <c r="E3030" i="1"/>
  <c r="Q3029" i="1"/>
  <c r="Q3025" i="1"/>
  <c r="E3025" i="1"/>
  <c r="Q3023" i="1"/>
  <c r="Q3020" i="1"/>
  <c r="Q3021" i="1"/>
  <c r="Q3016" i="1"/>
  <c r="Q3013" i="1"/>
  <c r="E3013" i="1"/>
  <c r="Q3014" i="1"/>
  <c r="E3014" i="1"/>
  <c r="Q3008" i="1"/>
  <c r="E3008" i="1"/>
  <c r="Q2998" i="1"/>
  <c r="Q2967" i="1"/>
  <c r="Q2944" i="1"/>
  <c r="Q2923" i="1"/>
  <c r="Q2921" i="1"/>
  <c r="Q2907" i="1"/>
  <c r="A2908" i="1"/>
  <c r="Q2922" i="1"/>
  <c r="Q2895" i="1"/>
  <c r="Q2882" i="1"/>
  <c r="Q2878" i="1"/>
  <c r="Q2856" i="1"/>
  <c r="Q2843" i="1"/>
  <c r="Q2816" i="1"/>
  <c r="Q2740" i="1"/>
  <c r="Q2719" i="1"/>
  <c r="Q2717" i="1"/>
  <c r="Q2713" i="1"/>
  <c r="Q2704" i="1"/>
  <c r="Q2705" i="1"/>
  <c r="Q2700" i="1"/>
  <c r="Q2696" i="1"/>
  <c r="Q2698" i="1"/>
  <c r="Q2694" i="1"/>
  <c r="E2694" i="1"/>
  <c r="Q2692" i="1"/>
  <c r="Q2690" i="1"/>
  <c r="Q2688" i="1"/>
  <c r="Q2693" i="1"/>
  <c r="Q2687" i="1"/>
  <c r="Q2689" i="1"/>
  <c r="Q2683" i="1"/>
  <c r="E2683" i="1"/>
  <c r="Q2686" i="1"/>
  <c r="Q2685" i="1"/>
  <c r="Q2682" i="1"/>
  <c r="Q2678" i="1"/>
  <c r="Q2679" i="1"/>
  <c r="Q2680" i="1"/>
  <c r="Q2681" i="1"/>
  <c r="Q2675" i="1"/>
  <c r="Q2674" i="1"/>
  <c r="Q2673" i="1"/>
  <c r="Q2672" i="1"/>
  <c r="Q2669" i="1"/>
  <c r="E2669" i="1"/>
  <c r="Q2707" i="1"/>
  <c r="Q2664" i="1"/>
  <c r="Q2658" i="1"/>
  <c r="Q2667" i="1"/>
  <c r="Q2665" i="1"/>
  <c r="Q2662" i="1"/>
  <c r="Q2656" i="1"/>
  <c r="Q2655" i="1"/>
  <c r="Q2653" i="1"/>
  <c r="Q2650" i="1"/>
  <c r="Q2647" i="1"/>
  <c r="Q2646" i="1"/>
  <c r="Q2637" i="1"/>
  <c r="Q2640" i="1"/>
  <c r="Q2631" i="1"/>
  <c r="Q2627" i="1"/>
  <c r="E2627" i="1"/>
  <c r="Q2630" i="1"/>
  <c r="Q2636" i="1"/>
  <c r="E2636" i="1"/>
  <c r="Q2624" i="1"/>
  <c r="Q2629" i="1"/>
  <c r="Q2628" i="1"/>
  <c r="Q2621" i="1"/>
  <c r="E2621" i="1"/>
  <c r="Q2625" i="1"/>
  <c r="Q2618" i="1"/>
  <c r="Q2619" i="1"/>
  <c r="E2619" i="1"/>
  <c r="E2616" i="1"/>
  <c r="Q2614" i="1"/>
  <c r="Q2611" i="1"/>
  <c r="E2611" i="1"/>
  <c r="Q2612" i="1"/>
  <c r="E2612" i="1"/>
  <c r="Q2603" i="1"/>
  <c r="Q2604" i="1"/>
  <c r="Q2601" i="1"/>
  <c r="Q2606" i="1"/>
  <c r="Q2602" i="1"/>
  <c r="Q2607" i="1"/>
  <c r="E2607" i="1"/>
  <c r="Q2600" i="1"/>
  <c r="Q2599" i="1"/>
  <c r="Q2597" i="1"/>
  <c r="Q2595" i="1"/>
  <c r="Q2593" i="1"/>
  <c r="Q2598" i="1"/>
  <c r="Q2590" i="1"/>
  <c r="Q2591" i="1"/>
  <c r="Q2582" i="1"/>
  <c r="Q2587" i="1"/>
  <c r="Q2584" i="1"/>
  <c r="Q2581" i="1"/>
  <c r="Q2580" i="1"/>
  <c r="Q2576" i="1"/>
  <c r="Q2572" i="1"/>
  <c r="Q2574" i="1"/>
  <c r="Q2579" i="1"/>
  <c r="Q2571" i="1"/>
  <c r="Q2570" i="1"/>
  <c r="Q2565" i="1"/>
  <c r="Q2561" i="1"/>
  <c r="Q2562" i="1"/>
  <c r="Q2563" i="1"/>
  <c r="Q2557" i="1"/>
  <c r="Q2559" i="1"/>
  <c r="Q2558" i="1"/>
  <c r="Q2556" i="1"/>
  <c r="Q2554" i="1"/>
  <c r="Q2555" i="1"/>
  <c r="Q2551" i="1"/>
  <c r="Q2553" i="1"/>
  <c r="Q2552" i="1"/>
  <c r="Q2544" i="1"/>
  <c r="Q2564" i="1"/>
  <c r="Q2547" i="1"/>
  <c r="Q2546" i="1"/>
  <c r="Q2541" i="1"/>
  <c r="Q2538" i="1"/>
  <c r="Q2539" i="1"/>
  <c r="Q2537" i="1"/>
  <c r="Q2535" i="1"/>
  <c r="Q2534" i="1"/>
  <c r="Q2531" i="1"/>
  <c r="Q2529" i="1"/>
  <c r="Q2528" i="1"/>
  <c r="Q2532" i="1"/>
  <c r="Q2526" i="1"/>
  <c r="Q2523" i="1"/>
  <c r="Q2530" i="1"/>
  <c r="Q2527" i="1"/>
  <c r="Q2521" i="1"/>
  <c r="A2521" i="1"/>
  <c r="Q2520" i="1"/>
  <c r="Q2516" i="1"/>
  <c r="Q2512" i="1"/>
  <c r="A2512" i="1"/>
  <c r="Q2511" i="1"/>
  <c r="A2511" i="1"/>
  <c r="Q2510" i="1"/>
  <c r="A2510" i="1"/>
  <c r="Q2507" i="1"/>
  <c r="Q2505" i="1"/>
  <c r="Q2506" i="1"/>
  <c r="Q2504" i="1"/>
  <c r="A2504" i="1"/>
  <c r="Q2503" i="1"/>
  <c r="Q2499" i="1"/>
  <c r="Q2497" i="1"/>
  <c r="Q2501" i="1"/>
  <c r="Q2494" i="1"/>
  <c r="A2494" i="1"/>
  <c r="Q2495" i="1"/>
  <c r="A2495" i="1"/>
  <c r="Q2491" i="1"/>
  <c r="Q2492" i="1"/>
  <c r="Q2486" i="1"/>
  <c r="A2486" i="1"/>
  <c r="Q2488" i="1"/>
  <c r="Q2489" i="1"/>
  <c r="Q2487" i="1"/>
  <c r="A2487" i="1"/>
  <c r="Q2490" i="1"/>
  <c r="A2490" i="1"/>
  <c r="Q2484" i="1"/>
  <c r="A2484" i="1"/>
  <c r="Q2483" i="1"/>
  <c r="A2483" i="1"/>
  <c r="Q2482" i="1"/>
  <c r="Q2479" i="1"/>
  <c r="Q2477" i="1"/>
  <c r="E2477" i="1"/>
  <c r="Q2478" i="1"/>
  <c r="E2478" i="1"/>
  <c r="Q2474" i="1"/>
  <c r="E2474" i="1"/>
  <c r="Q2473" i="1"/>
  <c r="E2473" i="1"/>
  <c r="Q2468" i="1"/>
  <c r="E2468" i="1"/>
  <c r="Q2472" i="1"/>
  <c r="E2472" i="1"/>
  <c r="Q2469" i="1"/>
  <c r="E2469" i="1"/>
  <c r="Q2466" i="1"/>
  <c r="E2466" i="1"/>
  <c r="Q2465" i="1"/>
  <c r="E2465" i="1"/>
  <c r="Q2460" i="1"/>
  <c r="Q2462" i="1"/>
  <c r="Q2458" i="1"/>
  <c r="Q2457" i="1"/>
  <c r="Q2461" i="1"/>
  <c r="Q2456" i="1"/>
  <c r="Q2453" i="1"/>
  <c r="Q2455" i="1"/>
  <c r="Q2449" i="1"/>
  <c r="E2449" i="1"/>
  <c r="Q2448" i="1"/>
  <c r="E2448" i="1"/>
  <c r="Q2447" i="1"/>
  <c r="E2447" i="1"/>
  <c r="Q2443" i="1"/>
  <c r="E2443" i="1"/>
  <c r="Q2446" i="1"/>
  <c r="E2446" i="1"/>
  <c r="Q2445" i="1"/>
  <c r="Q2439" i="1"/>
  <c r="E2439" i="1"/>
  <c r="Q2442" i="1"/>
  <c r="E2442" i="1"/>
  <c r="Q2441" i="1"/>
  <c r="Q2440" i="1"/>
  <c r="Q2436" i="1"/>
  <c r="Q2435" i="1"/>
  <c r="E2435" i="1"/>
  <c r="Q2434" i="1"/>
  <c r="Q2433" i="1"/>
  <c r="Q2431" i="1"/>
  <c r="E2431" i="1"/>
  <c r="Q2430" i="1"/>
  <c r="Q2429" i="1"/>
  <c r="E2429" i="1"/>
  <c r="E2425" i="1"/>
  <c r="Q2427" i="1"/>
  <c r="E2424" i="1"/>
  <c r="E2417" i="1"/>
  <c r="E2418" i="1"/>
  <c r="Q2414" i="1"/>
  <c r="Q2413" i="1"/>
  <c r="Q2410" i="1"/>
  <c r="Q2406" i="1"/>
  <c r="E2406" i="1"/>
  <c r="Q2408" i="1"/>
  <c r="E2408" i="1"/>
  <c r="Q2407" i="1"/>
  <c r="E2400" i="1"/>
  <c r="E2403" i="1"/>
  <c r="Q2405" i="1"/>
  <c r="Q2396" i="1"/>
  <c r="Q2402" i="1"/>
  <c r="Q2395" i="1"/>
  <c r="E2395" i="1"/>
  <c r="E2397" i="1"/>
  <c r="Q2394" i="1"/>
  <c r="Q2399" i="1"/>
  <c r="Q2393" i="1"/>
  <c r="Q2391" i="1"/>
  <c r="E2391" i="1"/>
  <c r="Q2384" i="1"/>
  <c r="E2384" i="1"/>
  <c r="Q2388" i="1"/>
  <c r="Q2387" i="1"/>
  <c r="Q2385" i="1"/>
  <c r="Q2382" i="1"/>
  <c r="E2378" i="1"/>
  <c r="Q2374" i="1"/>
  <c r="E2374" i="1"/>
  <c r="Q2373" i="1"/>
  <c r="E2373" i="1"/>
  <c r="Q2375" i="1"/>
  <c r="Q2376" i="1"/>
  <c r="Q2364" i="1"/>
  <c r="E2362" i="1"/>
  <c r="Q2367" i="1"/>
  <c r="Q2357" i="1"/>
  <c r="Q2356" i="1"/>
  <c r="E2356" i="1"/>
  <c r="Q2360" i="1"/>
  <c r="E2360" i="1"/>
  <c r="Q2359" i="1"/>
  <c r="Q2354" i="1"/>
  <c r="Q2353" i="1"/>
  <c r="Q2346" i="1"/>
  <c r="Q2349" i="1"/>
  <c r="Q2345" i="1"/>
  <c r="Q2347" i="1"/>
  <c r="E2342" i="1"/>
  <c r="Q2323" i="1"/>
  <c r="E2323" i="1"/>
  <c r="Q2321" i="1"/>
  <c r="Q2320" i="1"/>
  <c r="Q2317" i="1"/>
  <c r="E2317" i="1"/>
  <c r="Q2314" i="1"/>
  <c r="Q2315" i="1"/>
  <c r="E2315" i="1"/>
  <c r="Q2313" i="1"/>
  <c r="E2313" i="1"/>
  <c r="E2310" i="1"/>
  <c r="E2304" i="1"/>
  <c r="E2307" i="1"/>
  <c r="Q2306" i="1"/>
  <c r="E2305" i="1"/>
  <c r="E2303" i="1"/>
  <c r="E2300" i="1"/>
  <c r="Q2205" i="1"/>
  <c r="Q2153" i="1"/>
  <c r="Q2152" i="1"/>
  <c r="Q2145" i="1"/>
  <c r="Q2146" i="1"/>
  <c r="Q2144" i="1"/>
  <c r="U62" i="3"/>
  <c r="AI62" i="3"/>
  <c r="AJ62" i="3"/>
</calcChain>
</file>

<file path=xl/sharedStrings.xml><?xml version="1.0" encoding="utf-8"?>
<sst xmlns="http://schemas.openxmlformats.org/spreadsheetml/2006/main" count="95924" uniqueCount="31435">
  <si>
    <t>Victim's name</t>
  </si>
  <si>
    <t>Victim's age</t>
  </si>
  <si>
    <t>Victim's gender</t>
  </si>
  <si>
    <t>Victim's race</t>
  </si>
  <si>
    <t>URL of image of victim</t>
  </si>
  <si>
    <t>Date of injury resulting in death (month/day/year)</t>
  </si>
  <si>
    <t>Location of injury (address)</t>
  </si>
  <si>
    <t>Location of death (city)</t>
  </si>
  <si>
    <t>Location of death (state)</t>
  </si>
  <si>
    <t>Location of death (zip code)</t>
  </si>
  <si>
    <t>Location of death (county)</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</si>
  <si>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</si>
  <si>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</si>
  <si>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</si>
  <si>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</si>
  <si>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</si>
  <si>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</si>
  <si>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</si>
  <si>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</si>
  <si>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</si>
  <si>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</si>
  <si>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</si>
  <si>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</si>
  <si>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</si>
  <si>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</si>
  <si>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</si>
  <si>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</si>
  <si>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</si>
  <si>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</si>
  <si>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</si>
  <si>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</si>
  <si>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</si>
  <si>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</si>
  <si>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</si>
  <si>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</si>
  <si>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</si>
  <si>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</si>
  <si>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</si>
  <si>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</si>
  <si>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</si>
  <si>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</si>
  <si>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</si>
  <si>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</si>
  <si>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</si>
  <si>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</si>
  <si>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</si>
  <si>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</si>
  <si>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</si>
  <si>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</si>
  <si>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</si>
  <si>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</si>
  <si>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</si>
  <si>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</si>
  <si>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</si>
  <si>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</si>
  <si>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</si>
  <si>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</si>
  <si>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</si>
  <si>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</si>
  <si>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</si>
  <si>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</si>
  <si>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</si>
  <si>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</si>
  <si>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</si>
  <si>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</si>
  <si>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</si>
  <si>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</si>
  <si>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</si>
  <si>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</si>
  <si>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</si>
  <si>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</si>
  <si>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</si>
  <si>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</si>
  <si>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</si>
  <si>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</si>
  <si>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</si>
  <si>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</si>
  <si>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</si>
  <si>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</si>
  <si>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</si>
  <si>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</si>
  <si>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</si>
  <si>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</si>
  <si>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</si>
  <si>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</si>
  <si>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</si>
  <si>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</si>
  <si>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</si>
  <si>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</si>
  <si>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</si>
  <si>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</si>
  <si>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</si>
  <si>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</si>
  <si>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</si>
  <si>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</si>
  <si>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</si>
  <si>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</si>
  <si>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</si>
  <si>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</si>
  <si>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</si>
  <si>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</si>
  <si>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</si>
  <si>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</si>
  <si>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</si>
  <si>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</si>
  <si>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</si>
  <si>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</si>
  <si>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</si>
  <si>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</si>
  <si>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</si>
  <si>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</si>
  <si>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</si>
  <si>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</si>
  <si>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</si>
  <si>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</si>
  <si>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</si>
  <si>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</si>
  <si>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</si>
  <si>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</si>
  <si>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</si>
  <si>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</si>
  <si>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</si>
  <si>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</si>
  <si>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</si>
  <si>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</si>
  <si>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</si>
  <si>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</si>
  <si>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</si>
  <si>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</si>
  <si>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</si>
  <si>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</si>
  <si>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</si>
  <si>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</si>
  <si>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</si>
  <si>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</si>
  <si>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</si>
  <si>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</si>
  <si>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</si>
  <si>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</si>
  <si>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</si>
  <si>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</si>
  <si>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</si>
  <si>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</si>
  <si>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</si>
  <si>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</si>
  <si>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</si>
  <si>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</si>
  <si>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</si>
  <si>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</si>
  <si>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</si>
  <si>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</si>
  <si>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</si>
  <si>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</si>
  <si>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</si>
  <si>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</si>
  <si>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</si>
  <si>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</si>
  <si>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</si>
  <si>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</si>
  <si>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</si>
  <si>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</si>
  <si>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</si>
  <si>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</si>
  <si>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</si>
  <si>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</si>
  <si>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</si>
  <si>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</si>
  <si>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</si>
  <si>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</si>
  <si>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</si>
  <si>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</si>
  <si>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</si>
  <si>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</si>
  <si>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</si>
  <si>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</si>
  <si>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</si>
  <si>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</si>
  <si>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</si>
  <si>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</si>
  <si>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</si>
  <si>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</si>
  <si>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</si>
  <si>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</si>
  <si>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</si>
  <si>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</si>
  <si>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</si>
  <si>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</si>
  <si>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</si>
  <si>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</si>
  <si>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</si>
  <si>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</si>
  <si>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</si>
  <si>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</si>
  <si>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</si>
  <si>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</si>
  <si>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</si>
  <si>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</si>
  <si>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</si>
  <si>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</si>
  <si>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</si>
  <si>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</si>
  <si>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</si>
  <si>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</si>
  <si>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</si>
  <si>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</si>
  <si>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</si>
  <si>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</si>
  <si>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</si>
  <si>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</si>
  <si>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</si>
  <si>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</si>
  <si>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</si>
  <si>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</si>
  <si>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</si>
  <si>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</si>
  <si>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</si>
  <si>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</si>
  <si>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</si>
  <si>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</si>
  <si>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</si>
  <si>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</si>
  <si>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</si>
  <si>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</si>
  <si>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</si>
  <si>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</si>
  <si>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</si>
  <si>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</si>
  <si>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</si>
  <si>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</si>
  <si>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</si>
  <si>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</si>
  <si>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</si>
  <si>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</si>
  <si>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</si>
  <si>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</si>
  <si>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</si>
  <si>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</si>
  <si>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</si>
  <si>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</si>
  <si>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</si>
  <si>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</si>
  <si>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</si>
  <si>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</si>
  <si>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</si>
  <si>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</si>
  <si>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</si>
  <si>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</si>
  <si>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</si>
  <si>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</si>
  <si>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</si>
  <si>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</si>
  <si>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</si>
  <si>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</si>
  <si>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</si>
  <si>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</si>
  <si>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</si>
  <si>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</si>
  <si>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</si>
  <si>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</si>
  <si>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</si>
  <si>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</si>
  <si>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</si>
  <si>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</si>
  <si>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</si>
  <si>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</si>
  <si>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</si>
  <si>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</si>
  <si>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</si>
  <si>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</si>
  <si>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</si>
  <si>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</si>
  <si>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</si>
  <si>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</si>
  <si>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</si>
  <si>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</si>
  <si>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</si>
  <si>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</si>
  <si>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</si>
  <si>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</si>
  <si>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</si>
  <si>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</si>
  <si>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</si>
  <si>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</si>
  <si>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</si>
  <si>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</si>
  <si>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</si>
  <si>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</si>
  <si>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</si>
  <si>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</si>
  <si>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</si>
  <si>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</si>
  <si>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</si>
  <si>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</si>
  <si>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</si>
  <si>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</si>
  <si>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</si>
  <si>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</si>
  <si>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</si>
  <si>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</si>
  <si>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</si>
  <si>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</si>
  <si>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</si>
  <si>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</si>
  <si>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</si>
  <si>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</si>
  <si>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</si>
  <si>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</si>
  <si>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</si>
  <si>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</si>
  <si>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</si>
  <si>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</si>
  <si>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</si>
  <si>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</si>
  <si>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</si>
  <si>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</si>
  <si>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</si>
  <si>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</si>
  <si>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</si>
  <si>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</si>
  <si>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</si>
  <si>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</si>
  <si>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</si>
  <si>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</si>
  <si>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</si>
  <si>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</si>
  <si>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</si>
  <si>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</si>
  <si>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</si>
  <si>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</si>
  <si>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</si>
  <si>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</si>
  <si>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</si>
  <si>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</si>
  <si>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</si>
  <si>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</si>
  <si>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</si>
  <si>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</si>
  <si>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</si>
  <si>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</si>
  <si>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</si>
  <si>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</si>
  <si>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</si>
  <si>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</si>
  <si>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</si>
  <si>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</si>
  <si>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</si>
  <si>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</si>
  <si>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</si>
  <si>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</si>
  <si>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</si>
  <si>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</si>
  <si>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</si>
  <si>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</si>
  <si>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</si>
  <si>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</si>
  <si>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</si>
  <si>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</si>
  <si>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</si>
  <si>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</si>
  <si>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</si>
  <si>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</si>
  <si>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</si>
  <si>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</si>
  <si>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</si>
  <si>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</si>
  <si>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</si>
  <si>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</si>
  <si>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</si>
  <si>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</si>
  <si>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</si>
  <si>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</si>
  <si>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</si>
  <si>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</si>
  <si>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</si>
  <si>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</si>
  <si>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</si>
  <si>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</si>
  <si>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</si>
  <si>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</si>
  <si>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</si>
  <si>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</si>
  <si>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</si>
  <si>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</si>
  <si>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</si>
  <si>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</si>
  <si>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</si>
  <si>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</si>
  <si>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</si>
  <si>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</si>
  <si>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</si>
  <si>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</si>
  <si>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</si>
  <si>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</si>
  <si>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</si>
  <si>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</si>
  <si>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</si>
  <si>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</si>
  <si>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</si>
  <si>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</si>
  <si>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</si>
  <si>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</si>
  <si>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</si>
  <si>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</si>
  <si>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</si>
  <si>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</si>
  <si>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</si>
  <si>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</si>
  <si>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</si>
  <si>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</si>
  <si>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</si>
  <si>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</si>
  <si>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</si>
  <si>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</si>
  <si>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</si>
  <si>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</si>
  <si>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</si>
  <si>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</si>
  <si>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</si>
  <si>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</si>
  <si>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</si>
  <si>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</si>
  <si>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</si>
  <si>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</si>
  <si>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</si>
  <si>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</si>
  <si>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</si>
  <si>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</si>
  <si>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</si>
  <si>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</si>
  <si>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</si>
  <si>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</si>
  <si>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</si>
  <si>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</si>
  <si>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</si>
  <si>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</si>
  <si>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</si>
  <si>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</si>
  <si>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</si>
  <si>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</si>
  <si>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</si>
  <si>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</si>
  <si>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</si>
  <si>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</si>
  <si>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</si>
  <si>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</si>
  <si>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</si>
  <si>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</si>
  <si>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</si>
  <si>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</si>
  <si>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</si>
  <si>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</si>
  <si>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</si>
  <si>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</si>
  <si>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</si>
  <si>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</si>
  <si>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</si>
  <si>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</si>
  <si>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</si>
  <si>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</si>
  <si>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</si>
  <si>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</si>
  <si>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</si>
  <si>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</si>
  <si>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</si>
  <si>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Ben A. C de Baca</t>
  </si>
  <si>
    <t>http://www.killedbypolice.net/victims/150816.jpg</t>
  </si>
  <si>
    <t>460 Nm Highway 528</t>
  </si>
  <si>
    <t>Bernalillo</t>
  </si>
  <si>
    <t>Richard Cosentino</t>
  </si>
  <si>
    <t>http://www.killedbypolice.net/victims/150814.jpg</t>
  </si>
  <si>
    <t>243 Smith St</t>
  </si>
  <si>
    <t>Providence</t>
  </si>
  <si>
    <t>RI</t>
  </si>
  <si>
    <t>Providence Police Department</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</si>
  <si>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</si>
  <si>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</si>
  <si>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</si>
  <si>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</si>
  <si>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</si>
  <si>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</si>
  <si>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</si>
  <si>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</si>
  <si>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</si>
  <si>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</si>
  <si>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</si>
  <si>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</si>
  <si>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</si>
  <si>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</si>
  <si>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</si>
  <si>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</si>
  <si>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</si>
  <si>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</si>
  <si>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</si>
  <si>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</si>
  <si>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</si>
  <si>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</si>
  <si>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</si>
  <si>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</si>
  <si>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</si>
  <si>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</si>
  <si>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</si>
  <si>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</si>
  <si>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</si>
  <si>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</si>
  <si>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</si>
  <si>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</si>
  <si>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</si>
  <si>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</si>
  <si>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</si>
  <si>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</si>
  <si>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</si>
  <si>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</si>
  <si>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</si>
  <si>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</si>
  <si>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</si>
  <si>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</si>
  <si>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</si>
  <si>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</si>
  <si>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</si>
  <si>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</si>
  <si>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</si>
  <si>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</si>
  <si>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</si>
  <si>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</si>
  <si>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</si>
  <si>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</si>
  <si>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</si>
  <si>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</si>
  <si>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</si>
  <si>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</si>
  <si>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</si>
  <si>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</si>
  <si>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</si>
  <si>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</si>
  <si>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</si>
  <si>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</si>
  <si>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</si>
  <si>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</si>
  <si>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</si>
  <si>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</si>
  <si>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</si>
  <si>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</si>
  <si>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</si>
  <si>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</si>
  <si>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</si>
  <si>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</si>
  <si>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</si>
  <si>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</si>
  <si>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</si>
  <si>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</si>
  <si>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</si>
  <si>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</si>
  <si>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</si>
  <si>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</si>
  <si>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</si>
  <si>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</si>
  <si>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</si>
  <si>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</si>
  <si>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</si>
  <si>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</si>
  <si>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</si>
  <si>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</si>
  <si>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</si>
  <si>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</si>
  <si>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</si>
  <si>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</si>
  <si>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</si>
  <si>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</si>
  <si>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</si>
  <si>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</si>
  <si>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</si>
  <si>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</si>
  <si>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</si>
  <si>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</si>
  <si>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</si>
  <si>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</si>
  <si>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</si>
  <si>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</si>
  <si>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</si>
  <si>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</si>
  <si>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</si>
  <si>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</si>
  <si>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</si>
  <si>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</si>
  <si>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</si>
  <si>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</si>
  <si>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</si>
  <si>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</si>
  <si>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</si>
  <si>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</si>
  <si>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</si>
  <si>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</si>
  <si>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</si>
  <si>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</si>
  <si>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</si>
  <si>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</si>
  <si>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</si>
  <si>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</si>
  <si>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</si>
  <si>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</si>
  <si>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</si>
  <si>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</si>
  <si>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</si>
  <si>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</si>
  <si>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Michael Tyree</t>
  </si>
  <si>
    <t>150 W Hedding St</t>
  </si>
  <si>
    <t>San Jose</t>
  </si>
  <si>
    <t>Santa Clara</t>
  </si>
  <si>
    <t>yes</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</si>
  <si>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</si>
  <si>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</si>
  <si>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</si>
  <si>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</si>
  <si>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</si>
  <si>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</si>
  <si>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</si>
  <si>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</si>
  <si>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</si>
  <si>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</si>
  <si>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</si>
  <si>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</si>
  <si>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</si>
  <si>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</si>
  <si>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</si>
  <si>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</si>
  <si>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</si>
  <si>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</si>
  <si>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</si>
  <si>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</si>
  <si>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</si>
  <si>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</si>
  <si>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</si>
  <si>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</si>
  <si>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</si>
  <si>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</si>
  <si>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</si>
  <si>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</si>
  <si>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</si>
  <si>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</si>
  <si>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</si>
  <si>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</si>
  <si>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</si>
  <si>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</si>
  <si>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</si>
  <si>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</si>
  <si>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</si>
  <si>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</si>
  <si>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</si>
  <si>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</si>
  <si>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</si>
  <si>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</si>
  <si>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</si>
  <si>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</si>
  <si>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</si>
  <si>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</si>
  <si>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</si>
  <si>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</si>
  <si>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</si>
  <si>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</si>
  <si>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</si>
  <si>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</si>
  <si>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</si>
  <si>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</si>
  <si>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</si>
  <si>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</si>
  <si>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</si>
  <si>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</si>
  <si>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</si>
  <si>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</si>
  <si>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</si>
  <si>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</si>
  <si>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</si>
  <si>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</si>
  <si>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</si>
  <si>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</si>
  <si>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</si>
  <si>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</si>
  <si>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</si>
  <si>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</si>
  <si>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</si>
  <si>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</si>
  <si>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</si>
  <si>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</si>
  <si>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</si>
  <si>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</si>
  <si>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</si>
  <si>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</si>
  <si>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</si>
  <si>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</si>
  <si>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</si>
  <si>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</si>
  <si>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</si>
  <si>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</si>
  <si>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</si>
  <si>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</si>
  <si>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</si>
  <si>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</si>
  <si>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</si>
  <si>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</si>
  <si>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</si>
  <si>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</si>
  <si>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</si>
  <si>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</si>
  <si>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</si>
  <si>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</si>
  <si>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</si>
  <si>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</si>
  <si>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</si>
  <si>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</si>
  <si>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</si>
  <si>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</si>
  <si>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</si>
  <si>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</si>
  <si>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</si>
  <si>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</si>
  <si>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</si>
  <si>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</si>
  <si>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</si>
  <si>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</si>
  <si>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</si>
  <si>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</si>
  <si>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</si>
  <si>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</si>
  <si>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</si>
  <si>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</si>
  <si>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</si>
  <si>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</si>
  <si>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</si>
  <si>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</si>
  <si>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</si>
  <si>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</si>
  <si>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</si>
  <si>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</si>
  <si>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</si>
  <si>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</si>
  <si>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</si>
  <si>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</si>
  <si>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</si>
  <si>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</si>
  <si>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</si>
  <si>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</si>
  <si>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</si>
  <si>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</si>
  <si>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</si>
  <si>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</si>
  <si>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</si>
  <si>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</si>
  <si>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</si>
  <si>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</si>
  <si>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</si>
  <si>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</si>
  <si>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</si>
  <si>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</si>
  <si>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</si>
  <si>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</si>
  <si>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</si>
  <si>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</si>
  <si>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</si>
  <si>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</si>
  <si>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</si>
  <si>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</si>
  <si>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</si>
  <si>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</si>
  <si>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</si>
  <si>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</si>
  <si>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</si>
  <si>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</si>
  <si>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</si>
  <si>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</si>
  <si>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</si>
  <si>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</si>
  <si>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</si>
  <si>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</si>
  <si>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</si>
  <si>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</si>
  <si>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</si>
  <si>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</si>
  <si>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</si>
  <si>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</si>
  <si>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</si>
  <si>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</si>
  <si>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</si>
  <si>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</si>
  <si>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</si>
  <si>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</si>
  <si>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</si>
  <si>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</si>
  <si>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</si>
  <si>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</si>
  <si>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</si>
  <si>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</si>
  <si>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</si>
  <si>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</si>
  <si>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</si>
  <si>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</si>
  <si>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</si>
  <si>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</si>
  <si>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</si>
  <si>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</si>
  <si>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</si>
  <si>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</si>
  <si>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</si>
  <si>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</si>
  <si>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</si>
  <si>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</si>
  <si>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</si>
  <si>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</si>
  <si>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</si>
  <si>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</si>
  <si>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</si>
  <si>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</si>
  <si>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</si>
  <si>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</si>
  <si>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</si>
  <si>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</si>
  <si>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</si>
  <si>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</si>
  <si>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</si>
  <si>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</si>
  <si>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</si>
  <si>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</si>
  <si>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</si>
  <si>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</si>
  <si>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</si>
  <si>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</si>
  <si>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</si>
  <si>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</si>
  <si>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</si>
  <si>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</si>
  <si>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</si>
  <si>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</si>
  <si>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</si>
  <si>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</si>
  <si>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</si>
  <si>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</si>
  <si>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</si>
  <si>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</si>
  <si>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</si>
  <si>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</si>
  <si>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</si>
  <si>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</si>
  <si>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</si>
  <si>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</si>
  <si>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</si>
  <si>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</si>
  <si>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</si>
  <si>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</si>
  <si>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</si>
  <si>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</si>
  <si>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</si>
  <si>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</si>
  <si>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</si>
  <si>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</si>
  <si>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</si>
  <si>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</si>
  <si>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</si>
  <si>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</si>
  <si>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</si>
  <si>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</si>
  <si>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</si>
  <si>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</si>
  <si>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</si>
  <si>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</si>
  <si>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</si>
  <si>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</si>
  <si>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</si>
  <si>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</si>
  <si>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</si>
  <si>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</si>
  <si>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</si>
  <si>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</si>
  <si>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</si>
  <si>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</si>
  <si>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</si>
  <si>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</si>
  <si>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</si>
  <si>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</si>
  <si>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</si>
  <si>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</si>
  <si>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</si>
  <si>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</si>
  <si>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</si>
  <si>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</si>
  <si>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</si>
  <si>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</si>
  <si>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</si>
  <si>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</si>
  <si>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</si>
  <si>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</si>
  <si>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</si>
  <si>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</si>
  <si>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</si>
  <si>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</si>
  <si>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</si>
  <si>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</si>
  <si>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</si>
  <si>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</si>
  <si>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</si>
  <si>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</si>
  <si>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</si>
  <si>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</si>
  <si>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</si>
  <si>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</si>
  <si>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</si>
  <si>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</si>
  <si>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</si>
  <si>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</si>
  <si>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</si>
  <si>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</si>
  <si>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</si>
  <si>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</si>
  <si>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</si>
  <si>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</si>
  <si>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</si>
  <si>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</si>
  <si>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</si>
  <si>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</si>
  <si>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</si>
  <si>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</si>
  <si>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</si>
  <si>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</si>
  <si>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</si>
  <si>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</si>
  <si>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</si>
  <si>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</si>
  <si>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</si>
  <si>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</si>
  <si>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</si>
  <si>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</si>
  <si>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</si>
  <si>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</si>
  <si>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</si>
  <si>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</si>
  <si>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</si>
  <si>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</si>
  <si>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</si>
  <si>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</si>
  <si>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</si>
  <si>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</si>
  <si>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</si>
  <si>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</si>
  <si>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</si>
  <si>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</si>
  <si>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</si>
  <si>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</si>
  <si>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</si>
  <si>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</si>
  <si>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</si>
  <si>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</si>
  <si>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</si>
  <si>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</si>
  <si>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</si>
  <si>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</si>
  <si>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</si>
  <si>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</si>
  <si>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</si>
  <si>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</si>
  <si>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</si>
  <si>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</si>
  <si>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</si>
  <si>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</si>
  <si>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</si>
  <si>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</si>
  <si>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</si>
  <si>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</si>
  <si>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</si>
  <si>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</si>
  <si>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</si>
  <si>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</si>
  <si>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</si>
  <si>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</si>
  <si>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</si>
  <si>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</si>
  <si>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</si>
  <si>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</si>
  <si>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</si>
  <si>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</si>
  <si>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</si>
  <si>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</si>
  <si>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</si>
  <si>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</si>
  <si>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</si>
  <si>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</si>
  <si>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</si>
  <si>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</si>
  <si>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</si>
  <si>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</si>
  <si>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</si>
  <si>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</si>
  <si>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</si>
  <si>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</si>
  <si>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</si>
  <si>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</si>
  <si>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</si>
  <si>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</si>
  <si>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</si>
  <si>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</si>
  <si>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</si>
  <si>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</si>
  <si>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</si>
  <si>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</si>
  <si>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</si>
  <si>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</si>
  <si>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</si>
  <si>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</si>
  <si>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</si>
  <si>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</si>
  <si>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</si>
  <si>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</si>
  <si>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</si>
  <si>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</si>
  <si>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</si>
  <si>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</si>
  <si>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</si>
  <si>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</si>
  <si>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</si>
  <si>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</si>
  <si>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</si>
  <si>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</si>
  <si>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</si>
  <si>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</si>
  <si>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</si>
  <si>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</si>
  <si>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</si>
  <si>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</si>
  <si>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</si>
  <si>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</si>
  <si>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</si>
  <si>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</si>
  <si>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</si>
  <si>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</si>
  <si>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</si>
  <si>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</si>
  <si>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</si>
  <si>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</si>
  <si>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</si>
  <si>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</si>
  <si>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</si>
  <si>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</si>
  <si>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</si>
  <si>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Parish</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</si>
  <si>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</si>
  <si>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</si>
  <si>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</si>
  <si>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</si>
  <si>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</si>
  <si>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</si>
  <si>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</si>
  <si>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</si>
  <si>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</si>
  <si>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</si>
  <si>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</si>
  <si>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</si>
  <si>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</si>
  <si>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</si>
  <si>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</si>
  <si>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</si>
  <si>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</si>
  <si>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</si>
  <si>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</si>
  <si>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</si>
  <si>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</si>
  <si>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</si>
  <si>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</si>
  <si>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</si>
  <si>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</si>
  <si>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</si>
  <si>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</si>
  <si>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</si>
  <si>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</si>
  <si>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</si>
  <si>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</si>
  <si>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</si>
  <si>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</si>
  <si>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</si>
  <si>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</si>
  <si>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</si>
  <si>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</si>
  <si>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</si>
  <si>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</si>
  <si>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</si>
  <si>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</si>
  <si>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</si>
  <si>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</si>
  <si>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</si>
  <si>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</si>
  <si>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</si>
  <si>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</si>
  <si>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</si>
  <si>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</si>
  <si>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</si>
  <si>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</si>
  <si>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</si>
  <si>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</si>
  <si>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</si>
  <si>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</si>
  <si>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</si>
  <si>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</si>
  <si>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</si>
  <si>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</si>
  <si>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</si>
  <si>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</si>
  <si>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</si>
  <si>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</si>
  <si>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</si>
  <si>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</si>
  <si>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</si>
  <si>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</si>
  <si>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James T. Bush</t>
  </si>
  <si>
    <t>Interstate 94 and Beaconsfield Road</t>
  </si>
  <si>
    <t>St. Clair Shores</t>
  </si>
  <si>
    <t>Macomb</t>
  </si>
  <si>
    <t>St. Clair Shores Police Department</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</si>
  <si>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</si>
  <si>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</si>
  <si>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</si>
  <si>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</si>
  <si>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</si>
  <si>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</si>
  <si>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</si>
  <si>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</si>
  <si>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</si>
  <si>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</si>
  <si>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</si>
  <si>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</si>
  <si>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</si>
  <si>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</si>
  <si>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</si>
  <si>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</si>
  <si>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</si>
  <si>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</si>
  <si>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Billy Ray Davis</t>
  </si>
  <si>
    <t>2700 Broadway Street</t>
  </si>
  <si>
    <t>Davis allegedly threatened an officer at a convenience store. He was bleeding from the head. The officer reportedly called for backup and police eventually detained the man. Paramedics soon came out to the store to take the man to the hospital. "During the point of being transported to the hospital, he becomes unconscious," Silva said. "At St. Joseph's Hospital, he was pronounced deceased."</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</si>
  <si>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</si>
  <si>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</si>
  <si>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</si>
  <si>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</si>
  <si>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</si>
  <si>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</si>
  <si>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</si>
  <si>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</si>
  <si>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</si>
  <si>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</si>
  <si>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</si>
  <si>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</si>
  <si>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</si>
  <si>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</si>
  <si>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</si>
  <si>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</si>
  <si>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</si>
  <si>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</si>
  <si>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</si>
  <si>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</si>
  <si>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</si>
  <si>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</si>
  <si>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</si>
  <si>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</si>
  <si>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</si>
  <si>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</si>
  <si>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</si>
  <si>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</si>
  <si>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</si>
  <si>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</si>
  <si>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</si>
  <si>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</si>
  <si>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</si>
  <si>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</si>
  <si>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</si>
  <si>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</si>
  <si>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</si>
  <si>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</si>
  <si>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</si>
  <si>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</si>
  <si>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</si>
  <si>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</si>
  <si>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</si>
  <si>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</si>
  <si>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</si>
  <si>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</si>
  <si>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</si>
  <si>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</si>
  <si>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</si>
  <si>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</si>
  <si>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</si>
  <si>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</si>
  <si>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</si>
  <si>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</si>
  <si>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</si>
  <si>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</si>
  <si>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</si>
  <si>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</si>
  <si>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</si>
  <si>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</si>
  <si>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</si>
  <si>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</si>
  <si>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</si>
  <si>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</si>
  <si>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</si>
  <si>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</si>
  <si>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</si>
  <si>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</si>
  <si>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</si>
  <si>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</si>
  <si>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</si>
  <si>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</si>
  <si>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</si>
  <si>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</si>
  <si>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</si>
  <si>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</si>
  <si>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</si>
  <si>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</si>
  <si>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</si>
  <si>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</si>
  <si>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</si>
  <si>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</si>
  <si>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</si>
  <si>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</si>
  <si>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</si>
  <si>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</si>
  <si>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</si>
  <si>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</si>
  <si>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</si>
  <si>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</si>
  <si>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</si>
  <si>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</si>
  <si>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</si>
  <si>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</si>
  <si>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</si>
  <si>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</si>
  <si>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</si>
  <si>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</si>
  <si>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</si>
  <si>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</si>
  <si>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</si>
  <si>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</si>
  <si>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</si>
  <si>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</si>
  <si>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</si>
  <si>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</si>
  <si>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</si>
  <si>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</si>
  <si>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</si>
  <si>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</si>
  <si>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</si>
  <si>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</si>
  <si>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</si>
  <si>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</si>
  <si>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</si>
  <si>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</si>
  <si>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</si>
  <si>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</si>
  <si>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Bush, who riding a motorcycle, collided with a police car that was making a U-turn. Bush was taken to hospital but later died. St Clair Shores police chief Todd Woodcox called the incident a "tragic accident."</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</si>
  <si>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</si>
  <si>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</si>
  <si>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</si>
  <si>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</si>
  <si>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</si>
  <si>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</si>
  <si>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</si>
  <si>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</si>
  <si>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</si>
  <si>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</si>
  <si>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</si>
  <si>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</si>
  <si>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</si>
  <si>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</si>
  <si>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</si>
  <si>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</si>
  <si>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</si>
  <si>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</si>
  <si>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</si>
  <si>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</si>
  <si>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</si>
  <si>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</si>
  <si>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</si>
  <si>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</si>
  <si>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</si>
  <si>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</si>
  <si>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</si>
  <si>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</si>
  <si>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</si>
  <si>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</si>
  <si>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</si>
  <si>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</si>
  <si>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</si>
  <si>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</si>
  <si>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</si>
  <si>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</si>
  <si>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</si>
  <si>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</si>
  <si>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</si>
  <si>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</si>
  <si>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</si>
  <si>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</si>
  <si>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</si>
  <si>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</si>
  <si>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</si>
  <si>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</si>
  <si>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</si>
  <si>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</si>
  <si>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</si>
  <si>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</si>
  <si>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</si>
  <si>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</si>
  <si>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</si>
  <si>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</si>
  <si>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</si>
  <si>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</si>
  <si>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</si>
  <si>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</si>
  <si>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</si>
  <si>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</si>
  <si>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</si>
  <si>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</si>
  <si>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</si>
  <si>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</si>
  <si>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</si>
  <si>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</si>
  <si>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</si>
  <si>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</si>
  <si>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</si>
  <si>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</si>
  <si>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</si>
  <si>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</si>
  <si>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</si>
  <si>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</si>
  <si>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</si>
  <si>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</si>
  <si>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</si>
  <si>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</si>
  <si>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</si>
  <si>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</si>
  <si>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</si>
  <si>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</si>
  <si>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</si>
  <si>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</si>
  <si>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</si>
  <si>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</si>
  <si>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</si>
  <si>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</si>
  <si>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</si>
  <si>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</si>
  <si>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</si>
  <si>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</si>
  <si>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</si>
  <si>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</si>
  <si>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</si>
  <si>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</si>
  <si>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</si>
  <si>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</si>
  <si>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</si>
  <si>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</si>
  <si>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</si>
  <si>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</si>
  <si>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</si>
  <si>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</si>
  <si>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</si>
  <si>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</si>
  <si>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</si>
  <si>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</si>
  <si>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</si>
  <si>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</si>
  <si>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</si>
  <si>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</si>
  <si>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</si>
  <si>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</si>
  <si>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</si>
  <si>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</si>
  <si>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</si>
  <si>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</si>
  <si>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</si>
  <si>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</si>
  <si>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</si>
  <si>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</si>
  <si>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</si>
  <si>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</si>
  <si>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</si>
  <si>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</si>
  <si>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</si>
  <si>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</si>
  <si>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</si>
  <si>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</si>
  <si>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</si>
  <si>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</si>
  <si>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</si>
  <si>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</si>
  <si>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</si>
  <si>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</si>
  <si>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</si>
  <si>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</si>
  <si>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</si>
  <si>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</si>
  <si>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</si>
  <si>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</si>
  <si>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</si>
  <si>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</si>
  <si>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</si>
  <si>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</si>
  <si>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</si>
  <si>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</si>
  <si>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</si>
  <si>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</si>
  <si>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</si>
  <si>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</si>
  <si>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</si>
  <si>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</si>
  <si>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</si>
  <si>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</si>
  <si>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</si>
  <si>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</si>
  <si>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</si>
  <si>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</si>
  <si>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</si>
  <si>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</si>
  <si>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</si>
  <si>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</si>
  <si>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</si>
  <si>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</si>
  <si>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</si>
  <si>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</si>
  <si>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</si>
  <si>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</si>
  <si>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</si>
  <si>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</si>
  <si>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</si>
  <si>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</si>
  <si>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</si>
  <si>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</si>
  <si>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</si>
  <si>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</si>
  <si>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</si>
  <si>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</si>
  <si>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</si>
  <si>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</si>
  <si>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</si>
  <si>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</si>
  <si>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</si>
  <si>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</si>
  <si>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</si>
  <si>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</si>
  <si>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</si>
  <si>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</si>
  <si>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</si>
  <si>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</si>
  <si>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</si>
  <si>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</si>
  <si>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</si>
  <si>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</si>
  <si>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</si>
  <si>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</si>
  <si>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</si>
  <si>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</si>
  <si>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</si>
  <si>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</si>
  <si>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</si>
  <si>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</si>
  <si>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</si>
  <si>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</si>
  <si>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</si>
  <si>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</si>
  <si>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</si>
  <si>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</si>
  <si>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</si>
  <si>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</si>
  <si>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</si>
  <si>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</si>
  <si>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</si>
  <si>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</si>
  <si>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</si>
  <si>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</si>
  <si>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</si>
  <si>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</si>
  <si>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</si>
  <si>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</si>
  <si>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</si>
  <si>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</si>
  <si>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</si>
  <si>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</si>
  <si>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</si>
  <si>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</si>
  <si>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</si>
  <si>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</si>
  <si>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</si>
  <si>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</si>
  <si>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</si>
  <si>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</si>
  <si>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</si>
  <si>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</si>
  <si>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</si>
  <si>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</si>
  <si>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</si>
  <si>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</si>
  <si>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</si>
  <si>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</si>
  <si>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</si>
  <si>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</si>
  <si>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</si>
  <si>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Christian Siqueiros</t>
  </si>
  <si>
    <t>10300 Ramona Ave</t>
  </si>
  <si>
    <t>Montclair</t>
  </si>
  <si>
    <t>Montclair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</si>
  <si>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</si>
  <si>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</si>
  <si>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</si>
  <si>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</si>
  <si>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</si>
  <si>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</si>
  <si>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</si>
  <si>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</si>
  <si>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Siqueiros' neighbor called the police because Siqueiros was acting weird. He had a heart attack while he was getting arrested.</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</si>
  <si>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</si>
  <si>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</si>
  <si>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</si>
  <si>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</si>
  <si>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</si>
  <si>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</si>
  <si>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</si>
  <si>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</si>
  <si>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</si>
  <si>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</si>
  <si>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</si>
  <si>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</si>
  <si>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</si>
  <si>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</si>
  <si>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</si>
  <si>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</si>
  <si>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</si>
  <si>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</si>
  <si>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</si>
  <si>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</si>
  <si>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</si>
  <si>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</si>
  <si>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</si>
  <si>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</si>
  <si>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</si>
  <si>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</si>
  <si>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</si>
  <si>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</si>
  <si>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</si>
  <si>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</si>
  <si>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</si>
  <si>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</si>
  <si>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</si>
  <si>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</si>
  <si>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</si>
  <si>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</si>
  <si>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</si>
  <si>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</si>
  <si>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</si>
  <si>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</si>
  <si>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</si>
  <si>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</si>
  <si>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</si>
  <si>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</si>
  <si>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</si>
  <si>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</si>
  <si>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</si>
  <si>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</si>
  <si>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</si>
  <si>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</si>
  <si>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</si>
  <si>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</si>
  <si>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</si>
  <si>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</si>
  <si>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</si>
  <si>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</si>
  <si>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</si>
  <si>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</si>
  <si>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</si>
  <si>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</si>
  <si>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</si>
  <si>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</si>
  <si>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</si>
  <si>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</si>
  <si>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</si>
  <si>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</si>
  <si>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</si>
  <si>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</si>
  <si>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</si>
  <si>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</si>
  <si>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</si>
  <si>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</si>
  <si>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</si>
  <si>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</si>
  <si>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</si>
  <si>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</si>
  <si>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</si>
  <si>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</si>
  <si>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</si>
  <si>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</si>
  <si>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</si>
  <si>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</si>
  <si>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</si>
  <si>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</si>
  <si>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</si>
  <si>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</si>
  <si>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</si>
  <si>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</si>
  <si>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</si>
  <si>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</si>
  <si>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</si>
  <si>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</si>
  <si>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</si>
  <si>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</si>
  <si>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</si>
  <si>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</si>
  <si>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</si>
  <si>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</si>
  <si>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</si>
  <si>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</si>
  <si>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</si>
  <si>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</si>
  <si>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</si>
  <si>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</si>
  <si>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</si>
  <si>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</si>
  <si>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</si>
  <si>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</si>
  <si>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</si>
  <si>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</si>
  <si>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</si>
  <si>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</si>
  <si>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</si>
  <si>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</si>
  <si>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</si>
  <si>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</si>
  <si>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</si>
  <si>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</si>
  <si>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</si>
  <si>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</si>
  <si>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</si>
  <si>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</si>
  <si>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</si>
  <si>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</si>
  <si>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</si>
  <si>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</si>
  <si>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</si>
  <si>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</si>
  <si>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</si>
  <si>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</si>
  <si>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</si>
  <si>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</si>
  <si>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</si>
  <si>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</si>
  <si>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</si>
  <si>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</si>
  <si>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</si>
  <si>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</si>
  <si>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</si>
  <si>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</si>
  <si>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</si>
  <si>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</si>
  <si>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</si>
  <si>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</si>
  <si>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</si>
  <si>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</si>
  <si>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</si>
  <si>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</si>
  <si>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</si>
  <si>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</si>
  <si>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</si>
  <si>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</si>
  <si>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</si>
  <si>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</si>
  <si>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</si>
  <si>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</si>
  <si>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</si>
  <si>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</si>
  <si>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</si>
  <si>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</si>
  <si>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</si>
  <si>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</si>
  <si>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</si>
  <si>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</si>
  <si>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</si>
  <si>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</si>
  <si>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</si>
  <si>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</si>
  <si>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</si>
  <si>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</si>
  <si>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</si>
  <si>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East Baton Rogue</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</si>
  <si>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</si>
  <si>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</si>
  <si>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</si>
  <si>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</si>
  <si>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</si>
  <si>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</si>
  <si>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</si>
  <si>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</si>
  <si>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</si>
  <si>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</si>
  <si>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</si>
  <si>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</si>
  <si>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</si>
  <si>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</si>
  <si>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</si>
  <si>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</si>
  <si>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</si>
  <si>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</si>
  <si>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</si>
  <si>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</si>
  <si>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</si>
  <si>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</si>
  <si>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</si>
  <si>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</si>
  <si>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</si>
  <si>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</si>
  <si>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</si>
  <si>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</si>
  <si>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</si>
  <si>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</si>
  <si>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</si>
  <si>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</si>
  <si>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</si>
  <si>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</si>
  <si>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</si>
  <si>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</si>
  <si>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</si>
  <si>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</si>
  <si>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</si>
  <si>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</si>
  <si>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</si>
  <si>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</si>
  <si>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</si>
  <si>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</si>
  <si>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</si>
  <si>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</si>
  <si>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</si>
  <si>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</si>
  <si>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</si>
  <si>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</si>
  <si>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</si>
  <si>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</si>
  <si>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</si>
  <si>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</si>
  <si>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</si>
  <si>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</si>
  <si>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</si>
  <si>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</si>
  <si>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</si>
  <si>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</si>
  <si>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</si>
  <si>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</si>
  <si>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</si>
  <si>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</si>
  <si>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</si>
  <si>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</si>
  <si>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</si>
  <si>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</si>
  <si>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</si>
  <si>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</si>
  <si>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</si>
  <si>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</si>
  <si>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</si>
  <si>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</si>
  <si>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</si>
  <si>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</si>
  <si>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</si>
  <si>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</si>
  <si>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</si>
  <si>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</si>
  <si>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</si>
  <si>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</si>
  <si>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</si>
  <si>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</si>
  <si>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</si>
  <si>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</si>
  <si>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</si>
  <si>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</si>
  <si>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</si>
  <si>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</si>
  <si>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</si>
  <si>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</si>
  <si>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</si>
  <si>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</si>
  <si>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</si>
  <si>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</si>
  <si>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</si>
  <si>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</si>
  <si>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</si>
  <si>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</si>
  <si>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</si>
  <si>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</si>
  <si>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</si>
  <si>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</si>
  <si>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</si>
  <si>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</si>
  <si>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</si>
  <si>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</si>
  <si>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</si>
  <si>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</si>
  <si>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</si>
  <si>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</si>
  <si>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</si>
  <si>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</si>
  <si>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</si>
  <si>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</si>
  <si>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</si>
  <si>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</si>
  <si>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</si>
  <si>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</si>
  <si>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</si>
  <si>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</si>
  <si>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</si>
  <si>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</si>
  <si>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</si>
  <si>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</si>
  <si>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</si>
  <si>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</si>
  <si>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</si>
  <si>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David Munday</t>
  </si>
  <si>
    <t>1 Mountainside Way</t>
  </si>
  <si>
    <t>Mt Olive</t>
  </si>
  <si>
    <t>West Virginia Division of Corrections</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</si>
  <si>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</si>
  <si>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</si>
  <si>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</si>
  <si>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</si>
  <si>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</si>
  <si>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</si>
  <si>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</si>
  <si>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</si>
  <si>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</si>
  <si>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</si>
  <si>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</si>
  <si>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</si>
  <si>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</si>
  <si>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</si>
  <si>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</si>
  <si>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</si>
  <si>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</si>
  <si>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</si>
  <si>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</si>
  <si>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</si>
  <si>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</si>
  <si>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</si>
  <si>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</si>
  <si>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</si>
  <si>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</si>
  <si>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</si>
  <si>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</si>
  <si>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</si>
  <si>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</si>
  <si>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</si>
  <si>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</si>
  <si>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</si>
  <si>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</si>
  <si>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</si>
  <si>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</si>
  <si>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</si>
  <si>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</si>
  <si>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</si>
  <si>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</si>
  <si>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</si>
  <si>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</si>
  <si>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</si>
  <si>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</si>
  <si>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</si>
  <si>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</si>
  <si>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</si>
  <si>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</si>
  <si>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</si>
  <si>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</si>
  <si>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</si>
  <si>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</si>
  <si>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</si>
  <si>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</si>
  <si>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</si>
  <si>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</si>
  <si>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</si>
  <si>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</si>
  <si>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</si>
  <si>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</si>
  <si>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</si>
  <si>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</si>
  <si>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</si>
  <si>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</si>
  <si>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</si>
  <si>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</si>
  <si>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</si>
  <si>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</si>
  <si>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</si>
  <si>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</si>
  <si>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</si>
  <si>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</si>
  <si>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</si>
  <si>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</si>
  <si>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</si>
  <si>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</si>
  <si>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</si>
  <si>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</si>
  <si>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</si>
  <si>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</si>
  <si>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</si>
  <si>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</si>
  <si>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</si>
  <si>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</si>
  <si>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</si>
  <si>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</si>
  <si>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</si>
  <si>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</si>
  <si>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</si>
  <si>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</si>
  <si>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</si>
  <si>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</si>
  <si>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</si>
  <si>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</si>
  <si>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</si>
  <si>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</si>
  <si>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</si>
  <si>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</si>
  <si>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</si>
  <si>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Tevin Harris</t>
  </si>
  <si>
    <t>Moreland Avenue and Pickens Street SE</t>
  </si>
  <si>
    <t>Atlanta</t>
  </si>
  <si>
    <t>30316</t>
  </si>
  <si>
    <t>Georgia Capitol Police</t>
  </si>
  <si>
    <t>Harris, from North Carolina, was kicked off an Amtrak train without incident for some kind of disturbance. He then threw several rocks through a depot window to steal a railroad employee's Ford F-150, and led police on an early-morning chase. The pursuit ended when Harris struck a tree, the pickup caught fire, and he was trapped inside.</t>
  </si>
  <si>
    <t>http://www.gainesvilletimes.com/m/section/6/article/109811/</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</si>
  <si>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</si>
  <si>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</si>
  <si>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</si>
  <si>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</si>
  <si>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</si>
  <si>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</si>
  <si>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</si>
  <si>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</si>
  <si>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</si>
  <si>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</si>
  <si>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</si>
  <si>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</si>
  <si>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</si>
  <si>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</si>
  <si>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</si>
  <si>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</si>
  <si>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</si>
  <si>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</si>
  <si>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</si>
  <si>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</si>
  <si>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</si>
  <si>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</si>
  <si>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</si>
  <si>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</si>
  <si>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</si>
  <si>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</si>
  <si>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</si>
  <si>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</si>
  <si>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</si>
  <si>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</si>
  <si>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</si>
  <si>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</si>
  <si>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</si>
  <si>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</si>
  <si>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</si>
  <si>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</si>
  <si>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</si>
  <si>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</si>
  <si>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</si>
  <si>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</si>
  <si>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</si>
  <si>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</si>
  <si>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</si>
  <si>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</si>
  <si>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</si>
  <si>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</si>
  <si>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</si>
  <si>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</si>
  <si>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</si>
  <si>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</si>
  <si>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</si>
  <si>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</si>
  <si>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</si>
  <si>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</si>
  <si>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</si>
  <si>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</si>
  <si>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</si>
  <si>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</si>
  <si>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</si>
  <si>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</si>
  <si>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</si>
  <si>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</si>
  <si>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</si>
  <si>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</si>
  <si>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</si>
  <si>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</si>
  <si>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</si>
  <si>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</si>
  <si>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</si>
  <si>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</si>
  <si>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</si>
  <si>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</si>
  <si>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</si>
  <si>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</si>
  <si>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</si>
  <si>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</si>
  <si>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</si>
  <si>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</si>
  <si>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</si>
  <si>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</si>
  <si>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</si>
  <si>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</si>
  <si>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</si>
  <si>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</si>
  <si>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</si>
  <si>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</si>
  <si>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</si>
  <si>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</si>
  <si>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</si>
  <si>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</si>
  <si>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</si>
  <si>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</si>
  <si>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</si>
  <si>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</si>
  <si>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</si>
  <si>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</si>
  <si>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</si>
  <si>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</si>
  <si>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</si>
  <si>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</si>
  <si>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</si>
  <si>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</si>
  <si>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</si>
  <si>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</si>
  <si>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</si>
  <si>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</si>
  <si>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</si>
  <si>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</si>
  <si>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</si>
  <si>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</si>
  <si>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</si>
  <si>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</si>
  <si>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</si>
  <si>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</si>
  <si>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</si>
  <si>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</si>
  <si>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</si>
  <si>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</si>
  <si>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</si>
  <si>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</si>
  <si>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</si>
  <si>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</si>
  <si>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</si>
  <si>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</si>
  <si>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</si>
  <si>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</si>
  <si>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</si>
  <si>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</si>
  <si>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</si>
  <si>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</si>
  <si>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</si>
  <si>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</si>
  <si>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</si>
  <si>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</si>
  <si>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</si>
  <si>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</si>
  <si>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</si>
  <si>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</si>
  <si>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</si>
  <si>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</si>
  <si>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</si>
  <si>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</si>
  <si>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</si>
  <si>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</si>
  <si>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</si>
  <si>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</si>
  <si>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</si>
  <si>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</si>
  <si>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</si>
  <si>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</si>
  <si>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</si>
  <si>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</si>
  <si>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</si>
  <si>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</si>
  <si>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</si>
  <si>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</si>
  <si>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</si>
  <si>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</si>
  <si>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</si>
  <si>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</si>
  <si>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</si>
  <si>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</si>
  <si>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</si>
  <si>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</si>
  <si>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</si>
  <si>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</si>
  <si>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</si>
  <si>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</si>
  <si>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</si>
  <si>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</si>
  <si>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</si>
  <si>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</si>
  <si>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</si>
  <si>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</si>
  <si>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</si>
  <si>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</si>
  <si>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</si>
  <si>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</si>
  <si>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</si>
  <si>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</si>
  <si>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</si>
  <si>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</si>
  <si>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</si>
  <si>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</si>
  <si>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</si>
  <si>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</si>
  <si>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</si>
  <si>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</si>
  <si>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</si>
  <si>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</si>
  <si>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</si>
  <si>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</si>
  <si>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</si>
  <si>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</si>
  <si>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</si>
  <si>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</si>
  <si>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</si>
  <si>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</si>
  <si>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</si>
  <si>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</si>
  <si>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</si>
  <si>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</si>
  <si>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</si>
  <si>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</si>
  <si>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</si>
  <si>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</si>
  <si>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</si>
  <si>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</si>
  <si>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</si>
  <si>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</si>
  <si>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</si>
  <si>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</si>
  <si>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</si>
  <si>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</si>
  <si>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</si>
  <si>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</si>
  <si>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</si>
  <si>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</si>
  <si>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</si>
  <si>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</si>
  <si>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</si>
  <si>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</si>
  <si>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</si>
  <si>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</si>
  <si>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</si>
  <si>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</si>
  <si>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</si>
  <si>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</si>
  <si>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</si>
  <si>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</si>
  <si>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</si>
  <si>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</si>
  <si>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</si>
  <si>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</si>
  <si>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</si>
  <si>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</si>
  <si>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</si>
  <si>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</si>
  <si>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</si>
  <si>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</si>
  <si>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</si>
  <si>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</si>
  <si>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</si>
  <si>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</si>
  <si>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</si>
  <si>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</si>
  <si>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</si>
  <si>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</si>
  <si>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</si>
  <si>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</si>
  <si>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</si>
  <si>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</si>
  <si>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</si>
  <si>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</si>
  <si>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</si>
  <si>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</si>
  <si>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</si>
  <si>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</si>
  <si>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</si>
  <si>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</si>
  <si>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</si>
  <si>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</si>
  <si>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</si>
  <si>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</si>
  <si>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</si>
  <si>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</si>
  <si>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</si>
  <si>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</si>
  <si>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</si>
  <si>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</si>
  <si>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</si>
  <si>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</si>
  <si>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</si>
  <si>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</si>
  <si>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</si>
  <si>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</si>
  <si>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</si>
  <si>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</si>
  <si>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</si>
  <si>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</si>
  <si>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</si>
  <si>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</si>
  <si>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</si>
  <si>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</si>
  <si>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</si>
  <si>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</si>
  <si>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</si>
  <si>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</si>
  <si>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</si>
  <si>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</si>
  <si>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</si>
  <si>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</si>
  <si>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</si>
  <si>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</si>
  <si>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</si>
  <si>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</si>
  <si>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</si>
  <si>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</si>
  <si>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</si>
  <si>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</si>
  <si>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</si>
  <si>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</si>
  <si>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</si>
  <si>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</si>
  <si>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</si>
  <si>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</si>
  <si>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</si>
  <si>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</si>
  <si>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</si>
  <si>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</si>
  <si>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</si>
  <si>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</si>
  <si>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</si>
  <si>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</si>
  <si>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</si>
  <si>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</si>
  <si>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</si>
  <si>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</si>
  <si>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</si>
  <si>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</si>
  <si>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</si>
  <si>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</si>
  <si>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</si>
  <si>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</si>
  <si>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</si>
  <si>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</si>
  <si>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</si>
  <si>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</si>
  <si>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</si>
  <si>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</si>
  <si>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</si>
  <si>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</si>
  <si>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</si>
  <si>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</si>
  <si>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</si>
  <si>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</si>
  <si>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</si>
  <si>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</si>
  <si>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</si>
  <si>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</si>
  <si>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</si>
  <si>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</si>
  <si>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</si>
  <si>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</si>
  <si>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</si>
  <si>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</si>
  <si>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</si>
  <si>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</si>
  <si>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</si>
  <si>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</si>
  <si>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</si>
  <si>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</si>
  <si>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</si>
  <si>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</si>
  <si>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</si>
  <si>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</si>
  <si>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</si>
  <si>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</si>
  <si>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</si>
  <si>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</si>
  <si>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</si>
  <si>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</si>
  <si>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</si>
  <si>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</si>
  <si>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</si>
  <si>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</si>
  <si>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Bin Christopher Williams</t>
  </si>
  <si>
    <t>http://www.killedbypolice.net/victims/150467.jpg</t>
  </si>
  <si>
    <t>1100 Bruce Ln</t>
  </si>
  <si>
    <t>Natrona County Sheriff’s Office</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</si>
  <si>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</si>
  <si>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</si>
  <si>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</si>
  <si>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</si>
  <si>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</si>
  <si>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</si>
  <si>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</si>
  <si>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</si>
  <si>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</si>
  <si>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</si>
  <si>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</si>
  <si>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</si>
  <si>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</si>
  <si>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</si>
  <si>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</si>
  <si>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</si>
  <si>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</si>
  <si>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</si>
  <si>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</si>
  <si>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</si>
  <si>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</si>
  <si>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</si>
  <si>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</si>
  <si>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</si>
  <si>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</si>
  <si>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</si>
  <si>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</si>
  <si>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</si>
  <si>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</si>
  <si>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</si>
  <si>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</si>
  <si>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</si>
  <si>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</si>
  <si>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</si>
  <si>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</si>
  <si>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</si>
  <si>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</si>
  <si>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</si>
  <si>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</si>
  <si>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</si>
  <si>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</si>
  <si>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</si>
  <si>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</si>
  <si>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</si>
  <si>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</si>
  <si>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</si>
  <si>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</si>
  <si>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</si>
  <si>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</si>
  <si>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</si>
  <si>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</si>
  <si>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</si>
  <si>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</si>
  <si>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</si>
  <si>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</si>
  <si>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</si>
  <si>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</si>
  <si>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</si>
  <si>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</si>
  <si>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</si>
  <si>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</si>
  <si>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</si>
  <si>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</si>
  <si>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</si>
  <si>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</si>
  <si>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</si>
  <si>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</si>
  <si>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</si>
  <si>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</si>
  <si>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</si>
  <si>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</si>
  <si>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</si>
  <si>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</si>
  <si>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</si>
  <si>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</si>
  <si>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</si>
  <si>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</si>
  <si>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</si>
  <si>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</si>
  <si>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</si>
  <si>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</si>
  <si>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</si>
  <si>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</si>
  <si>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</si>
  <si>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</si>
  <si>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</si>
  <si>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</si>
  <si>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</si>
  <si>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</si>
  <si>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</si>
  <si>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</si>
  <si>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</si>
  <si>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</si>
  <si>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</si>
  <si>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</si>
  <si>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</si>
  <si>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</si>
  <si>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</si>
  <si>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</si>
  <si>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</si>
  <si>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</si>
  <si>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</si>
  <si>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</si>
  <si>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</si>
  <si>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</si>
  <si>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</si>
  <si>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</si>
  <si>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</si>
  <si>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</si>
  <si>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</si>
  <si>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</si>
  <si>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</si>
  <si>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</si>
  <si>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</si>
  <si>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</si>
  <si>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</si>
  <si>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</si>
  <si>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</si>
  <si>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</si>
  <si>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</si>
  <si>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</si>
  <si>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</si>
  <si>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</si>
  <si>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</si>
  <si>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</si>
  <si>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</si>
  <si>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</si>
  <si>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</si>
  <si>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</si>
  <si>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</si>
  <si>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</si>
  <si>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</si>
  <si>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</si>
  <si>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</si>
  <si>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</si>
  <si>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</si>
  <si>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</si>
  <si>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</si>
  <si>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</si>
  <si>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</si>
  <si>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</si>
  <si>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</si>
  <si>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</si>
  <si>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</si>
  <si>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</si>
  <si>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</si>
  <si>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</si>
  <si>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</si>
  <si>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</si>
  <si>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</si>
  <si>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</si>
  <si>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</si>
  <si>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</si>
  <si>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</si>
  <si>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</si>
  <si>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</si>
  <si>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</si>
  <si>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</si>
  <si>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</si>
  <si>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</si>
  <si>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</si>
  <si>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</si>
  <si>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</si>
  <si>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</si>
  <si>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</si>
  <si>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</si>
  <si>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</si>
  <si>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</si>
  <si>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</si>
  <si>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</si>
  <si>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</si>
  <si>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</si>
  <si>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</si>
  <si>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</si>
  <si>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</si>
  <si>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</si>
  <si>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</si>
  <si>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</si>
  <si>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</si>
  <si>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</si>
  <si>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</si>
  <si>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</si>
  <si>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</si>
  <si>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</si>
  <si>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</si>
  <si>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</si>
  <si>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</si>
  <si>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</si>
  <si>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</si>
  <si>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</si>
  <si>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</si>
  <si>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</si>
  <si>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</si>
  <si>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</si>
  <si>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</si>
  <si>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</si>
  <si>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</si>
  <si>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</si>
  <si>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</si>
  <si>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</si>
  <si>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</si>
  <si>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</si>
  <si>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</si>
  <si>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</si>
  <si>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</si>
  <si>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</si>
  <si>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</si>
  <si>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</si>
  <si>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</si>
  <si>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</si>
  <si>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</si>
  <si>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</si>
  <si>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</si>
  <si>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</si>
  <si>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</si>
  <si>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</si>
  <si>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</si>
  <si>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</si>
  <si>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</si>
  <si>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</si>
  <si>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</si>
  <si>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</si>
  <si>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</si>
  <si>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</si>
  <si>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</si>
  <si>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</si>
  <si>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</si>
  <si>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</si>
  <si>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</si>
  <si>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</si>
  <si>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</si>
  <si>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</si>
  <si>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</si>
  <si>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</si>
  <si>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</si>
  <si>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</si>
  <si>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</si>
  <si>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</si>
  <si>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</si>
  <si>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</si>
  <si>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</si>
  <si>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</si>
  <si>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</si>
  <si>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</si>
  <si>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</si>
  <si>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</si>
  <si>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</si>
  <si>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</si>
  <si>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</si>
  <si>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</si>
  <si>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</si>
  <si>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</si>
  <si>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</si>
  <si>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</si>
  <si>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</si>
  <si>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</si>
  <si>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</si>
  <si>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</si>
  <si>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</si>
  <si>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</si>
  <si>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</si>
  <si>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</si>
  <si>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</si>
  <si>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</si>
  <si>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</si>
  <si>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</si>
  <si>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</si>
  <si>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</si>
  <si>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</si>
  <si>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</si>
  <si>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</si>
  <si>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</si>
  <si>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</si>
  <si>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</si>
  <si>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</si>
  <si>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</si>
  <si>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</si>
  <si>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</si>
  <si>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</si>
  <si>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</si>
  <si>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</si>
  <si>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</si>
  <si>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</si>
  <si>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</si>
  <si>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</si>
  <si>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</si>
  <si>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</si>
  <si>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</si>
  <si>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</si>
  <si>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</si>
  <si>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</si>
  <si>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</si>
  <si>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</si>
  <si>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</si>
  <si>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</si>
  <si>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</si>
  <si>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</si>
  <si>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</si>
  <si>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</si>
  <si>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</si>
  <si>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</si>
  <si>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</si>
  <si>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</si>
  <si>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</si>
  <si>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</si>
  <si>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</si>
  <si>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</si>
  <si>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</si>
  <si>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</si>
  <si>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</si>
  <si>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</si>
  <si>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</si>
  <si>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</si>
  <si>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</si>
  <si>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</si>
  <si>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</si>
  <si>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</si>
  <si>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</si>
  <si>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</si>
  <si>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</si>
  <si>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</si>
  <si>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</si>
  <si>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</si>
  <si>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</si>
  <si>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</si>
  <si>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</si>
  <si>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</si>
  <si>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</si>
  <si>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</si>
  <si>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</si>
  <si>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</si>
  <si>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</si>
  <si>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</si>
  <si>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</si>
  <si>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</si>
  <si>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</si>
  <si>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</si>
  <si>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</si>
  <si>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</si>
  <si>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</si>
  <si>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</si>
  <si>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</si>
  <si>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</si>
  <si>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</si>
  <si>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</si>
  <si>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Gregory Daquan Harris</t>
  </si>
  <si>
    <t>401 Juniper Lake Rd</t>
  </si>
  <si>
    <t>West End</t>
  </si>
  <si>
    <t>27376</t>
  </si>
  <si>
    <t>Moore</t>
  </si>
  <si>
    <t>Pinehurst Police Department</t>
  </si>
  <si>
    <t>Local police attempted to stop a speeding vehicle, which developed into a police chase. The 25-year-old suspect lost control of his car, left the road and crashed into a tree, which killed his two passengers, Lashonda Ruth Belk and Gregory Daquan Harris.</t>
  </si>
  <si>
    <t>http://www.fayobserver.com/news/local/pinehurst-police-chase-leads-to-crash-dead/article_7df3dee3-c327-5f8d-8d0f-7bc0e0fc0332.html?mode=story</t>
  </si>
  <si>
    <t>Lashonda Ruth Belk</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</si>
  <si>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</si>
  <si>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</si>
  <si>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</si>
  <si>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</si>
  <si>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</si>
  <si>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</si>
  <si>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</si>
  <si>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</si>
  <si>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</si>
  <si>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</si>
  <si>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</si>
  <si>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</si>
  <si>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</si>
  <si>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</si>
  <si>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</si>
  <si>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</si>
  <si>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</si>
  <si>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</si>
  <si>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</si>
  <si>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</si>
  <si>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</si>
  <si>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</si>
  <si>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</si>
  <si>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</si>
  <si>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</si>
  <si>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</si>
  <si>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</si>
  <si>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</si>
  <si>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</si>
  <si>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</si>
  <si>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</si>
  <si>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</si>
  <si>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</si>
  <si>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</si>
  <si>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</si>
  <si>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</si>
  <si>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</si>
  <si>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</si>
  <si>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</si>
  <si>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</si>
  <si>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</si>
  <si>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</si>
  <si>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</si>
  <si>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</si>
  <si>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</si>
  <si>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</si>
  <si>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</si>
  <si>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</si>
  <si>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</si>
  <si>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</si>
  <si>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</si>
  <si>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</si>
  <si>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</si>
  <si>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</si>
  <si>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</si>
  <si>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</si>
  <si>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</si>
  <si>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</si>
  <si>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</si>
  <si>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</si>
  <si>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</si>
  <si>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</si>
  <si>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</si>
  <si>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</si>
  <si>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</si>
  <si>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</si>
  <si>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</si>
  <si>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</si>
  <si>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</si>
  <si>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</si>
  <si>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</si>
  <si>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</si>
  <si>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</si>
  <si>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</si>
  <si>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</si>
  <si>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</si>
  <si>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</si>
  <si>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</si>
  <si>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</si>
  <si>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</si>
  <si>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</si>
  <si>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</si>
  <si>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</si>
  <si>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</si>
  <si>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</si>
  <si>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</si>
  <si>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</si>
  <si>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</si>
  <si>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</si>
  <si>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</si>
  <si>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</si>
  <si>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</si>
  <si>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</si>
  <si>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</si>
  <si>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</si>
  <si>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</si>
  <si>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</si>
  <si>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</si>
  <si>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</si>
  <si>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</si>
  <si>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</si>
  <si>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</si>
  <si>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</si>
  <si>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</si>
  <si>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</si>
  <si>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</si>
  <si>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</si>
  <si>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</si>
  <si>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</si>
  <si>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</si>
  <si>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</si>
  <si>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</si>
  <si>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</si>
  <si>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</si>
  <si>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</si>
  <si>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</si>
  <si>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</si>
  <si>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</si>
  <si>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</si>
  <si>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</si>
  <si>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</si>
  <si>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</si>
  <si>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</si>
  <si>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</si>
  <si>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</si>
  <si>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</si>
  <si>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</si>
  <si>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</si>
  <si>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</si>
  <si>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</si>
  <si>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</si>
  <si>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</si>
  <si>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</si>
  <si>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</si>
  <si>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</si>
  <si>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</si>
  <si>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</si>
  <si>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</si>
  <si>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</si>
  <si>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</si>
  <si>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</si>
  <si>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</si>
  <si>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</si>
  <si>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</si>
  <si>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</si>
  <si>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</si>
  <si>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</si>
  <si>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</si>
  <si>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</si>
  <si>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</si>
  <si>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</si>
  <si>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</si>
  <si>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</si>
  <si>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</si>
  <si>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</si>
  <si>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</si>
  <si>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</si>
  <si>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</si>
  <si>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</si>
  <si>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</si>
  <si>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</si>
  <si>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</si>
  <si>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</si>
  <si>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</si>
  <si>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</si>
  <si>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</si>
  <si>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</si>
  <si>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</si>
  <si>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</si>
  <si>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</si>
  <si>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</si>
  <si>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</si>
  <si>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</si>
  <si>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</si>
  <si>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</si>
  <si>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</si>
  <si>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</si>
  <si>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</si>
  <si>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</si>
  <si>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</si>
  <si>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</si>
  <si>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</si>
  <si>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</si>
  <si>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</si>
  <si>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</si>
  <si>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</si>
  <si>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Delonte Lee</t>
  </si>
  <si>
    <t>20601</t>
  </si>
  <si>
    <t>Charles</t>
  </si>
  <si>
    <t>State troopers attempted to pull Lee over at 1 a.m. for a bad license plate light. Lee refused to stop, possibly because of an outstanding failure-to-appear warrant. He pulled off Route 301 and onto Acton Lane. Police describe the chase halted and then the trooper coming across Lee's fatal one-car wreck shortly after.</t>
  </si>
  <si>
    <t>http://www.nbcwashington.com/news/local/1-Dead-in-Crash-in-Waldorf-300057901.html</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</si>
  <si>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</si>
  <si>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</si>
  <si>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</si>
  <si>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</si>
  <si>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</si>
  <si>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</si>
  <si>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</si>
  <si>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</si>
  <si>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</si>
  <si>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</si>
  <si>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</si>
  <si>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</si>
  <si>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</si>
  <si>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</si>
  <si>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</si>
  <si>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</si>
  <si>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</si>
  <si>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</si>
  <si>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</si>
  <si>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</si>
  <si>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</si>
  <si>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</si>
  <si>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</si>
  <si>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</si>
  <si>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</si>
  <si>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</si>
  <si>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</si>
  <si>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</si>
  <si>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</si>
  <si>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</si>
  <si>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</si>
  <si>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</si>
  <si>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</si>
  <si>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</si>
  <si>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</si>
  <si>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</si>
  <si>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</si>
  <si>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</si>
  <si>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</si>
  <si>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</si>
  <si>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</si>
  <si>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</si>
  <si>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</si>
  <si>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</si>
  <si>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</si>
  <si>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</si>
  <si>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</si>
  <si>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</si>
  <si>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</si>
  <si>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</si>
  <si>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</si>
  <si>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</si>
  <si>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</si>
  <si>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</si>
  <si>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</si>
  <si>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</si>
  <si>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</si>
  <si>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</si>
  <si>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</si>
  <si>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</si>
  <si>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</si>
  <si>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</si>
  <si>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</si>
  <si>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</si>
  <si>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</si>
  <si>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</si>
  <si>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</si>
  <si>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</si>
  <si>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</si>
  <si>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</si>
  <si>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Karl Taylor</t>
  </si>
  <si>
    <t>http://www.killedbypolice.net/victims/150330.jpg</t>
  </si>
  <si>
    <t>325 Riverside Dr</t>
  </si>
  <si>
    <t>Fallsburg</t>
  </si>
  <si>
    <t>12733</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</si>
  <si>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</si>
  <si>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</si>
  <si>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</si>
  <si>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</si>
  <si>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</si>
  <si>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</si>
  <si>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</si>
  <si>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</si>
  <si>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Alton</t>
  </si>
  <si>
    <t>63121</t>
  </si>
  <si>
    <t>Alton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</si>
  <si>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</si>
  <si>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</si>
  <si>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</si>
  <si>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</si>
  <si>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</si>
  <si>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</si>
  <si>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</si>
  <si>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</si>
  <si>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</si>
  <si>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</si>
  <si>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</si>
  <si>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</si>
  <si>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</si>
  <si>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</si>
  <si>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</si>
  <si>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</si>
  <si>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</si>
  <si>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</si>
  <si>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</si>
  <si>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</si>
  <si>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</si>
  <si>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</si>
  <si>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</si>
  <si>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</si>
  <si>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</si>
  <si>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</si>
  <si>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</si>
  <si>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</si>
  <si>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</si>
  <si>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</si>
  <si>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</si>
  <si>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</si>
  <si>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</si>
  <si>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</si>
  <si>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</si>
  <si>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</si>
  <si>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</si>
  <si>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</si>
  <si>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</si>
  <si>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</si>
  <si>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</si>
  <si>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</si>
  <si>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</si>
  <si>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</si>
  <si>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</si>
  <si>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</si>
  <si>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</si>
  <si>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</si>
  <si>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</si>
  <si>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</si>
  <si>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</si>
  <si>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</si>
  <si>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</si>
  <si>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</si>
  <si>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</si>
  <si>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</si>
  <si>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</si>
  <si>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</si>
  <si>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</si>
  <si>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</si>
  <si>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</si>
  <si>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</si>
  <si>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</si>
  <si>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</si>
  <si>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</si>
  <si>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</si>
  <si>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</si>
  <si>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</si>
  <si>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</si>
  <si>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</si>
  <si>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</si>
  <si>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</si>
  <si>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</si>
  <si>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</si>
  <si>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</si>
  <si>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</si>
  <si>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</si>
  <si>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</si>
  <si>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</si>
  <si>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</si>
  <si>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</si>
  <si>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</si>
  <si>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</si>
  <si>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</si>
  <si>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</si>
  <si>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</si>
  <si>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</si>
  <si>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</si>
  <si>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</si>
  <si>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</si>
  <si>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</si>
  <si>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</si>
  <si>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</si>
  <si>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</si>
  <si>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</si>
  <si>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</si>
  <si>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</si>
  <si>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</si>
  <si>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</si>
  <si>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</si>
  <si>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</si>
  <si>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</si>
  <si>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</si>
  <si>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</si>
  <si>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</si>
  <si>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</si>
  <si>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</si>
  <si>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</si>
  <si>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</si>
  <si>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</si>
  <si>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</si>
  <si>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</si>
  <si>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</si>
  <si>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</si>
  <si>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</si>
  <si>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</si>
  <si>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</si>
  <si>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</si>
  <si>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</si>
  <si>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</si>
  <si>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</si>
  <si>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</si>
  <si>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</si>
  <si>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</si>
  <si>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</si>
  <si>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</si>
  <si>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</si>
  <si>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</si>
  <si>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</si>
  <si>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</si>
  <si>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</si>
  <si>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</si>
  <si>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</si>
  <si>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</si>
  <si>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</si>
  <si>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</si>
  <si>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</si>
  <si>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</si>
  <si>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</si>
  <si>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</si>
  <si>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</si>
  <si>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</si>
  <si>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</si>
  <si>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</si>
  <si>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</si>
  <si>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</si>
  <si>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</si>
  <si>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</si>
  <si>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</si>
  <si>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</si>
  <si>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</si>
  <si>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</si>
  <si>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</si>
  <si>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</si>
  <si>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</si>
  <si>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</si>
  <si>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</si>
  <si>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</si>
  <si>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</si>
  <si>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</si>
  <si>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</si>
  <si>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</si>
  <si>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</si>
  <si>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</si>
  <si>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</si>
  <si>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</si>
  <si>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</si>
  <si>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</si>
  <si>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</si>
  <si>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</si>
  <si>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</si>
  <si>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</si>
  <si>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</si>
  <si>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</si>
  <si>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</si>
  <si>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</si>
  <si>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</si>
  <si>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</si>
  <si>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</si>
  <si>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</si>
  <si>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</si>
  <si>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</si>
  <si>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</si>
  <si>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</si>
  <si>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</si>
  <si>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</si>
  <si>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</si>
  <si>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</si>
  <si>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</si>
  <si>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</si>
  <si>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</si>
  <si>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</si>
  <si>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</si>
  <si>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</si>
  <si>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</si>
  <si>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</si>
  <si>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</si>
  <si>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</si>
  <si>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</si>
  <si>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</si>
  <si>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</si>
  <si>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</si>
  <si>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</si>
  <si>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</si>
  <si>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</si>
  <si>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</si>
  <si>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</si>
  <si>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</si>
  <si>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</si>
  <si>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</si>
  <si>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</si>
  <si>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</si>
  <si>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</si>
  <si>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</si>
  <si>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</si>
  <si>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</si>
  <si>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</si>
  <si>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</si>
  <si>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</si>
  <si>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</si>
  <si>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</si>
  <si>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</si>
  <si>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</si>
  <si>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</si>
  <si>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</si>
  <si>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</si>
  <si>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</si>
  <si>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</si>
  <si>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</si>
  <si>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</si>
  <si>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</si>
  <si>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</si>
  <si>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</si>
  <si>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</si>
  <si>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</si>
  <si>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</si>
  <si>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</si>
  <si>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</si>
  <si>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</si>
  <si>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</si>
  <si>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</si>
  <si>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</si>
  <si>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</si>
  <si>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</si>
  <si>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</si>
  <si>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</si>
  <si>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</si>
  <si>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</si>
  <si>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</si>
  <si>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</si>
  <si>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</si>
  <si>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</si>
  <si>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</si>
  <si>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</si>
  <si>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</si>
  <si>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</si>
  <si>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</si>
  <si>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</si>
  <si>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</si>
  <si>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</si>
  <si>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</si>
  <si>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</si>
  <si>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</si>
  <si>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</si>
  <si>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</si>
  <si>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</si>
  <si>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</si>
  <si>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</si>
  <si>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</si>
  <si>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</si>
  <si>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</si>
  <si>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</si>
  <si>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</si>
  <si>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</si>
  <si>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</si>
  <si>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</si>
  <si>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</si>
  <si>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</si>
  <si>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</si>
  <si>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</si>
  <si>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</si>
  <si>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</si>
  <si>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</si>
  <si>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</si>
  <si>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</si>
  <si>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</si>
  <si>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</si>
  <si>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</si>
  <si>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</si>
  <si>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</si>
  <si>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</si>
  <si>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</si>
  <si>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</si>
  <si>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</si>
  <si>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</si>
  <si>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</si>
  <si>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</si>
  <si>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</si>
  <si>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</si>
  <si>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</si>
  <si>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</si>
  <si>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</si>
  <si>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</si>
  <si>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</si>
  <si>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</si>
  <si>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</si>
  <si>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</si>
  <si>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</si>
  <si>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</si>
  <si>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</si>
  <si>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</si>
  <si>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</si>
  <si>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</si>
  <si>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</si>
  <si>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</si>
  <si>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</si>
  <si>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</si>
  <si>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</si>
  <si>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</si>
  <si>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</si>
  <si>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</si>
  <si>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</si>
  <si>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</si>
  <si>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</si>
  <si>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</si>
  <si>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</si>
  <si>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</si>
  <si>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</si>
  <si>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</si>
  <si>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</si>
  <si>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</si>
  <si>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</si>
  <si>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</si>
  <si>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</si>
  <si>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</si>
  <si>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</si>
  <si>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</si>
  <si>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</si>
  <si>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</si>
  <si>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</si>
  <si>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</si>
  <si>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</si>
  <si>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</si>
  <si>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</si>
  <si>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</si>
  <si>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</si>
  <si>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</si>
  <si>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</si>
  <si>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</si>
  <si>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</si>
  <si>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</si>
  <si>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</si>
  <si>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</si>
  <si>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</si>
  <si>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</si>
  <si>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Robert Timothy McAlister Jr</t>
  </si>
  <si>
    <t>http://www.wyff4.com/image/view/-/32051404/highRes/1/-/w/240/-/ll3jwdz/-/Robert-McAlister.jpg</t>
  </si>
  <si>
    <t>Verdae Blvd &amp; Rocky Slope Rd</t>
  </si>
  <si>
    <t>29607</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</si>
  <si>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</si>
  <si>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</si>
  <si>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</si>
  <si>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</si>
  <si>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</si>
  <si>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</si>
  <si>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</si>
  <si>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</si>
  <si>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</si>
  <si>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</si>
  <si>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</si>
  <si>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</si>
  <si>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</si>
  <si>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</si>
  <si>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</si>
  <si>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</si>
  <si>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</si>
  <si>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</si>
  <si>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</si>
  <si>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</si>
  <si>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</si>
  <si>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</si>
  <si>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</si>
  <si>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</si>
  <si>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</si>
  <si>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</si>
  <si>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</si>
  <si>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</si>
  <si>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</si>
  <si>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</si>
  <si>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</si>
  <si>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</si>
  <si>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</si>
  <si>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</si>
  <si>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</si>
  <si>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</si>
  <si>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</si>
  <si>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</si>
  <si>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</si>
  <si>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</si>
  <si>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</si>
  <si>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</si>
  <si>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</si>
  <si>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</si>
  <si>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</si>
  <si>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Mariopa</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</si>
  <si>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</si>
  <si>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</si>
  <si>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</si>
  <si>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</si>
  <si>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</si>
  <si>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</si>
  <si>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</si>
  <si>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</si>
  <si>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</si>
  <si>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</si>
  <si>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</si>
  <si>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</si>
  <si>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</si>
  <si>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</si>
  <si>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</si>
  <si>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</si>
  <si>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</si>
  <si>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</si>
  <si>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</si>
  <si>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</si>
  <si>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</si>
  <si>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</si>
  <si>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</si>
  <si>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</si>
  <si>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</si>
  <si>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</si>
  <si>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</si>
  <si>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</si>
  <si>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</si>
  <si>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</si>
  <si>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</si>
  <si>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</si>
  <si>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</si>
  <si>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</si>
  <si>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Jeffrey L. Jackson</t>
  </si>
  <si>
    <t>http://www.thenewsjournal.net/userfiles/image/Jeffrey%20Jackson1.jpg</t>
  </si>
  <si>
    <t>KY-92</t>
  </si>
  <si>
    <t>Williamsburg</t>
  </si>
  <si>
    <t>40769</t>
  </si>
  <si>
    <t>Whitley</t>
  </si>
  <si>
    <t>Kentucky State Police Department</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</si>
  <si>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</si>
  <si>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</si>
  <si>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</si>
  <si>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</si>
  <si>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</si>
  <si>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</si>
  <si>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</si>
  <si>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</si>
  <si>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</si>
  <si>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</si>
  <si>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</si>
  <si>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</si>
  <si>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</si>
  <si>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</si>
  <si>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</si>
  <si>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Romeo Roddrick Staples</t>
  </si>
  <si>
    <t>http://www.news4jax.com/image/view/-/31952558/highRes/2/-/h/200/-/2nnfwhz/-/Romeo-Roddrick-Staples-jpg.jpg</t>
  </si>
  <si>
    <t>St. Johns Ave &amp; N. Palm Ave</t>
  </si>
  <si>
    <t>Palatka</t>
  </si>
  <si>
    <t>32177</t>
  </si>
  <si>
    <t>Putnam County Sheriff's Office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</si>
  <si>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</si>
  <si>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</si>
  <si>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</si>
  <si>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</si>
  <si>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</si>
  <si>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</si>
  <si>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</si>
  <si>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</si>
  <si>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</si>
  <si>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</si>
  <si>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</si>
  <si>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</si>
  <si>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</si>
  <si>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</si>
  <si>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</si>
  <si>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</si>
  <si>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</si>
  <si>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</si>
  <si>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</si>
  <si>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</si>
  <si>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</si>
  <si>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</si>
  <si>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</si>
  <si>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</si>
  <si>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</si>
  <si>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</si>
  <si>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</si>
  <si>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</si>
  <si>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</si>
  <si>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</si>
  <si>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</si>
  <si>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</si>
  <si>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</si>
  <si>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</si>
  <si>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</si>
  <si>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</si>
  <si>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</si>
  <si>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</si>
  <si>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</si>
  <si>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</si>
  <si>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</si>
  <si>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</si>
  <si>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</si>
  <si>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</si>
  <si>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</si>
  <si>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</si>
  <si>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</si>
  <si>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</si>
  <si>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</si>
  <si>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</si>
  <si>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</si>
  <si>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</si>
  <si>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</si>
  <si>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</si>
  <si>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</si>
  <si>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</si>
  <si>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</si>
  <si>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</si>
  <si>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</si>
  <si>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</si>
  <si>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</si>
  <si>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</si>
  <si>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</si>
  <si>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</si>
  <si>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</si>
  <si>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</si>
  <si>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</si>
  <si>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</si>
  <si>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</si>
  <si>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</si>
  <si>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</si>
  <si>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</si>
  <si>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</si>
  <si>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</si>
  <si>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</si>
  <si>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</si>
  <si>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</si>
  <si>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</si>
  <si>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</si>
  <si>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</si>
  <si>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</si>
  <si>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</si>
  <si>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</si>
  <si>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</si>
  <si>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</si>
  <si>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</si>
  <si>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</si>
  <si>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</si>
  <si>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</si>
  <si>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</si>
  <si>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</si>
  <si>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</si>
  <si>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</si>
  <si>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</si>
  <si>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</si>
  <si>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</si>
  <si>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</si>
  <si>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</si>
  <si>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</si>
  <si>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</si>
  <si>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</si>
  <si>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</si>
  <si>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</si>
  <si>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</si>
  <si>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</si>
  <si>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</si>
  <si>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</si>
  <si>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</si>
  <si>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</si>
  <si>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</si>
  <si>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</si>
  <si>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</si>
  <si>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</si>
  <si>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</si>
  <si>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</si>
  <si>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</si>
  <si>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</si>
  <si>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</si>
  <si>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</si>
  <si>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</si>
  <si>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</si>
  <si>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</si>
  <si>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</si>
  <si>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</si>
  <si>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</si>
  <si>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</si>
  <si>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</si>
  <si>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</si>
  <si>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</si>
  <si>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</si>
  <si>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</si>
  <si>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</si>
  <si>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</si>
  <si>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</si>
  <si>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</si>
  <si>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</si>
  <si>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</si>
  <si>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</si>
  <si>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</si>
  <si>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</si>
  <si>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</si>
  <si>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</si>
  <si>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</si>
  <si>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</si>
  <si>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</si>
  <si>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</si>
  <si>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</si>
  <si>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</si>
  <si>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</si>
  <si>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</si>
  <si>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</si>
  <si>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</si>
  <si>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</si>
  <si>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</si>
  <si>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</si>
  <si>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</si>
  <si>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</si>
  <si>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</si>
  <si>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</si>
  <si>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</si>
  <si>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</si>
  <si>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</si>
  <si>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</si>
  <si>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</si>
  <si>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</si>
  <si>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</si>
  <si>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</si>
  <si>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</si>
  <si>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</si>
  <si>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</si>
  <si>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</si>
  <si>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</si>
  <si>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</si>
  <si>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</si>
  <si>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</si>
  <si>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</si>
  <si>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</si>
  <si>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</si>
  <si>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</si>
  <si>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</si>
  <si>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</si>
  <si>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</si>
  <si>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</si>
  <si>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</si>
  <si>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</si>
  <si>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</si>
  <si>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</si>
  <si>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</si>
  <si>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</si>
  <si>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Sheldon Haleck</t>
  </si>
  <si>
    <t>http://www.killedbypolice.net/victims/150236.jpg</t>
  </si>
  <si>
    <t>300 South King Street</t>
  </si>
  <si>
    <t>96813</t>
  </si>
  <si>
    <t>Honolulu Police Department</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</si>
  <si>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</si>
  <si>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</si>
  <si>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</si>
  <si>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</si>
  <si>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</si>
  <si>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</si>
  <si>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</si>
  <si>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</si>
  <si>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</si>
  <si>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</si>
  <si>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</si>
  <si>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</si>
  <si>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</si>
  <si>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</si>
  <si>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</si>
  <si>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</si>
  <si>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</si>
  <si>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</si>
  <si>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</si>
  <si>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</si>
  <si>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</si>
  <si>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</si>
  <si>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</si>
  <si>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</si>
  <si>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</si>
  <si>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</si>
  <si>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</si>
  <si>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</si>
  <si>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</si>
  <si>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</si>
  <si>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</si>
  <si>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</si>
  <si>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</si>
  <si>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</si>
  <si>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</si>
  <si>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</si>
  <si>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</si>
  <si>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</si>
  <si>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</si>
  <si>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</si>
  <si>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</si>
  <si>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</si>
  <si>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</si>
  <si>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</si>
  <si>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</si>
  <si>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</si>
  <si>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</si>
  <si>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</si>
  <si>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</si>
  <si>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</si>
  <si>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</si>
  <si>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</si>
  <si>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</si>
  <si>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</si>
  <si>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</si>
  <si>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</si>
  <si>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</si>
  <si>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</si>
  <si>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</si>
  <si>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</si>
  <si>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</si>
  <si>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</si>
  <si>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</si>
  <si>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</si>
  <si>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</si>
  <si>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</si>
  <si>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</si>
  <si>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</si>
  <si>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</si>
  <si>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</si>
  <si>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</si>
  <si>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</si>
  <si>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</si>
  <si>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</si>
  <si>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</si>
  <si>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</si>
  <si>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</si>
  <si>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</si>
  <si>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</si>
  <si>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</si>
  <si>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</si>
  <si>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</si>
  <si>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</si>
  <si>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</si>
  <si>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</si>
  <si>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</si>
  <si>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</si>
  <si>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</si>
  <si>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</si>
  <si>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</si>
  <si>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</si>
  <si>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</si>
  <si>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</si>
  <si>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</si>
  <si>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</si>
  <si>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</si>
  <si>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</si>
  <si>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</si>
  <si>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</si>
  <si>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</si>
  <si>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</si>
  <si>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</si>
  <si>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</si>
  <si>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</si>
  <si>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</si>
  <si>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</si>
  <si>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</si>
  <si>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</si>
  <si>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</si>
  <si>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</si>
  <si>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</si>
  <si>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</si>
  <si>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</si>
  <si>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</si>
  <si>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</si>
  <si>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</si>
  <si>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</si>
  <si>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</si>
  <si>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</si>
  <si>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</si>
  <si>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</si>
  <si>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</si>
  <si>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</si>
  <si>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</si>
  <si>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</si>
  <si>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</si>
  <si>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</si>
  <si>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</si>
  <si>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</si>
  <si>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</si>
  <si>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</si>
  <si>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</si>
  <si>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</si>
  <si>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</si>
  <si>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</si>
  <si>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</si>
  <si>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</si>
  <si>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</si>
  <si>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</si>
  <si>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</si>
  <si>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</si>
  <si>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</si>
  <si>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</si>
  <si>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</si>
  <si>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</si>
  <si>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</si>
  <si>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</si>
  <si>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</si>
  <si>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</si>
  <si>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</si>
  <si>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</si>
  <si>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</si>
  <si>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</si>
  <si>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</si>
  <si>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</si>
  <si>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</si>
  <si>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</si>
  <si>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</si>
  <si>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</si>
  <si>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</si>
  <si>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</si>
  <si>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</si>
  <si>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</si>
  <si>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</si>
  <si>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</si>
  <si>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</si>
  <si>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</si>
  <si>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</si>
  <si>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</si>
  <si>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</si>
  <si>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</si>
  <si>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</si>
  <si>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</si>
  <si>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</si>
  <si>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</si>
  <si>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</si>
  <si>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</si>
  <si>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</si>
  <si>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</si>
  <si>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</si>
  <si>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</si>
  <si>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</si>
  <si>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</si>
  <si>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</si>
  <si>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</si>
  <si>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</si>
  <si>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</si>
  <si>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</si>
  <si>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</si>
  <si>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</si>
  <si>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</si>
  <si>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</si>
  <si>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</si>
  <si>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</si>
  <si>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</si>
  <si>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</si>
  <si>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</si>
  <si>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</si>
  <si>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</si>
  <si>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</si>
  <si>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</si>
  <si>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</si>
  <si>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</si>
  <si>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</si>
  <si>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</si>
  <si>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</si>
  <si>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</si>
  <si>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</si>
  <si>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</si>
  <si>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</si>
  <si>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</si>
  <si>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</si>
  <si>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</si>
  <si>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</si>
  <si>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</si>
  <si>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</si>
  <si>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</si>
  <si>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</si>
  <si>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</si>
  <si>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</si>
  <si>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</si>
  <si>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</si>
  <si>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</si>
  <si>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</si>
  <si>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</si>
  <si>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</si>
  <si>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</si>
  <si>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</si>
  <si>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</si>
  <si>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</si>
  <si>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</si>
  <si>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</si>
  <si>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</si>
  <si>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</si>
  <si>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</si>
  <si>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</si>
  <si>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</si>
  <si>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</si>
  <si>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</si>
  <si>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</si>
  <si>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</si>
  <si>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</si>
  <si>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</si>
  <si>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</si>
  <si>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</si>
  <si>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</si>
  <si>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</si>
  <si>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</si>
  <si>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</si>
  <si>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</si>
  <si>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</si>
  <si>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</si>
  <si>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</si>
  <si>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</si>
  <si>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</si>
  <si>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</si>
  <si>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</si>
  <si>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</si>
  <si>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</si>
  <si>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</si>
  <si>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</si>
  <si>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</si>
  <si>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</si>
  <si>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</si>
  <si>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</si>
  <si>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</si>
  <si>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</si>
  <si>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</si>
  <si>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</si>
  <si>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</si>
  <si>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</si>
  <si>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</si>
  <si>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</si>
  <si>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</si>
  <si>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</si>
  <si>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</si>
  <si>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</si>
  <si>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</si>
  <si>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</si>
  <si>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</si>
  <si>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</si>
  <si>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</si>
  <si>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</si>
  <si>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</si>
  <si>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</si>
  <si>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</si>
  <si>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</si>
  <si>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</si>
  <si>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</si>
  <si>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</si>
  <si>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</si>
  <si>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</si>
  <si>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</si>
  <si>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</si>
  <si>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</si>
  <si>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</si>
  <si>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</si>
  <si>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</si>
  <si>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</si>
  <si>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</si>
  <si>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</si>
  <si>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</si>
  <si>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</si>
  <si>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</si>
  <si>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</si>
  <si>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</si>
  <si>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</si>
  <si>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</si>
  <si>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</si>
  <si>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</si>
  <si>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</si>
  <si>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</si>
  <si>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</si>
  <si>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</si>
  <si>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</si>
  <si>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</si>
  <si>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</si>
  <si>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</si>
  <si>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</si>
  <si>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</si>
  <si>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</si>
  <si>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</si>
  <si>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</si>
  <si>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</si>
  <si>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</si>
  <si>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</si>
  <si>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</si>
  <si>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</si>
  <si>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</si>
  <si>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</si>
  <si>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</si>
  <si>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</si>
  <si>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</si>
  <si>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</si>
  <si>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</si>
  <si>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</si>
  <si>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</si>
  <si>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</si>
  <si>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</si>
  <si>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</si>
  <si>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</si>
  <si>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</si>
  <si>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</si>
  <si>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</si>
  <si>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</si>
  <si>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</si>
  <si>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</si>
  <si>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</si>
  <si>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</si>
  <si>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</si>
  <si>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</si>
  <si>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</si>
  <si>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</si>
  <si>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</si>
  <si>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</si>
  <si>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</si>
  <si>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</si>
  <si>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</si>
  <si>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</si>
  <si>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</si>
  <si>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</si>
  <si>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</si>
  <si>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</si>
  <si>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</si>
  <si>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</si>
  <si>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</si>
  <si>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</si>
  <si>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</si>
  <si>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</si>
  <si>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</si>
  <si>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</si>
  <si>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</si>
  <si>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</si>
  <si>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</si>
  <si>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</si>
  <si>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</si>
  <si>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</si>
  <si>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</si>
  <si>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</si>
  <si>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</si>
  <si>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</si>
  <si>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</si>
  <si>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</si>
  <si>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</si>
  <si>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</si>
  <si>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</si>
  <si>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</si>
  <si>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</si>
  <si>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</si>
  <si>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</si>
  <si>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</si>
  <si>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</si>
  <si>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</si>
  <si>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</si>
  <si>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</si>
  <si>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</si>
  <si>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</si>
  <si>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</si>
  <si>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</si>
  <si>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</si>
  <si>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</si>
  <si>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</si>
  <si>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</si>
  <si>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</si>
  <si>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</si>
  <si>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</si>
  <si>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</si>
  <si>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</si>
  <si>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</si>
  <si>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</si>
  <si>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</si>
  <si>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</si>
  <si>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</si>
  <si>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</si>
  <si>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</si>
  <si>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</si>
  <si>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</si>
  <si>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</si>
  <si>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</si>
  <si>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</si>
  <si>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</si>
  <si>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</si>
  <si>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</si>
  <si>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</si>
  <si>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</si>
  <si>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</si>
  <si>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</si>
  <si>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</si>
  <si>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</si>
  <si>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</si>
  <si>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</si>
  <si>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</si>
  <si>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</si>
  <si>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</si>
  <si>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</si>
  <si>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</si>
  <si>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</si>
  <si>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</si>
  <si>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</si>
  <si>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</si>
  <si>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</si>
  <si>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</si>
  <si>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</si>
  <si>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</si>
  <si>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</si>
  <si>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</si>
  <si>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</si>
  <si>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</si>
  <si>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</si>
  <si>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</si>
  <si>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</si>
  <si>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</si>
  <si>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</si>
  <si>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</si>
  <si>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</si>
  <si>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</si>
  <si>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</si>
  <si>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Russell Edward Sharrer</t>
  </si>
  <si>
    <t>1804 Opportunity Ave</t>
  </si>
  <si>
    <t>Chambersburg</t>
  </si>
  <si>
    <t>17201</t>
  </si>
  <si>
    <t>Pennsylvania State Police Department, Catasauqua Police Department</t>
  </si>
  <si>
    <t>While on his way from patrol car to booking area, the subject had an altercation with police followed by an unexplainable medical emergency and was sent to the hospital where he later died.</t>
  </si>
  <si>
    <t>http://www.tri-cityherald.com/2015/02/25/3428533_suspect-in-hospital-after-fight.html?rh=1</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</si>
  <si>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</si>
  <si>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</si>
  <si>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</si>
  <si>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</si>
  <si>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</si>
  <si>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</si>
  <si>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</si>
  <si>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</si>
  <si>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</si>
  <si>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</si>
  <si>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</si>
  <si>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</si>
  <si>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</si>
  <si>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</si>
  <si>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</si>
  <si>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</si>
  <si>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</si>
  <si>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</si>
  <si>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</si>
  <si>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</si>
  <si>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</si>
  <si>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</si>
  <si>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</si>
  <si>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</si>
  <si>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</si>
  <si>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</si>
  <si>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</si>
  <si>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</si>
  <si>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</si>
  <si>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</si>
  <si>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</si>
  <si>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</si>
  <si>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</si>
  <si>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</si>
  <si>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</si>
  <si>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</si>
  <si>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</si>
  <si>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</si>
  <si>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</si>
  <si>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</si>
  <si>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</si>
  <si>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</si>
  <si>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</si>
  <si>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</si>
  <si>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</si>
  <si>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</si>
  <si>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</si>
  <si>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</si>
  <si>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</si>
  <si>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</si>
  <si>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</si>
  <si>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</si>
  <si>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</si>
  <si>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</si>
  <si>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</si>
  <si>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</si>
  <si>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</si>
  <si>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</si>
  <si>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</si>
  <si>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</si>
  <si>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</si>
  <si>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</si>
  <si>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</si>
  <si>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</si>
  <si>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</si>
  <si>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</si>
  <si>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</si>
  <si>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</si>
  <si>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</si>
  <si>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</si>
  <si>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</si>
  <si>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</si>
  <si>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</si>
  <si>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</si>
  <si>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</si>
  <si>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</si>
  <si>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</si>
  <si>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</si>
  <si>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</si>
  <si>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</si>
  <si>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</si>
  <si>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</si>
  <si>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</si>
  <si>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</si>
  <si>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</si>
  <si>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</si>
  <si>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</si>
  <si>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</si>
  <si>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</si>
  <si>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</si>
  <si>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</si>
  <si>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</si>
  <si>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</si>
  <si>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</si>
  <si>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</si>
  <si>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</si>
  <si>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</si>
  <si>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</si>
  <si>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</si>
  <si>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</si>
  <si>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</si>
  <si>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</si>
  <si>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</si>
  <si>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</si>
  <si>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</si>
  <si>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</si>
  <si>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</si>
  <si>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</si>
  <si>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</si>
  <si>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</si>
  <si>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</si>
  <si>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</si>
  <si>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</si>
  <si>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</si>
  <si>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</si>
  <si>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</si>
  <si>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</si>
  <si>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</si>
  <si>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</si>
  <si>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</si>
  <si>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</si>
  <si>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</si>
  <si>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</si>
  <si>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</si>
  <si>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</si>
  <si>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</si>
  <si>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</si>
  <si>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</si>
  <si>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</si>
  <si>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</si>
  <si>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</si>
  <si>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</si>
  <si>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</si>
  <si>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</si>
  <si>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</si>
  <si>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</si>
  <si>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</si>
  <si>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</si>
  <si>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</si>
  <si>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</si>
  <si>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</si>
  <si>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</si>
  <si>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</si>
  <si>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</si>
  <si>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</si>
  <si>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</si>
  <si>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</si>
  <si>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</si>
  <si>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</si>
  <si>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</si>
  <si>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</si>
  <si>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</si>
  <si>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</si>
  <si>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</si>
  <si>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</si>
  <si>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</si>
  <si>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</si>
  <si>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</si>
  <si>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</si>
  <si>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</si>
  <si>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</si>
  <si>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</si>
  <si>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</si>
  <si>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</si>
  <si>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</si>
  <si>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</si>
  <si>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</si>
  <si>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</si>
  <si>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</si>
  <si>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</si>
  <si>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</si>
  <si>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</si>
  <si>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</si>
  <si>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</si>
  <si>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</si>
  <si>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</si>
  <si>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</si>
  <si>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</si>
  <si>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</si>
  <si>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</si>
  <si>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</si>
  <si>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</si>
  <si>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</si>
  <si>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</si>
  <si>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</si>
  <si>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</si>
  <si>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</si>
  <si>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</si>
  <si>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</si>
  <si>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</si>
  <si>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</si>
  <si>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</si>
  <si>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</si>
  <si>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</si>
  <si>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</si>
  <si>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</si>
  <si>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</si>
  <si>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</si>
  <si>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</si>
  <si>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</si>
  <si>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</si>
  <si>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</si>
  <si>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</si>
  <si>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</si>
  <si>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</si>
  <si>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</si>
  <si>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</si>
  <si>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</si>
  <si>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</si>
  <si>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</si>
  <si>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</si>
  <si>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</si>
  <si>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</si>
  <si>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</si>
  <si>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</si>
  <si>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</si>
  <si>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</si>
  <si>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</si>
  <si>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</si>
  <si>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</si>
  <si>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</si>
  <si>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</si>
  <si>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</si>
  <si>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</si>
  <si>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</si>
  <si>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</si>
  <si>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</si>
  <si>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</si>
  <si>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</si>
  <si>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</si>
  <si>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</si>
  <si>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</si>
  <si>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</si>
  <si>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</si>
  <si>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</si>
  <si>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</si>
  <si>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</si>
  <si>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</si>
  <si>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</si>
  <si>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</si>
  <si>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</si>
  <si>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</si>
  <si>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</si>
  <si>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</si>
  <si>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</si>
  <si>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</si>
  <si>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</si>
  <si>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</si>
  <si>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</si>
  <si>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</si>
  <si>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</si>
  <si>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</si>
  <si>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</si>
  <si>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</si>
  <si>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</si>
  <si>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</si>
  <si>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</si>
  <si>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</si>
  <si>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</si>
  <si>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</si>
  <si>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</si>
  <si>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</si>
  <si>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</si>
  <si>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</si>
  <si>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</si>
  <si>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</si>
  <si>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</si>
  <si>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</si>
  <si>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</si>
  <si>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</si>
  <si>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</si>
  <si>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</si>
  <si>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</si>
  <si>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</si>
  <si>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</si>
  <si>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</si>
  <si>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</si>
  <si>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</si>
  <si>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</si>
  <si>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</si>
  <si>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</si>
  <si>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</si>
  <si>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</si>
  <si>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</si>
  <si>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</si>
  <si>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</si>
  <si>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</si>
  <si>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</si>
  <si>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</si>
  <si>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</si>
  <si>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</si>
  <si>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</si>
  <si>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</si>
  <si>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</si>
  <si>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</si>
  <si>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</si>
  <si>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</si>
  <si>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</si>
  <si>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</si>
  <si>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</si>
  <si>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</si>
  <si>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</si>
  <si>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</si>
  <si>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</si>
  <si>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</si>
  <si>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</si>
  <si>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</si>
  <si>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</si>
  <si>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</si>
  <si>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</si>
  <si>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</si>
  <si>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</si>
  <si>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</si>
  <si>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</si>
  <si>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</si>
  <si>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</si>
  <si>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</si>
  <si>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</si>
  <si>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</si>
  <si>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</si>
  <si>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</si>
  <si>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</si>
  <si>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</si>
  <si>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</si>
  <si>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</si>
  <si>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</si>
  <si>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</si>
  <si>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</si>
  <si>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</si>
  <si>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</si>
  <si>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</si>
  <si>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</si>
  <si>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</si>
  <si>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</si>
  <si>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</si>
  <si>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</si>
  <si>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</si>
  <si>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</si>
  <si>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</si>
  <si>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</si>
  <si>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</si>
  <si>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</si>
  <si>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</si>
  <si>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</si>
  <si>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</si>
  <si>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</si>
  <si>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</si>
  <si>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</si>
  <si>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</si>
  <si>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</si>
  <si>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</si>
  <si>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</si>
  <si>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</si>
  <si>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</si>
  <si>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</si>
  <si>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</si>
  <si>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</si>
  <si>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</si>
  <si>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</si>
  <si>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</si>
  <si>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</si>
  <si>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</si>
  <si>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</si>
  <si>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</si>
  <si>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</si>
  <si>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</si>
  <si>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</si>
  <si>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</si>
  <si>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</si>
  <si>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</si>
  <si>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</si>
  <si>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</si>
  <si>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</si>
  <si>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</si>
  <si>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</si>
  <si>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</si>
  <si>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</si>
  <si>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</si>
  <si>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</si>
  <si>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</si>
  <si>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</si>
  <si>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</si>
  <si>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</si>
  <si>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</si>
  <si>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</si>
  <si>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</si>
  <si>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</si>
  <si>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</si>
  <si>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</si>
  <si>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</si>
  <si>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</si>
  <si>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</si>
  <si>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</si>
  <si>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</si>
  <si>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</si>
  <si>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</si>
  <si>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</si>
  <si>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</si>
  <si>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</si>
  <si>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</si>
  <si>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</si>
  <si>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</si>
  <si>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</si>
  <si>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</si>
  <si>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</si>
  <si>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</si>
  <si>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</si>
  <si>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</si>
  <si>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</si>
  <si>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</si>
  <si>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</si>
  <si>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</si>
  <si>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</si>
  <si>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</si>
  <si>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</si>
  <si>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</si>
  <si>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</si>
  <si>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</si>
  <si>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</si>
  <si>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</si>
  <si>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</si>
  <si>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</si>
  <si>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</si>
  <si>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</si>
  <si>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</si>
  <si>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</si>
  <si>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</si>
  <si>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</si>
  <si>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</si>
  <si>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</si>
  <si>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</si>
  <si>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</si>
  <si>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</si>
  <si>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</si>
  <si>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</si>
  <si>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</si>
  <si>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</si>
  <si>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</si>
  <si>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</si>
  <si>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</si>
  <si>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</si>
  <si>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</si>
  <si>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</si>
  <si>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</si>
  <si>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</si>
  <si>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</si>
  <si>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</si>
  <si>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</si>
  <si>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</si>
  <si>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</si>
  <si>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</si>
  <si>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</si>
  <si>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</si>
  <si>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</si>
  <si>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</si>
  <si>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</si>
  <si>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</si>
  <si>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</si>
  <si>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</si>
  <si>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</si>
  <si>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</si>
  <si>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</si>
  <si>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</si>
  <si>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</si>
  <si>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</si>
  <si>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</si>
  <si>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</si>
  <si>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</si>
  <si>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</si>
  <si>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</si>
  <si>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</si>
  <si>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</si>
  <si>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</si>
  <si>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</si>
  <si>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</si>
  <si>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</si>
  <si>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</si>
  <si>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</si>
  <si>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</si>
  <si>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</si>
  <si>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</si>
  <si>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</si>
  <si>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</si>
  <si>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</si>
  <si>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</si>
  <si>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</si>
  <si>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</si>
  <si>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</si>
  <si>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</si>
  <si>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</si>
  <si>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</si>
  <si>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</si>
  <si>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</si>
  <si>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</si>
  <si>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</si>
  <si>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</si>
  <si>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</si>
  <si>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</si>
  <si>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</si>
  <si>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</si>
  <si>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</si>
  <si>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</si>
  <si>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</si>
  <si>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</si>
  <si>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</si>
  <si>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</si>
  <si>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</si>
  <si>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</si>
  <si>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</si>
  <si>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</si>
  <si>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</si>
  <si>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</si>
  <si>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</si>
  <si>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</si>
  <si>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</si>
  <si>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</si>
  <si>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</si>
  <si>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</si>
  <si>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</si>
  <si>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</si>
  <si>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</si>
  <si>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</si>
  <si>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</si>
  <si>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</si>
  <si>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</si>
  <si>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</si>
  <si>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</si>
  <si>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</si>
  <si>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</si>
  <si>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</si>
  <si>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</si>
  <si>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</si>
  <si>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</si>
  <si>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</si>
  <si>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</si>
  <si>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</si>
  <si>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</si>
  <si>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</si>
  <si>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</si>
  <si>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</si>
  <si>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</si>
  <si>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</si>
  <si>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</si>
  <si>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</si>
  <si>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</si>
  <si>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</si>
  <si>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</si>
  <si>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</si>
  <si>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</si>
  <si>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</si>
  <si>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</si>
  <si>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</si>
  <si>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</si>
  <si>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</si>
  <si>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</si>
  <si>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</si>
  <si>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</si>
  <si>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</si>
  <si>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</si>
  <si>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</si>
  <si>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</si>
  <si>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</si>
  <si>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</si>
  <si>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</si>
  <si>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</si>
  <si>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</si>
  <si>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</si>
  <si>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</si>
  <si>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</si>
  <si>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</si>
  <si>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</si>
  <si>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</si>
  <si>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</si>
  <si>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</si>
  <si>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</si>
  <si>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</si>
  <si>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</si>
  <si>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</si>
  <si>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</si>
  <si>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</si>
  <si>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</si>
  <si>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</si>
  <si>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</si>
  <si>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</si>
  <si>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</si>
  <si>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</si>
  <si>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</si>
  <si>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</si>
  <si>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</si>
  <si>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</si>
  <si>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</si>
  <si>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</si>
  <si>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</si>
  <si>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</si>
  <si>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</si>
  <si>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</si>
  <si>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</si>
  <si>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</si>
  <si>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</si>
  <si>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</si>
  <si>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</si>
  <si>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</si>
  <si>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</si>
  <si>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</si>
  <si>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</si>
  <si>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</si>
  <si>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</si>
  <si>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</si>
  <si>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</si>
  <si>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</si>
  <si>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</si>
  <si>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</si>
  <si>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</si>
  <si>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</si>
  <si>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</si>
  <si>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</si>
  <si>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Rhiannon L. Steele</t>
  </si>
  <si>
    <t>Howell Prairie Rd NE</t>
  </si>
  <si>
    <t>97381</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</si>
  <si>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</si>
  <si>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</si>
  <si>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</si>
  <si>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</si>
  <si>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</si>
  <si>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</si>
  <si>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</si>
  <si>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</si>
  <si>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</si>
  <si>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</si>
  <si>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</si>
  <si>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</si>
  <si>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</si>
  <si>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</si>
  <si>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</si>
  <si>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</si>
  <si>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</si>
  <si>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</si>
  <si>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</si>
  <si>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</si>
  <si>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</si>
  <si>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</si>
  <si>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</si>
  <si>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</si>
  <si>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</si>
  <si>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</si>
  <si>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</si>
  <si>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</si>
  <si>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</si>
  <si>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</si>
  <si>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</si>
  <si>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</si>
  <si>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</si>
  <si>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</si>
  <si>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</si>
  <si>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</si>
  <si>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</si>
  <si>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</si>
  <si>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</si>
  <si>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</si>
  <si>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</si>
  <si>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</si>
  <si>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</si>
  <si>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</si>
  <si>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</si>
  <si>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</si>
  <si>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</si>
  <si>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</si>
  <si>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</si>
  <si>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</si>
  <si>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</si>
  <si>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</si>
  <si>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</si>
  <si>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</si>
  <si>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</si>
  <si>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</si>
  <si>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</si>
  <si>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</si>
  <si>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</si>
  <si>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</si>
  <si>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</si>
  <si>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</si>
  <si>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</si>
  <si>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</si>
  <si>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</si>
  <si>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</si>
  <si>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</si>
  <si>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</si>
  <si>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</si>
  <si>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</si>
  <si>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</si>
  <si>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</si>
  <si>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</si>
  <si>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</si>
  <si>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</si>
  <si>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</si>
  <si>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</si>
  <si>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</si>
  <si>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</si>
  <si>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</si>
  <si>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</si>
  <si>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</si>
  <si>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</si>
  <si>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</si>
  <si>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</si>
  <si>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</si>
  <si>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</si>
  <si>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</si>
  <si>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</si>
  <si>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</si>
  <si>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</si>
  <si>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</si>
  <si>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</si>
  <si>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</si>
  <si>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</si>
  <si>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</si>
  <si>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</si>
  <si>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</si>
  <si>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</si>
  <si>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</si>
  <si>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</si>
  <si>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</si>
  <si>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</si>
  <si>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</si>
  <si>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</si>
  <si>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</si>
  <si>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</si>
  <si>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</si>
  <si>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</si>
  <si>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</si>
  <si>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</si>
  <si>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</si>
  <si>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</si>
  <si>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</si>
  <si>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</si>
  <si>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</si>
  <si>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</si>
  <si>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</si>
  <si>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</si>
  <si>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</si>
  <si>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</si>
  <si>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</si>
  <si>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</si>
  <si>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</si>
  <si>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</si>
  <si>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</si>
  <si>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</si>
  <si>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</si>
  <si>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</si>
  <si>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</si>
  <si>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</si>
  <si>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</si>
  <si>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</si>
  <si>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</si>
  <si>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</si>
  <si>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</si>
  <si>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</si>
  <si>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</si>
  <si>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</si>
  <si>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</si>
  <si>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</si>
  <si>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</si>
  <si>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</si>
  <si>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</si>
  <si>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</si>
  <si>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</si>
  <si>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</si>
  <si>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</si>
  <si>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</si>
  <si>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</si>
  <si>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</si>
  <si>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</si>
  <si>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</si>
  <si>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</si>
  <si>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</si>
  <si>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</si>
  <si>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</si>
  <si>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</si>
  <si>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</si>
  <si>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</si>
  <si>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</si>
  <si>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</si>
  <si>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</si>
  <si>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</si>
  <si>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</si>
  <si>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</si>
  <si>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</si>
  <si>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</si>
  <si>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</si>
  <si>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</si>
  <si>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</si>
  <si>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</si>
  <si>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</si>
  <si>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</si>
  <si>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</si>
  <si>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</si>
  <si>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</si>
  <si>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</si>
  <si>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</si>
  <si>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Van Dandt</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</si>
  <si>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</si>
  <si>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</si>
  <si>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</si>
  <si>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</si>
  <si>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</si>
  <si>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</si>
  <si>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</si>
  <si>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</si>
  <si>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</si>
  <si>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</si>
  <si>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</si>
  <si>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</si>
  <si>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</si>
  <si>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</si>
  <si>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</si>
  <si>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</si>
  <si>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</si>
  <si>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</si>
  <si>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</si>
  <si>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</si>
  <si>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</si>
  <si>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</si>
  <si>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</si>
  <si>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</si>
  <si>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</si>
  <si>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</si>
  <si>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</si>
  <si>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</si>
  <si>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</si>
  <si>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</si>
  <si>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</si>
  <si>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</si>
  <si>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</si>
  <si>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</si>
  <si>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</si>
  <si>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</si>
  <si>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</si>
  <si>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</si>
  <si>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</si>
  <si>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</si>
  <si>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</si>
  <si>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</si>
  <si>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</si>
  <si>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</si>
  <si>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</si>
  <si>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</si>
  <si>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</si>
  <si>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</si>
  <si>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</si>
  <si>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</si>
  <si>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</si>
  <si>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</si>
  <si>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</si>
  <si>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</si>
  <si>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</si>
  <si>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</si>
  <si>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</si>
  <si>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</si>
  <si>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</si>
  <si>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</si>
  <si>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</si>
  <si>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</si>
  <si>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</si>
  <si>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</si>
  <si>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</si>
  <si>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</si>
  <si>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</si>
  <si>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</si>
  <si>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</si>
  <si>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</si>
  <si>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</si>
  <si>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</si>
  <si>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</si>
  <si>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</si>
  <si>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</si>
  <si>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</si>
  <si>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</si>
  <si>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</si>
  <si>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</si>
  <si>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</si>
  <si>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</si>
  <si>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</si>
  <si>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</si>
  <si>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</si>
  <si>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</si>
  <si>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</si>
  <si>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</si>
  <si>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</si>
  <si>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</si>
  <si>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</si>
  <si>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</si>
  <si>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</si>
  <si>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</si>
  <si>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</si>
  <si>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</si>
  <si>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</si>
  <si>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</si>
  <si>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</si>
  <si>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</si>
  <si>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</si>
  <si>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</si>
  <si>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</si>
  <si>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</si>
  <si>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</si>
  <si>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</si>
  <si>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</si>
  <si>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</si>
  <si>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</si>
  <si>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</si>
  <si>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</si>
  <si>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</si>
  <si>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</si>
  <si>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</si>
  <si>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</si>
  <si>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</si>
  <si>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</si>
  <si>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</si>
  <si>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</si>
  <si>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</si>
  <si>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</si>
  <si>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</si>
  <si>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</si>
  <si>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</si>
  <si>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</si>
  <si>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</si>
  <si>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</si>
  <si>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</si>
  <si>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</si>
  <si>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</si>
  <si>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</si>
  <si>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</si>
  <si>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</si>
  <si>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</si>
  <si>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</si>
  <si>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</si>
  <si>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</si>
  <si>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</si>
  <si>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</si>
  <si>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</si>
  <si>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</si>
  <si>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</si>
  <si>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</si>
  <si>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</si>
  <si>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</si>
  <si>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</si>
  <si>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</si>
  <si>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</si>
  <si>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</si>
  <si>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</si>
  <si>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</si>
  <si>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</si>
  <si>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</si>
  <si>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</si>
  <si>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</si>
  <si>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</si>
  <si>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</si>
  <si>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</si>
  <si>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</si>
  <si>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</si>
  <si>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</si>
  <si>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</si>
  <si>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</si>
  <si>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</si>
  <si>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</si>
  <si>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</si>
  <si>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</si>
  <si>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</si>
  <si>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</si>
  <si>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</si>
  <si>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</si>
  <si>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</si>
  <si>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</si>
  <si>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</si>
  <si>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</si>
  <si>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</si>
  <si>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</si>
  <si>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</si>
  <si>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</si>
  <si>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</si>
  <si>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</si>
  <si>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</si>
  <si>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</si>
  <si>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</si>
  <si>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</si>
  <si>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</si>
  <si>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</si>
  <si>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</si>
  <si>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</si>
  <si>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</si>
  <si>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</si>
  <si>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</si>
  <si>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</si>
  <si>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</si>
  <si>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</si>
  <si>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</si>
  <si>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</si>
  <si>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</si>
  <si>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</si>
  <si>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</si>
  <si>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</si>
  <si>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</si>
  <si>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</si>
  <si>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</si>
  <si>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</si>
  <si>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</si>
  <si>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</si>
  <si>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</si>
  <si>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</si>
  <si>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</si>
  <si>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</si>
  <si>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</si>
  <si>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</si>
  <si>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</si>
  <si>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</si>
  <si>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</si>
  <si>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</si>
  <si>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</si>
  <si>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</si>
  <si>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</si>
  <si>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</si>
  <si>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</si>
  <si>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</si>
  <si>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</si>
  <si>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</si>
  <si>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</si>
  <si>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</si>
  <si>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</si>
  <si>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</si>
  <si>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</si>
  <si>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</si>
  <si>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</si>
  <si>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</si>
  <si>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</si>
  <si>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</si>
  <si>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</si>
  <si>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</si>
  <si>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</si>
  <si>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</si>
  <si>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</si>
  <si>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</si>
  <si>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</si>
  <si>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</si>
  <si>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</si>
  <si>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</si>
  <si>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</si>
  <si>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</si>
  <si>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</si>
  <si>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</si>
  <si>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</si>
  <si>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</si>
  <si>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</si>
  <si>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</si>
  <si>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</si>
  <si>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</si>
  <si>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</si>
  <si>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</si>
  <si>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</si>
  <si>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</si>
  <si>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</si>
  <si>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</si>
  <si>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</si>
  <si>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</si>
  <si>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</si>
  <si>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</si>
  <si>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</si>
  <si>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</si>
  <si>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</si>
  <si>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</si>
  <si>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</si>
  <si>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</si>
  <si>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</si>
  <si>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</si>
  <si>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</si>
  <si>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</si>
  <si>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</si>
  <si>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</si>
  <si>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</si>
  <si>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</si>
  <si>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</si>
  <si>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</si>
  <si>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</si>
  <si>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</si>
  <si>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</si>
  <si>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</si>
  <si>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</si>
  <si>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</si>
  <si>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</si>
  <si>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</si>
  <si>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</si>
  <si>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</si>
  <si>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</si>
  <si>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</si>
  <si>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</si>
  <si>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</si>
  <si>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</si>
  <si>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</si>
  <si>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</si>
  <si>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</si>
  <si>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</si>
  <si>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</si>
  <si>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</si>
  <si>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</si>
  <si>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</si>
  <si>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</si>
  <si>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</si>
  <si>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</si>
  <si>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</si>
  <si>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</si>
  <si>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</si>
  <si>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</si>
  <si>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</si>
  <si>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</si>
  <si>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</si>
  <si>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</si>
  <si>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</si>
  <si>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</si>
  <si>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</si>
  <si>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</si>
  <si>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</si>
  <si>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</si>
  <si>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</si>
  <si>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</si>
  <si>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</si>
  <si>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</si>
  <si>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</si>
  <si>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</si>
  <si>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</si>
  <si>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</si>
  <si>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</si>
  <si>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</si>
  <si>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</si>
  <si>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</si>
  <si>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</si>
  <si>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</si>
  <si>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</si>
  <si>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</si>
  <si>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</si>
  <si>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</si>
  <si>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</si>
  <si>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</si>
  <si>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</si>
  <si>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</si>
  <si>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</si>
  <si>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</si>
  <si>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</si>
  <si>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</si>
  <si>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</si>
  <si>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</si>
  <si>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</si>
  <si>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</si>
  <si>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</si>
  <si>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</si>
  <si>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</si>
  <si>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</si>
  <si>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</si>
  <si>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</si>
  <si>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</si>
  <si>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</si>
  <si>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</si>
  <si>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</si>
  <si>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</si>
  <si>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</si>
  <si>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</si>
  <si>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</si>
  <si>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</si>
  <si>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</si>
  <si>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</si>
  <si>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</si>
  <si>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</si>
  <si>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</si>
  <si>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</si>
  <si>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</si>
  <si>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</si>
  <si>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</si>
  <si>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</si>
  <si>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</si>
  <si>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</si>
  <si>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</si>
  <si>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</si>
  <si>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</si>
  <si>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</si>
  <si>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</si>
  <si>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</si>
  <si>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</si>
  <si>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</si>
  <si>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</si>
  <si>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</si>
  <si>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</si>
  <si>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</si>
  <si>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</si>
  <si>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</si>
  <si>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</si>
  <si>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</si>
  <si>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</si>
  <si>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</si>
  <si>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</si>
  <si>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</si>
  <si>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</si>
  <si>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</si>
  <si>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</si>
  <si>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</si>
  <si>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</si>
  <si>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</si>
  <si>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</si>
  <si>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</si>
  <si>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</si>
  <si>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</si>
  <si>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</si>
  <si>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</si>
  <si>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</si>
  <si>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</si>
  <si>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</si>
  <si>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</si>
  <si>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</si>
  <si>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</si>
  <si>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</si>
  <si>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</si>
  <si>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</si>
  <si>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</si>
  <si>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</si>
  <si>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</si>
  <si>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</si>
  <si>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</si>
  <si>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</si>
  <si>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</si>
  <si>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</si>
  <si>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</si>
  <si>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</si>
  <si>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</si>
  <si>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</si>
  <si>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</si>
  <si>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</si>
  <si>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</si>
  <si>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</si>
  <si>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</si>
  <si>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</si>
  <si>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</si>
  <si>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</si>
  <si>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</si>
  <si>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</si>
  <si>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</si>
  <si>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</si>
  <si>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</si>
  <si>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</si>
  <si>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</si>
  <si>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</si>
  <si>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</si>
  <si>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</si>
  <si>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</si>
  <si>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</si>
  <si>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</si>
  <si>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</si>
  <si>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</si>
  <si>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</si>
  <si>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</si>
  <si>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</si>
  <si>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</si>
  <si>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</si>
  <si>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</si>
  <si>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</si>
  <si>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</si>
  <si>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</si>
  <si>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</si>
  <si>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</si>
  <si>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</si>
  <si>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</si>
  <si>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</si>
  <si>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</si>
  <si>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</si>
  <si>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</si>
  <si>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</si>
  <si>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</si>
  <si>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</si>
  <si>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</si>
  <si>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</si>
  <si>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</si>
  <si>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</si>
  <si>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</si>
  <si>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</si>
  <si>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</si>
  <si>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</si>
  <si>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</si>
  <si>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</si>
  <si>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</si>
  <si>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</si>
  <si>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</si>
  <si>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</si>
  <si>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</si>
  <si>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</si>
  <si>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</si>
  <si>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</si>
  <si>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</si>
  <si>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</si>
  <si>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</si>
  <si>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</si>
  <si>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</si>
  <si>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</si>
  <si>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</si>
  <si>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</si>
  <si>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</si>
  <si>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</si>
  <si>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</si>
  <si>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</si>
  <si>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</si>
  <si>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</si>
  <si>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</si>
  <si>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</si>
  <si>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</si>
  <si>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</si>
  <si>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</si>
  <si>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</si>
  <si>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</si>
  <si>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</si>
  <si>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</si>
  <si>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</si>
  <si>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</si>
  <si>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</si>
  <si>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</si>
  <si>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</si>
  <si>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</si>
  <si>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</si>
  <si>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</si>
  <si>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</si>
  <si>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</si>
  <si>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</si>
  <si>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</si>
  <si>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</si>
  <si>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</si>
  <si>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</si>
  <si>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</si>
  <si>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</si>
  <si>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</si>
  <si>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</si>
  <si>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</si>
  <si>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</si>
  <si>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</si>
  <si>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</si>
  <si>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</si>
  <si>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</si>
  <si>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</si>
  <si>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</si>
  <si>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</si>
  <si>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</si>
  <si>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</si>
  <si>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</si>
  <si>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</si>
  <si>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</si>
  <si>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</si>
  <si>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</si>
  <si>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</si>
  <si>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</si>
  <si>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</si>
  <si>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</si>
  <si>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</si>
  <si>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</si>
  <si>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</si>
  <si>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</si>
  <si>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</si>
  <si>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</si>
  <si>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</si>
  <si>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</si>
  <si>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</si>
  <si>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</si>
  <si>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</si>
  <si>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</si>
  <si>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</si>
  <si>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</si>
  <si>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</si>
  <si>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</si>
  <si>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</si>
  <si>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</si>
  <si>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</si>
  <si>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</si>
  <si>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</si>
  <si>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</si>
  <si>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</si>
  <si>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</si>
  <si>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</si>
  <si>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</si>
  <si>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</si>
  <si>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</si>
  <si>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</si>
  <si>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</si>
  <si>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</si>
  <si>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</si>
  <si>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</si>
  <si>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</si>
  <si>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</si>
  <si>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</si>
  <si>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</si>
  <si>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</si>
  <si>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</si>
  <si>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</si>
  <si>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</si>
  <si>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</si>
  <si>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</si>
  <si>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</si>
  <si>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</si>
  <si>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</si>
  <si>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</si>
  <si>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</si>
  <si>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</si>
  <si>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</si>
  <si>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</si>
  <si>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</si>
  <si>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</si>
  <si>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</si>
  <si>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</si>
  <si>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</si>
  <si>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</si>
  <si>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</si>
  <si>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</si>
  <si>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</si>
  <si>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</si>
  <si>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</si>
  <si>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Joseph Lilly</t>
  </si>
  <si>
    <t>Treasure Island Rd &amp; I-80</t>
  </si>
  <si>
    <t>94130</t>
  </si>
  <si>
    <t>Motorcyclist Lilly was killed trying to elude pursing officers on the Treasure Island exit in the middle of the Bay Bridge. Lilly had no license plate. After some back-and-forth with police, Lilly miscalculated and crashed into a pole.</t>
  </si>
  <si>
    <t>http://www.sfweekly.com/thesnitch/2014/12/17/joseph-lilly-identified-as-motorcyclist-killed-during-police-chase-on-bay-bridge</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</si>
  <si>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</si>
  <si>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</si>
  <si>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</si>
  <si>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</si>
  <si>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</si>
  <si>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</si>
  <si>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</si>
  <si>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</si>
  <si>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</si>
  <si>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</si>
  <si>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</si>
  <si>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</si>
  <si>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</si>
  <si>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</si>
  <si>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</si>
  <si>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</si>
  <si>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</si>
  <si>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</si>
  <si>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</si>
  <si>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</si>
  <si>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</si>
  <si>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</si>
  <si>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</si>
  <si>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</si>
  <si>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</si>
  <si>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</si>
  <si>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</si>
  <si>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</si>
  <si>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</si>
  <si>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</si>
  <si>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</si>
  <si>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</si>
  <si>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</si>
  <si>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</si>
  <si>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</si>
  <si>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</si>
  <si>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</si>
  <si>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</si>
  <si>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</si>
  <si>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</si>
  <si>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</si>
  <si>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</si>
  <si>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</si>
  <si>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</si>
  <si>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</si>
  <si>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</si>
  <si>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</si>
  <si>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</si>
  <si>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</si>
  <si>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</si>
  <si>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</si>
  <si>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</si>
  <si>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</si>
  <si>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</si>
  <si>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</si>
  <si>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</si>
  <si>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</si>
  <si>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</si>
  <si>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</si>
  <si>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</si>
  <si>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</si>
  <si>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</si>
  <si>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</si>
  <si>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</si>
  <si>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</si>
  <si>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</si>
  <si>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</si>
  <si>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</si>
  <si>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</si>
  <si>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</si>
  <si>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</si>
  <si>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</si>
  <si>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</si>
  <si>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</si>
  <si>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</si>
  <si>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</si>
  <si>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</si>
  <si>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</si>
  <si>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</si>
  <si>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</si>
  <si>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</si>
  <si>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</si>
  <si>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</si>
  <si>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</si>
  <si>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</si>
  <si>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</si>
  <si>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</si>
  <si>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</si>
  <si>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</si>
  <si>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</si>
  <si>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</si>
  <si>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</si>
  <si>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</si>
  <si>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</si>
  <si>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</si>
  <si>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</si>
  <si>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</si>
  <si>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</si>
  <si>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</si>
  <si>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</si>
  <si>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</si>
  <si>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</si>
  <si>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</si>
  <si>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</si>
  <si>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</si>
  <si>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</si>
  <si>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</si>
  <si>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</si>
  <si>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</si>
  <si>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</si>
  <si>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</si>
  <si>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</si>
  <si>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</si>
  <si>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</si>
  <si>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</si>
  <si>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</si>
  <si>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</si>
  <si>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</si>
  <si>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</si>
  <si>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</si>
  <si>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</si>
  <si>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</si>
  <si>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</si>
  <si>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</si>
  <si>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</si>
  <si>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</si>
  <si>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</si>
  <si>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</si>
  <si>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</si>
  <si>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</si>
  <si>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</si>
  <si>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</si>
  <si>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</si>
  <si>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</si>
  <si>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</si>
  <si>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</si>
  <si>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</si>
  <si>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</si>
  <si>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</si>
  <si>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</si>
  <si>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</si>
  <si>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</si>
  <si>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</si>
  <si>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</si>
  <si>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</si>
  <si>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</si>
  <si>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</si>
  <si>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</si>
  <si>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</si>
  <si>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</si>
  <si>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</si>
  <si>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</si>
  <si>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</si>
  <si>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</si>
  <si>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</si>
  <si>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</si>
  <si>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</si>
  <si>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</si>
  <si>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</si>
  <si>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</si>
  <si>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</si>
  <si>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</si>
  <si>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</si>
  <si>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</si>
  <si>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</si>
  <si>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</si>
  <si>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</si>
  <si>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</si>
  <si>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</si>
  <si>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</si>
  <si>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</si>
  <si>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</si>
  <si>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</si>
  <si>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</si>
  <si>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</si>
  <si>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</si>
  <si>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</si>
  <si>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</si>
  <si>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</si>
  <si>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</si>
  <si>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</si>
  <si>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</si>
  <si>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</si>
  <si>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</si>
  <si>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</si>
  <si>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</si>
  <si>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</si>
  <si>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</si>
  <si>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</si>
  <si>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</si>
  <si>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</si>
  <si>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</si>
  <si>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</si>
  <si>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</si>
  <si>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</si>
  <si>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</si>
  <si>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</si>
  <si>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</si>
  <si>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</si>
  <si>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</si>
  <si>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</si>
  <si>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</si>
  <si>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</si>
  <si>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</si>
  <si>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</si>
  <si>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</si>
  <si>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</si>
  <si>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</si>
  <si>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</si>
  <si>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</si>
  <si>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</si>
  <si>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</si>
  <si>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</si>
  <si>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</si>
  <si>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</si>
  <si>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</si>
  <si>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</si>
  <si>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</si>
  <si>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</si>
  <si>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</si>
  <si>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</si>
  <si>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</si>
  <si>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</si>
  <si>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</si>
  <si>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</si>
  <si>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</si>
  <si>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</si>
  <si>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</si>
  <si>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</si>
  <si>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</si>
  <si>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</si>
  <si>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</si>
  <si>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</si>
  <si>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</si>
  <si>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</si>
  <si>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</si>
  <si>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</si>
  <si>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</si>
  <si>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</si>
  <si>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</si>
  <si>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</si>
  <si>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</si>
  <si>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</si>
  <si>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</si>
  <si>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</si>
  <si>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</si>
  <si>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</si>
  <si>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</si>
  <si>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</si>
  <si>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</si>
  <si>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</si>
  <si>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</si>
  <si>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</si>
  <si>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</si>
  <si>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</si>
  <si>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</si>
  <si>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</si>
  <si>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</si>
  <si>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</si>
  <si>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</si>
  <si>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</si>
  <si>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</si>
  <si>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</si>
  <si>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</si>
  <si>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</si>
  <si>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</si>
  <si>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</si>
  <si>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</si>
  <si>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</si>
  <si>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</si>
  <si>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</si>
  <si>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</si>
  <si>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</si>
  <si>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</si>
  <si>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</si>
  <si>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</si>
  <si>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</si>
  <si>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</si>
  <si>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</si>
  <si>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</si>
  <si>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</si>
  <si>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</si>
  <si>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</si>
  <si>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</si>
  <si>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</si>
  <si>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</si>
  <si>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</si>
  <si>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</si>
  <si>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</si>
  <si>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</si>
  <si>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</si>
  <si>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</si>
  <si>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</si>
  <si>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</si>
  <si>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</si>
  <si>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</si>
  <si>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</si>
  <si>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</si>
  <si>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</si>
  <si>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</si>
  <si>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</si>
  <si>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</si>
  <si>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</si>
  <si>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</si>
  <si>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</si>
  <si>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</si>
  <si>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</si>
  <si>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</si>
  <si>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</si>
  <si>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</si>
  <si>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</si>
  <si>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</si>
  <si>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</si>
  <si>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</si>
  <si>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</si>
  <si>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</si>
  <si>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</si>
  <si>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</si>
  <si>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</si>
  <si>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</si>
  <si>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</si>
  <si>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</si>
  <si>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</si>
  <si>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</si>
  <si>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</si>
  <si>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</si>
  <si>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</si>
  <si>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</si>
  <si>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</si>
  <si>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</si>
  <si>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</si>
  <si>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</si>
  <si>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</si>
  <si>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</si>
  <si>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</si>
  <si>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</si>
  <si>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</si>
  <si>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</si>
  <si>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</si>
  <si>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</si>
  <si>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</si>
  <si>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</si>
  <si>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</si>
  <si>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</si>
  <si>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</si>
  <si>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</si>
  <si>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</si>
  <si>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</si>
  <si>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</si>
  <si>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</si>
  <si>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</si>
  <si>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</si>
  <si>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</si>
  <si>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</si>
  <si>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</si>
  <si>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</si>
  <si>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</si>
  <si>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</si>
  <si>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</si>
  <si>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</si>
  <si>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</si>
  <si>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</si>
  <si>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</si>
  <si>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</si>
  <si>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</si>
  <si>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</si>
  <si>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</si>
  <si>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</si>
  <si>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</si>
  <si>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</si>
  <si>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</si>
  <si>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</si>
  <si>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</si>
  <si>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</si>
  <si>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</si>
  <si>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</si>
  <si>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</si>
  <si>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</si>
  <si>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</si>
  <si>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</si>
  <si>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</si>
  <si>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</si>
  <si>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</si>
  <si>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</si>
  <si>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</si>
  <si>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</si>
  <si>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</si>
  <si>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</si>
  <si>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</si>
  <si>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</si>
  <si>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</si>
  <si>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</si>
  <si>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</si>
  <si>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</si>
  <si>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</si>
  <si>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</si>
  <si>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</si>
  <si>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</si>
  <si>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</si>
  <si>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</si>
  <si>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</si>
  <si>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</si>
  <si>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</si>
  <si>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</si>
  <si>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</si>
  <si>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</si>
  <si>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</si>
  <si>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</si>
  <si>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</si>
  <si>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</si>
  <si>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</si>
  <si>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</si>
  <si>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</si>
  <si>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</si>
  <si>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</si>
  <si>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</si>
  <si>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</si>
  <si>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</si>
  <si>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</si>
  <si>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</si>
  <si>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</si>
  <si>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</si>
  <si>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</si>
  <si>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</si>
  <si>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</si>
  <si>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</si>
  <si>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</si>
  <si>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</si>
  <si>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</si>
  <si>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</si>
  <si>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</si>
  <si>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</si>
  <si>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</si>
  <si>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</si>
  <si>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</si>
  <si>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</si>
  <si>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</si>
  <si>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</si>
  <si>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</si>
  <si>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</si>
  <si>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</si>
  <si>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</si>
  <si>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</si>
  <si>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</si>
  <si>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</si>
  <si>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</si>
  <si>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</si>
  <si>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</si>
  <si>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</si>
  <si>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</si>
  <si>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</si>
  <si>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</si>
  <si>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</si>
  <si>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</si>
  <si>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</si>
  <si>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</si>
  <si>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</si>
  <si>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</si>
  <si>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</si>
  <si>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</si>
  <si>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</si>
  <si>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</si>
  <si>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</si>
  <si>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</si>
  <si>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</si>
  <si>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</si>
  <si>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</si>
  <si>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</si>
  <si>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</si>
  <si>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</si>
  <si>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</si>
  <si>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</si>
  <si>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</si>
  <si>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</si>
  <si>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</si>
  <si>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</si>
  <si>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</si>
  <si>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</si>
  <si>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</si>
  <si>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</si>
  <si>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</si>
  <si>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</si>
  <si>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</si>
  <si>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</si>
  <si>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</si>
  <si>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</si>
  <si>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</si>
  <si>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</si>
  <si>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</si>
  <si>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</si>
  <si>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</si>
  <si>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</si>
  <si>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</si>
  <si>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</si>
  <si>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</si>
  <si>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</si>
  <si>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</si>
  <si>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</si>
  <si>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</si>
  <si>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</si>
  <si>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</si>
  <si>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</si>
  <si>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</si>
  <si>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</si>
  <si>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</si>
  <si>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</si>
  <si>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</si>
  <si>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</si>
  <si>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</si>
  <si>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</si>
  <si>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</si>
  <si>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</si>
  <si>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</si>
  <si>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</si>
  <si>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</si>
  <si>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</si>
  <si>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</si>
  <si>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</si>
  <si>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</si>
  <si>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</si>
  <si>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</si>
  <si>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</si>
  <si>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</si>
  <si>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</si>
  <si>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</si>
  <si>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</si>
  <si>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</si>
  <si>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</si>
  <si>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</si>
  <si>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</si>
  <si>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</si>
  <si>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</si>
  <si>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</si>
  <si>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</si>
  <si>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</si>
  <si>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</si>
  <si>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</si>
  <si>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</si>
  <si>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</si>
  <si>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</si>
  <si>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</si>
  <si>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</si>
  <si>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</si>
  <si>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</si>
  <si>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</si>
  <si>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</si>
  <si>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</si>
  <si>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</si>
  <si>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</si>
  <si>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</si>
  <si>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</si>
  <si>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</si>
  <si>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</si>
  <si>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</si>
  <si>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</si>
  <si>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</si>
  <si>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</si>
  <si>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</si>
  <si>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</si>
  <si>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</si>
  <si>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</si>
  <si>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</si>
  <si>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</si>
  <si>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</si>
  <si>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</si>
  <si>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</si>
  <si>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</si>
  <si>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</si>
  <si>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</si>
  <si>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</si>
  <si>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</si>
  <si>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</si>
  <si>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</si>
  <si>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</si>
  <si>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</si>
  <si>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</si>
  <si>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</si>
  <si>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</si>
  <si>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</si>
  <si>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</si>
  <si>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</si>
  <si>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</si>
  <si>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</si>
  <si>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</si>
  <si>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</si>
  <si>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</si>
  <si>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</si>
  <si>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</si>
  <si>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</si>
  <si>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</si>
  <si>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</si>
  <si>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</si>
  <si>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</si>
  <si>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</si>
  <si>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</si>
  <si>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</si>
  <si>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</si>
  <si>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</si>
  <si>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</si>
  <si>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</si>
  <si>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</si>
  <si>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</si>
  <si>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</si>
  <si>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</si>
  <si>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</si>
  <si>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</si>
  <si>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</si>
  <si>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</si>
  <si>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</si>
  <si>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</si>
  <si>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</si>
  <si>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</si>
  <si>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</si>
  <si>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</si>
  <si>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</si>
  <si>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</si>
  <si>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</si>
  <si>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</si>
  <si>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</si>
  <si>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</si>
  <si>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</si>
  <si>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</si>
  <si>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</si>
  <si>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</si>
  <si>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</si>
  <si>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</si>
  <si>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</si>
  <si>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</si>
  <si>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</si>
  <si>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</si>
  <si>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</si>
  <si>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</si>
  <si>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</si>
  <si>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</si>
  <si>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</si>
  <si>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</si>
  <si>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</si>
  <si>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</si>
  <si>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</si>
  <si>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</si>
  <si>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</si>
  <si>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</si>
  <si>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</si>
  <si>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</si>
  <si>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</si>
  <si>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</si>
  <si>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</si>
  <si>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</si>
  <si>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</si>
  <si>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</si>
  <si>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</si>
  <si>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</si>
  <si>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</si>
  <si>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</si>
  <si>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Richard Lee Snouffer II</t>
  </si>
  <si>
    <t>1308 Rankin Mill Road</t>
  </si>
  <si>
    <t>McLeansville</t>
  </si>
  <si>
    <t>27301</t>
  </si>
  <si>
    <t>Guilford County Sheriff's Office</t>
  </si>
  <si>
    <t>Motorcyclist Snouffer was being chased at high speed by county deputies when his bike struck a road sign, propelling him into a cemetery fence and killing him.</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</si>
  <si>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</si>
  <si>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</si>
  <si>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</si>
  <si>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</si>
  <si>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</si>
  <si>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</si>
  <si>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</si>
  <si>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</si>
  <si>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</si>
  <si>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</si>
  <si>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</si>
  <si>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</si>
  <si>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</si>
  <si>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</si>
  <si>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</si>
  <si>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</si>
  <si>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</si>
  <si>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</si>
  <si>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</si>
  <si>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</si>
  <si>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</si>
  <si>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</si>
  <si>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</si>
  <si>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</si>
  <si>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</si>
  <si>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</si>
  <si>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</si>
  <si>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</si>
  <si>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</si>
  <si>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</si>
  <si>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</si>
  <si>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</si>
  <si>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</si>
  <si>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</si>
  <si>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</si>
  <si>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</si>
  <si>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</si>
  <si>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</si>
  <si>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</si>
  <si>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</si>
  <si>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</si>
  <si>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</si>
  <si>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</si>
  <si>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</si>
  <si>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</si>
  <si>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</si>
  <si>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</si>
  <si>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</si>
  <si>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</si>
  <si>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</si>
  <si>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</si>
  <si>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</si>
  <si>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</si>
  <si>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</si>
  <si>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</si>
  <si>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</si>
  <si>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</si>
  <si>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</si>
  <si>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</si>
  <si>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</si>
  <si>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</si>
  <si>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</si>
  <si>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</si>
  <si>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</si>
  <si>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</si>
  <si>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</si>
  <si>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</si>
  <si>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</si>
  <si>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</si>
  <si>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</si>
  <si>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</si>
  <si>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</si>
  <si>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</si>
  <si>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</si>
  <si>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</si>
  <si>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</si>
  <si>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</si>
  <si>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</si>
  <si>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</si>
  <si>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</si>
  <si>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</si>
  <si>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</si>
  <si>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</si>
  <si>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</si>
  <si>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</si>
  <si>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</si>
  <si>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</si>
  <si>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</si>
  <si>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</si>
  <si>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</si>
  <si>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</si>
  <si>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</si>
  <si>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</si>
  <si>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</si>
  <si>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</si>
  <si>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</si>
  <si>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</si>
  <si>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</si>
  <si>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</si>
  <si>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</si>
  <si>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</si>
  <si>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</si>
  <si>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</si>
  <si>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</si>
  <si>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</si>
  <si>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</si>
  <si>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</si>
  <si>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</si>
  <si>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</si>
  <si>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</si>
  <si>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</si>
  <si>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</si>
  <si>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</si>
  <si>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</si>
  <si>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</si>
  <si>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</si>
  <si>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</si>
  <si>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</si>
  <si>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</si>
  <si>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</si>
  <si>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</si>
  <si>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</si>
  <si>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</si>
  <si>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</si>
  <si>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</si>
  <si>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</si>
  <si>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</si>
  <si>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</si>
  <si>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</si>
  <si>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</si>
  <si>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</si>
  <si>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</si>
  <si>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</si>
  <si>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</si>
  <si>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</si>
  <si>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</si>
  <si>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</si>
  <si>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</si>
  <si>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</si>
  <si>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</si>
  <si>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</si>
  <si>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</si>
  <si>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</si>
  <si>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</si>
  <si>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</si>
  <si>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</si>
  <si>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</si>
  <si>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</si>
  <si>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</si>
  <si>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</si>
  <si>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</si>
  <si>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</si>
  <si>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</si>
  <si>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Noah Kirsch</t>
  </si>
  <si>
    <t>NW Lawton Rd &amp; NW 10th St</t>
  </si>
  <si>
    <t>Columbus City</t>
  </si>
  <si>
    <t>66725</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</si>
  <si>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</si>
  <si>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</si>
  <si>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</si>
  <si>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</si>
  <si>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</si>
  <si>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</si>
  <si>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</si>
  <si>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</si>
  <si>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</si>
  <si>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</si>
  <si>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</si>
  <si>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</si>
  <si>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</si>
  <si>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</si>
  <si>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</si>
  <si>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</si>
  <si>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</si>
  <si>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</si>
  <si>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</si>
  <si>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</si>
  <si>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</si>
  <si>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</si>
  <si>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</si>
  <si>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</si>
  <si>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</si>
  <si>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</si>
  <si>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</si>
  <si>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</si>
  <si>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</si>
  <si>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</si>
  <si>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</si>
  <si>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</si>
  <si>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</si>
  <si>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</si>
  <si>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</si>
  <si>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</si>
  <si>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</si>
  <si>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</si>
  <si>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</si>
  <si>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</si>
  <si>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</si>
  <si>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</si>
  <si>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</si>
  <si>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</si>
  <si>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</si>
  <si>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</si>
  <si>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</si>
  <si>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</si>
  <si>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</si>
  <si>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</si>
  <si>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</si>
  <si>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</si>
  <si>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</si>
  <si>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</si>
  <si>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</si>
  <si>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</si>
  <si>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</si>
  <si>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</si>
  <si>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</si>
  <si>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</si>
  <si>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</si>
  <si>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</si>
  <si>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</si>
  <si>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</si>
  <si>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</si>
  <si>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</si>
  <si>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</si>
  <si>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</si>
  <si>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</si>
  <si>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</si>
  <si>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</si>
  <si>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</si>
  <si>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</si>
  <si>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</si>
  <si>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</si>
  <si>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</si>
  <si>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</si>
  <si>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</si>
  <si>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</si>
  <si>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</si>
  <si>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</si>
  <si>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</si>
  <si>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</si>
  <si>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</si>
  <si>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</si>
  <si>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</si>
  <si>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</si>
  <si>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</si>
  <si>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</si>
  <si>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</si>
  <si>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</si>
  <si>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</si>
  <si>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</si>
  <si>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</si>
  <si>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</si>
  <si>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</si>
  <si>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</si>
  <si>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</si>
  <si>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</si>
  <si>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</si>
  <si>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</si>
  <si>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</si>
  <si>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</si>
  <si>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</si>
  <si>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</si>
  <si>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</si>
  <si>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</si>
  <si>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</si>
  <si>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</si>
  <si>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</si>
  <si>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</si>
  <si>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</si>
  <si>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</si>
  <si>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</si>
  <si>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City</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</si>
  <si>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</si>
  <si>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</si>
  <si>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</si>
  <si>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</si>
  <si>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</si>
  <si>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</si>
  <si>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</si>
  <si>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</si>
  <si>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</si>
  <si>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</si>
  <si>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</si>
  <si>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</si>
  <si>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</si>
  <si>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</si>
  <si>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</si>
  <si>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</si>
  <si>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</si>
  <si>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</si>
  <si>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</si>
  <si>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</si>
  <si>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</si>
  <si>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</si>
  <si>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</si>
  <si>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</si>
  <si>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</si>
  <si>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</si>
  <si>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</si>
  <si>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</si>
  <si>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</si>
  <si>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</si>
  <si>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</si>
  <si>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</si>
  <si>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</si>
  <si>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</si>
  <si>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</si>
  <si>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</si>
  <si>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</si>
  <si>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</si>
  <si>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</si>
  <si>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</si>
  <si>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</si>
  <si>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</si>
  <si>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</si>
  <si>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</si>
  <si>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</si>
  <si>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</si>
  <si>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</si>
  <si>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</si>
  <si>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</si>
  <si>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</si>
  <si>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</si>
  <si>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</si>
  <si>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</si>
  <si>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</si>
  <si>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</si>
  <si>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</si>
  <si>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</si>
  <si>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</si>
  <si>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</si>
  <si>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</si>
  <si>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</si>
  <si>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</si>
  <si>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</si>
  <si>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</si>
  <si>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</si>
  <si>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</si>
  <si>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</si>
  <si>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</si>
  <si>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</si>
  <si>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</si>
  <si>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</si>
  <si>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</si>
  <si>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</si>
  <si>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</si>
  <si>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</si>
  <si>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</si>
  <si>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</si>
  <si>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</si>
  <si>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</si>
  <si>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</si>
  <si>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</si>
  <si>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</si>
  <si>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</si>
  <si>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</si>
  <si>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</si>
  <si>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</si>
  <si>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</si>
  <si>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</si>
  <si>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</si>
  <si>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</si>
  <si>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</si>
  <si>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</si>
  <si>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</si>
  <si>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</si>
  <si>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</si>
  <si>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</si>
  <si>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</si>
  <si>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</si>
  <si>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</si>
  <si>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</si>
  <si>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</si>
  <si>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</si>
  <si>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</si>
  <si>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</si>
  <si>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</si>
  <si>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</si>
  <si>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</si>
  <si>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</si>
  <si>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</si>
  <si>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</si>
  <si>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</si>
  <si>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</si>
  <si>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</si>
  <si>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</si>
  <si>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</si>
  <si>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</si>
  <si>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</si>
  <si>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</si>
  <si>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</si>
  <si>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</si>
  <si>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</si>
  <si>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</si>
  <si>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</si>
  <si>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</si>
  <si>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</si>
  <si>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</si>
  <si>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</si>
  <si>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</si>
  <si>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</si>
  <si>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</si>
  <si>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</si>
  <si>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</si>
  <si>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</si>
  <si>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</si>
  <si>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</si>
  <si>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</si>
  <si>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</si>
  <si>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</si>
  <si>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</si>
  <si>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</si>
  <si>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</si>
  <si>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</si>
  <si>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</si>
  <si>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</si>
  <si>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</si>
  <si>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</si>
  <si>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</si>
  <si>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</si>
  <si>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</si>
  <si>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</si>
  <si>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</si>
  <si>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</si>
  <si>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</si>
  <si>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</si>
  <si>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</si>
  <si>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</si>
  <si>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</si>
  <si>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</si>
  <si>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</si>
  <si>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</si>
  <si>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</si>
  <si>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</si>
  <si>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</si>
  <si>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</si>
  <si>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</si>
  <si>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</si>
  <si>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</si>
  <si>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</si>
  <si>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</si>
  <si>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</si>
  <si>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</si>
  <si>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</si>
  <si>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</si>
  <si>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</si>
  <si>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</si>
  <si>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</si>
  <si>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</si>
  <si>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</si>
  <si>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</si>
  <si>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</si>
  <si>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</si>
  <si>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</si>
  <si>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</si>
  <si>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</si>
  <si>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</si>
  <si>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</si>
  <si>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</si>
  <si>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</si>
  <si>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</si>
  <si>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</si>
  <si>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</si>
  <si>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</si>
  <si>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</si>
  <si>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</si>
  <si>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</si>
  <si>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</si>
  <si>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</si>
  <si>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</si>
  <si>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</si>
  <si>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</si>
  <si>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</si>
  <si>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</si>
  <si>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</si>
  <si>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</si>
  <si>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</si>
  <si>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</si>
  <si>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</si>
  <si>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</si>
  <si>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</si>
  <si>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</si>
  <si>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</si>
  <si>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</si>
  <si>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</si>
  <si>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</si>
  <si>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</si>
  <si>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</si>
  <si>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</si>
  <si>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</si>
  <si>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</si>
  <si>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</si>
  <si>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</si>
  <si>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</si>
  <si>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</si>
  <si>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</si>
  <si>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</si>
  <si>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</si>
  <si>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</si>
  <si>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</si>
  <si>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</si>
  <si>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</si>
  <si>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</si>
  <si>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</si>
  <si>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</si>
  <si>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</si>
  <si>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</si>
  <si>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</si>
  <si>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</si>
  <si>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</si>
  <si>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</si>
  <si>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</si>
  <si>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</si>
  <si>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</si>
  <si>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</si>
  <si>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</si>
  <si>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</si>
  <si>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</si>
  <si>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</si>
  <si>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</si>
  <si>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</si>
  <si>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</si>
  <si>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</si>
  <si>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</si>
  <si>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</si>
  <si>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</si>
  <si>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</si>
  <si>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</si>
  <si>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</si>
  <si>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</si>
  <si>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</si>
  <si>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</si>
  <si>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</si>
  <si>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</si>
  <si>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</si>
  <si>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</si>
  <si>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</si>
  <si>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</si>
  <si>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</si>
  <si>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</si>
  <si>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</si>
  <si>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</si>
  <si>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</si>
  <si>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</si>
  <si>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</si>
  <si>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</si>
  <si>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</si>
  <si>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</si>
  <si>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</si>
  <si>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</si>
  <si>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</si>
  <si>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</si>
  <si>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</si>
  <si>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</si>
  <si>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</si>
  <si>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</si>
  <si>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</si>
  <si>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</si>
  <si>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</si>
  <si>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</si>
  <si>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</si>
  <si>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</si>
  <si>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</si>
  <si>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</si>
  <si>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</si>
  <si>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</si>
  <si>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</si>
  <si>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</si>
  <si>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</si>
  <si>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</si>
  <si>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</si>
  <si>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</si>
  <si>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</si>
  <si>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</si>
  <si>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</si>
  <si>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</si>
  <si>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</si>
  <si>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</si>
  <si>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</si>
  <si>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</si>
  <si>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</si>
  <si>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</si>
  <si>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</si>
  <si>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</si>
  <si>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</si>
  <si>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</si>
  <si>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</si>
  <si>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</si>
  <si>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</si>
  <si>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</si>
  <si>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</si>
  <si>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</si>
  <si>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</si>
  <si>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</si>
  <si>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</si>
  <si>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</si>
  <si>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</si>
  <si>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</si>
  <si>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</si>
  <si>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</si>
  <si>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</si>
  <si>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</si>
  <si>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</si>
  <si>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</si>
  <si>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</si>
  <si>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</si>
  <si>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</si>
  <si>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</si>
  <si>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</si>
  <si>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</si>
  <si>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</si>
  <si>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</si>
  <si>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</si>
  <si>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</si>
  <si>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</si>
  <si>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</si>
  <si>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</si>
  <si>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</si>
  <si>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</si>
  <si>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</si>
  <si>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</si>
  <si>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</si>
  <si>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</si>
  <si>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</si>
  <si>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</si>
  <si>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</si>
  <si>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</si>
  <si>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</si>
  <si>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</si>
  <si>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</si>
  <si>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</si>
  <si>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</si>
  <si>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</si>
  <si>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</si>
  <si>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</si>
  <si>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</si>
  <si>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</si>
  <si>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</si>
  <si>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</si>
  <si>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</si>
  <si>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</si>
  <si>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</si>
  <si>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</si>
  <si>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</si>
  <si>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</si>
  <si>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</si>
  <si>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</si>
  <si>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</si>
  <si>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</si>
  <si>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</si>
  <si>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</si>
  <si>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</si>
  <si>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</si>
  <si>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</si>
  <si>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</si>
  <si>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</si>
  <si>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</si>
  <si>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</si>
  <si>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</si>
  <si>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</si>
  <si>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</si>
  <si>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</si>
  <si>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</si>
  <si>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</si>
  <si>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</si>
  <si>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</si>
  <si>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</si>
  <si>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</si>
  <si>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</si>
  <si>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</si>
  <si>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</si>
  <si>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</si>
  <si>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</si>
  <si>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</si>
  <si>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</si>
  <si>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</si>
  <si>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</si>
  <si>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</si>
  <si>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</si>
  <si>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</si>
  <si>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</si>
  <si>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</si>
  <si>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</si>
  <si>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</si>
  <si>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</si>
  <si>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</si>
  <si>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</si>
  <si>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</si>
  <si>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</si>
  <si>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</si>
  <si>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</si>
  <si>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</si>
  <si>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</si>
  <si>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</si>
  <si>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</si>
  <si>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</si>
  <si>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</si>
  <si>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</si>
  <si>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</si>
  <si>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</si>
  <si>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</si>
  <si>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</si>
  <si>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</si>
  <si>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</si>
  <si>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</si>
  <si>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</si>
  <si>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</si>
  <si>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</si>
  <si>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</si>
  <si>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</si>
  <si>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</si>
  <si>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</si>
  <si>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</si>
  <si>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</si>
  <si>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</si>
  <si>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</si>
  <si>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</si>
  <si>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</si>
  <si>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</si>
  <si>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</si>
  <si>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</si>
  <si>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</si>
  <si>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</si>
  <si>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</si>
  <si>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</si>
  <si>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</si>
  <si>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</si>
  <si>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</si>
  <si>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</si>
  <si>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</si>
  <si>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</si>
  <si>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</si>
  <si>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</si>
  <si>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</si>
  <si>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Jashavius Everick Williams</t>
  </si>
  <si>
    <t>Robinson Church Road and Alanbrook Road</t>
  </si>
  <si>
    <t>28215</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</si>
  <si>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</si>
  <si>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</si>
  <si>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</si>
  <si>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</si>
  <si>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</si>
  <si>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</si>
  <si>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</si>
  <si>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</si>
  <si>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</si>
  <si>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</si>
  <si>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</si>
  <si>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</si>
  <si>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</si>
  <si>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</si>
  <si>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</si>
  <si>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</si>
  <si>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</si>
  <si>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</si>
  <si>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</si>
  <si>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</si>
  <si>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Cococino</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</si>
  <si>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</si>
  <si>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</si>
  <si>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</si>
  <si>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</si>
  <si>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</si>
  <si>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</si>
  <si>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</si>
  <si>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</si>
  <si>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</si>
  <si>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</si>
  <si>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</si>
  <si>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</si>
  <si>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</si>
  <si>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</si>
  <si>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</si>
  <si>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</si>
  <si>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</si>
  <si>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</si>
  <si>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</si>
  <si>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</si>
  <si>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</si>
  <si>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</si>
  <si>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</si>
  <si>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</si>
  <si>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</si>
  <si>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</si>
  <si>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</si>
  <si>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</si>
  <si>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</si>
  <si>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</si>
  <si>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</si>
  <si>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</si>
  <si>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</si>
  <si>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</si>
  <si>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</si>
  <si>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</si>
  <si>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</si>
  <si>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</si>
  <si>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</si>
  <si>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</si>
  <si>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</si>
  <si>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</si>
  <si>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</si>
  <si>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</si>
  <si>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</si>
  <si>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</si>
  <si>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</si>
  <si>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</si>
  <si>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</si>
  <si>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</si>
  <si>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</si>
  <si>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</si>
  <si>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</si>
  <si>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</si>
  <si>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</si>
  <si>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</si>
  <si>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</si>
  <si>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</si>
  <si>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</si>
  <si>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</si>
  <si>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</si>
  <si>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</si>
  <si>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</si>
  <si>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</si>
  <si>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</si>
  <si>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</si>
  <si>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</si>
  <si>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</si>
  <si>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</si>
  <si>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</si>
  <si>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</si>
  <si>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</si>
  <si>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</si>
  <si>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</si>
  <si>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</si>
  <si>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</si>
  <si>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</si>
  <si>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</si>
  <si>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</si>
  <si>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</si>
  <si>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</si>
  <si>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</si>
  <si>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</si>
  <si>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</si>
  <si>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</si>
  <si>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</si>
  <si>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</si>
  <si>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</si>
  <si>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</si>
  <si>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</si>
  <si>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</si>
  <si>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</si>
  <si>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</si>
  <si>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</si>
  <si>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</si>
  <si>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</si>
  <si>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</si>
  <si>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</si>
  <si>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</si>
  <si>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</si>
  <si>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</si>
  <si>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</si>
  <si>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</si>
  <si>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</si>
  <si>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</si>
  <si>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</si>
  <si>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</si>
  <si>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</si>
  <si>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</si>
  <si>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</si>
  <si>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</si>
  <si>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</si>
  <si>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</si>
  <si>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</si>
  <si>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</si>
  <si>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</si>
  <si>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</si>
  <si>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</si>
  <si>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</si>
  <si>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</si>
  <si>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</si>
  <si>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</si>
  <si>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</si>
  <si>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</si>
  <si>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</si>
  <si>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</si>
  <si>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</si>
  <si>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</si>
  <si>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</si>
  <si>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</si>
  <si>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</si>
  <si>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</si>
  <si>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</si>
  <si>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</si>
  <si>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</si>
  <si>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</si>
  <si>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</si>
  <si>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</si>
  <si>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</si>
  <si>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</si>
  <si>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</si>
  <si>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</si>
  <si>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</si>
  <si>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</si>
  <si>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</si>
  <si>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</si>
  <si>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</si>
  <si>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</si>
  <si>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</si>
  <si>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</si>
  <si>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</si>
  <si>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</si>
  <si>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</si>
  <si>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</si>
  <si>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</si>
  <si>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</si>
  <si>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</si>
  <si>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</si>
  <si>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</si>
  <si>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</si>
  <si>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</si>
  <si>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</si>
  <si>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</si>
  <si>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</si>
  <si>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</si>
  <si>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</si>
  <si>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</si>
  <si>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</si>
  <si>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</si>
  <si>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</si>
  <si>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</si>
  <si>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</si>
  <si>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</si>
  <si>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</si>
  <si>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</si>
  <si>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</si>
  <si>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</si>
  <si>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</si>
  <si>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</si>
  <si>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</si>
  <si>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</si>
  <si>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</si>
  <si>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</si>
  <si>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</si>
  <si>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</si>
  <si>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</si>
  <si>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</si>
  <si>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</si>
  <si>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</si>
  <si>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</si>
  <si>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</si>
  <si>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</si>
  <si>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</si>
  <si>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</si>
  <si>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</si>
  <si>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</si>
  <si>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</si>
  <si>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</si>
  <si>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</si>
  <si>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</si>
  <si>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</si>
  <si>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</si>
  <si>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</si>
  <si>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</si>
  <si>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</si>
  <si>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</si>
  <si>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</si>
  <si>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</si>
  <si>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</si>
  <si>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</si>
  <si>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</si>
  <si>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</si>
  <si>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</si>
  <si>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</si>
  <si>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</si>
  <si>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</si>
  <si>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</si>
  <si>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</si>
  <si>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</si>
  <si>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</si>
  <si>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</si>
  <si>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</si>
  <si>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</si>
  <si>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</si>
  <si>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</si>
  <si>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</si>
  <si>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</si>
  <si>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</si>
  <si>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</si>
  <si>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</si>
  <si>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</si>
  <si>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</si>
  <si>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</si>
  <si>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</si>
  <si>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</si>
  <si>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</si>
  <si>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</si>
  <si>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</si>
  <si>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</si>
  <si>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</si>
  <si>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</si>
  <si>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</si>
  <si>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</si>
  <si>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</si>
  <si>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</si>
  <si>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</si>
  <si>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</si>
  <si>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</si>
  <si>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</si>
  <si>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</si>
  <si>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</si>
  <si>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</si>
  <si>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</si>
  <si>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</si>
  <si>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</si>
  <si>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</si>
  <si>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</si>
  <si>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</si>
  <si>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</si>
  <si>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</si>
  <si>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</si>
  <si>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</si>
  <si>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</si>
  <si>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</si>
  <si>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</si>
  <si>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</si>
  <si>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</si>
  <si>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</si>
  <si>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</si>
  <si>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</si>
  <si>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</si>
  <si>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</si>
  <si>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</si>
  <si>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</si>
  <si>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</si>
  <si>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</si>
  <si>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</si>
  <si>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</si>
  <si>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</si>
  <si>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</si>
  <si>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</si>
  <si>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</si>
  <si>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</si>
  <si>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</si>
  <si>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</si>
  <si>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</si>
  <si>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</si>
  <si>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</si>
  <si>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</si>
  <si>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</si>
  <si>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</si>
  <si>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</si>
  <si>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</si>
  <si>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</si>
  <si>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</si>
  <si>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</si>
  <si>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</si>
  <si>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</si>
  <si>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</si>
  <si>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</si>
  <si>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</si>
  <si>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</si>
  <si>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</si>
  <si>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</si>
  <si>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</si>
  <si>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</si>
  <si>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</si>
  <si>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</si>
  <si>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</si>
  <si>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</si>
  <si>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</si>
  <si>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</si>
  <si>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</si>
  <si>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</si>
  <si>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</si>
  <si>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</si>
  <si>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</si>
  <si>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</si>
  <si>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</si>
  <si>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</si>
  <si>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</si>
  <si>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</si>
  <si>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</si>
  <si>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</si>
  <si>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</si>
  <si>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</si>
  <si>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</si>
  <si>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</si>
  <si>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</si>
  <si>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</si>
  <si>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</si>
  <si>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</si>
  <si>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</si>
  <si>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</si>
  <si>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</si>
  <si>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</si>
  <si>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</si>
  <si>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</si>
  <si>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</si>
  <si>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</si>
  <si>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</si>
  <si>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</si>
  <si>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</si>
  <si>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</si>
  <si>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</si>
  <si>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</si>
  <si>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</si>
  <si>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</si>
  <si>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</si>
  <si>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</si>
  <si>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</si>
  <si>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</si>
  <si>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</si>
  <si>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</si>
  <si>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</si>
  <si>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</si>
  <si>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</si>
  <si>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</si>
  <si>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</si>
  <si>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</si>
  <si>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</si>
  <si>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</si>
  <si>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</si>
  <si>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</si>
  <si>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</si>
  <si>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</si>
  <si>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</si>
  <si>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</si>
  <si>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</si>
  <si>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</si>
  <si>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</si>
  <si>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</si>
  <si>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</si>
  <si>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</si>
  <si>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</si>
  <si>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</si>
  <si>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</si>
  <si>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</si>
  <si>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</si>
  <si>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</si>
  <si>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</si>
  <si>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</si>
  <si>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</si>
  <si>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</si>
  <si>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</si>
  <si>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</si>
  <si>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</si>
  <si>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</si>
  <si>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</si>
  <si>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</si>
  <si>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</si>
  <si>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</si>
  <si>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</si>
  <si>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</si>
  <si>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</si>
  <si>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</si>
  <si>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</si>
  <si>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</si>
  <si>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</si>
  <si>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</si>
  <si>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</si>
  <si>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</si>
  <si>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</si>
  <si>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</si>
  <si>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</si>
  <si>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</si>
  <si>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</si>
  <si>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</si>
  <si>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</si>
  <si>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</si>
  <si>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</si>
  <si>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</si>
  <si>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</si>
  <si>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</si>
  <si>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</si>
  <si>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</si>
  <si>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</si>
  <si>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</si>
  <si>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</si>
  <si>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</si>
  <si>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</si>
  <si>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</si>
  <si>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</si>
  <si>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</si>
  <si>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</si>
  <si>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</si>
  <si>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</si>
  <si>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</si>
  <si>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</si>
  <si>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</si>
  <si>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</si>
  <si>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</si>
  <si>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</si>
  <si>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</si>
  <si>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</si>
  <si>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</si>
  <si>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</si>
  <si>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</si>
  <si>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</si>
  <si>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</si>
  <si>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</si>
  <si>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</si>
  <si>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</si>
  <si>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</si>
  <si>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</si>
  <si>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</si>
  <si>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</si>
  <si>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</si>
  <si>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</si>
  <si>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</si>
  <si>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</si>
  <si>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</si>
  <si>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</si>
  <si>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</si>
  <si>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</si>
  <si>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</si>
  <si>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</si>
  <si>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</si>
  <si>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</si>
  <si>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</si>
  <si>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</si>
  <si>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</si>
  <si>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</si>
  <si>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</si>
  <si>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</si>
  <si>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</si>
  <si>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</si>
  <si>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</si>
  <si>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</si>
  <si>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</si>
  <si>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</si>
  <si>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</si>
  <si>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</si>
  <si>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</si>
  <si>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</si>
  <si>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</si>
  <si>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</si>
  <si>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</si>
  <si>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</si>
  <si>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</si>
  <si>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</si>
  <si>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</si>
  <si>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</si>
  <si>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</si>
  <si>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</si>
  <si>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</si>
  <si>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</si>
  <si>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</si>
  <si>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</si>
  <si>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</si>
  <si>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</si>
  <si>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</si>
  <si>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</si>
  <si>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</si>
  <si>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</si>
  <si>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</si>
  <si>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</si>
  <si>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</si>
  <si>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</si>
  <si>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</si>
  <si>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</si>
  <si>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</si>
  <si>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</si>
  <si>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</si>
  <si>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</si>
  <si>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</si>
  <si>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</si>
  <si>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</si>
  <si>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</si>
  <si>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</si>
  <si>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</si>
  <si>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</si>
  <si>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</si>
  <si>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</si>
  <si>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</si>
  <si>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</si>
  <si>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</si>
  <si>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</si>
  <si>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</si>
  <si>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</si>
  <si>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</si>
  <si>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</si>
  <si>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</si>
  <si>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</si>
  <si>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</si>
  <si>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</si>
  <si>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</si>
  <si>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</si>
  <si>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</si>
  <si>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</si>
  <si>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</si>
  <si>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</si>
  <si>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</si>
  <si>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</si>
  <si>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</si>
  <si>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</si>
  <si>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</si>
  <si>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</si>
  <si>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</si>
  <si>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</si>
  <si>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</si>
  <si>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</si>
  <si>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</si>
  <si>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</si>
  <si>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</si>
  <si>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</si>
  <si>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</si>
  <si>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</si>
  <si>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</si>
  <si>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</si>
  <si>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</si>
  <si>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</si>
  <si>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</si>
  <si>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</si>
  <si>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</si>
  <si>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</si>
  <si>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</si>
  <si>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</si>
  <si>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</si>
  <si>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</si>
  <si>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</si>
  <si>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</si>
  <si>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</si>
  <si>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</si>
  <si>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</si>
  <si>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</si>
  <si>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</si>
  <si>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</si>
  <si>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</si>
  <si>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</si>
  <si>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</si>
  <si>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</si>
  <si>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</si>
  <si>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</si>
  <si>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</si>
  <si>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</si>
  <si>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</si>
  <si>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</si>
  <si>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</si>
  <si>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</si>
  <si>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</si>
  <si>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</si>
  <si>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</si>
  <si>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</si>
  <si>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</si>
  <si>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</si>
  <si>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</si>
  <si>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</si>
  <si>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</si>
  <si>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</si>
  <si>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</si>
  <si>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</si>
  <si>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</si>
  <si>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</si>
  <si>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</si>
  <si>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</si>
  <si>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</si>
  <si>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</si>
  <si>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</si>
  <si>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</si>
  <si>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</si>
  <si>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</si>
  <si>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</si>
  <si>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</si>
  <si>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</si>
  <si>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</si>
  <si>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</si>
  <si>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</si>
  <si>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</si>
  <si>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</si>
  <si>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</si>
  <si>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</si>
  <si>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</si>
  <si>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</si>
  <si>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</si>
  <si>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</si>
  <si>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</si>
  <si>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</si>
  <si>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</si>
  <si>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</si>
  <si>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</si>
  <si>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</si>
  <si>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</si>
  <si>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</si>
  <si>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</si>
  <si>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</si>
  <si>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</si>
  <si>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</si>
  <si>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</si>
  <si>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</si>
  <si>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</si>
  <si>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</si>
  <si>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</si>
  <si>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</si>
  <si>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</si>
  <si>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</si>
  <si>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</si>
  <si>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</si>
  <si>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</si>
  <si>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</si>
  <si>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</si>
  <si>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</si>
  <si>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</si>
  <si>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</si>
  <si>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</si>
  <si>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</si>
  <si>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</si>
  <si>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</si>
  <si>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</si>
  <si>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</si>
  <si>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</si>
  <si>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</si>
  <si>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</si>
  <si>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</si>
  <si>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</si>
  <si>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</si>
  <si>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</si>
  <si>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</si>
  <si>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</si>
  <si>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</si>
  <si>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</si>
  <si>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</si>
  <si>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</si>
  <si>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</si>
  <si>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</si>
  <si>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</si>
  <si>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</si>
  <si>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</si>
  <si>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</si>
  <si>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</si>
  <si>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</si>
  <si>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</si>
  <si>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</si>
  <si>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</si>
  <si>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</si>
  <si>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</si>
  <si>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</si>
  <si>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</si>
  <si>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</si>
  <si>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</si>
  <si>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</si>
  <si>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</si>
  <si>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</si>
  <si>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</si>
  <si>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</si>
  <si>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</si>
  <si>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</si>
  <si>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</si>
  <si>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</si>
  <si>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</si>
  <si>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</si>
  <si>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</si>
  <si>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</si>
  <si>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</si>
  <si>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</si>
  <si>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</si>
  <si>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</si>
  <si>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</si>
  <si>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</si>
  <si>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</si>
  <si>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</si>
  <si>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</si>
  <si>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</si>
  <si>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</si>
  <si>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</si>
  <si>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</si>
  <si>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</si>
  <si>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</si>
  <si>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</si>
  <si>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</si>
  <si>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</si>
  <si>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</si>
  <si>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</si>
  <si>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</si>
  <si>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</si>
  <si>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</si>
  <si>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</si>
  <si>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</si>
  <si>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</si>
  <si>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</si>
  <si>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</si>
  <si>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</si>
  <si>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</si>
  <si>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</si>
  <si>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</si>
  <si>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</si>
  <si>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</si>
  <si>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</si>
  <si>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</si>
  <si>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</si>
  <si>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</si>
  <si>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</si>
  <si>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</si>
  <si>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</si>
  <si>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</si>
  <si>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</si>
  <si>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</si>
  <si>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</si>
  <si>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</si>
  <si>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</si>
  <si>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</si>
  <si>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</si>
  <si>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</si>
  <si>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</si>
  <si>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</si>
  <si>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</si>
  <si>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</si>
  <si>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</si>
  <si>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</si>
  <si>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</si>
  <si>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</si>
  <si>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</si>
  <si>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</si>
  <si>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</si>
  <si>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</si>
  <si>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</si>
  <si>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</si>
  <si>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</si>
  <si>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</si>
  <si>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</si>
  <si>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</si>
  <si>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</si>
  <si>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</si>
  <si>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</si>
  <si>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</si>
  <si>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</si>
  <si>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</si>
  <si>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</si>
  <si>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</si>
  <si>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</si>
  <si>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</si>
  <si>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</si>
  <si>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</si>
  <si>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</si>
  <si>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</si>
  <si>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</si>
  <si>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</si>
  <si>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</si>
  <si>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</si>
  <si>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</si>
  <si>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</si>
  <si>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</si>
  <si>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</si>
  <si>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</si>
  <si>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</si>
  <si>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</si>
  <si>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</si>
  <si>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</si>
  <si>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</si>
  <si>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</si>
  <si>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</si>
  <si>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</si>
  <si>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</si>
  <si>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</si>
  <si>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</si>
  <si>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</si>
  <si>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</si>
  <si>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</si>
  <si>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</si>
  <si>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</si>
  <si>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</si>
  <si>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</si>
  <si>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</si>
  <si>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</si>
  <si>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</si>
  <si>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</si>
  <si>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</si>
  <si>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</si>
  <si>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</si>
  <si>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</si>
  <si>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</si>
  <si>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</si>
  <si>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</si>
  <si>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</si>
  <si>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</si>
  <si>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</si>
  <si>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</si>
  <si>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</si>
  <si>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</si>
  <si>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</si>
  <si>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</si>
  <si>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</si>
  <si>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</si>
  <si>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</si>
  <si>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</si>
  <si>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</si>
  <si>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</si>
  <si>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</si>
  <si>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</si>
  <si>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</si>
  <si>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</si>
  <si>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</si>
  <si>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</si>
  <si>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</si>
  <si>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</si>
  <si>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</si>
  <si>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</si>
  <si>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</si>
  <si>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</si>
  <si>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</si>
  <si>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</si>
  <si>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</si>
  <si>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Not Guilty</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</si>
  <si>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</si>
  <si>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</si>
  <si>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</si>
  <si>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</si>
  <si>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</si>
  <si>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</si>
  <si>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</si>
  <si>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</si>
  <si>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</si>
  <si>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</si>
  <si>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</si>
  <si>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</si>
  <si>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</si>
  <si>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</si>
  <si>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</si>
  <si>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</si>
  <si>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</si>
  <si>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</si>
  <si>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</si>
  <si>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</si>
  <si>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</si>
  <si>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</si>
  <si>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</si>
  <si>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</si>
  <si>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</si>
  <si>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</si>
  <si>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</si>
  <si>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</si>
  <si>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</si>
  <si>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</si>
  <si>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</si>
  <si>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</si>
  <si>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</si>
  <si>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</si>
  <si>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</si>
  <si>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</si>
  <si>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</si>
  <si>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</si>
  <si>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</si>
  <si>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</si>
  <si>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</si>
  <si>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</si>
  <si>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</si>
  <si>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</si>
  <si>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</si>
  <si>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</si>
  <si>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</si>
  <si>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</si>
  <si>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</si>
  <si>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</si>
  <si>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</si>
  <si>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</si>
  <si>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</si>
  <si>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</si>
  <si>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</si>
  <si>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</si>
  <si>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</si>
  <si>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</si>
  <si>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</si>
  <si>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</si>
  <si>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</si>
  <si>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</si>
  <si>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</si>
  <si>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</si>
  <si>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</si>
  <si>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</si>
  <si>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</si>
  <si>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</si>
  <si>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</si>
  <si>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</si>
  <si>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</si>
  <si>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</si>
  <si>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</si>
  <si>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</si>
  <si>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</si>
  <si>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</si>
  <si>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</si>
  <si>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</si>
  <si>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</si>
  <si>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</si>
  <si>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</si>
  <si>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</si>
  <si>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</si>
  <si>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</si>
  <si>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</si>
  <si>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</si>
  <si>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</si>
  <si>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</si>
  <si>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</si>
  <si>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</si>
  <si>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</si>
  <si>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</si>
  <si>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</si>
  <si>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</si>
  <si>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</si>
  <si>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</si>
  <si>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</si>
  <si>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</si>
  <si>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</si>
  <si>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</si>
  <si>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</si>
  <si>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</si>
  <si>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</si>
  <si>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</si>
  <si>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</si>
  <si>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</si>
  <si>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</si>
  <si>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</si>
  <si>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</si>
  <si>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</si>
  <si>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Wally Flex</t>
  </si>
  <si>
    <t>West 80th Street and South Lowe Avenue</t>
  </si>
  <si>
    <t>60620</t>
  </si>
  <si>
    <t>Flex was killed as the passenger of a Monte Carlo chased by local plainclothes police in connection with gang activity. His neck was broken.</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</si>
  <si>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</si>
  <si>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</si>
  <si>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</si>
  <si>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</si>
  <si>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</si>
  <si>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</si>
  <si>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</si>
  <si>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</si>
  <si>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</si>
  <si>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</si>
  <si>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</si>
  <si>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</si>
  <si>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</si>
  <si>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</si>
  <si>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</si>
  <si>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</si>
  <si>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</si>
  <si>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</si>
  <si>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</si>
  <si>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</si>
  <si>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</si>
  <si>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</si>
  <si>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</si>
  <si>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</si>
  <si>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</si>
  <si>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</si>
  <si>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</si>
  <si>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</si>
  <si>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</si>
  <si>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</si>
  <si>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</si>
  <si>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</si>
  <si>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</si>
  <si>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</si>
  <si>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</si>
  <si>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</si>
  <si>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</si>
  <si>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</si>
  <si>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</si>
  <si>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</si>
  <si>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</si>
  <si>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</si>
  <si>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</si>
  <si>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</si>
  <si>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Jeremy M. House</t>
  </si>
  <si>
    <t>http://kctv.images.worldnow.com/images/26267872_BG2.jpg</t>
  </si>
  <si>
    <t>East 45th Terrace and Pittman Road</t>
  </si>
  <si>
    <t>64133</t>
  </si>
  <si>
    <t>House lost control of his car during a brief high-speed police chase, after he fled an early-morning traffic stop. He was killed; his female passenger was seriously wounded.</t>
  </si>
  <si>
    <t>http://www.kansascity.com/news/local/crime/article1210555.html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</si>
  <si>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</si>
  <si>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</si>
  <si>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</si>
  <si>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</si>
  <si>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</si>
  <si>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</si>
  <si>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</si>
  <si>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</si>
  <si>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</si>
  <si>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</si>
  <si>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</si>
  <si>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</si>
  <si>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</si>
  <si>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</si>
  <si>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</si>
  <si>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</si>
  <si>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</si>
  <si>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</si>
  <si>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</si>
  <si>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</si>
  <si>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</si>
  <si>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</si>
  <si>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</si>
  <si>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</si>
  <si>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</si>
  <si>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</si>
  <si>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</si>
  <si>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</si>
  <si>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</si>
  <si>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</si>
  <si>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</si>
  <si>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</si>
  <si>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</si>
  <si>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</si>
  <si>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</si>
  <si>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</si>
  <si>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</si>
  <si>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</si>
  <si>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</si>
  <si>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</si>
  <si>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</si>
  <si>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</si>
  <si>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</si>
  <si>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</si>
  <si>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</si>
  <si>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</si>
  <si>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</si>
  <si>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</si>
  <si>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</si>
  <si>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</si>
  <si>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</si>
  <si>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</si>
  <si>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</si>
  <si>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</si>
  <si>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</si>
  <si>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</si>
  <si>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</si>
  <si>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</si>
  <si>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</si>
  <si>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</si>
  <si>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</si>
  <si>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</si>
  <si>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</si>
  <si>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</si>
  <si>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</si>
  <si>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</si>
  <si>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</si>
  <si>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</si>
  <si>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</si>
  <si>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</si>
  <si>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</si>
  <si>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</si>
  <si>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</si>
  <si>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</si>
  <si>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</si>
  <si>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</si>
  <si>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</si>
  <si>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</si>
  <si>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</si>
  <si>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</si>
  <si>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</si>
  <si>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</si>
  <si>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</si>
  <si>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</si>
  <si>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</si>
  <si>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</si>
  <si>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</si>
  <si>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</si>
  <si>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</si>
  <si>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</si>
  <si>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</si>
  <si>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</si>
  <si>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</si>
  <si>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</si>
  <si>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</si>
  <si>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</si>
  <si>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Juan Garcia Ahuezoteco</t>
  </si>
  <si>
    <t>http://cdn.abclocal.go.com/content/ktrk/images/cms/081114-ktrk-Juan-Garcia-Ahuezoteco.JPG</t>
  </si>
  <si>
    <t>W FM 646 Rd and Ohio Ave</t>
  </si>
  <si>
    <t>League City</t>
  </si>
  <si>
    <t>77539</t>
  </si>
  <si>
    <t>Dickinson Police Department</t>
  </si>
  <si>
    <t>http://www.galvestondailynews.com/free/article_59690302-2104-11e4-a858-001a4bcf6878.html</t>
  </si>
  <si>
    <t>Alejandro Molina</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</si>
  <si>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</si>
  <si>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</si>
  <si>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</si>
  <si>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</si>
  <si>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</si>
  <si>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</si>
  <si>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</si>
  <si>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</si>
  <si>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</si>
  <si>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</si>
  <si>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</si>
  <si>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</si>
  <si>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</si>
  <si>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</si>
  <si>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</si>
  <si>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</si>
  <si>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</si>
  <si>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</si>
  <si>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</si>
  <si>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</si>
  <si>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</si>
  <si>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</si>
  <si>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</si>
  <si>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</si>
  <si>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</si>
  <si>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</si>
  <si>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</si>
  <si>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</si>
  <si>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</si>
  <si>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</si>
  <si>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</si>
  <si>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</si>
  <si>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</si>
  <si>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</si>
  <si>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</si>
  <si>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</si>
  <si>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</si>
  <si>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</si>
  <si>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</si>
  <si>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</si>
  <si>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</si>
  <si>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</si>
  <si>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</si>
  <si>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</si>
  <si>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</si>
  <si>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</si>
  <si>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</si>
  <si>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</si>
  <si>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</si>
  <si>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</si>
  <si>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</si>
  <si>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</si>
  <si>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</si>
  <si>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</si>
  <si>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</si>
  <si>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</si>
  <si>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</si>
  <si>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</si>
  <si>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</si>
  <si>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</si>
  <si>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</si>
  <si>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</si>
  <si>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</si>
  <si>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</si>
  <si>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</si>
  <si>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</si>
  <si>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</si>
  <si>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</si>
  <si>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</si>
  <si>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</si>
  <si>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</si>
  <si>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</si>
  <si>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</si>
  <si>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</si>
  <si>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</si>
  <si>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</si>
  <si>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</si>
  <si>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</si>
  <si>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</si>
  <si>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</si>
  <si>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</si>
  <si>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</si>
  <si>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DeAngelo Woods</t>
  </si>
  <si>
    <t>http://media.jrn.com/images/384*480/D'Angelo+Woods.jpg</t>
  </si>
  <si>
    <t>I-75 and 7 Mile Rd</t>
  </si>
  <si>
    <t>Hazel Park</t>
  </si>
  <si>
    <t>48203</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</si>
  <si>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</si>
  <si>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</si>
  <si>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</si>
  <si>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</si>
  <si>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</si>
  <si>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</si>
  <si>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</si>
  <si>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</si>
  <si>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</si>
  <si>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</si>
  <si>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</si>
  <si>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</si>
  <si>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</si>
  <si>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</si>
  <si>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</si>
  <si>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</si>
  <si>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</si>
  <si>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</si>
  <si>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</si>
  <si>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</si>
  <si>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</si>
  <si>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</si>
  <si>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</si>
  <si>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</si>
  <si>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</si>
  <si>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</si>
  <si>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</si>
  <si>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</si>
  <si>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</si>
  <si>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</si>
  <si>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</si>
  <si>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</si>
  <si>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</si>
  <si>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</si>
  <si>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</si>
  <si>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</si>
  <si>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</si>
  <si>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</si>
  <si>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</si>
  <si>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</si>
  <si>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</si>
  <si>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</si>
  <si>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</si>
  <si>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</si>
  <si>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</si>
  <si>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</si>
  <si>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</si>
  <si>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</si>
  <si>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</si>
  <si>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</si>
  <si>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</si>
  <si>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</si>
  <si>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</si>
  <si>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</si>
  <si>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</si>
  <si>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</si>
  <si>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</si>
  <si>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</si>
  <si>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</si>
  <si>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</si>
  <si>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</si>
  <si>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</si>
  <si>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</si>
  <si>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</si>
  <si>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</si>
  <si>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</si>
  <si>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</si>
  <si>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</si>
  <si>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</si>
  <si>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</si>
  <si>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</si>
  <si>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</si>
  <si>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</si>
  <si>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</si>
  <si>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</si>
  <si>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</si>
  <si>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</si>
  <si>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</si>
  <si>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</si>
  <si>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</si>
  <si>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</si>
  <si>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</si>
  <si>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</si>
  <si>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</si>
  <si>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</si>
  <si>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</si>
  <si>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</si>
  <si>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</si>
  <si>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</si>
  <si>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</si>
  <si>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</si>
  <si>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</si>
  <si>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</si>
  <si>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</si>
  <si>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</si>
  <si>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Andrew Chlebo</t>
  </si>
  <si>
    <t>Girvin Road and Atlantic Blvd</t>
  </si>
  <si>
    <t>32225</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</si>
  <si>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</si>
  <si>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</si>
  <si>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</si>
  <si>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</si>
  <si>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</si>
  <si>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</si>
  <si>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</si>
  <si>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</si>
  <si>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</si>
  <si>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</si>
  <si>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</si>
  <si>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</si>
  <si>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</si>
  <si>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</si>
  <si>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</si>
  <si>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</si>
  <si>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</si>
  <si>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</si>
  <si>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</si>
  <si>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</si>
  <si>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</si>
  <si>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</si>
  <si>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</si>
  <si>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</si>
  <si>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</si>
  <si>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</si>
  <si>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</si>
  <si>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</si>
  <si>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</si>
  <si>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</si>
  <si>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</si>
  <si>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</si>
  <si>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</si>
  <si>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</si>
  <si>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</si>
  <si>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</si>
  <si>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</si>
  <si>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</si>
  <si>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</si>
  <si>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</si>
  <si>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</si>
  <si>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</si>
  <si>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</si>
  <si>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</si>
  <si>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</si>
  <si>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</si>
  <si>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</si>
  <si>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</si>
  <si>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</si>
  <si>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</si>
  <si>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</si>
  <si>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</si>
  <si>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</si>
  <si>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</si>
  <si>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</si>
  <si>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</si>
  <si>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</si>
  <si>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</si>
  <si>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</si>
  <si>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</si>
  <si>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</si>
  <si>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</si>
  <si>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</si>
  <si>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</si>
  <si>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</si>
  <si>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</si>
  <si>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</si>
  <si>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</si>
  <si>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</si>
  <si>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</si>
  <si>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</si>
  <si>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</si>
  <si>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</si>
  <si>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</si>
  <si>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</si>
  <si>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</si>
  <si>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</si>
  <si>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</si>
  <si>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</si>
  <si>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</si>
  <si>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</si>
  <si>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</si>
  <si>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</si>
  <si>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</si>
  <si>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</si>
  <si>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</si>
  <si>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</si>
  <si>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</si>
  <si>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</si>
  <si>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</si>
  <si>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</si>
  <si>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</si>
  <si>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</si>
  <si>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</si>
  <si>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</si>
  <si>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</si>
  <si>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</si>
  <si>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</si>
  <si>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</si>
  <si>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</si>
  <si>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</si>
  <si>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</si>
  <si>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</si>
  <si>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</si>
  <si>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</si>
  <si>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</si>
  <si>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</si>
  <si>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</si>
  <si>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</si>
  <si>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</si>
  <si>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</si>
  <si>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</si>
  <si>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</si>
  <si>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</si>
  <si>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</si>
  <si>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</si>
  <si>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</si>
  <si>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</si>
  <si>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</si>
  <si>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</si>
  <si>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</si>
  <si>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</si>
  <si>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</si>
  <si>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</si>
  <si>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</si>
  <si>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</si>
  <si>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</si>
  <si>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</si>
  <si>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</si>
  <si>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</si>
  <si>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</si>
  <si>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</si>
  <si>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</si>
  <si>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</si>
  <si>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</si>
  <si>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</si>
  <si>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</si>
  <si>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</si>
  <si>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</si>
  <si>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</si>
  <si>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</si>
  <si>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</si>
  <si>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</si>
  <si>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</si>
  <si>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</si>
  <si>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</si>
  <si>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</si>
  <si>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</si>
  <si>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</si>
  <si>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</si>
  <si>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</si>
  <si>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</si>
  <si>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</si>
  <si>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Matthew Robinson</t>
  </si>
  <si>
    <t>http://mediaassets.redding.com/photo/2014/07/28/Robinson_cropped_1406591440591_7107493_ver1.0_900_675.jpg</t>
  </si>
  <si>
    <t>2750 Eureka Way</t>
  </si>
  <si>
    <t>96001</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</si>
  <si>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</si>
  <si>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</si>
  <si>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</si>
  <si>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</si>
  <si>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</si>
  <si>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</si>
  <si>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</si>
  <si>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</si>
  <si>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</si>
  <si>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</si>
  <si>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</si>
  <si>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</si>
  <si>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</si>
  <si>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</si>
  <si>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</si>
  <si>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</si>
  <si>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</si>
  <si>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</si>
  <si>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</si>
  <si>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</si>
  <si>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</si>
  <si>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</si>
  <si>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</si>
  <si>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</si>
  <si>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</si>
  <si>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</si>
  <si>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</si>
  <si>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</si>
  <si>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</si>
  <si>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</si>
  <si>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</si>
  <si>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</si>
  <si>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</si>
  <si>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</si>
  <si>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</si>
  <si>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</si>
  <si>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</si>
  <si>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</si>
  <si>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</si>
  <si>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</si>
  <si>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</si>
  <si>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</si>
  <si>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</si>
  <si>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</si>
  <si>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</si>
  <si>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</si>
  <si>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</si>
  <si>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</si>
  <si>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</si>
  <si>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</si>
  <si>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</si>
  <si>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</si>
  <si>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</si>
  <si>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</si>
  <si>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</si>
  <si>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</si>
  <si>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</si>
  <si>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</si>
  <si>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</si>
  <si>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</si>
  <si>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</si>
  <si>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</si>
  <si>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</si>
  <si>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</si>
  <si>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</si>
  <si>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</si>
  <si>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</si>
  <si>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</si>
  <si>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</si>
  <si>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</si>
  <si>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</si>
  <si>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</si>
  <si>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</si>
  <si>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</si>
  <si>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</si>
  <si>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</si>
  <si>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</si>
  <si>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</si>
  <si>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</si>
  <si>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</si>
  <si>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</si>
  <si>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</si>
  <si>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</si>
  <si>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</si>
  <si>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</si>
  <si>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</si>
  <si>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</si>
  <si>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</si>
  <si>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</si>
  <si>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</si>
  <si>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</si>
  <si>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</si>
  <si>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</si>
  <si>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</si>
  <si>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</si>
  <si>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</si>
  <si>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</si>
  <si>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</si>
  <si>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</si>
  <si>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</si>
  <si>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</si>
  <si>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</si>
  <si>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</si>
  <si>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</si>
  <si>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</si>
  <si>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</si>
  <si>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</si>
  <si>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</si>
  <si>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</si>
  <si>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</si>
  <si>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</si>
  <si>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</si>
  <si>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</si>
  <si>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</si>
  <si>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</si>
  <si>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</si>
  <si>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</si>
  <si>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</si>
  <si>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</si>
  <si>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</si>
  <si>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</si>
  <si>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</si>
  <si>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</si>
  <si>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</si>
  <si>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</si>
  <si>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</si>
  <si>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</si>
  <si>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</si>
  <si>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</si>
  <si>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</si>
  <si>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</si>
  <si>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</si>
  <si>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</si>
  <si>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</si>
  <si>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</si>
  <si>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</si>
  <si>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</si>
  <si>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</si>
  <si>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</si>
  <si>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</si>
  <si>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</si>
  <si>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</si>
  <si>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</si>
  <si>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</si>
  <si>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</si>
  <si>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</si>
  <si>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</si>
  <si>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</si>
  <si>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</si>
  <si>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</si>
  <si>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</si>
  <si>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</si>
  <si>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</si>
  <si>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</si>
  <si>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</si>
  <si>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</si>
  <si>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</si>
  <si>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</si>
  <si>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</si>
  <si>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</si>
  <si>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</si>
  <si>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</si>
  <si>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</si>
  <si>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</si>
  <si>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</si>
  <si>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</si>
  <si>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</si>
  <si>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</si>
  <si>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</si>
  <si>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</si>
  <si>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</si>
  <si>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</si>
  <si>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</si>
  <si>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</si>
  <si>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</si>
  <si>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</si>
  <si>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</si>
  <si>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</si>
  <si>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</si>
  <si>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</si>
  <si>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</si>
  <si>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</si>
  <si>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</si>
  <si>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</si>
  <si>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</si>
  <si>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</si>
  <si>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</si>
  <si>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</si>
  <si>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</si>
  <si>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</si>
  <si>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</si>
  <si>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</si>
  <si>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</si>
  <si>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</si>
  <si>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</si>
  <si>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</si>
  <si>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</si>
  <si>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</si>
  <si>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</si>
  <si>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</si>
  <si>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</si>
  <si>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</si>
  <si>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</si>
  <si>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</si>
  <si>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</si>
  <si>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</si>
  <si>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</si>
  <si>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</si>
  <si>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</si>
  <si>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</si>
  <si>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</si>
  <si>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</si>
  <si>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</si>
  <si>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</si>
  <si>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</si>
  <si>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</si>
  <si>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</si>
  <si>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</si>
  <si>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</si>
  <si>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</si>
  <si>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</si>
  <si>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</si>
  <si>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</si>
  <si>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</si>
  <si>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</si>
  <si>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</si>
  <si>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</si>
  <si>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</si>
  <si>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</si>
  <si>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</si>
  <si>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</si>
  <si>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</si>
  <si>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</si>
  <si>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</si>
  <si>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</si>
  <si>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</si>
  <si>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</si>
  <si>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</si>
  <si>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</si>
  <si>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</si>
  <si>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</si>
  <si>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</si>
  <si>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</si>
  <si>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</si>
  <si>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</si>
  <si>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</si>
  <si>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</si>
  <si>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</si>
  <si>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</si>
  <si>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</si>
  <si>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</si>
  <si>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</si>
  <si>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</si>
  <si>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</si>
  <si>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</si>
  <si>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</si>
  <si>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</si>
  <si>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</si>
  <si>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</si>
  <si>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</si>
  <si>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</si>
  <si>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</si>
  <si>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</si>
  <si>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</si>
  <si>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</si>
  <si>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</si>
  <si>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</si>
  <si>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</si>
  <si>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</si>
  <si>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</si>
  <si>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</si>
  <si>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</si>
  <si>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</si>
  <si>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</si>
  <si>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</si>
  <si>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</si>
  <si>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</si>
  <si>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</si>
  <si>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</si>
  <si>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</si>
  <si>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</si>
  <si>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</si>
  <si>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</si>
  <si>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</si>
  <si>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</si>
  <si>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</si>
  <si>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</si>
  <si>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</si>
  <si>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</si>
  <si>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</si>
  <si>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</si>
  <si>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</si>
  <si>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</si>
  <si>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</si>
  <si>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</si>
  <si>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</si>
  <si>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</si>
  <si>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</si>
  <si>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</si>
  <si>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</si>
  <si>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</si>
  <si>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</si>
  <si>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</si>
  <si>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</si>
  <si>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</si>
  <si>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</si>
  <si>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</si>
  <si>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</si>
  <si>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</si>
  <si>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</si>
  <si>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</si>
  <si>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</si>
  <si>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</si>
  <si>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</si>
  <si>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</si>
  <si>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</si>
  <si>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</si>
  <si>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</si>
  <si>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</si>
  <si>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</si>
  <si>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</si>
  <si>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</si>
  <si>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</si>
  <si>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</si>
  <si>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</si>
  <si>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</si>
  <si>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</si>
  <si>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</si>
  <si>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</si>
  <si>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</si>
  <si>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</si>
  <si>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</si>
  <si>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</si>
  <si>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</si>
  <si>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</si>
  <si>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</si>
  <si>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</si>
  <si>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</si>
  <si>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</si>
  <si>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</si>
  <si>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</si>
  <si>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</si>
  <si>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</si>
  <si>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</si>
  <si>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</si>
  <si>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</si>
  <si>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</si>
  <si>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</si>
  <si>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</si>
  <si>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</si>
  <si>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</si>
  <si>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</si>
  <si>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</si>
  <si>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</si>
  <si>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</si>
  <si>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</si>
  <si>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</si>
  <si>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</si>
  <si>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</si>
  <si>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</si>
  <si>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Jose Franco</t>
  </si>
  <si>
    <t>http://www.gannett-cdn.com/-mm-/804624694b9c09d9af6cba7ff45321192b42866f/c=0-283-640-645&amp;r=x1803&amp;c=3200x1800/local/-/media/KENS/KENS/2014/09/17/1410962820000-FRANCO.png</t>
  </si>
  <si>
    <t>22502 U.S. Highway 281 N #101</t>
  </si>
  <si>
    <t>78259</t>
  </si>
  <si>
    <t>Franco was in a store allegedly committing fraud or stealing a phone and ran into a parking lot when confronted by police. Officer Robert Mount tasered, pepper sprayed and hit him with a baton. Mount and Officer Roland Pacheco arrested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</si>
  <si>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</si>
  <si>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</si>
  <si>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</si>
  <si>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</si>
  <si>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</si>
  <si>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</si>
  <si>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</si>
  <si>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</si>
  <si>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</si>
  <si>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</si>
  <si>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</si>
  <si>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</si>
  <si>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</si>
  <si>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</si>
  <si>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</si>
  <si>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</si>
  <si>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</si>
  <si>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</si>
  <si>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</si>
  <si>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</si>
  <si>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</si>
  <si>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</si>
  <si>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</si>
  <si>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</si>
  <si>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</si>
  <si>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</si>
  <si>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</si>
  <si>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</si>
  <si>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</si>
  <si>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</si>
  <si>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</si>
  <si>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</si>
  <si>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</si>
  <si>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</si>
  <si>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</si>
  <si>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</si>
  <si>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</si>
  <si>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</si>
  <si>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</si>
  <si>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</si>
  <si>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</si>
  <si>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</si>
  <si>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</si>
  <si>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</si>
  <si>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</si>
  <si>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</si>
  <si>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</si>
  <si>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</si>
  <si>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</si>
  <si>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</si>
  <si>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</si>
  <si>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</si>
  <si>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</si>
  <si>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</si>
  <si>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</si>
  <si>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</si>
  <si>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</si>
  <si>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</si>
  <si>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</si>
  <si>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</si>
  <si>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</si>
  <si>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</si>
  <si>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</si>
  <si>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</si>
  <si>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</si>
  <si>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</si>
  <si>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</si>
  <si>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</si>
  <si>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</si>
  <si>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</si>
  <si>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</si>
  <si>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</si>
  <si>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</si>
  <si>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</si>
  <si>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</si>
  <si>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</si>
  <si>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</si>
  <si>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</si>
  <si>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</si>
  <si>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</si>
  <si>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</si>
  <si>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</si>
  <si>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</si>
  <si>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</si>
  <si>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</si>
  <si>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</si>
  <si>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</si>
  <si>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</si>
  <si>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</si>
  <si>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</si>
  <si>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</si>
  <si>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</si>
  <si>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</si>
  <si>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</si>
  <si>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</si>
  <si>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</si>
  <si>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</si>
  <si>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</si>
  <si>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</si>
  <si>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</si>
  <si>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</si>
  <si>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</si>
  <si>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</si>
  <si>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</si>
  <si>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</si>
  <si>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</si>
  <si>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</si>
  <si>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</si>
  <si>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</si>
  <si>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</si>
  <si>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</si>
  <si>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</si>
  <si>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</si>
  <si>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</si>
  <si>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</si>
  <si>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</si>
  <si>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</si>
  <si>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</si>
  <si>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</si>
  <si>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</si>
  <si>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</si>
  <si>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</si>
  <si>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</si>
  <si>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</si>
  <si>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</si>
  <si>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</si>
  <si>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</si>
  <si>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</si>
  <si>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</si>
  <si>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</si>
  <si>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</si>
  <si>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</si>
  <si>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</si>
  <si>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</si>
  <si>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</si>
  <si>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</si>
  <si>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</si>
  <si>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</si>
  <si>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</si>
  <si>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</si>
  <si>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</si>
  <si>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</si>
  <si>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</si>
  <si>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</si>
  <si>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</si>
  <si>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Adam Alcozer</t>
  </si>
  <si>
    <t>http://bloximages.chicago2.vip.townnews.com/wahpetondailynews.com/content/tncms/assets/v3/editorial/1/04/10416ff6-0229-11e4-a334-0019bb2963f4/53b46eb309ba1.image.jpg</t>
  </si>
  <si>
    <t>300 Sixth Street North</t>
  </si>
  <si>
    <t>Wahpeton</t>
  </si>
  <si>
    <t>58075</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</si>
  <si>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</si>
  <si>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</si>
  <si>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</si>
  <si>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</si>
  <si>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</si>
  <si>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</si>
  <si>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</si>
  <si>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</si>
  <si>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</si>
  <si>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</si>
  <si>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</si>
  <si>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</si>
  <si>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</si>
  <si>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</si>
  <si>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</si>
  <si>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</si>
  <si>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</si>
  <si>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</si>
  <si>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</si>
  <si>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</si>
  <si>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</si>
  <si>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</si>
  <si>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</si>
  <si>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</si>
  <si>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</si>
  <si>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</si>
  <si>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</si>
  <si>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</si>
  <si>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</si>
  <si>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Richard Flick Shryne</t>
  </si>
  <si>
    <t>http://theavtimes.com/wp-content/uploads/2014/06/Richard-Flick-Shryne-3.jpg</t>
  </si>
  <si>
    <t>40500 163rd Street East</t>
  </si>
  <si>
    <t>93535</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</si>
  <si>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</si>
  <si>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</si>
  <si>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</si>
  <si>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</si>
  <si>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</si>
  <si>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</si>
  <si>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</si>
  <si>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</si>
  <si>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</si>
  <si>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</si>
  <si>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</si>
  <si>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</si>
  <si>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</si>
  <si>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</si>
  <si>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</si>
  <si>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</si>
  <si>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</si>
  <si>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</si>
  <si>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</si>
  <si>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</si>
  <si>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</si>
  <si>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</si>
  <si>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</si>
  <si>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</si>
  <si>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</si>
  <si>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</si>
  <si>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</si>
  <si>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</si>
  <si>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</si>
  <si>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</si>
  <si>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</si>
  <si>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</si>
  <si>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</si>
  <si>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</si>
  <si>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</si>
  <si>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</si>
  <si>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</si>
  <si>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</si>
  <si>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</si>
  <si>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</si>
  <si>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</si>
  <si>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</si>
  <si>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</si>
  <si>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</si>
  <si>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</si>
  <si>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</si>
  <si>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</si>
  <si>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</si>
  <si>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</si>
  <si>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</si>
  <si>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</si>
  <si>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</si>
  <si>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</si>
  <si>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</si>
  <si>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</si>
  <si>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</si>
  <si>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</si>
  <si>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</si>
  <si>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</si>
  <si>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</si>
  <si>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</si>
  <si>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</si>
  <si>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</si>
  <si>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</si>
  <si>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</si>
  <si>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</si>
  <si>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</si>
  <si>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</si>
  <si>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</si>
  <si>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</si>
  <si>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</si>
  <si>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</si>
  <si>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</si>
  <si>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</si>
  <si>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</si>
  <si>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</si>
  <si>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</si>
  <si>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</si>
  <si>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</si>
  <si>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</si>
  <si>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</si>
  <si>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</si>
  <si>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</si>
  <si>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</si>
  <si>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</si>
  <si>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</si>
  <si>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</si>
  <si>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</si>
  <si>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</si>
  <si>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</si>
  <si>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</si>
  <si>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</si>
  <si>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</si>
  <si>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</si>
  <si>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</si>
  <si>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</si>
  <si>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</si>
  <si>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</si>
  <si>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</si>
  <si>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</si>
  <si>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</si>
  <si>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</si>
  <si>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</si>
  <si>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</si>
  <si>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</si>
  <si>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</si>
  <si>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</si>
  <si>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</si>
  <si>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</si>
  <si>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</si>
  <si>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</si>
  <si>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</si>
  <si>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</si>
  <si>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</si>
  <si>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</si>
  <si>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</si>
  <si>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</si>
  <si>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</si>
  <si>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</si>
  <si>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</si>
  <si>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</si>
  <si>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</si>
  <si>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</si>
  <si>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</si>
  <si>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</si>
  <si>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</si>
  <si>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</si>
  <si>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</si>
  <si>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</si>
  <si>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</si>
  <si>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</si>
  <si>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</si>
  <si>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</si>
  <si>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</si>
  <si>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</si>
  <si>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</si>
  <si>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</si>
  <si>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</si>
  <si>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</si>
  <si>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</si>
  <si>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</si>
  <si>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</si>
  <si>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</si>
  <si>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</si>
  <si>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</si>
  <si>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</si>
  <si>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</si>
  <si>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</si>
  <si>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</si>
  <si>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</si>
  <si>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</si>
  <si>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</si>
  <si>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</si>
  <si>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</si>
  <si>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</si>
  <si>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</si>
  <si>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</si>
  <si>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</si>
  <si>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</si>
  <si>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</si>
  <si>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</si>
  <si>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</si>
  <si>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</si>
  <si>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</si>
  <si>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</si>
  <si>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</si>
  <si>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</si>
  <si>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</si>
  <si>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</si>
  <si>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</si>
  <si>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</si>
  <si>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</si>
  <si>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</si>
  <si>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</si>
  <si>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</si>
  <si>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</si>
  <si>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</si>
  <si>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</si>
  <si>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</si>
  <si>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</si>
  <si>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</si>
  <si>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</si>
  <si>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</si>
  <si>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</si>
  <si>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</si>
  <si>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</si>
  <si>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</si>
  <si>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</si>
  <si>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</si>
  <si>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</si>
  <si>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</si>
  <si>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</si>
  <si>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</si>
  <si>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</si>
  <si>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</si>
  <si>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</si>
  <si>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</si>
  <si>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</si>
  <si>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</si>
  <si>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</si>
  <si>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</si>
  <si>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</si>
  <si>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</si>
  <si>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</si>
  <si>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</si>
  <si>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</si>
  <si>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</si>
  <si>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</si>
  <si>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</si>
  <si>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</si>
  <si>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</si>
  <si>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</si>
  <si>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</si>
  <si>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</si>
  <si>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</si>
  <si>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</si>
  <si>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</si>
  <si>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</si>
  <si>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</si>
  <si>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</si>
  <si>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</si>
  <si>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</si>
  <si>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</si>
  <si>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</si>
  <si>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</si>
  <si>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</si>
  <si>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</si>
  <si>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</si>
  <si>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</si>
  <si>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</si>
  <si>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</si>
  <si>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</si>
  <si>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</si>
  <si>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</si>
  <si>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</si>
  <si>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</si>
  <si>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</si>
  <si>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</si>
  <si>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</si>
  <si>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</si>
  <si>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</si>
  <si>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</si>
  <si>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</si>
  <si>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</si>
  <si>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</si>
  <si>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</si>
  <si>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</si>
  <si>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</si>
  <si>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</si>
  <si>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</si>
  <si>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</si>
  <si>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</si>
  <si>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</si>
  <si>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</si>
  <si>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</si>
  <si>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</si>
  <si>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</si>
  <si>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</si>
  <si>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</si>
  <si>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</si>
  <si>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</si>
  <si>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</si>
  <si>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</si>
  <si>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</si>
  <si>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</si>
  <si>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</si>
  <si>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</si>
  <si>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</si>
  <si>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</si>
  <si>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</si>
  <si>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</si>
  <si>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</si>
  <si>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</si>
  <si>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</si>
  <si>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</si>
  <si>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</si>
  <si>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</si>
  <si>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</si>
  <si>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</si>
  <si>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</si>
  <si>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</si>
  <si>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</si>
  <si>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</si>
  <si>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</si>
  <si>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</si>
  <si>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</si>
  <si>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</si>
  <si>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</si>
  <si>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</si>
  <si>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</si>
  <si>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</si>
  <si>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</si>
  <si>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</si>
  <si>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</si>
  <si>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</si>
  <si>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</si>
  <si>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</si>
  <si>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</si>
  <si>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</si>
  <si>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</si>
  <si>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</si>
  <si>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</si>
  <si>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</si>
  <si>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</si>
  <si>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</si>
  <si>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</si>
  <si>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</si>
  <si>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</si>
  <si>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</si>
  <si>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</si>
  <si>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</si>
  <si>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</si>
  <si>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</si>
  <si>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</si>
  <si>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</si>
  <si>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</si>
  <si>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</si>
  <si>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</si>
  <si>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</si>
  <si>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</si>
  <si>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</si>
  <si>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</si>
  <si>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</si>
  <si>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</si>
  <si>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</si>
  <si>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</si>
  <si>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</si>
  <si>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</si>
  <si>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</si>
  <si>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</si>
  <si>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</si>
  <si>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</si>
  <si>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</si>
  <si>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</si>
  <si>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</si>
  <si>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</si>
  <si>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</si>
  <si>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</si>
  <si>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</si>
  <si>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</si>
  <si>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</si>
  <si>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</si>
  <si>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</si>
  <si>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</si>
  <si>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</si>
  <si>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</si>
  <si>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</si>
  <si>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</si>
  <si>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</si>
  <si>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</si>
  <si>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</si>
  <si>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</si>
  <si>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</si>
  <si>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</si>
  <si>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</si>
  <si>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</si>
  <si>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Travis Tellone</t>
  </si>
  <si>
    <t>https://2dbdd5116ffa30a49aa8-c03f075f8191fb4e60e74b907071aee8.ssl.cf1.rackcdn.com/1573398_1403232947.6009.jpg</t>
  </si>
  <si>
    <t>Cross Hill Avenue and Corbalis Place</t>
  </si>
  <si>
    <t>Yonkers</t>
  </si>
  <si>
    <t>10703</t>
  </si>
  <si>
    <t>Yonkers Police Department</t>
  </si>
  <si>
    <t>Tellone was suspect of breaking into cars when he got into a struggle with officers. During the struggle he suffered an apparent heart attack and died.</t>
  </si>
  <si>
    <t>http://www.lohud.com/story/news/crime/2014/06/13/yonkers-police-identify-man-died-foot-chase/10416385/</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</si>
  <si>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</si>
  <si>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</si>
  <si>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</si>
  <si>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</si>
  <si>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</si>
  <si>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</si>
  <si>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</si>
  <si>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</si>
  <si>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</si>
  <si>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</si>
  <si>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</si>
  <si>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</si>
  <si>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</si>
  <si>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</si>
  <si>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</si>
  <si>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</si>
  <si>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</si>
  <si>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</si>
  <si>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</si>
  <si>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</si>
  <si>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</si>
  <si>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</si>
  <si>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</si>
  <si>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</si>
  <si>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</si>
  <si>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</si>
  <si>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</si>
  <si>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</si>
  <si>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</si>
  <si>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</si>
  <si>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</si>
  <si>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</si>
  <si>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</si>
  <si>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</si>
  <si>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</si>
  <si>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</si>
  <si>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</si>
  <si>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</si>
  <si>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</si>
  <si>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</si>
  <si>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</si>
  <si>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</si>
  <si>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</si>
  <si>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</si>
  <si>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</si>
  <si>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</si>
  <si>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</si>
  <si>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</si>
  <si>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</si>
  <si>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</si>
  <si>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</si>
  <si>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</si>
  <si>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</si>
  <si>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</si>
  <si>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</si>
  <si>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</si>
  <si>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</si>
  <si>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</si>
  <si>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</si>
  <si>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</si>
  <si>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</si>
  <si>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</si>
  <si>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</si>
  <si>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</si>
  <si>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</si>
  <si>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</si>
  <si>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</si>
  <si>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</si>
  <si>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</si>
  <si>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</si>
  <si>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</si>
  <si>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</si>
  <si>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</si>
  <si>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</si>
  <si>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</si>
  <si>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</si>
  <si>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</si>
  <si>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</si>
  <si>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</si>
  <si>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</si>
  <si>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</si>
  <si>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</si>
  <si>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</si>
  <si>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</si>
  <si>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</si>
  <si>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</si>
  <si>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</si>
  <si>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</si>
  <si>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</si>
  <si>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</si>
  <si>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</si>
  <si>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</si>
  <si>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</si>
  <si>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</si>
  <si>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</si>
  <si>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</si>
  <si>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</si>
  <si>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</si>
  <si>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</si>
  <si>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</si>
  <si>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</si>
  <si>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</si>
  <si>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</si>
  <si>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</si>
  <si>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</si>
  <si>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</si>
  <si>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</si>
  <si>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</si>
  <si>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</si>
  <si>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</si>
  <si>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</si>
  <si>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</si>
  <si>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</si>
  <si>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</si>
  <si>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</si>
  <si>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</si>
  <si>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</si>
  <si>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</si>
  <si>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</si>
  <si>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</si>
  <si>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</si>
  <si>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</si>
  <si>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</si>
  <si>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</si>
  <si>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</si>
  <si>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</si>
  <si>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</si>
  <si>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</si>
  <si>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</si>
  <si>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</si>
  <si>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</si>
  <si>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</si>
  <si>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</si>
  <si>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</si>
  <si>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</si>
  <si>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</si>
  <si>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</si>
  <si>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</si>
  <si>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</si>
  <si>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</si>
  <si>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</si>
  <si>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</si>
  <si>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</si>
  <si>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</si>
  <si>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</si>
  <si>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</si>
  <si>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</si>
  <si>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</si>
  <si>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</si>
  <si>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</si>
  <si>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</si>
  <si>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</si>
  <si>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</si>
  <si>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</si>
  <si>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</si>
  <si>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</si>
  <si>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</si>
  <si>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</si>
  <si>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</si>
  <si>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</si>
  <si>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</si>
  <si>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</si>
  <si>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</si>
  <si>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</si>
  <si>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</si>
  <si>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</si>
  <si>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</si>
  <si>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</si>
  <si>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</si>
  <si>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</si>
  <si>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</si>
  <si>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</si>
  <si>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</si>
  <si>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</si>
  <si>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</si>
  <si>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</si>
  <si>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</si>
  <si>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</si>
  <si>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</si>
  <si>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</si>
  <si>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</si>
  <si>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</si>
  <si>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</si>
  <si>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</si>
  <si>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</si>
  <si>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</si>
  <si>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</si>
  <si>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</si>
  <si>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</si>
  <si>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</si>
  <si>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</si>
  <si>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</si>
  <si>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</si>
  <si>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</si>
  <si>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</si>
  <si>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</si>
  <si>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</si>
  <si>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</si>
  <si>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</si>
  <si>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</si>
  <si>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</si>
  <si>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</si>
  <si>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</si>
  <si>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</si>
  <si>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</si>
  <si>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</si>
  <si>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</si>
  <si>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</si>
  <si>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</si>
  <si>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</si>
  <si>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</si>
  <si>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</si>
  <si>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</si>
  <si>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</si>
  <si>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</si>
  <si>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</si>
  <si>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</si>
  <si>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</si>
  <si>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</si>
  <si>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</si>
  <si>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</si>
  <si>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</si>
  <si>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</si>
  <si>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</si>
  <si>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</si>
  <si>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</si>
  <si>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</si>
  <si>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</si>
  <si>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</si>
  <si>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</si>
  <si>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</si>
  <si>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</si>
  <si>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</si>
  <si>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</si>
  <si>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</si>
  <si>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</si>
  <si>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</si>
  <si>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</si>
  <si>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</si>
  <si>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</si>
  <si>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</si>
  <si>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</si>
  <si>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</si>
  <si>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</si>
  <si>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</si>
  <si>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</si>
  <si>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</si>
  <si>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</si>
  <si>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</si>
  <si>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</si>
  <si>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</si>
  <si>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</si>
  <si>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</si>
  <si>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</si>
  <si>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</si>
  <si>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</si>
  <si>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</si>
  <si>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</si>
  <si>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</si>
  <si>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</si>
  <si>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</si>
  <si>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</si>
  <si>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</si>
  <si>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</si>
  <si>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</si>
  <si>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</si>
  <si>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</si>
  <si>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</si>
  <si>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</si>
  <si>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</si>
  <si>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</si>
  <si>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</si>
  <si>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</si>
  <si>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</si>
  <si>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</si>
  <si>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</si>
  <si>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</si>
  <si>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</si>
  <si>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</si>
  <si>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</si>
  <si>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</si>
  <si>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</si>
  <si>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</si>
  <si>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</si>
  <si>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</si>
  <si>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</si>
  <si>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</si>
  <si>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</si>
  <si>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</si>
  <si>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</si>
  <si>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</si>
  <si>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</si>
  <si>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</si>
  <si>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</si>
  <si>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</si>
  <si>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</si>
  <si>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</si>
  <si>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</si>
  <si>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</si>
  <si>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</si>
  <si>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</si>
  <si>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</si>
  <si>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</si>
  <si>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</si>
  <si>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</si>
  <si>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</si>
  <si>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</si>
  <si>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</si>
  <si>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</si>
  <si>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</si>
  <si>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</si>
  <si>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</si>
  <si>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</si>
  <si>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</si>
  <si>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</si>
  <si>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</si>
  <si>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</si>
  <si>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</si>
  <si>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</si>
  <si>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</si>
  <si>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</si>
  <si>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</si>
  <si>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</si>
  <si>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</si>
  <si>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</si>
  <si>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</si>
  <si>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</si>
  <si>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</si>
  <si>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</si>
  <si>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</si>
  <si>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</si>
  <si>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</si>
  <si>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</si>
  <si>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</si>
  <si>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</si>
  <si>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</si>
  <si>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</si>
  <si>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</si>
  <si>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</si>
  <si>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</si>
  <si>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</si>
  <si>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</si>
  <si>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</si>
  <si>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</si>
  <si>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</si>
  <si>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</si>
  <si>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</si>
  <si>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</si>
  <si>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</si>
  <si>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</si>
  <si>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</si>
  <si>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</si>
  <si>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</si>
  <si>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</si>
  <si>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</si>
  <si>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</si>
  <si>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</si>
  <si>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</si>
  <si>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</si>
  <si>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</si>
  <si>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</si>
  <si>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</si>
  <si>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</si>
  <si>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</si>
  <si>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</si>
  <si>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</si>
  <si>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</si>
  <si>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</si>
  <si>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</si>
  <si>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</si>
  <si>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</si>
  <si>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</si>
  <si>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</si>
  <si>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</si>
  <si>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</si>
  <si>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</si>
  <si>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</si>
  <si>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</si>
  <si>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</si>
  <si>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</si>
  <si>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</si>
  <si>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</si>
  <si>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</si>
  <si>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</si>
  <si>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</si>
  <si>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</si>
  <si>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</si>
  <si>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</si>
  <si>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</si>
  <si>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</si>
  <si>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</si>
  <si>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</si>
  <si>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</si>
  <si>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</si>
  <si>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</si>
  <si>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</si>
  <si>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</si>
  <si>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</si>
  <si>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</si>
  <si>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</si>
  <si>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</si>
  <si>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</si>
  <si>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</si>
  <si>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</si>
  <si>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</si>
  <si>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</si>
  <si>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</si>
  <si>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</si>
  <si>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</si>
  <si>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</si>
  <si>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</si>
  <si>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</si>
  <si>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Craig J. McKinnis</t>
  </si>
  <si>
    <t>http://www.ksjails.info/images2/CRAIG-MCKINNIS-232857956473858.jpg</t>
  </si>
  <si>
    <t>500 Stewart Avenue</t>
  </si>
  <si>
    <t>66101</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</si>
  <si>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</si>
  <si>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http://www.wibw.com/home/headlines/Kansas-Man-Dies-After-Struggle-With-Police-260416911.html</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</si>
  <si>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</si>
  <si>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</si>
  <si>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</si>
  <si>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</si>
  <si>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</si>
  <si>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</si>
  <si>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</si>
  <si>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</si>
  <si>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</si>
  <si>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</si>
  <si>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</si>
  <si>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</si>
  <si>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</si>
  <si>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</si>
  <si>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</si>
  <si>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</si>
  <si>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</si>
  <si>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</si>
  <si>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</si>
  <si>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</si>
  <si>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</si>
  <si>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</si>
  <si>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</si>
  <si>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</si>
  <si>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</si>
  <si>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</si>
  <si>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</si>
  <si>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</si>
  <si>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</si>
  <si>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</si>
  <si>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</si>
  <si>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</si>
  <si>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</si>
  <si>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</si>
  <si>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</si>
  <si>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</si>
  <si>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</si>
  <si>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</si>
  <si>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</si>
  <si>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</si>
  <si>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</si>
  <si>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</si>
  <si>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</si>
  <si>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</si>
  <si>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</si>
  <si>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</si>
  <si>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</si>
  <si>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</si>
  <si>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</si>
  <si>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</si>
  <si>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</si>
  <si>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</si>
  <si>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</si>
  <si>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</si>
  <si>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</si>
  <si>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</si>
  <si>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</si>
  <si>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</si>
  <si>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</si>
  <si>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</si>
  <si>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</si>
  <si>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</si>
  <si>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</si>
  <si>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</si>
  <si>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</si>
  <si>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</si>
  <si>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</si>
  <si>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</si>
  <si>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</si>
  <si>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</si>
  <si>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</si>
  <si>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</si>
  <si>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</si>
  <si>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</si>
  <si>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</si>
  <si>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</si>
  <si>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</si>
  <si>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</si>
  <si>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</si>
  <si>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</si>
  <si>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</si>
  <si>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</si>
  <si>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</si>
  <si>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</si>
  <si>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</si>
  <si>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</si>
  <si>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</si>
  <si>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</si>
  <si>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</si>
  <si>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</si>
  <si>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</si>
  <si>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</si>
  <si>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</si>
  <si>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</si>
  <si>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</si>
  <si>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</si>
  <si>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</si>
  <si>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</si>
  <si>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</si>
  <si>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</si>
  <si>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</si>
  <si>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</si>
  <si>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</si>
  <si>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</si>
  <si>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</si>
  <si>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</si>
  <si>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</si>
  <si>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</si>
  <si>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</si>
  <si>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</si>
  <si>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</si>
  <si>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</si>
  <si>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</si>
  <si>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</si>
  <si>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</si>
  <si>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</si>
  <si>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</si>
  <si>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</si>
  <si>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</si>
  <si>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</si>
  <si>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</si>
  <si>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</si>
  <si>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</si>
  <si>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</si>
  <si>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</si>
  <si>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</si>
  <si>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</si>
  <si>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</si>
  <si>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</si>
  <si>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</si>
  <si>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</si>
  <si>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</si>
  <si>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</si>
  <si>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</si>
  <si>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</si>
  <si>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</si>
  <si>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</si>
  <si>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</si>
  <si>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</si>
  <si>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</si>
  <si>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</si>
  <si>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</si>
  <si>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</si>
  <si>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</si>
  <si>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</si>
  <si>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</si>
  <si>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</si>
  <si>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</si>
  <si>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</si>
  <si>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</si>
  <si>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</si>
  <si>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</si>
  <si>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</si>
  <si>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</si>
  <si>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</si>
  <si>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</si>
  <si>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</si>
  <si>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</si>
  <si>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</si>
  <si>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</si>
  <si>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</si>
  <si>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</si>
  <si>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</si>
  <si>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</si>
  <si>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</si>
  <si>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</si>
  <si>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</si>
  <si>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</si>
  <si>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</si>
  <si>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</si>
  <si>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</si>
  <si>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</si>
  <si>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</si>
  <si>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</si>
  <si>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</si>
  <si>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</si>
  <si>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</si>
  <si>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</si>
  <si>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</si>
  <si>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</si>
  <si>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</si>
  <si>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</si>
  <si>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</si>
  <si>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</si>
  <si>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</si>
  <si>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</si>
  <si>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</si>
  <si>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</si>
  <si>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</si>
  <si>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</si>
  <si>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</si>
  <si>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</si>
  <si>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</si>
  <si>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</si>
  <si>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</si>
  <si>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</si>
  <si>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</si>
  <si>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</si>
  <si>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</si>
  <si>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</si>
  <si>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</si>
  <si>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</si>
  <si>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</si>
  <si>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</si>
  <si>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</si>
  <si>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</si>
  <si>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</si>
  <si>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</si>
  <si>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</si>
  <si>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</si>
  <si>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</si>
  <si>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</si>
  <si>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</si>
  <si>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</si>
  <si>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</si>
  <si>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</si>
  <si>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</si>
  <si>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</si>
  <si>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</si>
  <si>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</si>
  <si>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</si>
  <si>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</si>
  <si>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</si>
  <si>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</si>
  <si>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</si>
  <si>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</si>
  <si>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</si>
  <si>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</si>
  <si>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</si>
  <si>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</si>
  <si>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</si>
  <si>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</si>
  <si>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</si>
  <si>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</si>
  <si>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</si>
  <si>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</si>
  <si>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</si>
  <si>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</si>
  <si>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</si>
  <si>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</si>
  <si>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</si>
  <si>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</si>
  <si>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</si>
  <si>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</si>
  <si>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Jeromy Goode</t>
  </si>
  <si>
    <t>https://d3jpl91pxevbkh.cloudfront.net/gf/image/upload/c_fill,g_face,h_340,w_647/v1400597591/jKXao1U6TsOvh0DwXsnOtw.jpg</t>
  </si>
  <si>
    <t>Imperial Main St &amp; I-55</t>
  </si>
  <si>
    <t>63052</t>
  </si>
  <si>
    <t>Missouri State Highway Patrol</t>
  </si>
  <si>
    <t>Driver Jeromy Goode took off from a traffic stop for speeding with three passengers in the car. State troopers chased him at high speed down I-55 for 25 miles. Goode's SUV then failed to negotiate an exit, flipped, and the collision killed him and two others: Leon Haywood and Lavoy Steed.</t>
  </si>
  <si>
    <t>http://stlouis.cbslocal.com/2014/05/12/3-killed-in-jefferson-county-police-chase-identified/</t>
  </si>
  <si>
    <t>Leon Haywood</t>
  </si>
  <si>
    <t>Lavoy Steed</t>
  </si>
  <si>
    <t>http://laynemortuary.frontrunnerpro.com/include/storage/174097/DeathRecordStub/1869527/converted/150x178-2731543.jpg</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</si>
  <si>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</si>
  <si>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</si>
  <si>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</si>
  <si>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</si>
  <si>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</si>
  <si>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</si>
  <si>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</si>
  <si>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</si>
  <si>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</si>
  <si>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</si>
  <si>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</si>
  <si>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Jaie M. Perrizo</t>
  </si>
  <si>
    <t>2127 Solomons Island Rd S</t>
  </si>
  <si>
    <t>Prince Frederick</t>
  </si>
  <si>
    <t>20678</t>
  </si>
  <si>
    <t>Calvert</t>
  </si>
  <si>
    <t>When a state trooper pulled over Perrizo's Mitsubishi, he was initially cooperative, then took off northbound on Route 4. After a three-minute, three-and-a-half-mile chase where he tried to double back southbound, the Mitsubishi struck a Ford Escape and fatally injured Perrizo.</t>
  </si>
  <si>
    <t>http://www.orlandosentinel.com/bs-md-fatal-crash-police-pursuit-20140511-story.html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</si>
  <si>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</si>
  <si>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</si>
  <si>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</si>
  <si>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</si>
  <si>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</si>
  <si>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</si>
  <si>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</si>
  <si>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</si>
  <si>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</si>
  <si>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</si>
  <si>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</si>
  <si>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</si>
  <si>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</si>
  <si>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</si>
  <si>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</si>
  <si>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</si>
  <si>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</si>
  <si>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</si>
  <si>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</si>
  <si>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</si>
  <si>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</si>
  <si>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</si>
  <si>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</si>
  <si>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</si>
  <si>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</si>
  <si>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</si>
  <si>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</si>
  <si>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</si>
  <si>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</si>
  <si>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</si>
  <si>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</si>
  <si>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</si>
  <si>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</si>
  <si>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</si>
  <si>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</si>
  <si>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</si>
  <si>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</si>
  <si>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</si>
  <si>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</si>
  <si>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</si>
  <si>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</si>
  <si>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</si>
  <si>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</si>
  <si>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</si>
  <si>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</si>
  <si>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</si>
  <si>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</si>
  <si>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</si>
  <si>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</si>
  <si>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</si>
  <si>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</si>
  <si>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</si>
  <si>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</si>
  <si>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</si>
  <si>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</si>
  <si>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</si>
  <si>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</si>
  <si>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</si>
  <si>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</si>
  <si>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</si>
  <si>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</si>
  <si>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</si>
  <si>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</si>
  <si>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</si>
  <si>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</si>
  <si>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</si>
  <si>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</si>
  <si>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</si>
  <si>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</si>
  <si>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</si>
  <si>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</si>
  <si>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</si>
  <si>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</si>
  <si>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</si>
  <si>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</si>
  <si>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</si>
  <si>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</si>
  <si>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</si>
  <si>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</si>
  <si>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</si>
  <si>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</si>
  <si>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</si>
  <si>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</si>
  <si>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</si>
  <si>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</si>
  <si>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</si>
  <si>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</si>
  <si>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</si>
  <si>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</si>
  <si>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</si>
  <si>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</si>
  <si>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</si>
  <si>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</si>
  <si>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</si>
  <si>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</si>
  <si>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</si>
  <si>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</si>
  <si>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</si>
  <si>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</si>
  <si>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</si>
  <si>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</si>
  <si>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</si>
  <si>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</si>
  <si>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</si>
  <si>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</si>
  <si>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</si>
  <si>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</si>
  <si>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</si>
  <si>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</si>
  <si>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</si>
  <si>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</si>
  <si>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</si>
  <si>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</si>
  <si>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</si>
  <si>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</si>
  <si>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</si>
  <si>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</si>
  <si>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</si>
  <si>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</si>
  <si>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</si>
  <si>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</si>
  <si>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</si>
  <si>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</si>
  <si>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</si>
  <si>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</si>
  <si>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</si>
  <si>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</si>
  <si>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</si>
  <si>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</si>
  <si>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</si>
  <si>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</si>
  <si>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</si>
  <si>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</si>
  <si>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</si>
  <si>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</si>
  <si>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</si>
  <si>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</si>
  <si>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</si>
  <si>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</si>
  <si>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</si>
  <si>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</si>
  <si>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</si>
  <si>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</si>
  <si>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</si>
  <si>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</si>
  <si>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</si>
  <si>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</si>
  <si>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</si>
  <si>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</si>
  <si>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</si>
  <si>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</si>
  <si>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</si>
  <si>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</si>
  <si>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</si>
  <si>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</si>
  <si>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</si>
  <si>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</si>
  <si>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</si>
  <si>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</si>
  <si>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</si>
  <si>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</si>
  <si>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</si>
  <si>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</si>
  <si>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</si>
  <si>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Jerome Dexter Christmas</t>
  </si>
  <si>
    <t>http://ksla.images.worldnow.com/images/25422732_BG2.jpg</t>
  </si>
  <si>
    <t>1100 Highland Ave</t>
  </si>
  <si>
    <t>71101</t>
  </si>
  <si>
    <t>After refusing to follow officer orders, Christmas allegedly began struggling with officers, forcing them to subdue him using a taser. He soon became unconscious, and suffered a cardiac arrest while struggling with police.</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</si>
  <si>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</si>
  <si>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</si>
  <si>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</si>
  <si>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</si>
  <si>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</si>
  <si>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</si>
  <si>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</si>
  <si>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</si>
  <si>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</si>
  <si>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</si>
  <si>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</si>
  <si>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</si>
  <si>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</si>
  <si>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</si>
  <si>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</si>
  <si>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</si>
  <si>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</si>
  <si>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</si>
  <si>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</si>
  <si>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</si>
  <si>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</si>
  <si>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</si>
  <si>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</si>
  <si>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</si>
  <si>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</si>
  <si>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</si>
  <si>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</si>
  <si>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</si>
  <si>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</si>
  <si>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</si>
  <si>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</si>
  <si>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</si>
  <si>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</si>
  <si>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</si>
  <si>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</si>
  <si>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</si>
  <si>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</si>
  <si>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</si>
  <si>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</si>
  <si>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</si>
  <si>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</si>
  <si>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</si>
  <si>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</si>
  <si>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</si>
  <si>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</si>
  <si>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</si>
  <si>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</si>
  <si>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</si>
  <si>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</si>
  <si>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</si>
  <si>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</si>
  <si>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</si>
  <si>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</si>
  <si>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</si>
  <si>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</si>
  <si>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</si>
  <si>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</si>
  <si>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</si>
  <si>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</si>
  <si>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</si>
  <si>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</si>
  <si>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</si>
  <si>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</si>
  <si>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</si>
  <si>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</si>
  <si>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</si>
  <si>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</si>
  <si>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</si>
  <si>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</si>
  <si>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</si>
  <si>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</si>
  <si>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</si>
  <si>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</si>
  <si>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</si>
  <si>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</si>
  <si>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</si>
  <si>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</si>
  <si>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</si>
  <si>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</si>
  <si>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</si>
  <si>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</si>
  <si>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</si>
  <si>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</si>
  <si>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</si>
  <si>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</si>
  <si>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</si>
  <si>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</si>
  <si>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</si>
  <si>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</si>
  <si>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</si>
  <si>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</si>
  <si>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</si>
  <si>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</si>
  <si>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</si>
  <si>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</si>
  <si>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</si>
  <si>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</si>
  <si>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</si>
  <si>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</si>
  <si>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</si>
  <si>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</si>
  <si>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</si>
  <si>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</si>
  <si>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</si>
  <si>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</si>
  <si>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</si>
  <si>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</si>
  <si>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</si>
  <si>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</si>
  <si>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</si>
  <si>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</si>
  <si>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</si>
  <si>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</si>
  <si>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</si>
  <si>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</si>
  <si>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</si>
  <si>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</si>
  <si>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</si>
  <si>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</si>
  <si>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</si>
  <si>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</si>
  <si>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</si>
  <si>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</si>
  <si>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</si>
  <si>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</si>
  <si>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</si>
  <si>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</si>
  <si>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</si>
  <si>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</si>
  <si>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</si>
  <si>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</si>
  <si>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</si>
  <si>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</si>
  <si>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</si>
  <si>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</si>
  <si>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</si>
  <si>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</si>
  <si>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Mariah Boucher</t>
  </si>
  <si>
    <t>Miller Ave. and Oakshire Ave.</t>
  </si>
  <si>
    <t>Modesto</t>
  </si>
  <si>
    <t>95354</t>
  </si>
  <si>
    <t>Modesto Police Department</t>
  </si>
  <si>
    <t>http://www.modbee.com/incoming/article3163832.html</t>
  </si>
  <si>
    <t>Kameron Jackson</t>
  </si>
  <si>
    <t>Donovan King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</si>
  <si>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</si>
  <si>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</si>
  <si>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</si>
  <si>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</si>
  <si>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</si>
  <si>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</si>
  <si>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</si>
  <si>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</si>
  <si>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</si>
  <si>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</si>
  <si>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</si>
  <si>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</si>
  <si>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</si>
  <si>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</si>
  <si>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</si>
  <si>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</si>
  <si>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</si>
  <si>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</si>
  <si>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</si>
  <si>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</si>
  <si>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</si>
  <si>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</si>
  <si>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</si>
  <si>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</si>
  <si>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</si>
  <si>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</si>
  <si>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</si>
  <si>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</si>
  <si>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</si>
  <si>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</si>
  <si>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</si>
  <si>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</si>
  <si>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</si>
  <si>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</si>
  <si>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</si>
  <si>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</si>
  <si>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</si>
  <si>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</si>
  <si>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</si>
  <si>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</si>
  <si>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</si>
  <si>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</si>
  <si>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</si>
  <si>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</si>
  <si>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</si>
  <si>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</si>
  <si>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</si>
  <si>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</si>
  <si>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</si>
  <si>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</si>
  <si>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</si>
  <si>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</si>
  <si>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</si>
  <si>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</si>
  <si>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</si>
  <si>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</si>
  <si>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</si>
  <si>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</si>
  <si>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</si>
  <si>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</si>
  <si>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</si>
  <si>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</si>
  <si>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</si>
  <si>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</si>
  <si>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</si>
  <si>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</si>
  <si>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</si>
  <si>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</si>
  <si>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</si>
  <si>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</si>
  <si>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</si>
  <si>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</si>
  <si>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</si>
  <si>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</si>
  <si>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</si>
  <si>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</si>
  <si>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</si>
  <si>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</si>
  <si>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</si>
  <si>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</si>
  <si>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</si>
  <si>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</si>
  <si>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</si>
  <si>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</si>
  <si>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</si>
  <si>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</si>
  <si>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</si>
  <si>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</si>
  <si>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</si>
  <si>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</si>
  <si>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</si>
  <si>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</si>
  <si>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Suhailia Alvarez</t>
  </si>
  <si>
    <t>Interstate 75 Frontage Rd &amp; Campbell Street</t>
  </si>
  <si>
    <t>48209</t>
  </si>
  <si>
    <t>Driver Charles Miller and passengers Cynthia Elizarraras and Suhailia Alvarez all died when their vehicle, a Jeep stolen from a car lot being pursued by police, flipped and plunged down a freeway embankment. Police were quoted as saying that they'd suspended the chase just before the crash, and then also that there was no pursuit at all.</t>
  </si>
  <si>
    <t>http://www.myfoxtampabay.com/story/25303275/3-teens-killed-in-crash-during-police-chase</t>
  </si>
  <si>
    <t>Cynthia Elizarraras</t>
  </si>
  <si>
    <t>Brandon Leonel Monroy</t>
  </si>
  <si>
    <t>http://www.everythinglubbock.com/media/lib/197/0/1/c/01c1981a-8af1-4326-813c-ba11d3edc3e2/Story.jpg</t>
  </si>
  <si>
    <t>Highway 87 and 82nd Street</t>
  </si>
  <si>
    <t>79423</t>
  </si>
  <si>
    <t>http://www.kcbd.com/story/25292262/lubbock-police-on-scene-of-officer-involved-shooting</t>
  </si>
  <si>
    <t>Charles Miller</t>
  </si>
  <si>
    <t>http://wjbk.images.worldnow.com/images/3536897_G.jpg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</si>
  <si>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</si>
  <si>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</si>
  <si>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</si>
  <si>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</si>
  <si>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</si>
  <si>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</si>
  <si>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</si>
  <si>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</si>
  <si>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</si>
  <si>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</si>
  <si>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</si>
  <si>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</si>
  <si>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</si>
  <si>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</si>
  <si>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</si>
  <si>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</si>
  <si>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</si>
  <si>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</si>
  <si>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</si>
  <si>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</si>
  <si>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</si>
  <si>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</si>
  <si>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</si>
  <si>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</si>
  <si>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</si>
  <si>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</si>
  <si>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</si>
  <si>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</si>
  <si>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</si>
  <si>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</si>
  <si>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</si>
  <si>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</si>
  <si>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</si>
  <si>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</si>
  <si>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</si>
  <si>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</si>
  <si>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</si>
  <si>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</si>
  <si>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</si>
  <si>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</si>
  <si>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</si>
  <si>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</si>
  <si>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</si>
  <si>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</si>
  <si>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</si>
  <si>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</si>
  <si>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</si>
  <si>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</si>
  <si>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</si>
  <si>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</si>
  <si>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</si>
  <si>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</si>
  <si>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</si>
  <si>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</si>
  <si>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</si>
  <si>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</si>
  <si>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</si>
  <si>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</si>
  <si>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</si>
  <si>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</si>
  <si>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</si>
  <si>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</si>
  <si>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</si>
  <si>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</si>
  <si>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</si>
  <si>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</si>
  <si>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</si>
  <si>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</si>
  <si>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</si>
  <si>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</si>
  <si>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</si>
  <si>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</si>
  <si>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</si>
  <si>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</si>
  <si>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</si>
  <si>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</si>
  <si>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</si>
  <si>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</si>
  <si>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</si>
  <si>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</si>
  <si>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</si>
  <si>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</si>
  <si>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</si>
  <si>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</si>
  <si>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</si>
  <si>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</si>
  <si>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</si>
  <si>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</si>
  <si>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</si>
  <si>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</si>
  <si>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</si>
  <si>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</si>
  <si>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</si>
  <si>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</si>
  <si>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</si>
  <si>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</si>
  <si>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</si>
  <si>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</si>
  <si>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</si>
  <si>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</si>
  <si>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</si>
  <si>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</si>
  <si>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</si>
  <si>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</si>
  <si>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</si>
  <si>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</si>
  <si>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</si>
  <si>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</si>
  <si>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</si>
  <si>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</si>
  <si>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</si>
  <si>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</si>
  <si>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</si>
  <si>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</si>
  <si>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</si>
  <si>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</si>
  <si>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</si>
  <si>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</si>
  <si>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</si>
  <si>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</si>
  <si>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</si>
  <si>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</si>
  <si>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</si>
  <si>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</si>
  <si>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</si>
  <si>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</si>
  <si>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</si>
  <si>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</si>
  <si>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</si>
  <si>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</si>
  <si>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</si>
  <si>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</si>
  <si>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</si>
  <si>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</si>
  <si>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</si>
  <si>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</si>
  <si>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</si>
  <si>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</si>
  <si>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</si>
  <si>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</si>
  <si>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</si>
  <si>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</si>
  <si>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</si>
  <si>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</si>
  <si>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</si>
  <si>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</si>
  <si>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</si>
  <si>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</si>
  <si>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</si>
  <si>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</si>
  <si>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</si>
  <si>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</si>
  <si>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</si>
  <si>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</si>
  <si>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</si>
  <si>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</si>
  <si>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</si>
  <si>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</si>
  <si>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</si>
  <si>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</si>
  <si>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</si>
  <si>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</si>
  <si>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</si>
  <si>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</si>
  <si>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</si>
  <si>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</si>
  <si>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</si>
  <si>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</si>
  <si>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</si>
  <si>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</si>
  <si>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</si>
  <si>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</si>
  <si>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</si>
  <si>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</si>
  <si>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</si>
  <si>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</si>
  <si>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</si>
  <si>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</si>
  <si>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</si>
  <si>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</si>
  <si>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</si>
  <si>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</si>
  <si>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</si>
  <si>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</si>
  <si>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</si>
  <si>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</si>
  <si>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</si>
  <si>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</si>
  <si>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</si>
  <si>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</si>
  <si>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</si>
  <si>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</si>
  <si>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</si>
  <si>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</si>
  <si>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</si>
  <si>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</si>
  <si>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</si>
  <si>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</si>
  <si>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</si>
  <si>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</si>
  <si>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</si>
  <si>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</si>
  <si>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Rigoberto Llera</t>
  </si>
  <si>
    <t>Ashland Avenue and Grand Avenue</t>
  </si>
  <si>
    <t>Chicago police chased a white PT Cruiser after they saw occupants fire a gun out the window near Humboldt Park. Driver Llera took off with the police in close pursuit. Llera lost control and struck a light pole. Two female passengers in the car emerged unscathed, an infant sustained minor injuries, and Llera died.</t>
  </si>
  <si>
    <t>http://www.orlandosentinel.com/chi-humboldt-park-chase-infant-20140411-story.html</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</si>
  <si>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</si>
  <si>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</si>
  <si>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</si>
  <si>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</si>
  <si>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</si>
  <si>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</si>
  <si>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</si>
  <si>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</si>
  <si>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</si>
  <si>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</si>
  <si>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</si>
  <si>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</si>
  <si>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</si>
  <si>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</si>
  <si>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</si>
  <si>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</si>
  <si>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</si>
  <si>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</si>
  <si>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</si>
  <si>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</si>
  <si>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</si>
  <si>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</si>
  <si>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</si>
  <si>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</si>
  <si>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</si>
  <si>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</si>
  <si>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</si>
  <si>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</si>
  <si>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</si>
  <si>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</si>
  <si>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</si>
  <si>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</si>
  <si>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</si>
  <si>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</si>
  <si>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</si>
  <si>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</si>
  <si>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</si>
  <si>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</si>
  <si>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</si>
  <si>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</si>
  <si>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</si>
  <si>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</si>
  <si>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</si>
  <si>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</si>
  <si>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</si>
  <si>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</si>
  <si>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</si>
  <si>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</si>
  <si>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</si>
  <si>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</si>
  <si>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</si>
  <si>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</si>
  <si>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</si>
  <si>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</si>
  <si>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</si>
  <si>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</si>
  <si>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</si>
  <si>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</si>
  <si>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</si>
  <si>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</si>
  <si>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</si>
  <si>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</si>
  <si>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</si>
  <si>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</si>
  <si>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</si>
  <si>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</si>
  <si>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</si>
  <si>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</si>
  <si>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</si>
  <si>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</si>
  <si>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</si>
  <si>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</si>
  <si>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</si>
  <si>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</si>
  <si>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</si>
  <si>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</si>
  <si>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</si>
  <si>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</si>
  <si>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</si>
  <si>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</si>
  <si>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</si>
  <si>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</si>
  <si>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</si>
  <si>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</si>
  <si>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</si>
  <si>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</si>
  <si>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</si>
  <si>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</si>
  <si>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</si>
  <si>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</si>
  <si>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</si>
  <si>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</si>
  <si>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</si>
  <si>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Wayne Hoffman</t>
  </si>
  <si>
    <t>Sucher Lane and Nordyke Avenue</t>
  </si>
  <si>
    <t>95401</t>
  </si>
  <si>
    <t>Santa Rosa Police Department</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</si>
  <si>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</si>
  <si>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</si>
  <si>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</si>
  <si>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</si>
  <si>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</si>
  <si>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</si>
  <si>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</si>
  <si>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</si>
  <si>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Jesse Sperry</t>
  </si>
  <si>
    <t>http://assets.nydailynews.com/polopoly_fs/1.1771829.1398712521!/img/httpImage/image.jpg_gen/derivatives/article_970/sperry29n-2-web.jpg?enlarged</t>
  </si>
  <si>
    <t>7500 Indiana 32</t>
  </si>
  <si>
    <t>46011</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</si>
  <si>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</si>
  <si>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</si>
  <si>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</si>
  <si>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</si>
  <si>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</si>
  <si>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</si>
  <si>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</si>
  <si>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</si>
  <si>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</si>
  <si>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</si>
  <si>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</si>
  <si>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</si>
  <si>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</si>
  <si>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</si>
  <si>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</si>
  <si>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</si>
  <si>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</si>
  <si>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</si>
  <si>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</si>
  <si>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</si>
  <si>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</si>
  <si>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</si>
  <si>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</si>
  <si>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</si>
  <si>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</si>
  <si>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</si>
  <si>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</si>
  <si>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</si>
  <si>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</si>
  <si>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</si>
  <si>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</si>
  <si>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</si>
  <si>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</si>
  <si>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</si>
  <si>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</si>
  <si>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</si>
  <si>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</si>
  <si>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Eddie Ray Epperson</t>
  </si>
  <si>
    <t>https://d3jpl91pxevbkh.cloudfront.net/gf/image/upload/c_crop,w_480,h_319,x_0,y_0/c_limit,h_340,w_647/v1397775739/QLh5FahnRpWKLi5WqkganA.jpg</t>
  </si>
  <si>
    <t>Gibson Wells Road</t>
  </si>
  <si>
    <t>Gibson</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</si>
  <si>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</si>
  <si>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</si>
  <si>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</si>
  <si>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</si>
  <si>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</si>
  <si>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</si>
  <si>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</si>
  <si>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</si>
  <si>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</si>
  <si>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</si>
  <si>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</si>
  <si>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</si>
  <si>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</si>
  <si>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</si>
  <si>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</si>
  <si>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</si>
  <si>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</si>
  <si>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</si>
  <si>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</si>
  <si>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</si>
  <si>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</si>
  <si>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</si>
  <si>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</si>
  <si>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</si>
  <si>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</si>
  <si>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</si>
  <si>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</si>
  <si>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</si>
  <si>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</si>
  <si>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</si>
  <si>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</si>
  <si>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</si>
  <si>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</si>
  <si>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</si>
  <si>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</si>
  <si>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</si>
  <si>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</si>
  <si>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</si>
  <si>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</si>
  <si>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</si>
  <si>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</si>
  <si>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</si>
  <si>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</si>
  <si>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</si>
  <si>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</si>
  <si>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</si>
  <si>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</si>
  <si>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</si>
  <si>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</si>
  <si>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</si>
  <si>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</si>
  <si>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</si>
  <si>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</si>
  <si>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</si>
  <si>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</si>
  <si>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</si>
  <si>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</si>
  <si>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</si>
  <si>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</si>
  <si>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</si>
  <si>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</si>
  <si>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</si>
  <si>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</si>
  <si>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</si>
  <si>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</si>
  <si>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</si>
  <si>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</si>
  <si>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</si>
  <si>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</si>
  <si>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</si>
  <si>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</si>
  <si>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</si>
  <si>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</si>
  <si>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</si>
  <si>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</si>
  <si>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</si>
  <si>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</si>
  <si>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</si>
  <si>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</si>
  <si>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</si>
  <si>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</si>
  <si>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</si>
  <si>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</si>
  <si>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</si>
  <si>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</si>
  <si>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</si>
  <si>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</si>
  <si>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</si>
  <si>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</si>
  <si>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</si>
  <si>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</si>
  <si>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</si>
  <si>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</si>
  <si>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</si>
  <si>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</si>
  <si>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</si>
  <si>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</si>
  <si>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</si>
  <si>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</si>
  <si>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</si>
  <si>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</si>
  <si>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</si>
  <si>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</si>
  <si>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</si>
  <si>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</si>
  <si>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</si>
  <si>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</si>
  <si>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</si>
  <si>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</si>
  <si>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</si>
  <si>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</si>
  <si>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</si>
  <si>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</si>
  <si>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</si>
  <si>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</si>
  <si>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</si>
  <si>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</si>
  <si>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</si>
  <si>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</si>
  <si>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</si>
  <si>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</si>
  <si>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</si>
  <si>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</si>
  <si>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</si>
  <si>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</si>
  <si>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</si>
  <si>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</si>
  <si>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</si>
  <si>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</si>
  <si>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</si>
  <si>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</si>
  <si>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</si>
  <si>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</si>
  <si>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</si>
  <si>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</si>
  <si>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</si>
  <si>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</si>
  <si>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</si>
  <si>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</si>
  <si>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</si>
  <si>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</si>
  <si>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</si>
  <si>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</si>
  <si>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</si>
  <si>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</si>
  <si>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</si>
  <si>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</si>
  <si>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</si>
  <si>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</si>
  <si>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</si>
  <si>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</si>
  <si>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</si>
  <si>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</si>
  <si>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</si>
  <si>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</si>
  <si>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</si>
  <si>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</si>
  <si>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</si>
  <si>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</si>
  <si>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</si>
  <si>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</si>
  <si>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</si>
  <si>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</si>
  <si>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</si>
  <si>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</si>
  <si>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</si>
  <si>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</si>
  <si>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</si>
  <si>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</si>
  <si>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</si>
  <si>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</si>
  <si>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</si>
  <si>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</si>
  <si>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</si>
  <si>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</si>
  <si>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</si>
  <si>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</si>
  <si>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</si>
  <si>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</si>
  <si>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</si>
  <si>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</si>
  <si>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</si>
  <si>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</si>
  <si>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</si>
  <si>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</si>
  <si>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</si>
  <si>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</si>
  <si>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</si>
  <si>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</si>
  <si>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</si>
  <si>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</si>
  <si>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</si>
  <si>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</si>
  <si>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</si>
  <si>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</si>
  <si>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</si>
  <si>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</si>
  <si>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</si>
  <si>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</si>
  <si>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</si>
  <si>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</si>
  <si>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</si>
  <si>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</si>
  <si>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</si>
  <si>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</si>
  <si>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</si>
  <si>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</si>
  <si>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</si>
  <si>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</si>
  <si>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</si>
  <si>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</si>
  <si>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</si>
  <si>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</si>
  <si>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</si>
  <si>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</si>
  <si>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</si>
  <si>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</si>
  <si>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</si>
  <si>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</si>
  <si>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</si>
  <si>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</si>
  <si>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</si>
  <si>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</si>
  <si>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</si>
  <si>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</si>
  <si>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</si>
  <si>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</si>
  <si>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</si>
  <si>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</si>
  <si>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</si>
  <si>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</si>
  <si>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</si>
  <si>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</si>
  <si>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</si>
  <si>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</si>
  <si>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</si>
  <si>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</si>
  <si>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</si>
  <si>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</si>
  <si>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</si>
  <si>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</si>
  <si>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</si>
  <si>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</si>
  <si>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</si>
  <si>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</si>
  <si>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</si>
  <si>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</si>
  <si>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</si>
  <si>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</si>
  <si>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</si>
  <si>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</si>
  <si>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</si>
  <si>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</si>
  <si>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</si>
  <si>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</si>
  <si>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</si>
  <si>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</si>
  <si>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</si>
  <si>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</si>
  <si>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</si>
  <si>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</si>
  <si>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</si>
  <si>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</si>
  <si>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</si>
  <si>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</si>
  <si>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</si>
  <si>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</si>
  <si>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</si>
  <si>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</si>
  <si>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</si>
  <si>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</si>
  <si>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</si>
  <si>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</si>
  <si>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</si>
  <si>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</si>
  <si>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</si>
  <si>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</si>
  <si>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</si>
  <si>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</si>
  <si>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</si>
  <si>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</si>
  <si>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</si>
  <si>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</si>
  <si>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</si>
  <si>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</si>
  <si>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</si>
  <si>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</si>
  <si>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</si>
  <si>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</si>
  <si>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</si>
  <si>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</si>
  <si>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</si>
  <si>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</si>
  <si>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</si>
  <si>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</si>
  <si>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</si>
  <si>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</si>
  <si>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</si>
  <si>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</si>
  <si>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</si>
  <si>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</si>
  <si>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</si>
  <si>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</si>
  <si>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</si>
  <si>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</si>
  <si>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</si>
  <si>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</si>
  <si>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</si>
  <si>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</si>
  <si>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</si>
  <si>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</si>
  <si>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</si>
  <si>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</si>
  <si>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</si>
  <si>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</si>
  <si>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</si>
  <si>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</si>
  <si>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</si>
  <si>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</si>
  <si>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</si>
  <si>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</si>
  <si>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</si>
  <si>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</si>
  <si>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</si>
  <si>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</si>
  <si>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</si>
  <si>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</si>
  <si>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</si>
  <si>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</si>
  <si>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</si>
  <si>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</si>
  <si>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</si>
  <si>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</si>
  <si>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</si>
  <si>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</si>
  <si>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</si>
  <si>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</si>
  <si>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</si>
  <si>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</si>
  <si>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</si>
  <si>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</si>
  <si>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</si>
  <si>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</si>
  <si>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</si>
  <si>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</si>
  <si>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</si>
  <si>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</si>
  <si>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</si>
  <si>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</si>
  <si>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</si>
  <si>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</si>
  <si>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</si>
  <si>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</si>
  <si>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</si>
  <si>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</si>
  <si>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</si>
  <si>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</si>
  <si>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</si>
  <si>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</si>
  <si>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</si>
  <si>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</si>
  <si>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</si>
  <si>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</si>
  <si>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</si>
  <si>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</si>
  <si>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</si>
  <si>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</si>
  <si>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</si>
  <si>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</si>
  <si>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</si>
  <si>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</si>
  <si>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</si>
  <si>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</si>
  <si>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</si>
  <si>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</si>
  <si>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</si>
  <si>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</si>
  <si>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</si>
  <si>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</si>
  <si>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</si>
  <si>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</si>
  <si>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</si>
  <si>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</si>
  <si>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</si>
  <si>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</si>
  <si>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</si>
  <si>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</si>
  <si>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</si>
  <si>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</si>
  <si>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</si>
  <si>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</si>
  <si>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</si>
  <si>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</si>
  <si>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</si>
  <si>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</si>
  <si>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</si>
  <si>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</si>
  <si>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</si>
  <si>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</si>
  <si>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</si>
  <si>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</si>
  <si>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</si>
  <si>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</si>
  <si>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</si>
  <si>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</si>
  <si>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</si>
  <si>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</si>
  <si>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</si>
  <si>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</si>
  <si>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</si>
  <si>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</si>
  <si>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</si>
  <si>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</si>
  <si>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</si>
  <si>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</si>
  <si>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</si>
  <si>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</si>
  <si>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</si>
  <si>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</si>
  <si>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</si>
  <si>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</si>
  <si>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</si>
  <si>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</si>
  <si>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</si>
  <si>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</si>
  <si>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</si>
  <si>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</si>
  <si>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</si>
  <si>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</si>
  <si>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</si>
  <si>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</si>
  <si>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</si>
  <si>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</si>
  <si>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</si>
  <si>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</si>
  <si>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</si>
  <si>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</si>
  <si>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</si>
  <si>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</si>
  <si>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</si>
  <si>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</si>
  <si>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</si>
  <si>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</si>
  <si>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</si>
  <si>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</si>
  <si>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</si>
  <si>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</si>
  <si>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</si>
  <si>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</si>
  <si>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</si>
  <si>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</si>
  <si>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</si>
  <si>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</si>
  <si>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</si>
  <si>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</si>
  <si>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</si>
  <si>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</si>
  <si>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</si>
  <si>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</si>
  <si>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</si>
  <si>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</si>
  <si>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</si>
  <si>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</si>
  <si>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</si>
  <si>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</si>
  <si>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</si>
  <si>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</si>
  <si>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</si>
  <si>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</si>
  <si>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</si>
  <si>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</si>
  <si>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</si>
  <si>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</si>
  <si>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</si>
  <si>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</si>
  <si>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</si>
  <si>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</si>
  <si>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</si>
  <si>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</si>
  <si>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</si>
  <si>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</si>
  <si>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</si>
  <si>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</si>
  <si>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</si>
  <si>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</si>
  <si>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</si>
  <si>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</si>
  <si>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</si>
  <si>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</si>
  <si>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</si>
  <si>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</si>
  <si>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</si>
  <si>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</si>
  <si>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</si>
  <si>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</si>
  <si>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</si>
  <si>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</si>
  <si>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</si>
  <si>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</si>
  <si>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</si>
  <si>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</si>
  <si>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</si>
  <si>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</si>
  <si>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</si>
  <si>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</si>
  <si>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</si>
  <si>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</si>
  <si>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</si>
  <si>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</si>
  <si>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</si>
  <si>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</si>
  <si>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</si>
  <si>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</si>
  <si>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</si>
  <si>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</si>
  <si>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</si>
  <si>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</si>
  <si>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</si>
  <si>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</si>
  <si>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</si>
  <si>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</si>
  <si>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</si>
  <si>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</si>
  <si>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</si>
  <si>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</si>
  <si>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</si>
  <si>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</si>
  <si>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</si>
  <si>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</si>
  <si>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</si>
  <si>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</si>
  <si>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</si>
  <si>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</si>
  <si>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</si>
  <si>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</si>
  <si>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</si>
  <si>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</si>
  <si>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</si>
  <si>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</si>
  <si>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</si>
  <si>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</si>
  <si>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</si>
  <si>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</si>
  <si>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</si>
  <si>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</si>
  <si>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</si>
  <si>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</si>
  <si>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</si>
  <si>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</si>
  <si>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</si>
  <si>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</si>
  <si>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</si>
  <si>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</si>
  <si>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</si>
  <si>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</si>
  <si>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</si>
  <si>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</si>
  <si>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</si>
  <si>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</si>
  <si>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</si>
  <si>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</si>
  <si>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</si>
  <si>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</si>
  <si>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</si>
  <si>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</si>
  <si>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</si>
  <si>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</si>
  <si>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</si>
  <si>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</si>
  <si>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</si>
  <si>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</si>
  <si>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</si>
  <si>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</si>
  <si>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</si>
  <si>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</si>
  <si>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</si>
  <si>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</si>
  <si>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</si>
  <si>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</si>
  <si>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</si>
  <si>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</si>
  <si>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</si>
  <si>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</si>
  <si>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</si>
  <si>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</si>
  <si>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</si>
  <si>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</si>
  <si>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</si>
  <si>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</si>
  <si>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</si>
  <si>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</si>
  <si>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</si>
  <si>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</si>
  <si>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</si>
  <si>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</si>
  <si>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</si>
  <si>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</si>
  <si>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</si>
  <si>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</si>
  <si>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</si>
  <si>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</si>
  <si>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</si>
  <si>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</si>
  <si>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</si>
  <si>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</si>
  <si>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</si>
  <si>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</si>
  <si>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Antonio Moreno</t>
  </si>
  <si>
    <t>1100 Cloverdale Road</t>
  </si>
  <si>
    <t>Maryland Transit Administration Police Department</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</si>
  <si>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</si>
  <si>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</si>
  <si>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</si>
  <si>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</si>
  <si>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</si>
  <si>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</si>
  <si>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</si>
  <si>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</si>
  <si>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</si>
  <si>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</si>
  <si>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</si>
  <si>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</si>
  <si>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</si>
  <si>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</si>
  <si>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</si>
  <si>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</si>
  <si>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</si>
  <si>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</si>
  <si>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</si>
  <si>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</si>
  <si>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</si>
  <si>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</si>
  <si>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</si>
  <si>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</si>
  <si>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</si>
  <si>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</si>
  <si>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</si>
  <si>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</si>
  <si>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</si>
  <si>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</si>
  <si>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</si>
  <si>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</si>
  <si>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</si>
  <si>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</si>
  <si>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</si>
  <si>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</si>
  <si>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</si>
  <si>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</si>
  <si>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</si>
  <si>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</si>
  <si>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</si>
  <si>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</si>
  <si>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</si>
  <si>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</si>
  <si>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</si>
  <si>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</si>
  <si>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</si>
  <si>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</si>
  <si>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</si>
  <si>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</si>
  <si>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</si>
  <si>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</si>
  <si>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</si>
  <si>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</si>
  <si>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</si>
  <si>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</si>
  <si>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</si>
  <si>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</si>
  <si>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</si>
  <si>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</si>
  <si>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</si>
  <si>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</si>
  <si>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</si>
  <si>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</si>
  <si>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</si>
  <si>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</si>
  <si>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</si>
  <si>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</si>
  <si>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</si>
  <si>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</si>
  <si>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</si>
  <si>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</si>
  <si>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</si>
  <si>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</si>
  <si>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</si>
  <si>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</si>
  <si>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</si>
  <si>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</si>
  <si>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</si>
  <si>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</si>
  <si>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</si>
  <si>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</si>
  <si>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</si>
  <si>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</si>
  <si>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</si>
  <si>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</si>
  <si>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</si>
  <si>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</si>
  <si>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</si>
  <si>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</si>
  <si>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</si>
  <si>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</si>
  <si>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Ronald Shoup</t>
  </si>
  <si>
    <t>http://www.sussexcountian.com/storyimage/DE/20140422/NEWS/140429922/AR/0/AR-140429922.jpg&amp;MaxW=315&amp;MaxH=315</t>
  </si>
  <si>
    <t>23203 Dupont Boulevard</t>
  </si>
  <si>
    <t>Delaware Department of Correction</t>
  </si>
  <si>
    <t>Painter said the medical staff again requested assistance from DOC security staff to forcibly administer emergency medications. Again, Painter said Shoup was severely agitated and the security staff helped administer the medication. within minutes, the mental health observer did not see chest movements. Medical staff entered the room and initiated CPR after [Shoup] was found unresponsive.”</t>
  </si>
  <si>
    <t>http://www.sussexcountian.com/article/20140422/NEWS/140429922</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</si>
  <si>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</si>
  <si>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</si>
  <si>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</si>
  <si>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</si>
  <si>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</si>
  <si>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</si>
  <si>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</si>
  <si>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</si>
  <si>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</si>
  <si>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</si>
  <si>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</si>
  <si>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</si>
  <si>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</si>
  <si>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</si>
  <si>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</si>
  <si>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</si>
  <si>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</si>
  <si>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</si>
  <si>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</si>
  <si>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</si>
  <si>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</si>
  <si>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</si>
  <si>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</si>
  <si>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</si>
  <si>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</si>
  <si>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</si>
  <si>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</si>
  <si>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</si>
  <si>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</si>
  <si>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</si>
  <si>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</si>
  <si>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</si>
  <si>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</si>
  <si>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</si>
  <si>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</si>
  <si>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</si>
  <si>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</si>
  <si>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</si>
  <si>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</si>
  <si>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</si>
  <si>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</si>
  <si>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</si>
  <si>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</si>
  <si>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</si>
  <si>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Christopher Lucas</t>
  </si>
  <si>
    <t>14350 Wallisville Road</t>
  </si>
  <si>
    <t>Lucas disabled a smoke detector and became disruptive. The Specialized Emergency Response Team Unit of the Harris County Sheriff’s Department extracted Lucas from his cell. Lucas, 38, was then placed in a holding area and put in a restraint chair. Thirty minutes after the unit left, Lucas was found unconscious with no pulse in the restraint chair and was transported to the medical center where he was pronounced dead.</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</si>
  <si>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</si>
  <si>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</si>
  <si>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</si>
  <si>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</si>
  <si>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</si>
  <si>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</si>
  <si>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</si>
  <si>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</si>
  <si>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</si>
  <si>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</si>
  <si>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</si>
  <si>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</si>
  <si>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</si>
  <si>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</si>
  <si>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</si>
  <si>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</si>
  <si>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</si>
  <si>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</si>
  <si>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</si>
  <si>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</si>
  <si>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</si>
  <si>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</si>
  <si>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</si>
  <si>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</si>
  <si>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</si>
  <si>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</si>
  <si>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</si>
  <si>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</si>
  <si>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</si>
  <si>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</si>
  <si>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</si>
  <si>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</si>
  <si>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</si>
  <si>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</si>
  <si>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</si>
  <si>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</si>
  <si>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</si>
  <si>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</si>
  <si>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</si>
  <si>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</si>
  <si>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</si>
  <si>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</si>
  <si>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</si>
  <si>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</si>
  <si>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</si>
  <si>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</si>
  <si>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</si>
  <si>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</si>
  <si>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</si>
  <si>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</si>
  <si>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</si>
  <si>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</si>
  <si>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</si>
  <si>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</si>
  <si>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</si>
  <si>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</si>
  <si>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</si>
  <si>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</si>
  <si>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</si>
  <si>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</si>
  <si>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</si>
  <si>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</si>
  <si>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</si>
  <si>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</si>
  <si>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</si>
  <si>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</si>
  <si>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</si>
  <si>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</si>
  <si>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</si>
  <si>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</si>
  <si>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</si>
  <si>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</si>
  <si>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</si>
  <si>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</si>
  <si>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</si>
  <si>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</si>
  <si>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</si>
  <si>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</si>
  <si>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</si>
  <si>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</si>
  <si>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Michael Walker Jr.</t>
  </si>
  <si>
    <t>U.S. 70 and Interstate 85 Business</t>
  </si>
  <si>
    <t>Efland</t>
  </si>
  <si>
    <t>27243</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</si>
  <si>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</si>
  <si>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</si>
  <si>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</si>
  <si>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</si>
  <si>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</si>
  <si>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</si>
  <si>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</si>
  <si>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Jazzman Vontrazc Jacobs</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</si>
  <si>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</si>
  <si>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</si>
  <si>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</si>
  <si>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</si>
  <si>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</si>
  <si>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</si>
  <si>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</si>
  <si>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</si>
  <si>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</si>
  <si>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</si>
  <si>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</si>
  <si>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</si>
  <si>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</si>
  <si>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</si>
  <si>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</si>
  <si>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</si>
  <si>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</si>
  <si>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</si>
  <si>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</si>
  <si>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</si>
  <si>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</si>
  <si>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</si>
  <si>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</si>
  <si>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</si>
  <si>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</si>
  <si>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</si>
  <si>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</si>
  <si>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</si>
  <si>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</si>
  <si>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</si>
  <si>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</si>
  <si>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</si>
  <si>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</si>
  <si>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</si>
  <si>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</si>
  <si>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</si>
  <si>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</si>
  <si>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</si>
  <si>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</si>
  <si>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</si>
  <si>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</si>
  <si>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</si>
  <si>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</si>
  <si>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</si>
  <si>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</si>
  <si>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</si>
  <si>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</si>
  <si>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</si>
  <si>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</si>
  <si>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</si>
  <si>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</si>
  <si>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</si>
  <si>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</si>
  <si>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</si>
  <si>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</si>
  <si>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</si>
  <si>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</si>
  <si>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</si>
  <si>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</si>
  <si>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</si>
  <si>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</si>
  <si>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</si>
  <si>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</si>
  <si>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</si>
  <si>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</si>
  <si>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</si>
  <si>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</si>
  <si>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</si>
  <si>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</si>
  <si>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</si>
  <si>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</si>
  <si>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</si>
  <si>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</si>
  <si>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</si>
  <si>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</si>
  <si>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</si>
  <si>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</si>
  <si>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</si>
  <si>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</si>
  <si>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</si>
  <si>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</si>
  <si>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</si>
  <si>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</si>
  <si>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</si>
  <si>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</si>
  <si>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</si>
  <si>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</si>
  <si>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</si>
  <si>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</si>
  <si>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</si>
  <si>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</si>
  <si>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</si>
  <si>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</si>
  <si>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</si>
  <si>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</si>
  <si>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</si>
  <si>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</si>
  <si>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</si>
  <si>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</si>
  <si>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</si>
  <si>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</si>
  <si>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</si>
  <si>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</si>
  <si>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</si>
  <si>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</si>
  <si>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</si>
  <si>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</si>
  <si>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</si>
  <si>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</si>
  <si>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</si>
  <si>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</si>
  <si>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</si>
  <si>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</si>
  <si>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</si>
  <si>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</si>
  <si>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</si>
  <si>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</si>
  <si>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</si>
  <si>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</si>
  <si>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</si>
  <si>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</si>
  <si>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</si>
  <si>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</si>
  <si>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</si>
  <si>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</si>
  <si>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</si>
  <si>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</si>
  <si>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</si>
  <si>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</si>
  <si>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</si>
  <si>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</si>
  <si>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</si>
  <si>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</si>
  <si>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</si>
  <si>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</si>
  <si>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</si>
  <si>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</si>
  <si>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</si>
  <si>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</si>
  <si>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</si>
  <si>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</si>
  <si>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</si>
  <si>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</si>
  <si>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</si>
  <si>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</si>
  <si>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</si>
  <si>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</si>
  <si>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</si>
  <si>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</si>
  <si>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</si>
  <si>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</si>
  <si>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</si>
  <si>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</si>
  <si>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</si>
  <si>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</si>
  <si>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</si>
  <si>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</si>
  <si>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</si>
  <si>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</si>
  <si>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</si>
  <si>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</si>
  <si>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</si>
  <si>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</si>
  <si>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</si>
  <si>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</si>
  <si>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</si>
  <si>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</si>
  <si>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</si>
  <si>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</si>
  <si>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</si>
  <si>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</si>
  <si>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</si>
  <si>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</si>
  <si>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</si>
  <si>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</si>
  <si>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</si>
  <si>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</si>
  <si>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</si>
  <si>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</si>
  <si>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</si>
  <si>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</si>
  <si>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</si>
  <si>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</si>
  <si>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</si>
  <si>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</si>
  <si>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</si>
  <si>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</si>
  <si>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</si>
  <si>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</si>
  <si>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</si>
  <si>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</si>
  <si>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</si>
  <si>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</si>
  <si>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</si>
  <si>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</si>
  <si>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</si>
  <si>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</si>
  <si>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</si>
  <si>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</si>
  <si>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</si>
  <si>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</si>
  <si>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</si>
  <si>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</si>
  <si>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</si>
  <si>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</si>
  <si>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</si>
  <si>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</si>
  <si>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</si>
  <si>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</si>
  <si>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</si>
  <si>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</si>
  <si>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</si>
  <si>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</si>
  <si>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</si>
  <si>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</si>
  <si>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</si>
  <si>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</si>
  <si>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</si>
  <si>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</si>
  <si>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</si>
  <si>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</si>
  <si>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</si>
  <si>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</si>
  <si>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</si>
  <si>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</si>
  <si>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</si>
  <si>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</si>
  <si>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</si>
  <si>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</si>
  <si>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</si>
  <si>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</si>
  <si>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</si>
  <si>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</si>
  <si>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</si>
  <si>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</si>
  <si>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</si>
  <si>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</si>
  <si>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</si>
  <si>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</si>
  <si>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</si>
  <si>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</si>
  <si>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</si>
  <si>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</si>
  <si>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</si>
  <si>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</si>
  <si>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</si>
  <si>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</si>
  <si>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</si>
  <si>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</si>
  <si>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</si>
  <si>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</si>
  <si>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</si>
  <si>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</si>
  <si>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</si>
  <si>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</si>
  <si>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</si>
  <si>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</si>
  <si>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</si>
  <si>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</si>
  <si>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</si>
  <si>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</si>
  <si>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</si>
  <si>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</si>
  <si>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</si>
  <si>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</si>
  <si>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</si>
  <si>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</si>
  <si>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</si>
  <si>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</si>
  <si>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</si>
  <si>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</si>
  <si>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</si>
  <si>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</si>
  <si>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</si>
  <si>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</si>
  <si>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</si>
  <si>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</si>
  <si>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</si>
  <si>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</si>
  <si>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</si>
  <si>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</si>
  <si>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</si>
  <si>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</si>
  <si>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</si>
  <si>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</si>
  <si>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</si>
  <si>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</si>
  <si>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</si>
  <si>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</si>
  <si>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</si>
  <si>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</si>
  <si>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</si>
  <si>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</si>
  <si>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</si>
  <si>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</si>
  <si>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</si>
  <si>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</si>
  <si>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</si>
  <si>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</si>
  <si>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</si>
  <si>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</si>
  <si>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</si>
  <si>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</si>
  <si>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</si>
  <si>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</si>
  <si>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</si>
  <si>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</si>
  <si>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</si>
  <si>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</si>
  <si>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</si>
  <si>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</si>
  <si>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</si>
  <si>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</si>
  <si>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</si>
  <si>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</si>
  <si>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</si>
  <si>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</si>
  <si>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</si>
  <si>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</si>
  <si>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</si>
  <si>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</si>
  <si>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</si>
  <si>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</si>
  <si>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</si>
  <si>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</si>
  <si>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</si>
  <si>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</si>
  <si>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</si>
  <si>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</si>
  <si>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</si>
  <si>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</si>
  <si>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</si>
  <si>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</si>
  <si>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</si>
  <si>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</si>
  <si>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</si>
  <si>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</si>
  <si>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</si>
  <si>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</si>
  <si>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</si>
  <si>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</si>
  <si>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</si>
  <si>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</si>
  <si>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</si>
  <si>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</si>
  <si>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</si>
  <si>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</si>
  <si>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</si>
  <si>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</si>
  <si>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</si>
  <si>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</si>
  <si>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</si>
  <si>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</si>
  <si>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</si>
  <si>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</si>
  <si>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</si>
  <si>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David Turnbull</t>
  </si>
  <si>
    <t>513 Center St</t>
  </si>
  <si>
    <t>Lakeview</t>
  </si>
  <si>
    <t>97630</t>
  </si>
  <si>
    <t>Police found Turnbull in a grocery store parking lot with a knife and a meth pipe. As officers walked him towards jail, he collapsed, and was pronounced dead within half-an-hour.</t>
  </si>
  <si>
    <t>http://www.kgw.com/story/local/2014/10/27/12603606/</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</si>
  <si>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</si>
  <si>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</si>
  <si>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</si>
  <si>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</si>
  <si>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</si>
  <si>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</si>
  <si>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</si>
  <si>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</si>
  <si>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</si>
  <si>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</si>
  <si>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</si>
  <si>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</si>
  <si>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</si>
  <si>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</si>
  <si>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</si>
  <si>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</si>
  <si>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</si>
  <si>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</si>
  <si>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</si>
  <si>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</si>
  <si>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</si>
  <si>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</si>
  <si>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</si>
  <si>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</si>
  <si>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</si>
  <si>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</si>
  <si>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</si>
  <si>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</si>
  <si>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</si>
  <si>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</si>
  <si>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</si>
  <si>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</si>
  <si>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</si>
  <si>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</si>
  <si>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</si>
  <si>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</si>
  <si>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</si>
  <si>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</si>
  <si>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</si>
  <si>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</si>
  <si>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</si>
  <si>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</si>
  <si>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</si>
  <si>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</si>
  <si>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</si>
  <si>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</si>
  <si>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</si>
  <si>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</si>
  <si>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</si>
  <si>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</si>
  <si>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</si>
  <si>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</si>
  <si>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</si>
  <si>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</si>
  <si>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</si>
  <si>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</si>
  <si>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</si>
  <si>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</si>
  <si>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</si>
  <si>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</si>
  <si>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</si>
  <si>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</si>
  <si>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</si>
  <si>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</si>
  <si>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</si>
  <si>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</si>
  <si>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</si>
  <si>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</si>
  <si>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</si>
  <si>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</si>
  <si>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</si>
  <si>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</si>
  <si>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</si>
  <si>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</si>
  <si>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</si>
  <si>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</si>
  <si>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</si>
  <si>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</si>
  <si>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</si>
  <si>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</si>
  <si>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</si>
  <si>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</si>
  <si>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</si>
  <si>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</si>
  <si>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</si>
  <si>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</si>
  <si>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</si>
  <si>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</si>
  <si>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</si>
  <si>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</si>
  <si>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</si>
  <si>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</si>
  <si>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</si>
  <si>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</si>
  <si>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</si>
  <si>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</si>
  <si>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</si>
  <si>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</si>
  <si>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</si>
  <si>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</si>
  <si>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</si>
  <si>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</si>
  <si>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</si>
  <si>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</si>
  <si>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</si>
  <si>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</si>
  <si>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</si>
  <si>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</si>
  <si>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</si>
  <si>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</si>
  <si>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</si>
  <si>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</si>
  <si>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</si>
  <si>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</si>
  <si>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</si>
  <si>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</si>
  <si>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</si>
  <si>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</si>
  <si>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</si>
  <si>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</si>
  <si>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</si>
  <si>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</si>
  <si>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</si>
  <si>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</si>
  <si>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</si>
  <si>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</si>
  <si>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</si>
  <si>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</si>
  <si>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</si>
  <si>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</si>
  <si>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</si>
  <si>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</si>
  <si>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</si>
  <si>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</si>
  <si>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</si>
  <si>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</si>
  <si>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</si>
  <si>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</si>
  <si>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</si>
  <si>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</si>
  <si>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</si>
  <si>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</si>
  <si>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</si>
  <si>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</si>
  <si>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</si>
  <si>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</si>
  <si>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</si>
  <si>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</si>
  <si>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</si>
  <si>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</si>
  <si>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</si>
  <si>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</si>
  <si>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</si>
  <si>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</si>
  <si>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</si>
  <si>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</si>
  <si>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</si>
  <si>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</si>
  <si>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</si>
  <si>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</si>
  <si>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</si>
  <si>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</si>
  <si>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</si>
  <si>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</si>
  <si>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</si>
  <si>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</si>
  <si>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</si>
  <si>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</si>
  <si>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</si>
  <si>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</si>
  <si>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</si>
  <si>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</si>
  <si>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</si>
  <si>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</si>
  <si>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</si>
  <si>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</si>
  <si>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</si>
  <si>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</si>
  <si>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</si>
  <si>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</si>
  <si>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</si>
  <si>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</si>
  <si>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</si>
  <si>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</si>
  <si>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</si>
  <si>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</si>
  <si>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</si>
  <si>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</si>
  <si>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</si>
  <si>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</si>
  <si>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</si>
  <si>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</si>
  <si>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</si>
  <si>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</si>
  <si>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</si>
  <si>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</si>
  <si>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</si>
  <si>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</si>
  <si>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</si>
  <si>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</si>
  <si>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</si>
  <si>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</si>
  <si>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</si>
  <si>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</si>
  <si>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</si>
  <si>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</si>
  <si>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Orleans Parish</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</si>
  <si>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</si>
  <si>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</si>
  <si>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</si>
  <si>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</si>
  <si>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</si>
  <si>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</si>
  <si>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</si>
  <si>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</si>
  <si>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</si>
  <si>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</si>
  <si>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</si>
  <si>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</si>
  <si>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</si>
  <si>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</si>
  <si>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</si>
  <si>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</si>
  <si>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</si>
  <si>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</si>
  <si>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</si>
  <si>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</si>
  <si>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</si>
  <si>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</si>
  <si>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</si>
  <si>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</si>
  <si>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</si>
  <si>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</si>
  <si>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</si>
  <si>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</si>
  <si>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</si>
  <si>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</si>
  <si>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</si>
  <si>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</si>
  <si>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</si>
  <si>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</si>
  <si>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</si>
  <si>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</si>
  <si>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</si>
  <si>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</si>
  <si>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</si>
  <si>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</si>
  <si>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</si>
  <si>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</si>
  <si>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</si>
  <si>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</si>
  <si>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</si>
  <si>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</si>
  <si>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</si>
  <si>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</si>
  <si>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</si>
  <si>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</si>
  <si>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</si>
  <si>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</si>
  <si>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</si>
  <si>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</si>
  <si>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</si>
  <si>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</si>
  <si>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</si>
  <si>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</si>
  <si>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</si>
  <si>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</si>
  <si>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</si>
  <si>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</si>
  <si>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</si>
  <si>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</si>
  <si>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</si>
  <si>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</si>
  <si>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</si>
  <si>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</si>
  <si>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</si>
  <si>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</si>
  <si>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</si>
  <si>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</si>
  <si>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</si>
  <si>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</si>
  <si>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</si>
  <si>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</si>
  <si>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</si>
  <si>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</si>
  <si>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</si>
  <si>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</si>
  <si>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</si>
  <si>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</si>
  <si>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</si>
  <si>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</si>
  <si>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</si>
  <si>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</si>
  <si>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</si>
  <si>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</si>
  <si>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</si>
  <si>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</si>
  <si>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</si>
  <si>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</si>
  <si>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</si>
  <si>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</si>
  <si>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</si>
  <si>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</si>
  <si>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</si>
  <si>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</si>
  <si>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</si>
  <si>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</si>
  <si>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</si>
  <si>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</si>
  <si>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</si>
  <si>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</si>
  <si>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</si>
  <si>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</si>
  <si>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</si>
  <si>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</si>
  <si>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</si>
  <si>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</si>
  <si>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</si>
  <si>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</si>
  <si>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</si>
  <si>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</si>
  <si>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</si>
  <si>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</si>
  <si>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</si>
  <si>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</si>
  <si>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</si>
  <si>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</si>
  <si>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</si>
  <si>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</si>
  <si>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</si>
  <si>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</si>
  <si>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</si>
  <si>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</si>
  <si>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</si>
  <si>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</si>
  <si>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</si>
  <si>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</si>
  <si>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</si>
  <si>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</si>
  <si>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</si>
  <si>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</si>
  <si>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</si>
  <si>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</si>
  <si>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</si>
  <si>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</si>
  <si>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</si>
  <si>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</si>
  <si>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</si>
  <si>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</si>
  <si>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</si>
  <si>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</si>
  <si>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</si>
  <si>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</si>
  <si>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</si>
  <si>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</si>
  <si>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</si>
  <si>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</si>
  <si>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</si>
  <si>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</si>
  <si>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</si>
  <si>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</si>
  <si>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</si>
  <si>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</si>
  <si>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</si>
  <si>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</si>
  <si>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</si>
  <si>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</si>
  <si>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</si>
  <si>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</si>
  <si>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</si>
  <si>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</si>
  <si>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</si>
  <si>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</si>
  <si>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</si>
  <si>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</si>
  <si>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</si>
  <si>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</si>
  <si>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</si>
  <si>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</si>
  <si>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</si>
  <si>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</si>
  <si>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</si>
  <si>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</si>
  <si>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</si>
  <si>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</si>
  <si>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</si>
  <si>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</si>
  <si>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</si>
  <si>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</si>
  <si>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</si>
  <si>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</si>
  <si>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</si>
  <si>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</si>
  <si>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</si>
  <si>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</si>
  <si>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</si>
  <si>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</si>
  <si>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</si>
  <si>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</si>
  <si>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</si>
  <si>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</si>
  <si>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</si>
  <si>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</si>
  <si>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</si>
  <si>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</si>
  <si>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</si>
  <si>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</si>
  <si>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</si>
  <si>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</si>
  <si>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</si>
  <si>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</si>
  <si>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</si>
  <si>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</si>
  <si>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</si>
  <si>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</si>
  <si>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</si>
  <si>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</si>
  <si>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</si>
  <si>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</si>
  <si>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</si>
  <si>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</si>
  <si>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</si>
  <si>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</si>
  <si>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</si>
  <si>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</si>
  <si>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</si>
  <si>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</si>
  <si>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</si>
  <si>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</si>
  <si>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</si>
  <si>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</si>
  <si>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</si>
  <si>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</si>
  <si>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</si>
  <si>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</si>
  <si>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</si>
  <si>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</si>
  <si>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</si>
  <si>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</si>
  <si>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</si>
  <si>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</si>
  <si>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</si>
  <si>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</si>
  <si>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</si>
  <si>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</si>
  <si>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</si>
  <si>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</si>
  <si>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</si>
  <si>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</si>
  <si>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</si>
  <si>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</si>
  <si>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</si>
  <si>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</si>
  <si>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</si>
  <si>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</si>
  <si>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</si>
  <si>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</si>
  <si>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</si>
  <si>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</si>
  <si>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</si>
  <si>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</si>
  <si>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</si>
  <si>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</si>
  <si>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</si>
  <si>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</si>
  <si>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</si>
  <si>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</si>
  <si>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</si>
  <si>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</si>
  <si>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Steven Keith</t>
  </si>
  <si>
    <t>32355 Old Highway 80</t>
  </si>
  <si>
    <t>Pine Valley</t>
  </si>
  <si>
    <t>91962</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</si>
  <si>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</si>
  <si>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</si>
  <si>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</si>
  <si>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</si>
  <si>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</si>
  <si>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</si>
  <si>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</si>
  <si>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</si>
  <si>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</si>
  <si>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</si>
  <si>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</si>
  <si>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</si>
  <si>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</si>
  <si>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</si>
  <si>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</si>
  <si>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</si>
  <si>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</si>
  <si>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</si>
  <si>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</si>
  <si>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Lucinda Randolph</t>
  </si>
  <si>
    <t>East Pine Log Road and Collier Street</t>
  </si>
  <si>
    <t>Aiken De­partment of Public Safety</t>
  </si>
  <si>
    <t>http://chronicle.augusta.com/news/crime-courts/2013-12-24/aiken-woman-killed-crash-while-fleeing-authorities</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</si>
  <si>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</si>
  <si>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</si>
  <si>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</si>
  <si>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</si>
  <si>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</si>
  <si>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</si>
  <si>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</si>
  <si>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</si>
  <si>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</si>
  <si>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</si>
  <si>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</si>
  <si>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</si>
  <si>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</si>
  <si>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</si>
  <si>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</si>
  <si>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</si>
  <si>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</si>
  <si>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</si>
  <si>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</si>
  <si>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</si>
  <si>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</si>
  <si>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</si>
  <si>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</si>
  <si>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</si>
  <si>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</si>
  <si>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</si>
  <si>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</si>
  <si>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</si>
  <si>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</si>
  <si>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</si>
  <si>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</si>
  <si>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</si>
  <si>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</si>
  <si>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</si>
  <si>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</si>
  <si>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</si>
  <si>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</si>
  <si>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</si>
  <si>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</si>
  <si>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</si>
  <si>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</si>
  <si>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</si>
  <si>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</si>
  <si>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</si>
  <si>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</si>
  <si>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</si>
  <si>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</si>
  <si>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</si>
  <si>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</si>
  <si>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</si>
  <si>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</si>
  <si>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</si>
  <si>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</si>
  <si>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</si>
  <si>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</si>
  <si>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</si>
  <si>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</si>
  <si>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</si>
  <si>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</si>
  <si>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</si>
  <si>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</si>
  <si>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</si>
  <si>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</si>
  <si>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</si>
  <si>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</si>
  <si>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</si>
  <si>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</si>
  <si>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</si>
  <si>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</si>
  <si>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</si>
  <si>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</si>
  <si>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</si>
  <si>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</si>
  <si>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</si>
  <si>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</si>
  <si>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</si>
  <si>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</si>
  <si>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</si>
  <si>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Shawnice Osborne</t>
  </si>
  <si>
    <t>South Wilmington Avenue and West Greenleaf Boulevard</t>
  </si>
  <si>
    <t>90220</t>
  </si>
  <si>
    <t>http://articles.latimes.com/2013/dec/16/local/la-me-ln-sheriffs-crash-compton-20131216</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</si>
  <si>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</si>
  <si>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</si>
  <si>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</si>
  <si>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</si>
  <si>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</si>
  <si>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</si>
  <si>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</si>
  <si>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</si>
  <si>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</si>
  <si>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</si>
  <si>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</si>
  <si>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</si>
  <si>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</si>
  <si>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</si>
  <si>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</si>
  <si>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</si>
  <si>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</si>
  <si>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</si>
  <si>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</si>
  <si>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</si>
  <si>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Larry Gilmore</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</si>
  <si>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</si>
  <si>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</si>
  <si>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</si>
  <si>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</si>
  <si>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</si>
  <si>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</si>
  <si>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</si>
  <si>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</si>
  <si>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</si>
  <si>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</si>
  <si>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</si>
  <si>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</si>
  <si>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</si>
  <si>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</si>
  <si>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</si>
  <si>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</si>
  <si>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</si>
  <si>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</si>
  <si>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</si>
  <si>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</si>
  <si>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</si>
  <si>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</si>
  <si>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</si>
  <si>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</si>
  <si>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</si>
  <si>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</si>
  <si>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</si>
  <si>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</si>
  <si>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</si>
  <si>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</si>
  <si>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</si>
  <si>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</si>
  <si>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</si>
  <si>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</si>
  <si>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</si>
  <si>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</si>
  <si>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</si>
  <si>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</si>
  <si>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</si>
  <si>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</si>
  <si>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</si>
  <si>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</si>
  <si>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</si>
  <si>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</si>
  <si>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</si>
  <si>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</si>
  <si>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</si>
  <si>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</si>
  <si>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</si>
  <si>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</si>
  <si>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</si>
  <si>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</si>
  <si>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</si>
  <si>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</si>
  <si>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</si>
  <si>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</si>
  <si>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</si>
  <si>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Bill Livezey</t>
  </si>
  <si>
    <t>http://cbsdallas.files.wordpress.com/2013/12/bill-livezey.jpg?w=620&amp;h=349&amp;crop=1</t>
  </si>
  <si>
    <t>198 State Highway 31 W</t>
  </si>
  <si>
    <t>Kerens</t>
  </si>
  <si>
    <t>75144</t>
  </si>
  <si>
    <t>Navarro</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</si>
  <si>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</si>
  <si>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</si>
  <si>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http://dfw.cbslocal.com/2013/12/24/claims-of-road-rage-between-off-duty-officer-man-who-died/</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</si>
  <si>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</si>
  <si>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</si>
  <si>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</si>
  <si>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</si>
  <si>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</si>
  <si>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</si>
  <si>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</si>
  <si>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</si>
  <si>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</si>
  <si>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</si>
  <si>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</si>
  <si>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</si>
  <si>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</si>
  <si>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</si>
  <si>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</si>
  <si>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</si>
  <si>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</si>
  <si>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</si>
  <si>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</si>
  <si>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</si>
  <si>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</si>
  <si>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</si>
  <si>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</si>
  <si>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William A. Shirlaw</t>
  </si>
  <si>
    <t>http://openpasts.com/photo/william-shirlaw/pasco-florida/052813274856</t>
  </si>
  <si>
    <t>7631 US-19</t>
  </si>
  <si>
    <t>34652</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</si>
  <si>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</si>
  <si>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</si>
  <si>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</si>
  <si>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</si>
  <si>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</si>
  <si>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</si>
  <si>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</si>
  <si>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</si>
  <si>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</si>
  <si>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</si>
  <si>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</si>
  <si>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</si>
  <si>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</si>
  <si>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</si>
  <si>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</si>
  <si>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</si>
  <si>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</si>
  <si>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</si>
  <si>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</si>
  <si>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</si>
  <si>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</si>
  <si>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</si>
  <si>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</si>
  <si>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</si>
  <si>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</si>
  <si>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</si>
  <si>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</si>
  <si>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</si>
  <si>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</si>
  <si>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</si>
  <si>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</si>
  <si>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</si>
  <si>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</si>
  <si>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</si>
  <si>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</si>
  <si>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</si>
  <si>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</si>
  <si>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</si>
  <si>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</si>
  <si>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</si>
  <si>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</si>
  <si>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</si>
  <si>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</si>
  <si>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</si>
  <si>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</si>
  <si>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</si>
  <si>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</si>
  <si>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</si>
  <si>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</si>
  <si>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</si>
  <si>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</si>
  <si>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</si>
  <si>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</si>
  <si>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</si>
  <si>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</si>
  <si>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</si>
  <si>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</si>
  <si>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</si>
  <si>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</si>
  <si>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</si>
  <si>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</si>
  <si>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</si>
  <si>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</si>
  <si>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</si>
  <si>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</si>
  <si>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</si>
  <si>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</si>
  <si>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</si>
  <si>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</si>
  <si>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</si>
  <si>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</si>
  <si>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</si>
  <si>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</si>
  <si>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</si>
  <si>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</si>
  <si>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</si>
  <si>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</si>
  <si>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</si>
  <si>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</si>
  <si>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</si>
  <si>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</si>
  <si>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</si>
  <si>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</si>
  <si>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</si>
  <si>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</si>
  <si>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</si>
  <si>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</si>
  <si>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</si>
  <si>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</si>
  <si>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</si>
  <si>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</si>
  <si>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</si>
  <si>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</si>
  <si>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</si>
  <si>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</si>
  <si>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</si>
  <si>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</si>
  <si>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</si>
  <si>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</si>
  <si>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</si>
  <si>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</si>
  <si>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</si>
  <si>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</si>
  <si>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</si>
  <si>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</si>
  <si>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</si>
  <si>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</si>
  <si>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</si>
  <si>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</si>
  <si>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</si>
  <si>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</si>
  <si>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</si>
  <si>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</si>
  <si>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</si>
  <si>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</si>
  <si>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</si>
  <si>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</si>
  <si>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</si>
  <si>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</si>
  <si>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</si>
  <si>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</si>
  <si>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</si>
  <si>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</si>
  <si>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</si>
  <si>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</si>
  <si>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</si>
  <si>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</si>
  <si>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</si>
  <si>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</si>
  <si>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</si>
  <si>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</si>
  <si>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</si>
  <si>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</si>
  <si>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</si>
  <si>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</si>
  <si>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</si>
  <si>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</si>
  <si>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</si>
  <si>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</si>
  <si>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</si>
  <si>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</si>
  <si>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</si>
  <si>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</si>
  <si>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</si>
  <si>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</si>
  <si>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</si>
  <si>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</si>
  <si>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</si>
  <si>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</si>
  <si>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</si>
  <si>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</si>
  <si>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</si>
  <si>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</si>
  <si>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</si>
  <si>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</si>
  <si>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</si>
  <si>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</si>
  <si>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</si>
  <si>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</si>
  <si>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</si>
  <si>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</si>
  <si>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</si>
  <si>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</si>
  <si>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</si>
  <si>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</si>
  <si>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</si>
  <si>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</si>
  <si>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</si>
  <si>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</si>
  <si>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</si>
  <si>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</si>
  <si>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Shiateria Wimbash</t>
  </si>
  <si>
    <t>N. Ohio Avenue and Spruce Street</t>
  </si>
  <si>
    <t>Suwannee</t>
  </si>
  <si>
    <t>Suwannee County Sheriff's Office</t>
  </si>
  <si>
    <t>http://jacksonville.com/breaking-news/2013-11-29/story/three-die-live-oak-accident-while-fleeing-deputies</t>
  </si>
  <si>
    <t>Patrelle J. Stokes</t>
  </si>
  <si>
    <t>816 Ohio Ave. N</t>
  </si>
  <si>
    <t>32064</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</si>
  <si>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</si>
  <si>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Lonnie Lavern Freeman</t>
  </si>
  <si>
    <t>http://www.suwanneesheriff.com/Images/Jail/130000291.jpg</t>
  </si>
  <si>
    <t>815 Ohio Ave. N</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</si>
  <si>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</si>
  <si>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</si>
  <si>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</si>
  <si>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</si>
  <si>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</si>
  <si>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</si>
  <si>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</si>
  <si>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</si>
  <si>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</si>
  <si>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</si>
  <si>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</si>
  <si>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</si>
  <si>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</si>
  <si>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</si>
  <si>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</si>
  <si>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</si>
  <si>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</si>
  <si>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</si>
  <si>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</si>
  <si>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</si>
  <si>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</si>
  <si>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</si>
  <si>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</si>
  <si>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</si>
  <si>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</si>
  <si>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</si>
  <si>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</si>
  <si>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</si>
  <si>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</si>
  <si>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</si>
  <si>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</si>
  <si>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</si>
  <si>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</si>
  <si>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</si>
  <si>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</si>
  <si>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</si>
  <si>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</si>
  <si>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</si>
  <si>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</si>
  <si>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</si>
  <si>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</si>
  <si>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</si>
  <si>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</si>
  <si>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</si>
  <si>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</si>
  <si>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</si>
  <si>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</si>
  <si>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</si>
  <si>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</si>
  <si>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</si>
  <si>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</si>
  <si>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</si>
  <si>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</si>
  <si>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</si>
  <si>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</si>
  <si>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</si>
  <si>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</si>
  <si>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</si>
  <si>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</si>
  <si>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</si>
  <si>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</si>
  <si>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</si>
  <si>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</si>
  <si>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</si>
  <si>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</si>
  <si>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</si>
  <si>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</si>
  <si>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</si>
  <si>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</si>
  <si>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</si>
  <si>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</si>
  <si>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</si>
  <si>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</si>
  <si>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</si>
  <si>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</si>
  <si>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</si>
  <si>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</si>
  <si>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</si>
  <si>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</si>
  <si>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</si>
  <si>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</si>
  <si>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</si>
  <si>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</si>
  <si>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</si>
  <si>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</si>
  <si>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</si>
  <si>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</si>
  <si>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</si>
  <si>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</si>
  <si>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</si>
  <si>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</si>
  <si>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</si>
  <si>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</si>
  <si>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</si>
  <si>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</si>
  <si>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</si>
  <si>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</si>
  <si>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</si>
  <si>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</si>
  <si>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</si>
  <si>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</si>
  <si>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</si>
  <si>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</si>
  <si>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</si>
  <si>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</si>
  <si>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</si>
  <si>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</si>
  <si>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</si>
  <si>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</si>
  <si>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</si>
  <si>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</si>
  <si>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</si>
  <si>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</si>
  <si>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</si>
  <si>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</si>
  <si>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</si>
  <si>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</si>
  <si>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</si>
  <si>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</si>
  <si>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</si>
  <si>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</si>
  <si>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</si>
  <si>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</si>
  <si>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</si>
  <si>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</si>
  <si>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</si>
  <si>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</si>
  <si>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</si>
  <si>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</si>
  <si>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</si>
  <si>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</si>
  <si>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</si>
  <si>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</si>
  <si>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</si>
  <si>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</si>
  <si>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</si>
  <si>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</si>
  <si>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</si>
  <si>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</si>
  <si>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</si>
  <si>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</si>
  <si>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</si>
  <si>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</si>
  <si>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</si>
  <si>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</si>
  <si>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</si>
  <si>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</si>
  <si>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</si>
  <si>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</si>
  <si>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</si>
  <si>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</si>
  <si>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</si>
  <si>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</si>
  <si>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</si>
  <si>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</si>
  <si>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</si>
  <si>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</si>
  <si>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</si>
  <si>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</si>
  <si>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</si>
  <si>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</si>
  <si>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</si>
  <si>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</si>
  <si>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</si>
  <si>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</si>
  <si>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</si>
  <si>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</si>
  <si>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</si>
  <si>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</si>
  <si>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</si>
  <si>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</si>
  <si>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</si>
  <si>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</si>
  <si>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</si>
  <si>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</si>
  <si>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</si>
  <si>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</si>
  <si>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</si>
  <si>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</si>
  <si>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</si>
  <si>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</si>
  <si>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</si>
  <si>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</si>
  <si>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</si>
  <si>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</si>
  <si>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</si>
  <si>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</si>
  <si>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</si>
  <si>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</si>
  <si>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</si>
  <si>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</si>
  <si>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</si>
  <si>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</si>
  <si>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</si>
  <si>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</si>
  <si>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</si>
  <si>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</si>
  <si>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</si>
  <si>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</si>
  <si>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</si>
  <si>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</si>
  <si>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</si>
  <si>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</si>
  <si>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</si>
  <si>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</si>
  <si>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</si>
  <si>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</si>
  <si>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</si>
  <si>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</si>
  <si>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</si>
  <si>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</si>
  <si>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</si>
  <si>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</si>
  <si>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</si>
  <si>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</si>
  <si>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</si>
  <si>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</si>
  <si>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</si>
  <si>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</si>
  <si>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</si>
  <si>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</si>
  <si>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</si>
  <si>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</si>
  <si>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</si>
  <si>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</si>
  <si>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</si>
  <si>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</si>
  <si>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</si>
  <si>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</si>
  <si>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</si>
  <si>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</si>
  <si>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</si>
  <si>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</si>
  <si>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</si>
  <si>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</si>
  <si>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</si>
  <si>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</si>
  <si>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</si>
  <si>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</si>
  <si>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</si>
  <si>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</si>
  <si>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</si>
  <si>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</si>
  <si>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</si>
  <si>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</si>
  <si>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</si>
  <si>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</si>
  <si>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</si>
  <si>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</si>
  <si>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</si>
  <si>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</si>
  <si>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</si>
  <si>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</si>
  <si>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</si>
  <si>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</si>
  <si>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</si>
  <si>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</si>
  <si>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</si>
  <si>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</si>
  <si>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</si>
  <si>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</si>
  <si>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</si>
  <si>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</si>
  <si>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</si>
  <si>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</si>
  <si>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</si>
  <si>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</si>
  <si>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</si>
  <si>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</si>
  <si>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</si>
  <si>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</si>
  <si>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</si>
  <si>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</si>
  <si>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</si>
  <si>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</si>
  <si>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</si>
  <si>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</si>
  <si>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</si>
  <si>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</si>
  <si>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</si>
  <si>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</si>
  <si>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</si>
  <si>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</si>
  <si>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</si>
  <si>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</si>
  <si>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</si>
  <si>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</si>
  <si>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</si>
  <si>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</si>
  <si>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</si>
  <si>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</si>
  <si>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</si>
  <si>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</si>
  <si>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</si>
  <si>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</si>
  <si>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</si>
  <si>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</si>
  <si>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</si>
  <si>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</si>
  <si>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</si>
  <si>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</si>
  <si>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</si>
  <si>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</si>
  <si>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</si>
  <si>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</si>
  <si>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</si>
  <si>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</si>
  <si>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</si>
  <si>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</si>
  <si>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</si>
  <si>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</si>
  <si>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</si>
  <si>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</si>
  <si>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</si>
  <si>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</si>
  <si>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</si>
  <si>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</si>
  <si>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</si>
  <si>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</si>
  <si>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</si>
  <si>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</si>
  <si>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</si>
  <si>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</si>
  <si>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</si>
  <si>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</si>
  <si>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</si>
  <si>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</si>
  <si>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</si>
  <si>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</si>
  <si>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</si>
  <si>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</si>
  <si>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</si>
  <si>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</si>
  <si>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</si>
  <si>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</si>
  <si>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</si>
  <si>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</si>
  <si>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</si>
  <si>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</si>
  <si>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</si>
  <si>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</si>
  <si>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</si>
  <si>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</si>
  <si>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</si>
  <si>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</si>
  <si>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</si>
  <si>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</si>
  <si>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</si>
  <si>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</si>
  <si>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</si>
  <si>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</si>
  <si>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</si>
  <si>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</si>
  <si>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</si>
  <si>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</si>
  <si>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</si>
  <si>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</si>
  <si>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</si>
  <si>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</si>
  <si>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</si>
  <si>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</si>
  <si>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</si>
  <si>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</si>
  <si>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</si>
  <si>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</si>
  <si>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</si>
  <si>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</si>
  <si>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</si>
  <si>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</si>
  <si>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</si>
  <si>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</si>
  <si>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</si>
  <si>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</si>
  <si>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</si>
  <si>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</si>
  <si>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</si>
  <si>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</si>
  <si>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</si>
  <si>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</si>
  <si>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</si>
  <si>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</si>
  <si>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</si>
  <si>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</si>
  <si>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</si>
  <si>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</si>
  <si>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</si>
  <si>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</si>
  <si>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</si>
  <si>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</si>
  <si>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</si>
  <si>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</si>
  <si>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</si>
  <si>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</si>
  <si>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</si>
  <si>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</si>
  <si>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</si>
  <si>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</si>
  <si>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</si>
  <si>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</si>
  <si>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</si>
  <si>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</si>
  <si>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</si>
  <si>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</si>
  <si>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</si>
  <si>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</si>
  <si>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</si>
  <si>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</si>
  <si>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</si>
  <si>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</si>
  <si>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</si>
  <si>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</si>
  <si>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</si>
  <si>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</si>
  <si>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</si>
  <si>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</si>
  <si>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</si>
  <si>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</si>
  <si>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</si>
  <si>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</si>
  <si>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</si>
  <si>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</si>
  <si>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</si>
  <si>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</si>
  <si>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</si>
  <si>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</si>
  <si>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</si>
  <si>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</si>
  <si>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</si>
  <si>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</si>
  <si>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</si>
  <si>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</si>
  <si>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</si>
  <si>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</si>
  <si>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</si>
  <si>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</si>
  <si>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</si>
  <si>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</si>
  <si>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</si>
  <si>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</si>
  <si>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</si>
  <si>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</si>
  <si>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</si>
  <si>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</si>
  <si>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</si>
  <si>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</si>
  <si>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</si>
  <si>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</si>
  <si>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</si>
  <si>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</si>
  <si>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</si>
  <si>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</si>
  <si>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</si>
  <si>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</si>
  <si>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</si>
  <si>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</si>
  <si>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</si>
  <si>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</si>
  <si>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</si>
  <si>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</si>
  <si>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</si>
  <si>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</si>
  <si>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</si>
  <si>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</si>
  <si>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</si>
  <si>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</si>
  <si>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</si>
  <si>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</si>
  <si>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</si>
  <si>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</si>
  <si>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</si>
  <si>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</si>
  <si>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</si>
  <si>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</si>
  <si>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</si>
  <si>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</si>
  <si>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</si>
  <si>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</si>
  <si>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</si>
  <si>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</si>
  <si>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</si>
  <si>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</si>
  <si>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</si>
  <si>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</si>
  <si>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</si>
  <si>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</si>
  <si>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</si>
  <si>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</si>
  <si>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</si>
  <si>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</si>
  <si>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</si>
  <si>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Ronald Wood</t>
  </si>
  <si>
    <t>http://bloximages.chicago2.vip.townnews.com/registerstar.com/content/tncms/assets/v3/editorial/f/d6/fd6a1958-42ae-11e3-bb31-001a4bcf887a/52732fa2c5a60.image.jpg?resize=300%2C533</t>
  </si>
  <si>
    <t>Joslen Boulevard and Green Acres Road</t>
  </si>
  <si>
    <t>12534</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</si>
  <si>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</si>
  <si>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</si>
  <si>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</si>
  <si>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</si>
  <si>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</si>
  <si>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</si>
  <si>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</si>
  <si>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</si>
  <si>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</si>
  <si>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</si>
  <si>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</si>
  <si>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</si>
  <si>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</si>
  <si>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</si>
  <si>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</si>
  <si>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</si>
  <si>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</si>
  <si>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</si>
  <si>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</si>
  <si>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</si>
  <si>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</si>
  <si>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</si>
  <si>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</si>
  <si>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</si>
  <si>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</si>
  <si>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</si>
  <si>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</si>
  <si>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</si>
  <si>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</si>
  <si>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</si>
  <si>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</si>
  <si>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</si>
  <si>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</si>
  <si>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</si>
  <si>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</si>
  <si>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</si>
  <si>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</si>
  <si>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</si>
  <si>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</si>
  <si>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</si>
  <si>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</si>
  <si>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</si>
  <si>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</si>
  <si>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</si>
  <si>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</si>
  <si>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</si>
  <si>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</si>
  <si>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</si>
  <si>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</si>
  <si>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</si>
  <si>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</si>
  <si>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</si>
  <si>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</si>
  <si>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</si>
  <si>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</si>
  <si>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</si>
  <si>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</si>
  <si>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</si>
  <si>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</si>
  <si>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</si>
  <si>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</si>
  <si>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</si>
  <si>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</si>
  <si>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</si>
  <si>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</si>
  <si>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</si>
  <si>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</si>
  <si>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</si>
  <si>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</si>
  <si>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</si>
  <si>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</si>
  <si>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</si>
  <si>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</si>
  <si>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</si>
  <si>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</si>
  <si>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</si>
  <si>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</si>
  <si>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</si>
  <si>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</si>
  <si>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</si>
  <si>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</si>
  <si>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</si>
  <si>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</si>
  <si>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</si>
  <si>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</si>
  <si>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</si>
  <si>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</si>
  <si>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</si>
  <si>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</si>
  <si>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</si>
  <si>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</si>
  <si>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</si>
  <si>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</si>
  <si>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</si>
  <si>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</si>
  <si>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</si>
  <si>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</si>
  <si>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</si>
  <si>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</si>
  <si>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</si>
  <si>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</si>
  <si>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</si>
  <si>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</si>
  <si>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</si>
  <si>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</si>
  <si>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</si>
  <si>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</si>
  <si>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</si>
  <si>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</si>
  <si>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</si>
  <si>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</si>
  <si>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</si>
  <si>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</si>
  <si>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</si>
  <si>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</si>
  <si>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</si>
  <si>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</si>
  <si>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</si>
  <si>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</si>
  <si>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</si>
  <si>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</si>
  <si>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</si>
  <si>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</si>
  <si>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</si>
  <si>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</si>
  <si>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</si>
  <si>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</si>
  <si>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</si>
  <si>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</si>
  <si>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</si>
  <si>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</si>
  <si>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</si>
  <si>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</si>
  <si>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</si>
  <si>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</si>
  <si>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</si>
  <si>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</si>
  <si>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</si>
  <si>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</si>
  <si>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</si>
  <si>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</si>
  <si>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</si>
  <si>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</si>
  <si>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</si>
  <si>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</si>
  <si>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</si>
  <si>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</si>
  <si>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</si>
  <si>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</si>
  <si>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</si>
  <si>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</si>
  <si>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</si>
  <si>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</si>
  <si>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</si>
  <si>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</si>
  <si>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</si>
  <si>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</si>
  <si>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</si>
  <si>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</si>
  <si>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</si>
  <si>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</si>
  <si>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</si>
  <si>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</si>
  <si>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</si>
  <si>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</si>
  <si>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</si>
  <si>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</si>
  <si>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</si>
  <si>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</si>
  <si>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</si>
  <si>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</si>
  <si>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</si>
  <si>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</si>
  <si>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</si>
  <si>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</si>
  <si>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</si>
  <si>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</si>
  <si>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</si>
  <si>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</si>
  <si>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</si>
  <si>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</si>
  <si>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</si>
  <si>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</si>
  <si>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</si>
  <si>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</si>
  <si>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</si>
  <si>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</si>
  <si>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</si>
  <si>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</si>
  <si>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</si>
  <si>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</si>
  <si>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</si>
  <si>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</si>
  <si>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</si>
  <si>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</si>
  <si>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</si>
  <si>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</si>
  <si>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</si>
  <si>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</si>
  <si>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</si>
  <si>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</si>
  <si>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</si>
  <si>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</si>
  <si>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</si>
  <si>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</si>
  <si>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</si>
  <si>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</si>
  <si>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</si>
  <si>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</si>
  <si>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</si>
  <si>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</si>
  <si>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</si>
  <si>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</si>
  <si>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</si>
  <si>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</si>
  <si>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</si>
  <si>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</si>
  <si>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</si>
  <si>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</si>
  <si>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</si>
  <si>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</si>
  <si>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</si>
  <si>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</si>
  <si>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</si>
  <si>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Brian Michael Hunter</t>
  </si>
  <si>
    <t>http://crimeblog.dallasnews.com/files/2013/10/Brian_Michael_Hunter-300x225.jpg</t>
  </si>
  <si>
    <t xml:space="preserve">LBJ Freeway and Abrams Road </t>
  </si>
  <si>
    <t>Michael Hunter was stopped late Monday for an unsafe lane change and later died in police custody. Hunter was moved to an isolated cell after being in general population, and that’s where he was discovered dead on Tuesday. Officers attempted to resuscitate him but then transported him to Baylor where he was pronounced dead.</t>
  </si>
  <si>
    <t>http://crimeblog.dallasnews.com/2013/10/man-held-after-traffic-stop-found-unresponsive-in-city-jail-cell-pronounced-dead-at-hospital.html/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</si>
  <si>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</si>
  <si>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</si>
  <si>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</si>
  <si>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</si>
  <si>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</si>
  <si>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</si>
  <si>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</si>
  <si>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</si>
  <si>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</si>
  <si>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</si>
  <si>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</si>
  <si>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</si>
  <si>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</si>
  <si>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</si>
  <si>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</si>
  <si>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</si>
  <si>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</si>
  <si>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</si>
  <si>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</si>
  <si>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</si>
  <si>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</si>
  <si>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</si>
  <si>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</si>
  <si>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</si>
  <si>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</si>
  <si>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</si>
  <si>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</si>
  <si>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</si>
  <si>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</si>
  <si>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</si>
  <si>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</si>
  <si>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</si>
  <si>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</si>
  <si>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</si>
  <si>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</si>
  <si>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</si>
  <si>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</si>
  <si>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</si>
  <si>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</si>
  <si>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</si>
  <si>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</si>
  <si>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</si>
  <si>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</si>
  <si>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</si>
  <si>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</si>
  <si>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</si>
  <si>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</si>
  <si>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</si>
  <si>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</si>
  <si>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</si>
  <si>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</si>
  <si>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</si>
  <si>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</si>
  <si>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</si>
  <si>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</si>
  <si>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</si>
  <si>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</si>
  <si>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</si>
  <si>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</si>
  <si>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</si>
  <si>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</si>
  <si>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</si>
  <si>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</si>
  <si>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</si>
  <si>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</si>
  <si>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</si>
  <si>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</si>
  <si>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</si>
  <si>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</si>
  <si>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</si>
  <si>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</si>
  <si>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</si>
  <si>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</si>
  <si>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</si>
  <si>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</si>
  <si>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</si>
  <si>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</si>
  <si>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</si>
  <si>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</si>
  <si>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</si>
  <si>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</si>
  <si>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</si>
  <si>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</si>
  <si>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</si>
  <si>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</si>
  <si>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</si>
  <si>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</si>
  <si>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</si>
  <si>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</si>
  <si>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</si>
  <si>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</si>
  <si>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</si>
  <si>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</si>
  <si>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</si>
  <si>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</si>
  <si>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</si>
  <si>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</si>
  <si>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</si>
  <si>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</si>
  <si>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</si>
  <si>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</si>
  <si>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</si>
  <si>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</si>
  <si>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</si>
  <si>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</si>
  <si>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</si>
  <si>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</si>
  <si>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</si>
  <si>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</si>
  <si>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</si>
  <si>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</si>
  <si>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</si>
  <si>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</si>
  <si>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</si>
  <si>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</si>
  <si>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Christopher Eric Augustin</t>
  </si>
  <si>
    <t>4145 Shadow Lane</t>
  </si>
  <si>
    <t>95405</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</si>
  <si>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</si>
  <si>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</si>
  <si>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</si>
  <si>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</si>
  <si>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</si>
  <si>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</si>
  <si>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</si>
  <si>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</si>
  <si>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</si>
  <si>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</si>
  <si>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</si>
  <si>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</si>
  <si>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</si>
  <si>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</si>
  <si>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</si>
  <si>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</si>
  <si>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</si>
  <si>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</si>
  <si>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</si>
  <si>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</si>
  <si>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</si>
  <si>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</si>
  <si>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</si>
  <si>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</si>
  <si>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</si>
  <si>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</si>
  <si>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</si>
  <si>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</si>
  <si>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</si>
  <si>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</si>
  <si>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</si>
  <si>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</si>
  <si>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</si>
  <si>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</si>
  <si>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</si>
  <si>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</si>
  <si>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</si>
  <si>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</si>
  <si>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</si>
  <si>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</si>
  <si>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</si>
  <si>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</si>
  <si>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</si>
  <si>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</si>
  <si>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</si>
  <si>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</si>
  <si>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</si>
  <si>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</si>
  <si>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</si>
  <si>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</si>
  <si>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</si>
  <si>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</si>
  <si>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</si>
  <si>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</si>
  <si>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</si>
  <si>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</si>
  <si>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</si>
  <si>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</si>
  <si>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</si>
  <si>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</si>
  <si>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</si>
  <si>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</si>
  <si>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</si>
  <si>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</si>
  <si>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</si>
  <si>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</si>
  <si>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</si>
  <si>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</si>
  <si>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</si>
  <si>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</si>
  <si>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</si>
  <si>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</si>
  <si>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</si>
  <si>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</si>
  <si>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Fernando Gomez</t>
  </si>
  <si>
    <t>http://www.lonestarq.com/wp-content/uploads/2013/11/Mercedes-Demarco-via-Facebook-588x345.png</t>
  </si>
  <si>
    <t>1301 North Mesa Street</t>
  </si>
  <si>
    <t>79902</t>
  </si>
  <si>
    <t>Gomez, a well-known drag queen, died after being arrested and tasered by El Paso police. An autopsy revealed that Gomez's death was accidental, and the 36-year-old ingested cocaine before dying.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</si>
  <si>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</si>
  <si>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</si>
  <si>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</si>
  <si>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</si>
  <si>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</si>
  <si>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</si>
  <si>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</si>
  <si>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</si>
  <si>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Brad Evans</t>
  </si>
  <si>
    <t>http://www.wyff4.com/image/view/-/22421728/highRes/2/-/w/240/-/122fcbqz/-/Brad-Evans.jpg</t>
  </si>
  <si>
    <t>SC-81</t>
  </si>
  <si>
    <t>29684</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</si>
  <si>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</si>
  <si>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</si>
  <si>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</si>
  <si>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</si>
  <si>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</si>
  <si>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</si>
  <si>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</si>
  <si>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</si>
  <si>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</si>
  <si>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</si>
  <si>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</si>
  <si>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</si>
  <si>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</si>
  <si>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</si>
  <si>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</si>
  <si>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</si>
  <si>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</si>
  <si>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</si>
  <si>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Lawrence Ports</t>
  </si>
  <si>
    <t>http://tbo.com/storyimage/TB/20131011/ARTICLE/131019741/AR/0/AR-131019741.jpg</t>
  </si>
  <si>
    <t>35 Hemlock Drive</t>
  </si>
  <si>
    <t>Kings Park</t>
  </si>
  <si>
    <t>11754</t>
  </si>
  <si>
    <t>https://www.newsli.com/2013/10/14/kings-park-man-dies-in-stony-brook-hospital-possible-result-of-head-injury-after-struggle-with-police/</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</si>
  <si>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</si>
  <si>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</si>
  <si>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</si>
  <si>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</si>
  <si>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</si>
  <si>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</si>
  <si>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</si>
  <si>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</si>
  <si>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</si>
  <si>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</si>
  <si>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</si>
  <si>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</si>
  <si>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</si>
  <si>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</si>
  <si>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</si>
  <si>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</si>
  <si>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</si>
  <si>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</si>
  <si>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</si>
  <si>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</si>
  <si>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</si>
  <si>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</si>
  <si>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</si>
  <si>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</si>
  <si>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</si>
  <si>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</si>
  <si>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</si>
  <si>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</si>
  <si>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</si>
  <si>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</si>
  <si>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</si>
  <si>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</si>
  <si>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</si>
  <si>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</si>
  <si>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</si>
  <si>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</si>
  <si>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</si>
  <si>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</si>
  <si>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</si>
  <si>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</si>
  <si>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</si>
  <si>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</si>
  <si>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</si>
  <si>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</si>
  <si>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</si>
  <si>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</si>
  <si>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</si>
  <si>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</si>
  <si>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</si>
  <si>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</si>
  <si>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</si>
  <si>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</si>
  <si>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</si>
  <si>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</si>
  <si>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</si>
  <si>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</si>
  <si>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</si>
  <si>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</si>
  <si>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</si>
  <si>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</si>
  <si>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</si>
  <si>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</si>
  <si>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</si>
  <si>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</si>
  <si>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</si>
  <si>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</si>
  <si>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</si>
  <si>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</si>
  <si>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</si>
  <si>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</si>
  <si>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</si>
  <si>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</si>
  <si>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</si>
  <si>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</si>
  <si>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</si>
  <si>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</si>
  <si>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</si>
  <si>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</si>
  <si>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</si>
  <si>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</si>
  <si>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</si>
  <si>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</si>
  <si>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</si>
  <si>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</si>
  <si>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</si>
  <si>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</si>
  <si>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</si>
  <si>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</si>
  <si>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</si>
  <si>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</si>
  <si>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</si>
  <si>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</si>
  <si>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</si>
  <si>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</si>
  <si>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</si>
  <si>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</si>
  <si>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</si>
  <si>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</si>
  <si>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</si>
  <si>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</si>
  <si>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</si>
  <si>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</si>
  <si>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</si>
  <si>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</si>
  <si>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</si>
  <si>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</si>
  <si>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</si>
  <si>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</si>
  <si>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</si>
  <si>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</si>
  <si>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</si>
  <si>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</si>
  <si>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</si>
  <si>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</si>
  <si>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</si>
  <si>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</si>
  <si>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</si>
  <si>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</si>
  <si>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</si>
  <si>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</si>
  <si>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</si>
  <si>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</si>
  <si>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</si>
  <si>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</si>
  <si>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</si>
  <si>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</si>
  <si>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</si>
  <si>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</si>
  <si>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</si>
  <si>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</si>
  <si>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</si>
  <si>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</si>
  <si>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</si>
  <si>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</si>
  <si>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</si>
  <si>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</si>
  <si>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</si>
  <si>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</si>
  <si>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</si>
  <si>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</si>
  <si>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</si>
  <si>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</si>
  <si>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</si>
  <si>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</si>
  <si>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</si>
  <si>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</si>
  <si>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</si>
  <si>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Adam J. Williams</t>
  </si>
  <si>
    <t>http://media.cmgdigital.com/shared/img/photos/2013/10/03/39/d7/CrashVic.jpg</t>
  </si>
  <si>
    <t>Muddy Creek Drive and Staff Road</t>
  </si>
  <si>
    <t>Slippery Rock</t>
  </si>
  <si>
    <t>16057</t>
  </si>
  <si>
    <t>For unclear reasons Williams attempted to flee from a state trooper traffic stop for his suspended license and expired tags. After a brief chase he died in a one-car accident. His 1- and 2-year-old daughters were properly strapped into their car seats and were not injured.</t>
  </si>
  <si>
    <t>http://www.wpxi.com/news/news/local/driver-killed-crash-while-attempting-flee-police-c/nbDPx/</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</si>
  <si>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</si>
  <si>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</si>
  <si>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</si>
  <si>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</si>
  <si>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</si>
  <si>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</si>
  <si>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</si>
  <si>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</si>
  <si>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Interstate 93</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</si>
  <si>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</si>
  <si>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</si>
  <si>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</si>
  <si>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</si>
  <si>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</si>
  <si>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</si>
  <si>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</si>
  <si>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</si>
  <si>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</si>
  <si>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</si>
  <si>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</si>
  <si>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</si>
  <si>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</si>
  <si>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</si>
  <si>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</si>
  <si>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</si>
  <si>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</si>
  <si>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Larry Steve Howard II</t>
  </si>
  <si>
    <t>http://thumbs.mugshots.com/gallery/images/2/ed/48/Larry-Steve-Howard-II_mugshot.400x800.jpg</t>
  </si>
  <si>
    <t>51 Pleasant Retreat Rd</t>
  </si>
  <si>
    <t>Travelers Rest</t>
  </si>
  <si>
    <t>29690</t>
  </si>
  <si>
    <t>Howard suffered cardiac arrest and later died after being arrested in connection with his girlfriend's shooting death.</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</si>
  <si>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</si>
  <si>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</si>
  <si>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</si>
  <si>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</si>
  <si>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</si>
  <si>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</si>
  <si>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</si>
  <si>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</si>
  <si>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</si>
  <si>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</si>
  <si>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</si>
  <si>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</si>
  <si>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</si>
  <si>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</si>
  <si>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</si>
  <si>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</si>
  <si>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</si>
  <si>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</si>
  <si>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</si>
  <si>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</si>
  <si>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</si>
  <si>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</si>
  <si>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</si>
  <si>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</si>
  <si>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</si>
  <si>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</si>
  <si>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</si>
  <si>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</si>
  <si>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</si>
  <si>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</si>
  <si>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</si>
  <si>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</si>
  <si>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</si>
  <si>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</si>
  <si>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</si>
  <si>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</si>
  <si>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</si>
  <si>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</si>
  <si>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</si>
  <si>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</si>
  <si>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</si>
  <si>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</si>
  <si>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</si>
  <si>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</si>
  <si>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</si>
  <si>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</si>
  <si>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</si>
  <si>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</si>
  <si>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</si>
  <si>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</si>
  <si>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</si>
  <si>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</si>
  <si>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</si>
  <si>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</si>
  <si>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</si>
  <si>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</si>
  <si>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</si>
  <si>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</si>
  <si>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</si>
  <si>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</si>
  <si>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</si>
  <si>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</si>
  <si>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</si>
  <si>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</si>
  <si>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</si>
  <si>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</si>
  <si>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</si>
  <si>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</si>
  <si>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</si>
  <si>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</si>
  <si>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</si>
  <si>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</si>
  <si>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</si>
  <si>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</si>
  <si>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</si>
  <si>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</si>
  <si>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</si>
  <si>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</si>
  <si>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</si>
  <si>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</si>
  <si>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</si>
  <si>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</si>
  <si>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</si>
  <si>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</si>
  <si>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</si>
  <si>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</si>
  <si>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</si>
  <si>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</si>
  <si>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</si>
  <si>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</si>
  <si>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</si>
  <si>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</si>
  <si>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</si>
  <si>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</si>
  <si>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</si>
  <si>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</si>
  <si>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</si>
  <si>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</si>
  <si>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</si>
  <si>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</si>
  <si>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</si>
  <si>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</si>
  <si>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</si>
  <si>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</si>
  <si>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</si>
  <si>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</si>
  <si>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</si>
  <si>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</si>
  <si>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</si>
  <si>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</si>
  <si>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</si>
  <si>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</si>
  <si>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</si>
  <si>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</si>
  <si>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</si>
  <si>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</si>
  <si>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</si>
  <si>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</si>
  <si>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</si>
  <si>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</si>
  <si>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</si>
  <si>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</si>
  <si>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</si>
  <si>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</si>
  <si>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</si>
  <si>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</si>
  <si>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Michael Lee Zubrod</t>
  </si>
  <si>
    <t>http://bloximages.chicago2.vip.townnews.com/globegazette.com/content/tncms/assets/v3/editorial/3/ab/3abd90d4-259d-11e3-87e0-0019bb2963f4/52426a5faaf24.image.jpg</t>
  </si>
  <si>
    <t>208 4th St N</t>
  </si>
  <si>
    <t>Northwood</t>
  </si>
  <si>
    <t>50459</t>
  </si>
  <si>
    <t>Worth County Sheriff’s Office</t>
  </si>
  <si>
    <t>Deputies arrived to find Zubrod beating his girlfriend, and tasered the 39-year-old several times after he attempted to attack a deputy. Zubrod's death was ruled justified by a county District Attorney.</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</si>
  <si>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</si>
  <si>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</si>
  <si>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</si>
  <si>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</si>
  <si>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</si>
  <si>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</si>
  <si>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</si>
  <si>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</si>
  <si>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</si>
  <si>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</si>
  <si>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</si>
  <si>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</si>
  <si>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</si>
  <si>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</si>
  <si>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</si>
  <si>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</si>
  <si>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</si>
  <si>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</si>
  <si>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</si>
  <si>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</si>
  <si>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</si>
  <si>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</si>
  <si>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</si>
  <si>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</si>
  <si>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</si>
  <si>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</si>
  <si>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</si>
  <si>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</si>
  <si>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</si>
  <si>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</si>
  <si>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</si>
  <si>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</si>
  <si>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</si>
  <si>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</si>
  <si>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</si>
  <si>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</si>
  <si>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</si>
  <si>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</si>
  <si>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</si>
  <si>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</si>
  <si>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</si>
  <si>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</si>
  <si>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</si>
  <si>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</si>
  <si>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</si>
  <si>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</si>
  <si>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</si>
  <si>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</si>
  <si>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</si>
  <si>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</si>
  <si>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</si>
  <si>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Barrington Williams</t>
  </si>
  <si>
    <t>East 161st Street and River Avenue</t>
  </si>
  <si>
    <t>10451</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</si>
  <si>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</si>
  <si>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</si>
  <si>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</si>
  <si>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</si>
  <si>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</si>
  <si>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</si>
  <si>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</si>
  <si>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</si>
  <si>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</si>
  <si>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</si>
  <si>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</si>
  <si>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</si>
  <si>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</si>
  <si>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</si>
  <si>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</si>
  <si>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</si>
  <si>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</si>
  <si>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</si>
  <si>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</si>
  <si>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</si>
  <si>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</si>
  <si>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</si>
  <si>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</si>
  <si>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</si>
  <si>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</si>
  <si>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</si>
  <si>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</si>
  <si>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</si>
  <si>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</si>
  <si>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</si>
  <si>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</si>
  <si>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</si>
  <si>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</si>
  <si>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</si>
  <si>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</si>
  <si>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</si>
  <si>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</si>
  <si>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</si>
  <si>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</si>
  <si>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</si>
  <si>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</si>
  <si>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</si>
  <si>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</si>
  <si>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</si>
  <si>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</si>
  <si>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</si>
  <si>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</si>
  <si>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</si>
  <si>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</si>
  <si>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</si>
  <si>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</si>
  <si>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</si>
  <si>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</si>
  <si>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</si>
  <si>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</si>
  <si>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</si>
  <si>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</si>
  <si>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</si>
  <si>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</si>
  <si>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</si>
  <si>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</si>
  <si>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</si>
  <si>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</si>
  <si>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</si>
  <si>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</si>
  <si>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</si>
  <si>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</si>
  <si>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</si>
  <si>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</si>
  <si>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</si>
  <si>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</si>
  <si>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</si>
  <si>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</si>
  <si>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</si>
  <si>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</si>
  <si>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</si>
  <si>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</si>
  <si>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</si>
  <si>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</si>
  <si>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</si>
  <si>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</si>
  <si>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</si>
  <si>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</si>
  <si>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</si>
  <si>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</si>
  <si>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</si>
  <si>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</si>
  <si>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</si>
  <si>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</si>
  <si>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</si>
  <si>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</si>
  <si>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</si>
  <si>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</si>
  <si>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</si>
  <si>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</si>
  <si>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</si>
  <si>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</si>
  <si>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</si>
  <si>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</si>
  <si>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</si>
  <si>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</si>
  <si>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</si>
  <si>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</si>
  <si>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</si>
  <si>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</si>
  <si>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</si>
  <si>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</si>
  <si>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</si>
  <si>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</si>
  <si>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</si>
  <si>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</si>
  <si>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</si>
  <si>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</si>
  <si>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</si>
  <si>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</si>
  <si>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</si>
  <si>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</si>
  <si>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</si>
  <si>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Jorge Azucena</t>
  </si>
  <si>
    <t>http://cdn.abclocal.go.com/images/kabc/cms_exf_2007/news/local/los_angeles/9301428_1280x720.jpg</t>
  </si>
  <si>
    <t>1546 West Martin Luther King Jr. Boulevard</t>
  </si>
  <si>
    <t>90062</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</si>
  <si>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</si>
  <si>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http://www.latimes.com/local/crime/la-me-lapd-custody-death-20140823-story.html#page=2</t>
  </si>
  <si>
    <t>Joseph Duran</t>
  </si>
  <si>
    <t>4001 CA-104</t>
  </si>
  <si>
    <t>Amadour</t>
  </si>
  <si>
    <t>http://www.sacbee.com/2014/09/04/6678997/family-sues-alleging-widespread.html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</si>
  <si>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</si>
  <si>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</si>
  <si>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</si>
  <si>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</si>
  <si>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</si>
  <si>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</si>
  <si>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</si>
  <si>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</si>
  <si>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</si>
  <si>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</si>
  <si>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</si>
  <si>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</si>
  <si>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</si>
  <si>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</si>
  <si>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</si>
  <si>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</si>
  <si>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</si>
  <si>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</si>
  <si>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</si>
  <si>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</si>
  <si>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</si>
  <si>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</si>
  <si>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</si>
  <si>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</si>
  <si>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</si>
  <si>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</si>
  <si>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</si>
  <si>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</si>
  <si>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</si>
  <si>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</si>
  <si>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</si>
  <si>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</si>
  <si>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</si>
  <si>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</si>
  <si>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</si>
  <si>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</si>
  <si>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</si>
  <si>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</si>
  <si>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</si>
  <si>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</si>
  <si>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</si>
  <si>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</si>
  <si>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</si>
  <si>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</si>
  <si>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</si>
  <si>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</si>
  <si>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</si>
  <si>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</si>
  <si>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</si>
  <si>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</si>
  <si>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</si>
  <si>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</si>
  <si>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</si>
  <si>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</si>
  <si>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</si>
  <si>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</si>
  <si>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</si>
  <si>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</si>
  <si>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</si>
  <si>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</si>
  <si>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</si>
  <si>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</si>
  <si>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</si>
  <si>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</si>
  <si>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</si>
  <si>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</si>
  <si>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</si>
  <si>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</si>
  <si>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</si>
  <si>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</si>
  <si>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</si>
  <si>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</si>
  <si>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</si>
  <si>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</si>
  <si>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</si>
  <si>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</si>
  <si>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</si>
  <si>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</si>
  <si>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</si>
  <si>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</si>
  <si>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</si>
  <si>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</si>
  <si>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</si>
  <si>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</si>
  <si>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</si>
  <si>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</si>
  <si>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</si>
  <si>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</si>
  <si>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</si>
  <si>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</si>
  <si>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</si>
  <si>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</si>
  <si>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</si>
  <si>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</si>
  <si>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</si>
  <si>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</si>
  <si>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</si>
  <si>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</si>
  <si>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</si>
  <si>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Gary P. Beto</t>
  </si>
  <si>
    <t>1741 Brinton Ave</t>
  </si>
  <si>
    <t>Braddock</t>
  </si>
  <si>
    <t>15104</t>
  </si>
  <si>
    <t>East Pittsburgh Police Department</t>
  </si>
  <si>
    <t>Medical Emergency</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</si>
  <si>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</si>
  <si>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</si>
  <si>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</si>
  <si>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</si>
  <si>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</si>
  <si>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</si>
  <si>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</si>
  <si>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</si>
  <si>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</si>
  <si>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</si>
  <si>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</si>
  <si>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</si>
  <si>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</si>
  <si>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</si>
  <si>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</si>
  <si>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</si>
  <si>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</si>
  <si>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</si>
  <si>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</si>
  <si>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</si>
  <si>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</si>
  <si>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</si>
  <si>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</si>
  <si>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</si>
  <si>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</si>
  <si>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</si>
  <si>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</si>
  <si>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</si>
  <si>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</si>
  <si>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</si>
  <si>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</si>
  <si>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</si>
  <si>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</si>
  <si>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</si>
  <si>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</si>
  <si>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</si>
  <si>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</si>
  <si>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</si>
  <si>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</si>
  <si>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</si>
  <si>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</si>
  <si>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</si>
  <si>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</si>
  <si>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</si>
  <si>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</si>
  <si>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</si>
  <si>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</si>
  <si>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</si>
  <si>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</si>
  <si>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</si>
  <si>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</si>
  <si>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</si>
  <si>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</si>
  <si>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</si>
  <si>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</si>
  <si>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</si>
  <si>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</si>
  <si>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</si>
  <si>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</si>
  <si>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</si>
  <si>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</si>
  <si>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</si>
  <si>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</si>
  <si>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</si>
  <si>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</si>
  <si>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</si>
  <si>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</si>
  <si>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</si>
  <si>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</si>
  <si>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</si>
  <si>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</si>
  <si>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</si>
  <si>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</si>
  <si>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</si>
  <si>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</si>
  <si>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</si>
  <si>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</si>
  <si>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</si>
  <si>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</si>
  <si>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</si>
  <si>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</si>
  <si>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</si>
  <si>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</si>
  <si>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</si>
  <si>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</si>
  <si>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</si>
  <si>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</si>
  <si>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</si>
  <si>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</si>
  <si>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</si>
  <si>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</si>
  <si>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</si>
  <si>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</si>
  <si>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</si>
  <si>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</si>
  <si>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</si>
  <si>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</si>
  <si>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</si>
  <si>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</si>
  <si>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</si>
  <si>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</si>
  <si>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</si>
  <si>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</si>
  <si>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</si>
  <si>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</si>
  <si>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</si>
  <si>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</si>
  <si>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</si>
  <si>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</si>
  <si>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</si>
  <si>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</si>
  <si>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</si>
  <si>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</si>
  <si>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</si>
  <si>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</si>
  <si>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</si>
  <si>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</si>
  <si>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</si>
  <si>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</si>
  <si>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</si>
  <si>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</si>
  <si>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</si>
  <si>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</si>
  <si>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</si>
  <si>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</si>
  <si>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</si>
  <si>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</si>
  <si>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</si>
  <si>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</si>
  <si>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</si>
  <si>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</si>
  <si>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</si>
  <si>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</si>
  <si>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</si>
  <si>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</si>
  <si>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</si>
  <si>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</si>
  <si>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</si>
  <si>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</si>
  <si>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</si>
  <si>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</si>
  <si>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</si>
  <si>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</si>
  <si>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</si>
  <si>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</si>
  <si>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</si>
  <si>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</si>
  <si>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</si>
  <si>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</si>
  <si>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</si>
  <si>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</si>
  <si>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</si>
  <si>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</si>
  <si>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</si>
  <si>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</si>
  <si>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</si>
  <si>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Adam Pelkey</t>
  </si>
  <si>
    <t>Aroostook Road</t>
  </si>
  <si>
    <t>Molunkus</t>
  </si>
  <si>
    <t>04459</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</si>
  <si>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</si>
  <si>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</si>
  <si>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</si>
  <si>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</si>
  <si>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</si>
  <si>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</si>
  <si>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</si>
  <si>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</si>
  <si>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</si>
  <si>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</si>
  <si>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</si>
  <si>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</si>
  <si>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</si>
  <si>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</si>
  <si>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</si>
  <si>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</si>
  <si>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</si>
  <si>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</si>
  <si>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</si>
  <si>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</si>
  <si>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</si>
  <si>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</si>
  <si>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</si>
  <si>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</si>
  <si>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</si>
  <si>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</si>
  <si>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</si>
  <si>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</si>
  <si>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</si>
  <si>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</si>
  <si>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</si>
  <si>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</si>
  <si>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</si>
  <si>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</si>
  <si>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</si>
  <si>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</si>
  <si>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</si>
  <si>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</si>
  <si>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</si>
  <si>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</si>
  <si>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</si>
  <si>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</si>
  <si>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</si>
  <si>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</si>
  <si>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</si>
  <si>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</si>
  <si>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</si>
  <si>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</si>
  <si>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</si>
  <si>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</si>
  <si>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</si>
  <si>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</si>
  <si>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</si>
  <si>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</si>
  <si>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</si>
  <si>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</si>
  <si>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</si>
  <si>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</si>
  <si>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</si>
  <si>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</si>
  <si>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</si>
  <si>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</si>
  <si>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</si>
  <si>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</si>
  <si>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</si>
  <si>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</si>
  <si>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</si>
  <si>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</si>
  <si>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</si>
  <si>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</si>
  <si>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</si>
  <si>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</si>
  <si>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</si>
  <si>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</si>
  <si>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</si>
  <si>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</si>
  <si>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</si>
  <si>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</si>
  <si>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</si>
  <si>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</si>
  <si>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</si>
  <si>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</si>
  <si>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</si>
  <si>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</si>
  <si>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</si>
  <si>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</si>
  <si>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</si>
  <si>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</si>
  <si>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</si>
  <si>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</si>
  <si>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</si>
  <si>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</si>
  <si>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</si>
  <si>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</si>
  <si>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</si>
  <si>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</si>
  <si>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</si>
  <si>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</si>
  <si>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</si>
  <si>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</si>
  <si>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</si>
  <si>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</si>
  <si>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</si>
  <si>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</si>
  <si>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</si>
  <si>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</si>
  <si>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</si>
  <si>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</si>
  <si>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</si>
  <si>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</si>
  <si>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</si>
  <si>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</si>
  <si>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</si>
  <si>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</si>
  <si>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</si>
  <si>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</si>
  <si>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</si>
  <si>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</si>
  <si>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</si>
  <si>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</si>
  <si>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</si>
  <si>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</si>
  <si>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</si>
  <si>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</si>
  <si>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</si>
  <si>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</si>
  <si>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</si>
  <si>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</si>
  <si>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</si>
  <si>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</si>
  <si>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</si>
  <si>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</si>
  <si>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</si>
  <si>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</si>
  <si>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</si>
  <si>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</si>
  <si>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</si>
  <si>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</si>
  <si>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</si>
  <si>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</si>
  <si>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</si>
  <si>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</si>
  <si>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</si>
  <si>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</si>
  <si>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</si>
  <si>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</si>
  <si>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</si>
  <si>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</si>
  <si>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</si>
  <si>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</si>
  <si>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</si>
  <si>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</si>
  <si>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</si>
  <si>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</si>
  <si>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</si>
  <si>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</si>
  <si>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</si>
  <si>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</si>
  <si>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</si>
  <si>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</si>
  <si>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</si>
  <si>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</si>
  <si>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</si>
  <si>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</si>
  <si>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</si>
  <si>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</si>
  <si>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</si>
  <si>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</si>
  <si>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</si>
  <si>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</si>
  <si>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</si>
  <si>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</si>
  <si>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</si>
  <si>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</si>
  <si>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</si>
  <si>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</si>
  <si>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</si>
  <si>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</si>
  <si>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</si>
  <si>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</si>
  <si>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</si>
  <si>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</si>
  <si>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</si>
  <si>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</si>
  <si>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</si>
  <si>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</si>
  <si>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</si>
  <si>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</si>
  <si>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</si>
  <si>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</si>
  <si>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</si>
  <si>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</si>
  <si>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</si>
  <si>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</si>
  <si>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</si>
  <si>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</si>
  <si>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</si>
  <si>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</si>
  <si>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</si>
  <si>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</si>
  <si>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</si>
  <si>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</si>
  <si>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</si>
  <si>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</si>
  <si>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</si>
  <si>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</si>
  <si>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</si>
  <si>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</si>
  <si>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</si>
  <si>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</si>
  <si>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</si>
  <si>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</si>
  <si>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</si>
  <si>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</si>
  <si>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</si>
  <si>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</si>
  <si>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</si>
  <si>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</si>
  <si>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</si>
  <si>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</si>
  <si>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</si>
  <si>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</si>
  <si>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</si>
  <si>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</si>
  <si>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</si>
  <si>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</si>
  <si>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</si>
  <si>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</si>
  <si>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</si>
  <si>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Carlo Alcis</t>
  </si>
  <si>
    <t>375 Rockaway Parkway</t>
  </si>
  <si>
    <t>11212</t>
  </si>
  <si>
    <t>http://www.nydailynews.com/new-york/brooklyn/family-mourns-brooklyn-dad-criticizes-nypd-article-1.1448858</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</si>
  <si>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</si>
  <si>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</si>
  <si>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</si>
  <si>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</si>
  <si>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</si>
  <si>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</si>
  <si>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</si>
  <si>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</si>
  <si>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</si>
  <si>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</si>
  <si>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</si>
  <si>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</si>
  <si>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</si>
  <si>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</si>
  <si>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</si>
  <si>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</si>
  <si>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</si>
  <si>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</si>
  <si>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</si>
  <si>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</si>
  <si>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</si>
  <si>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</si>
  <si>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</si>
  <si>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</si>
  <si>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Graham Edward Dyer</t>
  </si>
  <si>
    <t>http://www.obitsforlife.com/uploaded-images/converted/293494-52104785a01e0-shrink-x180.jpg</t>
  </si>
  <si>
    <t>777 North Galloway Avenue</t>
  </si>
  <si>
    <t>75149</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</si>
  <si>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</si>
  <si>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</si>
  <si>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</si>
  <si>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</si>
  <si>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</si>
  <si>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</si>
  <si>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</si>
  <si>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</si>
  <si>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</si>
  <si>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</si>
  <si>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</si>
  <si>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</si>
  <si>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</si>
  <si>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</si>
  <si>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</si>
  <si>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</si>
  <si>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</si>
  <si>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</si>
  <si>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</si>
  <si>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</si>
  <si>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</si>
  <si>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</si>
  <si>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</si>
  <si>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</si>
  <si>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</si>
  <si>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</si>
  <si>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</si>
  <si>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</si>
  <si>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</si>
  <si>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</si>
  <si>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</si>
  <si>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</si>
  <si>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</si>
  <si>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</si>
  <si>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</si>
  <si>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</si>
  <si>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</si>
  <si>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</si>
  <si>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</si>
  <si>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</si>
  <si>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</si>
  <si>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</si>
  <si>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</si>
  <si>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</si>
  <si>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</si>
  <si>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</si>
  <si>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</si>
  <si>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</si>
  <si>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</si>
  <si>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</si>
  <si>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</si>
  <si>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</si>
  <si>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</si>
  <si>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</si>
  <si>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</si>
  <si>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</si>
  <si>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</si>
  <si>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</si>
  <si>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</si>
  <si>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</si>
  <si>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</si>
  <si>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</si>
  <si>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</si>
  <si>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</si>
  <si>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</si>
  <si>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</si>
  <si>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</si>
  <si>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</si>
  <si>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</si>
  <si>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</si>
  <si>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</si>
  <si>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</si>
  <si>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</si>
  <si>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</si>
  <si>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</si>
  <si>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</si>
  <si>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</si>
  <si>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</si>
  <si>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</si>
  <si>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</si>
  <si>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</si>
  <si>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</si>
  <si>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</si>
  <si>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</si>
  <si>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</si>
  <si>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</si>
  <si>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</si>
  <si>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</si>
  <si>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</si>
  <si>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</si>
  <si>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</si>
  <si>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</si>
  <si>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</si>
  <si>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</si>
  <si>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</si>
  <si>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</si>
  <si>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</si>
  <si>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</si>
  <si>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</si>
  <si>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</si>
  <si>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</si>
  <si>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</si>
  <si>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</si>
  <si>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</si>
  <si>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</si>
  <si>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</si>
  <si>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</si>
  <si>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</si>
  <si>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</si>
  <si>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</si>
  <si>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</si>
  <si>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</si>
  <si>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</si>
  <si>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</si>
  <si>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</si>
  <si>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</si>
  <si>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</si>
  <si>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</si>
  <si>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</si>
  <si>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</si>
  <si>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</si>
  <si>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</si>
  <si>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</si>
  <si>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</si>
  <si>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</si>
  <si>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</si>
  <si>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</si>
  <si>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</si>
  <si>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</si>
  <si>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</si>
  <si>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</si>
  <si>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</si>
  <si>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</si>
  <si>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</si>
  <si>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</si>
  <si>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</si>
  <si>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</si>
  <si>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</si>
  <si>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</si>
  <si>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</si>
  <si>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</si>
  <si>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</si>
  <si>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</si>
  <si>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</si>
  <si>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</si>
  <si>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</si>
  <si>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</si>
  <si>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</si>
  <si>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</si>
  <si>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</si>
  <si>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</si>
  <si>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</si>
  <si>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</si>
  <si>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</si>
  <si>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</si>
  <si>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</si>
  <si>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</si>
  <si>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</si>
  <si>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</si>
  <si>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</si>
  <si>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</si>
  <si>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</si>
  <si>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</si>
  <si>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</si>
  <si>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</si>
  <si>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</si>
  <si>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</si>
  <si>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</si>
  <si>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</si>
  <si>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</si>
  <si>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</si>
  <si>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</si>
  <si>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</si>
  <si>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</si>
  <si>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</si>
  <si>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</si>
  <si>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</si>
  <si>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</si>
  <si>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</si>
  <si>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</si>
  <si>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</si>
  <si>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</si>
  <si>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</si>
  <si>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</si>
  <si>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</si>
  <si>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</si>
  <si>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</si>
  <si>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</si>
  <si>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</si>
  <si>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</si>
  <si>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</si>
  <si>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Bruce Pavey</t>
  </si>
  <si>
    <t>960 MT-2</t>
  </si>
  <si>
    <t>Cardwell</t>
  </si>
  <si>
    <t>59721</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</si>
  <si>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</si>
  <si>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</si>
  <si>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</si>
  <si>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</si>
  <si>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</si>
  <si>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</si>
  <si>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</si>
  <si>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</si>
  <si>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</si>
  <si>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</si>
  <si>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</si>
  <si>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</si>
  <si>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</si>
  <si>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</si>
  <si>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</si>
  <si>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</si>
  <si>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</si>
  <si>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</si>
  <si>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</si>
  <si>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</si>
  <si>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</si>
  <si>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</si>
  <si>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</si>
  <si>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</si>
  <si>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</si>
  <si>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</si>
  <si>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</si>
  <si>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</si>
  <si>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</si>
  <si>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</si>
  <si>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</si>
  <si>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</si>
  <si>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</si>
  <si>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</si>
  <si>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</si>
  <si>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</si>
  <si>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</si>
  <si>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</si>
  <si>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</si>
  <si>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</si>
  <si>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</si>
  <si>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</si>
  <si>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</si>
  <si>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</si>
  <si>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</si>
  <si>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</si>
  <si>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</si>
  <si>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</si>
  <si>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</si>
  <si>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</si>
  <si>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</si>
  <si>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</si>
  <si>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</si>
  <si>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</si>
  <si>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</si>
  <si>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</si>
  <si>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</si>
  <si>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</si>
  <si>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</si>
  <si>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</si>
  <si>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</si>
  <si>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</si>
  <si>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</si>
  <si>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</si>
  <si>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</si>
  <si>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</si>
  <si>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</si>
  <si>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</si>
  <si>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Ronald G. Hoover Jr.</t>
  </si>
  <si>
    <t>U.S. Highway 82 and Old Montgomery Highway</t>
  </si>
  <si>
    <t>35405</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</si>
  <si>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</si>
  <si>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</si>
  <si>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</si>
  <si>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</si>
  <si>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</si>
  <si>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</si>
  <si>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</si>
  <si>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</si>
  <si>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</si>
  <si>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</si>
  <si>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</si>
  <si>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</si>
  <si>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</si>
  <si>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</si>
  <si>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</si>
  <si>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</si>
  <si>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</si>
  <si>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</si>
  <si>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</si>
  <si>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</si>
  <si>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</si>
  <si>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</si>
  <si>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</si>
  <si>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</si>
  <si>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</si>
  <si>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</si>
  <si>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</si>
  <si>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</si>
  <si>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</si>
  <si>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</si>
  <si>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</si>
  <si>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</si>
  <si>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</si>
  <si>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</si>
  <si>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</si>
  <si>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</si>
  <si>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</si>
  <si>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</si>
  <si>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</si>
  <si>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</si>
  <si>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</si>
  <si>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</si>
  <si>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</si>
  <si>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</si>
  <si>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</si>
  <si>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</si>
  <si>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</si>
  <si>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</si>
  <si>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</si>
  <si>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</si>
  <si>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</si>
  <si>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</si>
  <si>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</si>
  <si>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</si>
  <si>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</si>
  <si>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</si>
  <si>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</si>
  <si>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</si>
  <si>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</si>
  <si>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</si>
  <si>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</si>
  <si>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</si>
  <si>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</si>
  <si>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</si>
  <si>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</si>
  <si>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</si>
  <si>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</si>
  <si>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</si>
  <si>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</si>
  <si>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</si>
  <si>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</si>
  <si>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</si>
  <si>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</si>
  <si>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</si>
  <si>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</si>
  <si>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</si>
  <si>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</si>
  <si>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</si>
  <si>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</si>
  <si>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</si>
  <si>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</si>
  <si>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</si>
  <si>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</si>
  <si>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</si>
  <si>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</si>
  <si>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</si>
  <si>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</si>
  <si>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</si>
  <si>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</si>
  <si>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</si>
  <si>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</si>
  <si>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</si>
  <si>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</si>
  <si>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</si>
  <si>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</si>
  <si>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</si>
  <si>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</si>
  <si>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</si>
  <si>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</si>
  <si>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</si>
  <si>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</si>
  <si>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</si>
  <si>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</si>
  <si>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</si>
  <si>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</si>
  <si>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</si>
  <si>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</si>
  <si>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</si>
  <si>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</si>
  <si>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</si>
  <si>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</si>
  <si>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</si>
  <si>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</si>
  <si>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</si>
  <si>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</si>
  <si>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</si>
  <si>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</si>
  <si>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</si>
  <si>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</si>
  <si>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</si>
  <si>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</si>
  <si>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</si>
  <si>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</si>
  <si>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</si>
  <si>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</si>
  <si>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</si>
  <si>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</si>
  <si>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</si>
  <si>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</si>
  <si>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</si>
  <si>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</si>
  <si>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</si>
  <si>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</si>
  <si>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</si>
  <si>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</si>
  <si>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</si>
  <si>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</si>
  <si>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</si>
  <si>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</si>
  <si>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</si>
  <si>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</si>
  <si>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</si>
  <si>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</si>
  <si>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</si>
  <si>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</si>
  <si>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</si>
  <si>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</si>
  <si>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</si>
  <si>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</si>
  <si>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</si>
  <si>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</si>
  <si>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</si>
  <si>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Jason M. Nalls</t>
  </si>
  <si>
    <t>http://www.fatalencounters.org/wp-content/uploads/2013/10/JasonM.Nalls_.jpg</t>
  </si>
  <si>
    <t>Pioneer Park</t>
  </si>
  <si>
    <t>http://www.heraldnet.com/article/20130724/NEWS03/707249910</t>
  </si>
  <si>
    <t>John J. Wheelihan</t>
  </si>
  <si>
    <t>http://www.kpho.com/story/22925597/suspect-shot-dead-by-tempe-police-idd</t>
  </si>
  <si>
    <t>Kyam Livingston</t>
  </si>
  <si>
    <t>http://assets.nydailynews.com/polopoly_fs/1.1406250.1374545761!/img/httpImage/image.jpg_gen/derivatives/article_970/custody23n-6-web.jpg</t>
  </si>
  <si>
    <t>120 Schermerhorn St.</t>
  </si>
  <si>
    <t>11201</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</si>
  <si>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</si>
  <si>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</si>
  <si>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</si>
  <si>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</si>
  <si>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</si>
  <si>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</si>
  <si>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</si>
  <si>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</si>
  <si>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</si>
  <si>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</si>
  <si>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</si>
  <si>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</si>
  <si>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</si>
  <si>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</si>
  <si>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</si>
  <si>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</si>
  <si>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</si>
  <si>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</si>
  <si>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</si>
  <si>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</si>
  <si>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</si>
  <si>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</si>
  <si>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</si>
  <si>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</si>
  <si>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</si>
  <si>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</si>
  <si>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</si>
  <si>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</si>
  <si>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</si>
  <si>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</si>
  <si>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</si>
  <si>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</si>
  <si>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</si>
  <si>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</si>
  <si>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</si>
  <si>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</si>
  <si>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</si>
  <si>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</si>
  <si>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</si>
  <si>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</si>
  <si>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</si>
  <si>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</si>
  <si>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</si>
  <si>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</si>
  <si>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</si>
  <si>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</si>
  <si>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</si>
  <si>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</si>
  <si>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</si>
  <si>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</si>
  <si>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</si>
  <si>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</si>
  <si>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</si>
  <si>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</si>
  <si>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</si>
  <si>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</si>
  <si>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</si>
  <si>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</si>
  <si>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</si>
  <si>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</si>
  <si>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</si>
  <si>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</si>
  <si>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</si>
  <si>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</si>
  <si>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</si>
  <si>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</si>
  <si>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</si>
  <si>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</si>
  <si>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</si>
  <si>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</si>
  <si>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</si>
  <si>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</si>
  <si>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</si>
  <si>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</si>
  <si>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</si>
  <si>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</si>
  <si>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</si>
  <si>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</si>
  <si>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</si>
  <si>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</si>
  <si>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</si>
  <si>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</si>
  <si>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</si>
  <si>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</si>
  <si>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</si>
  <si>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</si>
  <si>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</si>
  <si>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</si>
  <si>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</si>
  <si>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</si>
  <si>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</si>
  <si>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</si>
  <si>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</si>
  <si>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</si>
  <si>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</si>
  <si>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</si>
  <si>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</si>
  <si>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Byron Scott Kincade</t>
  </si>
  <si>
    <t>OR-207</t>
  </si>
  <si>
    <t>Stanfield</t>
  </si>
  <si>
    <t>97838</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</si>
  <si>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</si>
  <si>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</si>
  <si>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</si>
  <si>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</si>
  <si>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</si>
  <si>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</si>
  <si>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</si>
  <si>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</si>
  <si>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</si>
  <si>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</si>
  <si>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</si>
  <si>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</si>
  <si>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</si>
  <si>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</si>
  <si>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</si>
  <si>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</si>
  <si>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</si>
  <si>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</si>
  <si>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</si>
  <si>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</si>
  <si>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</si>
  <si>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</si>
  <si>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</si>
  <si>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</si>
  <si>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</si>
  <si>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</si>
  <si>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</si>
  <si>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</si>
  <si>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</si>
  <si>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</si>
  <si>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</si>
  <si>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</si>
  <si>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</si>
  <si>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</si>
  <si>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</si>
  <si>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</si>
  <si>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</si>
  <si>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</si>
  <si>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</si>
  <si>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</si>
  <si>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</si>
  <si>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</si>
  <si>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</si>
  <si>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</si>
  <si>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</si>
  <si>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</si>
  <si>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</si>
  <si>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</si>
  <si>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</si>
  <si>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</si>
  <si>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</si>
  <si>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</si>
  <si>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</si>
  <si>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</si>
  <si>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</si>
  <si>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</si>
  <si>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</si>
  <si>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</si>
  <si>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</si>
  <si>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</si>
  <si>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</si>
  <si>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</si>
  <si>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</si>
  <si>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</si>
  <si>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</si>
  <si>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</si>
  <si>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</si>
  <si>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</si>
  <si>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</si>
  <si>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</si>
  <si>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</si>
  <si>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</si>
  <si>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</si>
  <si>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</si>
  <si>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</si>
  <si>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</si>
  <si>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</si>
  <si>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</si>
  <si>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</si>
  <si>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</si>
  <si>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</si>
  <si>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</si>
  <si>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</si>
  <si>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</si>
  <si>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</si>
  <si>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</si>
  <si>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</si>
  <si>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</si>
  <si>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</si>
  <si>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</si>
  <si>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</si>
  <si>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</si>
  <si>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</si>
  <si>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</si>
  <si>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</si>
  <si>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</si>
  <si>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</si>
  <si>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</si>
  <si>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</si>
  <si>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</si>
  <si>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</si>
  <si>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</si>
  <si>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</si>
  <si>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</si>
  <si>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</si>
  <si>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</si>
  <si>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</si>
  <si>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</si>
  <si>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</si>
  <si>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</si>
  <si>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</si>
  <si>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</si>
  <si>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</si>
  <si>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</si>
  <si>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</si>
  <si>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</si>
  <si>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</si>
  <si>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</si>
  <si>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</si>
  <si>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</si>
  <si>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</si>
  <si>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</si>
  <si>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</si>
  <si>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</si>
  <si>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</si>
  <si>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</si>
  <si>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</si>
  <si>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</si>
  <si>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</si>
  <si>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</si>
  <si>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</si>
  <si>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</si>
  <si>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</si>
  <si>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</si>
  <si>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</si>
  <si>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</si>
  <si>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</si>
  <si>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</si>
  <si>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</si>
  <si>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</si>
  <si>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</si>
  <si>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</si>
  <si>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</si>
  <si>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</si>
  <si>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</si>
  <si>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</si>
  <si>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</si>
  <si>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Hernan Jaramillo</t>
  </si>
  <si>
    <t>94601</t>
  </si>
  <si>
    <t>Died after a struggle with Oakland police officers who were attempting to force him into a police vehicle.</t>
  </si>
  <si>
    <t>http://www.sfgate.com/bayarea/article/Oakland-man-dies-in-police-custody-4653384.php</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</si>
  <si>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</si>
  <si>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</si>
  <si>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</si>
  <si>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</si>
  <si>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</si>
  <si>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</si>
  <si>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</si>
  <si>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</si>
  <si>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</si>
  <si>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</si>
  <si>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</si>
  <si>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</si>
  <si>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</si>
  <si>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</si>
  <si>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</si>
  <si>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</si>
  <si>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</si>
  <si>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</si>
  <si>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</si>
  <si>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</si>
  <si>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</si>
  <si>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</si>
  <si>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</si>
  <si>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</si>
  <si>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</si>
  <si>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</si>
  <si>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</si>
  <si>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</si>
  <si>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</si>
  <si>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</si>
  <si>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</si>
  <si>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</si>
  <si>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</si>
  <si>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</si>
  <si>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</si>
  <si>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</si>
  <si>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</si>
  <si>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</si>
  <si>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</si>
  <si>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</si>
  <si>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</si>
  <si>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</si>
  <si>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</si>
  <si>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</si>
  <si>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</si>
  <si>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</si>
  <si>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</si>
  <si>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</si>
  <si>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</si>
  <si>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</si>
  <si>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</si>
  <si>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</si>
  <si>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</si>
  <si>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</si>
  <si>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</si>
  <si>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</si>
  <si>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</si>
  <si>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</si>
  <si>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</si>
  <si>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</si>
  <si>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</si>
  <si>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</si>
  <si>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</si>
  <si>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</si>
  <si>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</si>
  <si>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</si>
  <si>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</si>
  <si>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</si>
  <si>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</si>
  <si>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</si>
  <si>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</si>
  <si>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</si>
  <si>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</si>
  <si>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</si>
  <si>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</si>
  <si>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</si>
  <si>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</si>
  <si>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</si>
  <si>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</si>
  <si>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</si>
  <si>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</si>
  <si>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</si>
  <si>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</si>
  <si>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</si>
  <si>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</si>
  <si>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</si>
  <si>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</si>
  <si>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</si>
  <si>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</si>
  <si>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</si>
  <si>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</si>
  <si>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</si>
  <si>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</si>
  <si>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</si>
  <si>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</si>
  <si>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</si>
  <si>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</si>
  <si>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</si>
  <si>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</si>
  <si>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</si>
  <si>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</si>
  <si>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</si>
  <si>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</si>
  <si>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</si>
  <si>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</si>
  <si>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</si>
  <si>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</si>
  <si>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</si>
  <si>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</si>
  <si>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</si>
  <si>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</si>
  <si>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</si>
  <si>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</si>
  <si>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</si>
  <si>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</si>
  <si>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</si>
  <si>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</si>
  <si>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</si>
  <si>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Angel Cordero</t>
  </si>
  <si>
    <t>http://assets.dnainfo.com/generated/photo/2013/07/angel-cordero-13734944195940.JPG/extralarge.jpg</t>
  </si>
  <si>
    <t>298 Classon Ave.</t>
  </si>
  <si>
    <t>11205</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</si>
  <si>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</si>
  <si>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</si>
  <si>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</si>
  <si>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</si>
  <si>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</si>
  <si>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</si>
  <si>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</si>
  <si>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</si>
  <si>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</si>
  <si>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</si>
  <si>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</si>
  <si>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</si>
  <si>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</si>
  <si>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</si>
  <si>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</si>
  <si>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</si>
  <si>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</si>
  <si>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</si>
  <si>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</si>
  <si>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</si>
  <si>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</si>
  <si>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</si>
  <si>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</si>
  <si>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</si>
  <si>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</si>
  <si>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</si>
  <si>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</si>
  <si>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</si>
  <si>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</si>
  <si>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</si>
  <si>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</si>
  <si>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</si>
  <si>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</si>
  <si>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</si>
  <si>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</si>
  <si>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</si>
  <si>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</si>
  <si>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</si>
  <si>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</si>
  <si>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</si>
  <si>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</si>
  <si>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</si>
  <si>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</si>
  <si>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</si>
  <si>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</si>
  <si>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</si>
  <si>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</si>
  <si>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</si>
  <si>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</si>
  <si>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</si>
  <si>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</si>
  <si>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</si>
  <si>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</si>
  <si>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</si>
  <si>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</si>
  <si>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</si>
  <si>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</si>
  <si>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Willie Joseph Evans III</t>
  </si>
  <si>
    <t>300 W Winton Ave</t>
  </si>
  <si>
    <t>94544</t>
  </si>
  <si>
    <t>Evans was in police custody when he suffered a medical emergency. Paramedics tried to resuscitate him, but were unsuccessful.</t>
  </si>
  <si>
    <t>http://www.mercurynews.com/ci_23596636/hayward-man-who-died-police-custody-identified</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</si>
  <si>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</si>
  <si>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</si>
  <si>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</si>
  <si>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</si>
  <si>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</si>
  <si>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</si>
  <si>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</si>
  <si>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</si>
  <si>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</si>
  <si>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</si>
  <si>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</si>
  <si>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</si>
  <si>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</si>
  <si>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</si>
  <si>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</si>
  <si>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</si>
  <si>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</si>
  <si>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</si>
  <si>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</si>
  <si>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</si>
  <si>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</si>
  <si>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</si>
  <si>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</si>
  <si>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</si>
  <si>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</si>
  <si>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</si>
  <si>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</si>
  <si>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</si>
  <si>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</si>
  <si>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</si>
  <si>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</si>
  <si>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</si>
  <si>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</si>
  <si>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</si>
  <si>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</si>
  <si>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</si>
  <si>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</si>
  <si>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</si>
  <si>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</si>
  <si>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</si>
  <si>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</si>
  <si>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</si>
  <si>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</si>
  <si>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</si>
  <si>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</si>
  <si>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</si>
  <si>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</si>
  <si>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</si>
  <si>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</si>
  <si>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</si>
  <si>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</si>
  <si>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</si>
  <si>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</si>
  <si>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</si>
  <si>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</si>
  <si>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</si>
  <si>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</si>
  <si>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</si>
  <si>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</si>
  <si>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</si>
  <si>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</si>
  <si>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</si>
  <si>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</si>
  <si>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</si>
  <si>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</si>
  <si>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</si>
  <si>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</si>
  <si>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</si>
  <si>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</si>
  <si>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</si>
  <si>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</si>
  <si>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</si>
  <si>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</si>
  <si>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</si>
  <si>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</si>
  <si>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</si>
  <si>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</si>
  <si>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</si>
  <si>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</si>
  <si>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</si>
  <si>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</si>
  <si>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</si>
  <si>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</si>
  <si>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</si>
  <si>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</si>
  <si>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</si>
  <si>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</si>
  <si>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</si>
  <si>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</si>
  <si>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</si>
  <si>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</si>
  <si>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</si>
  <si>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</si>
  <si>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</si>
  <si>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</si>
  <si>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</si>
  <si>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</si>
  <si>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</si>
  <si>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</si>
  <si>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</si>
  <si>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</si>
  <si>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</si>
  <si>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</si>
  <si>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</si>
  <si>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</si>
  <si>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</si>
  <si>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</si>
  <si>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</si>
  <si>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</si>
  <si>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</si>
  <si>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</si>
  <si>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</si>
  <si>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</si>
  <si>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</si>
  <si>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</si>
  <si>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</si>
  <si>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</si>
  <si>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</si>
  <si>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</si>
  <si>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</si>
  <si>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</si>
  <si>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</si>
  <si>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</si>
  <si>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</si>
  <si>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</si>
  <si>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</si>
  <si>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</si>
  <si>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</si>
  <si>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</si>
  <si>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</si>
  <si>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</si>
  <si>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</si>
  <si>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</si>
  <si>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</si>
  <si>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</si>
  <si>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</si>
  <si>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</si>
  <si>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</si>
  <si>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</si>
  <si>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</si>
  <si>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</si>
  <si>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</si>
  <si>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</si>
  <si>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</si>
  <si>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</si>
  <si>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</si>
  <si>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</si>
  <si>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</si>
  <si>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</si>
  <si>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</si>
  <si>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</si>
  <si>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</si>
  <si>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</si>
  <si>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</si>
  <si>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</si>
  <si>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</si>
  <si>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</si>
  <si>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</si>
  <si>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</si>
  <si>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</si>
  <si>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</si>
  <si>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</si>
  <si>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</si>
  <si>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</si>
  <si>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</si>
  <si>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</si>
  <si>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</si>
  <si>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</si>
  <si>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</si>
  <si>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</si>
  <si>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</si>
  <si>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</si>
  <si>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</si>
  <si>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</si>
  <si>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</si>
  <si>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</si>
  <si>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</si>
  <si>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</si>
  <si>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</si>
  <si>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</si>
  <si>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</si>
  <si>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</si>
  <si>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</si>
  <si>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</si>
  <si>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</si>
  <si>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</si>
  <si>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</si>
  <si>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</si>
  <si>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</si>
  <si>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</si>
  <si>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</si>
  <si>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</si>
  <si>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</si>
  <si>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</si>
  <si>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</si>
  <si>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</si>
  <si>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</si>
  <si>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</si>
  <si>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</si>
  <si>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</si>
  <si>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</si>
  <si>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</si>
  <si>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</si>
  <si>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</si>
  <si>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</si>
  <si>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</si>
  <si>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</si>
  <si>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</si>
  <si>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</si>
  <si>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</si>
  <si>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</si>
  <si>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</si>
  <si>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</si>
  <si>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 Muniz</t>
  </si>
  <si>
    <t>Jerome Ave. and E. 213th Street</t>
  </si>
  <si>
    <t>10467</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</si>
  <si>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</si>
  <si>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</si>
  <si>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</si>
  <si>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</si>
  <si>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</si>
  <si>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</si>
  <si>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</si>
  <si>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</si>
  <si>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</si>
  <si>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</si>
  <si>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</si>
  <si>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</si>
  <si>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</si>
  <si>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</si>
  <si>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</si>
  <si>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</si>
  <si>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</si>
  <si>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</si>
  <si>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</si>
  <si>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Marlon Jermaine Dixon</t>
  </si>
  <si>
    <t>http://www.killedbypolice.net/victims/130172.jpg</t>
  </si>
  <si>
    <t>23669</t>
  </si>
  <si>
    <t>Hampton City</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</si>
  <si>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</si>
  <si>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</si>
  <si>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</si>
  <si>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</si>
  <si>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</si>
  <si>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</si>
  <si>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</si>
  <si>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</si>
  <si>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</si>
  <si>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</si>
  <si>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</si>
  <si>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</si>
  <si>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</si>
  <si>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</si>
  <si>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</si>
  <si>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</si>
  <si>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</si>
  <si>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</si>
  <si>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</si>
  <si>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</si>
  <si>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</si>
  <si>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</si>
  <si>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</si>
  <si>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</si>
  <si>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</si>
  <si>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</si>
  <si>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</si>
  <si>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</si>
  <si>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</si>
  <si>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</si>
  <si>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</si>
  <si>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</si>
  <si>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</si>
  <si>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</si>
  <si>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</si>
  <si>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</si>
  <si>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</si>
  <si>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</si>
  <si>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</si>
  <si>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</si>
  <si>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</si>
  <si>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</si>
  <si>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</si>
  <si>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</si>
  <si>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</si>
  <si>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</si>
  <si>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</si>
  <si>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</si>
  <si>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</si>
  <si>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</si>
  <si>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</si>
  <si>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</si>
  <si>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</si>
  <si>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</si>
  <si>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</si>
  <si>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</si>
  <si>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</si>
  <si>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</si>
  <si>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</si>
  <si>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</si>
  <si>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</si>
  <si>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</si>
  <si>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</si>
  <si>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</si>
  <si>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</si>
  <si>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</si>
  <si>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</si>
  <si>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</si>
  <si>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</si>
  <si>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</si>
  <si>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</si>
  <si>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</si>
  <si>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</si>
  <si>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</si>
  <si>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</si>
  <si>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</si>
  <si>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</si>
  <si>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</si>
  <si>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</si>
  <si>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</si>
  <si>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</si>
  <si>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</si>
  <si>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</si>
  <si>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</si>
  <si>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</si>
  <si>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</si>
  <si>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</si>
  <si>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</si>
  <si>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</si>
  <si>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</si>
  <si>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</si>
  <si>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</si>
  <si>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</si>
  <si>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</si>
  <si>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</si>
  <si>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</si>
  <si>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</si>
  <si>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</si>
  <si>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</si>
  <si>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</si>
  <si>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</si>
  <si>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</si>
  <si>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</si>
  <si>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</si>
  <si>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</si>
  <si>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</si>
  <si>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</si>
  <si>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</si>
  <si>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</si>
  <si>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</si>
  <si>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</si>
  <si>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</si>
  <si>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</si>
  <si>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</si>
  <si>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</si>
  <si>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</si>
  <si>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</si>
  <si>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</si>
  <si>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</si>
  <si>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</si>
  <si>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</si>
  <si>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</si>
  <si>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</si>
  <si>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</si>
  <si>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</si>
  <si>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</si>
  <si>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</si>
  <si>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</si>
  <si>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</si>
  <si>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</si>
  <si>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</si>
  <si>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</si>
  <si>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</si>
  <si>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</si>
  <si>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</si>
  <si>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</si>
  <si>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</si>
  <si>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</si>
  <si>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</si>
  <si>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</si>
  <si>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</si>
  <si>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</si>
  <si>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</si>
  <si>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</si>
  <si>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</si>
  <si>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</si>
  <si>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</si>
  <si>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</si>
  <si>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</si>
  <si>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</si>
  <si>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</si>
  <si>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</si>
  <si>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</si>
  <si>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</si>
  <si>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</si>
  <si>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</si>
  <si>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</si>
  <si>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</si>
  <si>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</si>
  <si>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</si>
  <si>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</si>
  <si>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</si>
  <si>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</si>
  <si>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</si>
  <si>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</si>
  <si>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</si>
  <si>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</si>
  <si>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</si>
  <si>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</si>
  <si>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</si>
  <si>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</si>
  <si>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</si>
  <si>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</si>
  <si>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</si>
  <si>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</si>
  <si>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</si>
  <si>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</si>
  <si>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</si>
  <si>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</si>
  <si>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</si>
  <si>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</si>
  <si>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</si>
  <si>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</si>
  <si>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</si>
  <si>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</si>
  <si>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</si>
  <si>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</si>
  <si>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</si>
  <si>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</si>
  <si>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</si>
  <si>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</si>
  <si>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</si>
  <si>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</si>
  <si>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</si>
  <si>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</si>
  <si>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</si>
  <si>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</si>
  <si>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</si>
  <si>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</si>
  <si>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</si>
  <si>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</si>
  <si>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</si>
  <si>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</si>
  <si>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</si>
  <si>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</si>
  <si>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</si>
  <si>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</si>
  <si>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</si>
  <si>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</si>
  <si>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</si>
  <si>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</si>
  <si>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</si>
  <si>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</si>
  <si>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</si>
  <si>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</si>
  <si>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</si>
  <si>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</si>
  <si>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</si>
  <si>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</si>
  <si>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</si>
  <si>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</si>
  <si>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</si>
  <si>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</si>
  <si>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</si>
  <si>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</si>
  <si>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</si>
  <si>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</si>
  <si>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</si>
  <si>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</si>
  <si>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</si>
  <si>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</si>
  <si>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</si>
  <si>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</si>
  <si>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</si>
  <si>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</si>
  <si>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</si>
  <si>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</si>
  <si>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</si>
  <si>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</si>
  <si>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</si>
  <si>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</si>
  <si>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</si>
  <si>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</si>
  <si>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</si>
  <si>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</si>
  <si>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</si>
  <si>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</si>
  <si>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</si>
  <si>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</si>
  <si>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</si>
  <si>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</si>
  <si>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</si>
  <si>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</si>
  <si>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</si>
  <si>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</si>
  <si>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</si>
  <si>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</si>
  <si>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</si>
  <si>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</si>
  <si>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</si>
  <si>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</si>
  <si>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</si>
  <si>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</si>
  <si>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</si>
  <si>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</si>
  <si>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</si>
  <si>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</si>
  <si>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</si>
  <si>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</si>
  <si>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</si>
  <si>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</si>
  <si>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</si>
  <si>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</si>
  <si>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</si>
  <si>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</si>
  <si>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</si>
  <si>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</si>
  <si>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</si>
  <si>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</si>
  <si>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</si>
  <si>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</si>
  <si>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</si>
  <si>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</si>
  <si>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</si>
  <si>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</si>
  <si>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</si>
  <si>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</si>
  <si>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</si>
  <si>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</si>
  <si>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</si>
  <si>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</si>
  <si>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</si>
  <si>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</si>
  <si>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</si>
  <si>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</si>
  <si>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</si>
  <si>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</si>
  <si>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</si>
  <si>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</si>
  <si>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</si>
  <si>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</si>
  <si>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</si>
  <si>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</si>
  <si>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</si>
  <si>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</si>
  <si>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</si>
  <si>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</si>
  <si>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</si>
  <si>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</si>
  <si>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</si>
  <si>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</si>
  <si>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</si>
  <si>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</si>
  <si>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</si>
  <si>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</si>
  <si>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</si>
  <si>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</si>
  <si>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</si>
  <si>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</si>
  <si>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</si>
  <si>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</si>
  <si>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</si>
  <si>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</si>
  <si>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</si>
  <si>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</si>
  <si>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</si>
  <si>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</si>
  <si>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</si>
  <si>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</si>
  <si>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</si>
  <si>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</si>
  <si>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</si>
  <si>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</si>
  <si>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</si>
  <si>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</si>
  <si>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</si>
  <si>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</si>
  <si>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</si>
  <si>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</si>
  <si>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</si>
  <si>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</si>
  <si>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</si>
  <si>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</si>
  <si>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</si>
  <si>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</si>
  <si>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</si>
  <si>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</si>
  <si>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</si>
  <si>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</si>
  <si>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</si>
  <si>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</si>
  <si>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</si>
  <si>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</si>
  <si>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</si>
  <si>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</si>
  <si>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</si>
  <si>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</si>
  <si>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</si>
  <si>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</si>
  <si>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</si>
  <si>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</si>
  <si>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</si>
  <si>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</si>
  <si>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</si>
  <si>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</si>
  <si>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</si>
  <si>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</si>
  <si>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</si>
  <si>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</si>
  <si>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</si>
  <si>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</si>
  <si>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</si>
  <si>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</si>
  <si>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</si>
  <si>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</si>
  <si>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</si>
  <si>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</si>
  <si>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</si>
  <si>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</si>
  <si>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</si>
  <si>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</si>
  <si>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</si>
  <si>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</si>
  <si>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</si>
  <si>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</si>
  <si>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</si>
  <si>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</si>
  <si>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</si>
  <si>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</si>
  <si>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</si>
  <si>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</si>
  <si>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</si>
  <si>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</si>
  <si>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</si>
  <si>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</si>
  <si>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</si>
  <si>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</si>
  <si>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</si>
  <si>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</si>
  <si>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</si>
  <si>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</si>
  <si>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</si>
  <si>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</si>
  <si>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</si>
  <si>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</si>
  <si>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</si>
  <si>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</si>
  <si>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</si>
  <si>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</si>
  <si>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</si>
  <si>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</si>
  <si>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</si>
  <si>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</si>
  <si>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</si>
  <si>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</si>
  <si>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</si>
  <si>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</si>
  <si>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</si>
  <si>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</si>
  <si>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</si>
  <si>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</si>
  <si>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</si>
  <si>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</si>
  <si>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</si>
  <si>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</si>
  <si>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</si>
  <si>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</si>
  <si>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</si>
  <si>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</si>
  <si>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</si>
  <si>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</si>
  <si>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</si>
  <si>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</si>
  <si>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</si>
  <si>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</si>
  <si>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</si>
  <si>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</si>
  <si>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</si>
  <si>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</si>
  <si>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</si>
  <si>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</si>
  <si>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</si>
  <si>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</si>
  <si>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</si>
  <si>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</si>
  <si>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</si>
  <si>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</si>
  <si>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</si>
  <si>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</si>
  <si>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</si>
  <si>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</si>
  <si>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</si>
  <si>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</si>
  <si>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</si>
  <si>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</si>
  <si>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</si>
  <si>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</si>
  <si>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</si>
  <si>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</si>
  <si>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</si>
  <si>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</si>
  <si>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</si>
  <si>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</si>
  <si>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</si>
  <si>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</si>
  <si>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</si>
  <si>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</si>
  <si>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</si>
  <si>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</si>
  <si>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</si>
  <si>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</si>
  <si>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</si>
  <si>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</si>
  <si>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</si>
  <si>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</si>
  <si>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</si>
  <si>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</si>
  <si>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</si>
  <si>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</si>
  <si>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</si>
  <si>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</si>
  <si>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</si>
  <si>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</si>
  <si>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</si>
  <si>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</si>
  <si>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</si>
  <si>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</si>
  <si>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</si>
  <si>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</si>
  <si>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</si>
  <si>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</si>
  <si>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</si>
  <si>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</si>
  <si>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</si>
  <si>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</si>
  <si>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</si>
  <si>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</si>
  <si>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</si>
  <si>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</si>
  <si>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</si>
  <si>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</si>
  <si>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</si>
  <si>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</si>
  <si>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</si>
  <si>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</si>
  <si>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</si>
  <si>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</si>
  <si>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</si>
  <si>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</si>
  <si>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</si>
  <si>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</si>
  <si>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</si>
  <si>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</si>
  <si>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</si>
  <si>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</si>
  <si>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</si>
  <si>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</si>
  <si>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</si>
  <si>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</si>
  <si>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</si>
  <si>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</si>
  <si>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</si>
  <si>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</si>
  <si>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</si>
  <si>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</si>
  <si>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</si>
  <si>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</si>
  <si>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</si>
  <si>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</si>
  <si>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</si>
  <si>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</si>
  <si>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</si>
  <si>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</si>
  <si>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</si>
  <si>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</si>
  <si>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</si>
  <si>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Donald T. Moskites</t>
  </si>
  <si>
    <t>Massachusetts Turnpike</t>
  </si>
  <si>
    <t>Brighton</t>
  </si>
  <si>
    <t>02135</t>
  </si>
  <si>
    <t>Massachusetts State Police Department</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</si>
  <si>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</si>
  <si>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</si>
  <si>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</si>
  <si>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</si>
  <si>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</si>
  <si>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</si>
  <si>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</si>
  <si>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</si>
  <si>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</si>
  <si>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</si>
  <si>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</si>
  <si>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</si>
  <si>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</si>
  <si>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</si>
  <si>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</si>
  <si>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</si>
  <si>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</si>
  <si>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</si>
  <si>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</si>
  <si>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</si>
  <si>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</si>
  <si>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</si>
  <si>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</si>
  <si>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</si>
  <si>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</si>
  <si>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</si>
  <si>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</si>
  <si>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</si>
  <si>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</si>
  <si>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</si>
  <si>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</si>
  <si>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</si>
  <si>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</si>
  <si>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</si>
  <si>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</si>
  <si>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</si>
  <si>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</si>
  <si>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</si>
  <si>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</si>
  <si>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</si>
  <si>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</si>
  <si>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</si>
  <si>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</si>
  <si>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</si>
  <si>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</si>
  <si>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</si>
  <si>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</si>
  <si>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</si>
  <si>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</si>
  <si>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</si>
  <si>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</si>
  <si>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</si>
  <si>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</si>
  <si>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</si>
  <si>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</si>
  <si>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</si>
  <si>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</si>
  <si>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</si>
  <si>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</si>
  <si>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</si>
  <si>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</si>
  <si>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</si>
  <si>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</si>
  <si>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</si>
  <si>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</si>
  <si>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</si>
  <si>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</si>
  <si>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</si>
  <si>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</si>
  <si>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</si>
  <si>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</si>
  <si>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</si>
  <si>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</si>
  <si>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</si>
  <si>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</si>
  <si>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</si>
  <si>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</si>
  <si>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</si>
  <si>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</si>
  <si>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</si>
  <si>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</si>
  <si>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</si>
  <si>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</si>
  <si>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</si>
  <si>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</si>
  <si>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</si>
  <si>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</si>
  <si>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</si>
  <si>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</si>
  <si>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</si>
  <si>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</si>
  <si>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</si>
  <si>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</si>
  <si>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</si>
  <si>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</si>
  <si>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</si>
  <si>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</si>
  <si>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</si>
  <si>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</si>
  <si>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</si>
  <si>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</si>
  <si>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</si>
  <si>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</si>
  <si>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</si>
  <si>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</si>
  <si>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</si>
  <si>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</si>
  <si>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</si>
  <si>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</si>
  <si>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</si>
  <si>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</si>
  <si>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</si>
  <si>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</si>
  <si>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</si>
  <si>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</si>
  <si>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</si>
  <si>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</si>
  <si>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</si>
  <si>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</si>
  <si>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</si>
  <si>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</si>
  <si>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</si>
  <si>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</si>
  <si>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</si>
  <si>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</si>
  <si>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</si>
  <si>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</si>
  <si>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</si>
  <si>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</si>
  <si>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</si>
  <si>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</si>
  <si>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</si>
  <si>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</si>
  <si>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</si>
  <si>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</si>
  <si>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</si>
  <si>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</si>
  <si>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</si>
  <si>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</si>
  <si>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</si>
  <si>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</si>
  <si>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</si>
  <si>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</si>
  <si>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</si>
  <si>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</si>
  <si>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</si>
  <si>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</si>
  <si>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</si>
  <si>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</si>
  <si>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</si>
  <si>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</si>
  <si>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</si>
  <si>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</si>
  <si>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</si>
  <si>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</si>
  <si>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</si>
  <si>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</si>
  <si>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</si>
  <si>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</si>
  <si>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</si>
  <si>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</si>
  <si>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</si>
  <si>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</si>
  <si>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</si>
  <si>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</si>
  <si>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</si>
  <si>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</si>
  <si>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</si>
  <si>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</si>
  <si>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</si>
  <si>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</si>
  <si>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</si>
  <si>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</si>
  <si>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</si>
  <si>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</si>
  <si>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</si>
  <si>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</si>
  <si>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</si>
  <si>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</si>
  <si>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</si>
  <si>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</si>
  <si>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</si>
  <si>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</si>
  <si>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</si>
  <si>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</si>
  <si>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</si>
  <si>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</si>
  <si>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</si>
  <si>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</si>
  <si>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</si>
  <si>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</si>
  <si>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</si>
  <si>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</si>
  <si>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</si>
  <si>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</si>
  <si>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</si>
  <si>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</si>
  <si>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</si>
  <si>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</si>
  <si>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</si>
  <si>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</si>
  <si>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</si>
  <si>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</si>
  <si>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</si>
  <si>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</si>
  <si>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</si>
  <si>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</si>
  <si>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</si>
  <si>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</si>
  <si>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</si>
  <si>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</si>
  <si>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</si>
  <si>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</si>
  <si>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</si>
  <si>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</si>
  <si>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</si>
  <si>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</si>
  <si>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</si>
  <si>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</si>
  <si>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</si>
  <si>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</si>
  <si>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</si>
  <si>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</si>
  <si>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</si>
  <si>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</si>
  <si>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</si>
  <si>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</si>
  <si>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</si>
  <si>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</si>
  <si>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</si>
  <si>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</si>
  <si>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</si>
  <si>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</si>
  <si>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</si>
  <si>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</si>
  <si>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</si>
  <si>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</si>
  <si>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</si>
  <si>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</si>
  <si>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</si>
  <si>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</si>
  <si>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</si>
  <si>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</si>
  <si>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</si>
  <si>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</si>
  <si>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</si>
  <si>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</si>
  <si>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</si>
  <si>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</si>
  <si>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</si>
  <si>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</si>
  <si>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</si>
  <si>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</si>
  <si>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</si>
  <si>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</si>
  <si>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</si>
  <si>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</si>
  <si>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</si>
  <si>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</si>
  <si>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</si>
  <si>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</si>
  <si>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</si>
  <si>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</si>
  <si>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</si>
  <si>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</si>
  <si>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</si>
  <si>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</si>
  <si>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</si>
  <si>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</si>
  <si>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</si>
  <si>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</si>
  <si>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</si>
  <si>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</si>
  <si>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</si>
  <si>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</si>
  <si>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</si>
  <si>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</si>
  <si>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</si>
  <si>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</si>
  <si>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</si>
  <si>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</si>
  <si>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</si>
  <si>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</si>
  <si>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</si>
  <si>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</si>
  <si>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</si>
  <si>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</si>
  <si>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</si>
  <si>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</si>
  <si>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</si>
  <si>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</si>
  <si>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</si>
  <si>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</si>
  <si>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</si>
  <si>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</si>
  <si>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</si>
  <si>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</si>
  <si>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</si>
  <si>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</si>
  <si>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</si>
  <si>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</si>
  <si>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</si>
  <si>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</si>
  <si>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</si>
  <si>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</si>
  <si>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</si>
  <si>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</si>
  <si>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</si>
  <si>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</si>
  <si>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</si>
  <si>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</si>
  <si>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</si>
  <si>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</si>
  <si>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</si>
  <si>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</si>
  <si>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</si>
  <si>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</si>
  <si>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</si>
  <si>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</si>
  <si>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</si>
  <si>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</si>
  <si>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</si>
  <si>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</si>
  <si>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</si>
  <si>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</si>
  <si>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</si>
  <si>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</si>
  <si>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</si>
  <si>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</si>
  <si>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</si>
  <si>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</si>
  <si>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</si>
  <si>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</si>
  <si>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</si>
  <si>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</si>
  <si>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</si>
  <si>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</si>
  <si>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</si>
  <si>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</si>
  <si>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</si>
  <si>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</si>
  <si>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</si>
  <si>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</si>
  <si>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</si>
  <si>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</si>
  <si>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</si>
  <si>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</si>
  <si>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</si>
  <si>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</si>
  <si>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</si>
  <si>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</si>
  <si>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</si>
  <si>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</si>
  <si>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</si>
  <si>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</si>
  <si>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</si>
  <si>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</si>
  <si>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</si>
  <si>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</si>
  <si>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</si>
  <si>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</si>
  <si>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</si>
  <si>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</si>
  <si>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</si>
  <si>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</si>
  <si>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</si>
  <si>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</si>
  <si>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</si>
  <si>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</si>
  <si>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</si>
  <si>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</si>
  <si>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</si>
  <si>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</si>
  <si>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</si>
  <si>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</si>
  <si>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</si>
  <si>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</si>
  <si>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</si>
  <si>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</si>
  <si>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</si>
  <si>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</si>
  <si>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</si>
  <si>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</si>
  <si>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</si>
  <si>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</si>
  <si>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</si>
  <si>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</si>
  <si>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</si>
  <si>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</si>
  <si>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</si>
  <si>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</si>
  <si>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</si>
  <si>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</si>
  <si>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</si>
  <si>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</si>
  <si>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</si>
  <si>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</si>
  <si>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</si>
  <si>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</si>
  <si>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</si>
  <si>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</si>
  <si>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</si>
  <si>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</si>
  <si>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</si>
  <si>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</si>
  <si>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</si>
  <si>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</si>
  <si>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</si>
  <si>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</si>
  <si>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</si>
  <si>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</si>
  <si>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</si>
  <si>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</si>
  <si>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</si>
  <si>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</si>
  <si>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</si>
  <si>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</si>
  <si>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</si>
  <si>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</si>
  <si>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</si>
  <si>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</si>
  <si>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</si>
  <si>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</si>
  <si>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</si>
  <si>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</si>
  <si>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</si>
  <si>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</si>
  <si>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</si>
  <si>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</si>
  <si>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</si>
  <si>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</si>
  <si>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</si>
  <si>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</si>
  <si>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</si>
  <si>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</si>
  <si>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</si>
  <si>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</si>
  <si>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</si>
  <si>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</si>
  <si>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</si>
  <si>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</si>
  <si>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</si>
  <si>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</si>
  <si>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</si>
  <si>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</si>
  <si>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</si>
  <si>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</si>
  <si>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</si>
  <si>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</si>
  <si>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</si>
  <si>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</si>
  <si>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</si>
  <si>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</si>
  <si>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</si>
  <si>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</si>
  <si>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</si>
  <si>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</si>
  <si>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</si>
  <si>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</si>
  <si>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</si>
  <si>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</si>
  <si>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</si>
  <si>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</si>
  <si>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</si>
  <si>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</si>
  <si>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</si>
  <si>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</si>
  <si>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</si>
  <si>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</si>
  <si>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</si>
  <si>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</si>
  <si>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</si>
  <si>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</si>
  <si>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</si>
  <si>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</si>
  <si>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</si>
  <si>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</si>
  <si>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</si>
  <si>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</si>
  <si>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</si>
  <si>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</si>
  <si>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</si>
  <si>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</si>
  <si>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</si>
  <si>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</si>
  <si>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</si>
  <si>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</si>
  <si>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</si>
  <si>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</si>
  <si>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</si>
  <si>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</si>
  <si>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</si>
  <si>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</si>
  <si>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</si>
  <si>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</si>
  <si>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</si>
  <si>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</si>
  <si>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</si>
  <si>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</si>
  <si>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</si>
  <si>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</si>
  <si>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</si>
  <si>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</si>
  <si>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</si>
  <si>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</si>
  <si>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</si>
  <si>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</si>
  <si>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</si>
  <si>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</si>
  <si>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</si>
  <si>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</si>
  <si>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</si>
  <si>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</si>
  <si>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</si>
  <si>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</si>
  <si>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</si>
  <si>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</si>
  <si>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</si>
  <si>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</si>
  <si>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</si>
  <si>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</si>
  <si>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</si>
  <si>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</si>
  <si>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</si>
  <si>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</si>
  <si>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</si>
  <si>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</si>
  <si>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</si>
  <si>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</si>
  <si>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</si>
  <si>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</si>
  <si>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</si>
  <si>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</si>
  <si>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</si>
  <si>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</si>
  <si>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</si>
  <si>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</si>
  <si>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</si>
  <si>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</si>
  <si>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</si>
  <si>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</si>
  <si>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</si>
  <si>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</si>
  <si>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</si>
  <si>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</si>
  <si>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</si>
  <si>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</si>
  <si>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</si>
  <si>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</si>
  <si>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</si>
  <si>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</si>
  <si>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</si>
  <si>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</si>
  <si>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</si>
  <si>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</si>
  <si>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</si>
  <si>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</si>
  <si>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</si>
  <si>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</si>
  <si>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</si>
  <si>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</si>
  <si>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</si>
  <si>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</si>
  <si>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</si>
  <si>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</si>
  <si>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</si>
  <si>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</si>
  <si>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</si>
  <si>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</si>
  <si>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</si>
  <si>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</si>
  <si>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</si>
  <si>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</si>
  <si>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</si>
  <si>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</si>
  <si>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</si>
  <si>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</si>
  <si>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</si>
  <si>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</si>
  <si>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</si>
  <si>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</si>
  <si>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</si>
  <si>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</si>
  <si>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</si>
  <si>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</si>
  <si>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</si>
  <si>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</si>
  <si>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</si>
  <si>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</si>
  <si>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</si>
  <si>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</si>
  <si>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</si>
  <si>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</si>
  <si>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</si>
  <si>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</si>
  <si>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</si>
  <si>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</si>
  <si>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</si>
  <si>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</si>
  <si>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</si>
  <si>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</si>
  <si>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</si>
  <si>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</si>
  <si>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</si>
  <si>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</si>
  <si>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</si>
  <si>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</si>
  <si>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</si>
  <si>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</si>
  <si>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</si>
  <si>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</si>
  <si>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</si>
  <si>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</si>
  <si>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</si>
  <si>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</si>
  <si>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</si>
  <si>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</si>
  <si>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</si>
  <si>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</si>
  <si>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</si>
  <si>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</si>
  <si>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</si>
  <si>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</si>
  <si>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</si>
  <si>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</si>
  <si>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</si>
  <si>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</si>
  <si>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</si>
  <si>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</si>
  <si>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</si>
  <si>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</si>
  <si>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</si>
  <si>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</si>
  <si>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</si>
  <si>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</si>
  <si>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</si>
  <si>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</si>
  <si>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</si>
  <si>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</si>
  <si>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</si>
  <si>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</si>
  <si>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</si>
  <si>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</si>
  <si>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</si>
  <si>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</si>
  <si>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</si>
  <si>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</si>
  <si>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</si>
  <si>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</si>
  <si>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</si>
  <si>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</si>
  <si>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</si>
  <si>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</si>
  <si>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</si>
  <si>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</si>
  <si>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</si>
  <si>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</si>
  <si>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</si>
  <si>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</si>
  <si>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</si>
  <si>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</si>
  <si>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</si>
  <si>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</si>
  <si>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</si>
  <si>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</si>
  <si>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</si>
  <si>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</si>
  <si>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</si>
  <si>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</si>
  <si>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</si>
  <si>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</si>
  <si>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</si>
  <si>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</si>
  <si>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</si>
  <si>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</si>
  <si>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</si>
  <si>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</si>
  <si>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</si>
  <si>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</si>
  <si>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</si>
  <si>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</si>
  <si>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</si>
  <si>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</si>
  <si>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</si>
  <si>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</si>
  <si>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</si>
  <si>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</si>
  <si>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</si>
  <si>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</si>
  <si>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</si>
  <si>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</si>
  <si>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</si>
  <si>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</si>
  <si>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</si>
  <si>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</si>
  <si>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</si>
  <si>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</si>
  <si>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</si>
  <si>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</si>
  <si>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</si>
  <si>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</si>
  <si>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</si>
  <si>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</si>
  <si>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</si>
  <si>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</si>
  <si>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</si>
  <si>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</si>
  <si>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</si>
  <si>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</si>
  <si>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</si>
  <si>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</si>
  <si>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</si>
  <si>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</si>
  <si>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</si>
  <si>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</si>
  <si>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</si>
  <si>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</si>
  <si>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</si>
  <si>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</si>
  <si>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</si>
  <si>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</si>
  <si>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</si>
  <si>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</si>
  <si>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</si>
  <si>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</si>
  <si>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</si>
  <si>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</si>
  <si>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</si>
  <si>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</si>
  <si>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</si>
  <si>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</si>
  <si>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</si>
  <si>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</si>
  <si>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</si>
  <si>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</si>
  <si>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</si>
  <si>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</si>
  <si>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</si>
  <si>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</si>
  <si>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</si>
  <si>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</si>
  <si>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</si>
  <si>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</si>
  <si>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</si>
  <si>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</si>
  <si>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</si>
  <si>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</si>
  <si>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</si>
  <si>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</si>
  <si>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</si>
  <si>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</si>
  <si>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</si>
  <si>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</si>
  <si>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</si>
  <si>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</si>
  <si>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</si>
  <si>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</si>
  <si>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</si>
  <si>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</si>
  <si>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</si>
  <si>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</si>
  <si>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</si>
  <si>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</si>
  <si>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</si>
  <si>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</si>
  <si>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</si>
  <si>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</si>
  <si>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</si>
  <si>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</si>
  <si>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</si>
  <si>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</si>
  <si>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</si>
  <si>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</si>
  <si>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</si>
  <si>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</si>
  <si>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</si>
  <si>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</si>
  <si>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</si>
  <si>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</si>
  <si>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</si>
  <si>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</si>
  <si>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</si>
  <si>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</si>
  <si>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</si>
  <si>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</si>
  <si>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</si>
  <si>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</si>
  <si>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</si>
  <si>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</si>
  <si>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</si>
  <si>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</si>
  <si>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</si>
  <si>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</si>
  <si>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</si>
  <si>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</si>
  <si>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</si>
  <si>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</si>
  <si>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</si>
  <si>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</si>
  <si>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</si>
  <si>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</si>
  <si>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</si>
  <si>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</si>
  <si>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</si>
  <si>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</si>
  <si>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</si>
  <si>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</si>
  <si>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</si>
  <si>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</si>
  <si>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</si>
  <si>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</si>
  <si>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</si>
  <si>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</si>
  <si>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</si>
  <si>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</si>
  <si>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</si>
  <si>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</si>
  <si>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</si>
  <si>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</si>
  <si>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</si>
  <si>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</si>
  <si>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</si>
  <si>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</si>
  <si>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</si>
  <si>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</si>
  <si>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</si>
  <si>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</si>
  <si>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</si>
  <si>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</si>
  <si>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</si>
  <si>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</si>
  <si>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</si>
  <si>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</si>
  <si>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</si>
  <si>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</si>
  <si>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</si>
  <si>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</si>
  <si>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</si>
  <si>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</si>
  <si>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</si>
  <si>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</si>
  <si>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</si>
  <si>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</si>
  <si>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</si>
  <si>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</si>
  <si>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</si>
  <si>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</si>
  <si>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</si>
  <si>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</si>
  <si>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</si>
  <si>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</si>
  <si>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</si>
  <si>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</si>
  <si>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</si>
  <si>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</si>
  <si>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</si>
  <si>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</si>
  <si>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</si>
  <si>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</si>
  <si>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</si>
  <si>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</si>
  <si>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</si>
  <si>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</si>
  <si>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</si>
  <si>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</si>
  <si>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</si>
  <si>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</si>
  <si>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</si>
  <si>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</si>
  <si>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</si>
  <si>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</si>
  <si>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</si>
  <si>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</si>
  <si>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</si>
  <si>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</si>
  <si>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</si>
  <si>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</si>
  <si>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</si>
  <si>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</si>
  <si>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</si>
  <si>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</si>
  <si>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</si>
  <si>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Nicholas Peterson</t>
  </si>
  <si>
    <t>Lake Stevens</t>
  </si>
  <si>
    <t>98258</t>
  </si>
  <si>
    <t>Lake Stevens Police Department</t>
  </si>
  <si>
    <t>Peterson was a passenger in his friend's Honda Civic, driving on a suspended license. The meth-fueled driver fled from a traffic stop, reached 70 MPH in a residential 25 MPH with police in hot pursuit, lost control and smashed into a house. Peterson was killed. One of at least four fatal high-speed police chases in this county in 2013.</t>
  </si>
  <si>
    <t>http://www.heraldnet.com/article/20131030/NEWS01/710309831</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</si>
  <si>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</si>
  <si>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</si>
  <si>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</si>
  <si>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</si>
  <si>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</si>
  <si>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</si>
  <si>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</si>
  <si>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</si>
  <si>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</si>
  <si>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</si>
  <si>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</si>
  <si>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</si>
  <si>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</si>
  <si>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</si>
  <si>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</si>
  <si>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</si>
  <si>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</si>
  <si>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</si>
  <si>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</si>
  <si>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</si>
  <si>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</si>
  <si>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</si>
  <si>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</si>
  <si>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</si>
  <si>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</si>
  <si>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</si>
  <si>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</si>
  <si>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</si>
  <si>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</si>
  <si>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</si>
  <si>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</si>
  <si>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</si>
  <si>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</si>
  <si>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</si>
  <si>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</si>
  <si>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</si>
  <si>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</si>
  <si>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</si>
  <si>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</si>
  <si>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</si>
  <si>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</si>
  <si>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</si>
  <si>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</si>
  <si>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</si>
  <si>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</si>
  <si>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</si>
  <si>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</si>
  <si>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</si>
  <si>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</si>
  <si>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</si>
  <si>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</si>
  <si>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</si>
  <si>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</si>
  <si>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</si>
  <si>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</si>
  <si>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</si>
  <si>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</si>
  <si>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</si>
  <si>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</si>
  <si>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</si>
  <si>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</si>
  <si>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</si>
  <si>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</si>
  <si>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</si>
  <si>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</si>
  <si>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</si>
  <si>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</si>
  <si>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</si>
  <si>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</si>
  <si>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</si>
  <si>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</si>
  <si>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</si>
  <si>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</si>
  <si>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</si>
  <si>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</si>
  <si>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</si>
  <si>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</si>
  <si>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</si>
  <si>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</si>
  <si>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</si>
  <si>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</si>
  <si>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</si>
  <si>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</si>
  <si>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</si>
  <si>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</si>
  <si>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</si>
  <si>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</si>
  <si>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</si>
  <si>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</si>
  <si>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</si>
  <si>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</si>
  <si>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</si>
  <si>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</si>
  <si>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</si>
  <si>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</si>
  <si>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</si>
  <si>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</si>
  <si>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</si>
  <si>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</si>
  <si>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</si>
  <si>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</si>
  <si>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</si>
  <si>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</si>
  <si>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</si>
  <si>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</si>
  <si>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</si>
  <si>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</si>
  <si>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</si>
  <si>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</si>
  <si>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</si>
  <si>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</si>
  <si>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</si>
  <si>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</si>
  <si>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</si>
  <si>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</si>
  <si>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</si>
  <si>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</si>
  <si>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</si>
  <si>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</si>
  <si>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</si>
  <si>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</si>
  <si>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</si>
  <si>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</si>
  <si>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</si>
  <si>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</si>
  <si>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</si>
  <si>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</si>
  <si>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</si>
  <si>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</si>
  <si>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</si>
  <si>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</si>
  <si>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</si>
  <si>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</si>
  <si>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</si>
  <si>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</si>
  <si>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</si>
  <si>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</si>
  <si>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</si>
  <si>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</si>
  <si>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</si>
  <si>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</si>
  <si>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</si>
  <si>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</si>
  <si>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</si>
  <si>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</si>
  <si>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</si>
  <si>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</si>
  <si>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</si>
  <si>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</si>
  <si>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</si>
  <si>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</si>
  <si>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</si>
  <si>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</si>
  <si>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</si>
  <si>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</si>
  <si>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</si>
  <si>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</si>
  <si>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</si>
  <si>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</si>
  <si>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</si>
  <si>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</si>
  <si>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</si>
  <si>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</si>
  <si>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</si>
  <si>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</si>
  <si>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</si>
  <si>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</si>
  <si>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</si>
  <si>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</si>
  <si>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</si>
  <si>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</si>
  <si>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</si>
  <si>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</si>
  <si>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</si>
  <si>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</si>
  <si>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</si>
  <si>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</si>
  <si>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</si>
  <si>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</si>
  <si>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</si>
  <si>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</si>
  <si>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</si>
  <si>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</si>
  <si>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</si>
  <si>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</si>
  <si>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</si>
  <si>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</si>
  <si>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</si>
  <si>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</si>
  <si>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</si>
  <si>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</si>
  <si>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</si>
  <si>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</si>
  <si>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</si>
  <si>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</si>
  <si>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</si>
  <si>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</si>
  <si>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</si>
  <si>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</si>
  <si>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</si>
  <si>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</si>
  <si>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</si>
  <si>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</si>
  <si>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</si>
  <si>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</si>
  <si>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</si>
  <si>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</si>
  <si>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</si>
  <si>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</si>
  <si>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</si>
  <si>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</si>
  <si>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</si>
  <si>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</si>
  <si>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</si>
  <si>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</si>
  <si>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</si>
  <si>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</si>
  <si>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</si>
  <si>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</si>
  <si>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</si>
  <si>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</si>
  <si>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</si>
  <si>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</si>
  <si>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</si>
  <si>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</si>
  <si>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</si>
  <si>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</si>
  <si>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</si>
  <si>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</si>
  <si>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</si>
  <si>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</si>
  <si>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</si>
  <si>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</si>
  <si>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</si>
  <si>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</si>
  <si>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</si>
  <si>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</si>
  <si>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</si>
  <si>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</si>
  <si>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</si>
  <si>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</si>
  <si>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</si>
  <si>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</si>
  <si>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</si>
  <si>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</si>
  <si>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</si>
  <si>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</si>
  <si>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</si>
  <si>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</si>
  <si>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</si>
  <si>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</si>
  <si>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</si>
  <si>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</si>
  <si>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</si>
  <si>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</si>
  <si>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</si>
  <si>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</si>
  <si>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</si>
  <si>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</si>
  <si>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</si>
  <si>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</si>
  <si>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</si>
  <si>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</si>
  <si>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</si>
  <si>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</si>
  <si>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</si>
  <si>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</si>
  <si>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</si>
  <si>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</si>
  <si>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</si>
  <si>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</si>
  <si>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</si>
  <si>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</si>
  <si>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</si>
  <si>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</si>
  <si>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</si>
  <si>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</si>
  <si>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</si>
  <si>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</si>
  <si>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</si>
  <si>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</si>
  <si>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</si>
  <si>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</si>
  <si>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</si>
  <si>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</si>
  <si>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</si>
  <si>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</si>
  <si>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</si>
  <si>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</si>
  <si>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</si>
  <si>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</si>
  <si>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</si>
  <si>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</si>
  <si>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</si>
  <si>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</si>
  <si>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</si>
  <si>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</si>
  <si>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</si>
  <si>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</si>
  <si>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</si>
  <si>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</si>
  <si>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</si>
  <si>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</si>
  <si>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</si>
  <si>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</si>
  <si>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</si>
  <si>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</si>
  <si>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</si>
  <si>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</si>
  <si>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</si>
  <si>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</si>
  <si>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</si>
  <si>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</si>
  <si>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</si>
  <si>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</si>
  <si>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</si>
  <si>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</si>
  <si>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</si>
  <si>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</si>
  <si>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</si>
  <si>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</si>
  <si>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</si>
  <si>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</si>
  <si>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</si>
  <si>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</si>
  <si>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</si>
  <si>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</si>
  <si>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</si>
  <si>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</si>
  <si>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</si>
  <si>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</si>
  <si>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</si>
  <si>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</si>
  <si>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</si>
  <si>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</si>
  <si>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</si>
  <si>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</si>
  <si>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</si>
  <si>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</si>
  <si>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</si>
  <si>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</si>
  <si>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</si>
  <si>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</si>
  <si>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</si>
  <si>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</si>
  <si>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</si>
  <si>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</si>
  <si>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</si>
  <si>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</si>
  <si>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</si>
  <si>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</si>
  <si>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</si>
  <si>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</si>
  <si>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</si>
  <si>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</si>
  <si>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</si>
  <si>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</si>
  <si>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</si>
  <si>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</si>
  <si>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</si>
  <si>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</si>
  <si>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</si>
  <si>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</si>
  <si>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</si>
  <si>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</si>
  <si>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</si>
  <si>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</si>
  <si>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</si>
  <si>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</si>
  <si>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</si>
  <si>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</si>
  <si>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</si>
  <si>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</si>
  <si>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</si>
  <si>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</si>
  <si>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</si>
  <si>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</si>
  <si>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</si>
  <si>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</si>
  <si>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</si>
  <si>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</si>
  <si>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</si>
  <si>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</si>
  <si>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</si>
  <si>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</si>
  <si>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</si>
  <si>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</si>
  <si>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</si>
  <si>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</si>
  <si>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</si>
  <si>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</si>
  <si>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</si>
  <si>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</si>
  <si>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</si>
  <si>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</si>
  <si>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</si>
  <si>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</si>
  <si>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</si>
  <si>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</si>
  <si>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</si>
  <si>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</si>
  <si>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</si>
  <si>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</si>
  <si>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</si>
  <si>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</si>
  <si>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</si>
  <si>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</si>
  <si>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</si>
  <si>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</si>
  <si>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</si>
  <si>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</si>
  <si>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</si>
  <si>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</si>
  <si>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</si>
  <si>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</si>
  <si>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</si>
  <si>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</si>
  <si>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</si>
  <si>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</si>
  <si>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</si>
  <si>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</si>
  <si>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</si>
  <si>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</si>
  <si>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</si>
  <si>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</si>
  <si>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</si>
  <si>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</si>
  <si>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</si>
  <si>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</si>
  <si>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</si>
  <si>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</si>
  <si>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</si>
  <si>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</si>
  <si>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</si>
  <si>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</si>
  <si>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</si>
  <si>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</si>
  <si>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</si>
  <si>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</si>
  <si>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</si>
  <si>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</si>
  <si>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</si>
  <si>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</si>
  <si>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</si>
  <si>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</si>
  <si>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</si>
  <si>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</si>
  <si>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</si>
  <si>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</si>
  <si>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</si>
  <si>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</si>
  <si>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</si>
  <si>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</si>
  <si>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</si>
  <si>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</si>
  <si>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</si>
  <si>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</si>
  <si>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</si>
  <si>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</si>
  <si>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</si>
  <si>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</si>
  <si>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</si>
  <si>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</si>
  <si>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</si>
  <si>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</si>
  <si>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</si>
  <si>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</si>
  <si>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</si>
  <si>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</si>
  <si>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</si>
  <si>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</si>
  <si>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</si>
  <si>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</si>
  <si>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</si>
  <si>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</si>
  <si>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</si>
  <si>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</si>
  <si>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</si>
  <si>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</si>
  <si>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</si>
  <si>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</si>
  <si>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</si>
  <si>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</si>
  <si>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</si>
  <si>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</si>
  <si>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</si>
  <si>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</si>
  <si>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</si>
  <si>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</si>
  <si>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</si>
  <si>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</si>
  <si>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</si>
  <si>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</si>
  <si>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</si>
  <si>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</si>
  <si>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</si>
  <si>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</si>
  <si>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</si>
  <si>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</si>
  <si>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</si>
  <si>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</si>
  <si>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</si>
  <si>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</si>
  <si>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</si>
  <si>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</si>
  <si>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</si>
  <si>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</si>
  <si>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</si>
  <si>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</si>
  <si>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</si>
  <si>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</si>
  <si>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</si>
  <si>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</si>
  <si>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</si>
  <si>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</si>
  <si>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</si>
  <si>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</si>
  <si>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</si>
  <si>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</si>
  <si>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</si>
  <si>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</si>
  <si>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</si>
  <si>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</si>
  <si>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</si>
  <si>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</si>
  <si>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</si>
  <si>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</si>
  <si>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</si>
  <si>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</si>
  <si>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</si>
  <si>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</si>
  <si>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</si>
  <si>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</si>
  <si>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</si>
  <si>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</si>
  <si>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</si>
  <si>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</si>
  <si>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</si>
  <si>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</si>
  <si>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</si>
  <si>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</si>
  <si>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</si>
  <si>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</si>
  <si>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</si>
  <si>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</si>
  <si>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</si>
  <si>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</si>
  <si>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</si>
  <si>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</si>
  <si>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</si>
  <si>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</si>
  <si>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</si>
  <si>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</si>
  <si>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</si>
  <si>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</si>
  <si>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</si>
  <si>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</si>
  <si>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</si>
  <si>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</si>
  <si>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</si>
  <si>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</si>
  <si>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</si>
  <si>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</si>
  <si>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</si>
  <si>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</si>
  <si>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</si>
  <si>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</si>
  <si>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</si>
  <si>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</si>
  <si>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</si>
  <si>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</si>
  <si>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</si>
  <si>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</si>
  <si>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</si>
  <si>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</si>
  <si>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</si>
  <si>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</si>
  <si>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</si>
  <si>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</si>
  <si>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</si>
  <si>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</si>
  <si>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</si>
  <si>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</si>
  <si>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</si>
  <si>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</si>
  <si>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</si>
  <si>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</si>
  <si>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</si>
  <si>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</si>
  <si>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</si>
  <si>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</si>
  <si>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</si>
  <si>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</si>
  <si>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</si>
  <si>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</si>
  <si>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</si>
  <si>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</si>
  <si>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</si>
  <si>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</si>
  <si>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</si>
  <si>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</si>
  <si>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</si>
  <si>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</si>
  <si>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</si>
  <si>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</si>
  <si>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</si>
  <si>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</si>
  <si>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</si>
  <si>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</si>
  <si>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</si>
  <si>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</si>
  <si>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</si>
  <si>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</si>
  <si>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</si>
  <si>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</si>
  <si>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</si>
  <si>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</si>
  <si>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</si>
  <si>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</si>
  <si>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</si>
  <si>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</si>
  <si>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</si>
  <si>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</si>
  <si>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</si>
  <si>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</si>
  <si>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</si>
  <si>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</si>
  <si>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</si>
  <si>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</si>
  <si>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</si>
  <si>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</si>
  <si>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</si>
  <si>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</si>
  <si>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</si>
  <si>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</si>
  <si>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</si>
  <si>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</si>
  <si>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</si>
  <si>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</si>
  <si>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</si>
  <si>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</si>
  <si>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</si>
  <si>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</si>
  <si>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</si>
  <si>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</si>
  <si>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</si>
  <si>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</si>
  <si>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</si>
  <si>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</si>
  <si>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</si>
  <si>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</si>
  <si>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</si>
  <si>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</si>
  <si>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</si>
  <si>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</si>
  <si>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</si>
  <si>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</si>
  <si>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</si>
  <si>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</si>
  <si>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</si>
  <si>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</si>
  <si>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</si>
  <si>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</si>
  <si>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</si>
  <si>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</si>
  <si>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</si>
  <si>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</si>
  <si>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</si>
  <si>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</si>
  <si>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</si>
  <si>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</si>
  <si>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</si>
  <si>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</si>
  <si>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</si>
  <si>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</si>
  <si>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</si>
  <si>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</si>
  <si>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</si>
  <si>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</si>
  <si>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</si>
  <si>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</si>
  <si>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</si>
  <si>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</si>
  <si>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</si>
  <si>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</si>
  <si>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</si>
  <si>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</si>
  <si>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</si>
  <si>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</si>
  <si>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</si>
  <si>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</si>
  <si>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</si>
  <si>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</si>
  <si>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</si>
  <si>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</si>
  <si>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</si>
  <si>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</si>
  <si>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</si>
  <si>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</si>
  <si>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</si>
  <si>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</si>
  <si>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</si>
  <si>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</si>
  <si>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</si>
  <si>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</si>
  <si>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</si>
  <si>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</si>
  <si>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</si>
  <si>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</si>
  <si>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</si>
  <si>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</si>
  <si>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</si>
  <si>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</si>
  <si>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</si>
  <si>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</si>
  <si>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</si>
  <si>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</si>
  <si>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</si>
  <si>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</si>
  <si>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</si>
  <si>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</si>
  <si>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</si>
  <si>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</si>
  <si>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</si>
  <si>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</si>
  <si>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</si>
  <si>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</si>
  <si>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</si>
  <si>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</si>
  <si>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</si>
  <si>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</si>
  <si>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</si>
  <si>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</si>
  <si>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</si>
  <si>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</si>
  <si>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</si>
  <si>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</si>
  <si>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</si>
  <si>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</si>
  <si>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</si>
  <si>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</si>
  <si>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</si>
  <si>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</si>
  <si>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</si>
  <si>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</si>
  <si>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</si>
  <si>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</si>
  <si>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</si>
  <si>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</si>
  <si>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</si>
  <si>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</si>
  <si>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</si>
  <si>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</si>
  <si>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</si>
  <si>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</si>
  <si>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</si>
  <si>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</si>
  <si>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</si>
  <si>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</si>
  <si>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</si>
  <si>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</si>
  <si>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</si>
  <si>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</si>
  <si>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</si>
  <si>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</si>
  <si>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</si>
  <si>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</si>
  <si>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</si>
  <si>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</si>
  <si>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</si>
  <si>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</si>
  <si>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</si>
  <si>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</si>
  <si>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</si>
  <si>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</si>
  <si>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</si>
  <si>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</si>
  <si>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</si>
  <si>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</si>
  <si>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</si>
  <si>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</si>
  <si>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</si>
  <si>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</si>
  <si>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</si>
  <si>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</si>
  <si>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</si>
  <si>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</si>
  <si>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</si>
  <si>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</si>
  <si>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</si>
  <si>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</si>
  <si>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</si>
  <si>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</si>
  <si>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</si>
  <si>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</si>
  <si>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</si>
  <si>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</si>
  <si>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</si>
  <si>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</si>
  <si>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</si>
  <si>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</si>
  <si>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</si>
  <si>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</si>
  <si>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</si>
  <si>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</si>
  <si>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</si>
  <si>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</si>
  <si>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</si>
  <si>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</si>
  <si>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</si>
  <si>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</si>
  <si>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</si>
  <si>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</si>
  <si>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</si>
  <si>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</si>
  <si>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</si>
  <si>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</si>
  <si>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</si>
  <si>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</si>
  <si>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</si>
  <si>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</si>
  <si>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</si>
  <si>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</si>
  <si>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</si>
  <si>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</si>
  <si>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</si>
  <si>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</si>
  <si>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</si>
  <si>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</si>
  <si>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</si>
  <si>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</si>
  <si>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</si>
  <si>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</si>
  <si>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</si>
  <si>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</si>
  <si>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</si>
  <si>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</si>
  <si>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</si>
  <si>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</si>
  <si>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</si>
  <si>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</si>
  <si>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</si>
  <si>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</si>
  <si>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</si>
  <si>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</si>
  <si>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</si>
  <si>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</si>
  <si>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</si>
  <si>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</si>
  <si>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</si>
  <si>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</si>
  <si>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</si>
  <si>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</si>
  <si>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</si>
  <si>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</si>
  <si>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Larry Medlock Jr.</t>
  </si>
  <si>
    <t>http://www.trbimg.com/img-510c8d03/turbine/sfl-larry-medlock-jr-photo-20130201/595/335x595</t>
  </si>
  <si>
    <t>Taft Street and North Park Road</t>
  </si>
  <si>
    <t>33021</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</si>
  <si>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</si>
  <si>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</si>
  <si>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</si>
  <si>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</si>
  <si>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</si>
  <si>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</si>
  <si>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</si>
  <si>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</si>
  <si>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</si>
  <si>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</si>
  <si>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</si>
  <si>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</si>
  <si>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</si>
  <si>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</si>
  <si>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</si>
  <si>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</si>
  <si>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</si>
  <si>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</si>
  <si>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</si>
  <si>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</si>
  <si>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</si>
  <si>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</si>
  <si>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</si>
  <si>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</si>
  <si>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</si>
  <si>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</si>
  <si>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</si>
  <si>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</si>
  <si>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</si>
  <si>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</si>
  <si>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</si>
  <si>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</si>
  <si>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</si>
  <si>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</si>
  <si>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</si>
  <si>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</si>
  <si>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</si>
  <si>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</si>
  <si>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</si>
  <si>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</si>
  <si>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</si>
  <si>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</si>
  <si>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</si>
  <si>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</si>
  <si>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</si>
  <si>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</si>
  <si>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</si>
  <si>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</si>
  <si>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</si>
  <si>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</si>
  <si>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</si>
  <si>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</si>
  <si>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</si>
  <si>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</si>
  <si>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</si>
  <si>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</si>
  <si>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</si>
  <si>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</si>
  <si>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</si>
  <si>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</si>
  <si>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</si>
  <si>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</si>
  <si>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</si>
  <si>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</si>
  <si>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</si>
  <si>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</si>
  <si>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</si>
  <si>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</si>
  <si>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</si>
  <si>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</si>
  <si>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</si>
  <si>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</si>
  <si>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</si>
  <si>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</si>
  <si>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</si>
  <si>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</si>
  <si>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</si>
  <si>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</si>
  <si>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</si>
  <si>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</si>
  <si>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</si>
  <si>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</si>
  <si>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</si>
  <si>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</si>
  <si>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</si>
  <si>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</si>
  <si>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</si>
  <si>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</si>
  <si>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</si>
  <si>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</si>
  <si>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</si>
  <si>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</si>
  <si>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</si>
  <si>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</si>
  <si>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</si>
  <si>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</si>
  <si>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</si>
  <si>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</si>
  <si>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</si>
  <si>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</si>
  <si>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</si>
  <si>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</si>
  <si>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</si>
  <si>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</si>
  <si>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</si>
  <si>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</si>
  <si>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</si>
  <si>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</si>
  <si>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</si>
  <si>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</si>
  <si>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</si>
  <si>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Gratiot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</si>
  <si>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</si>
  <si>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</si>
  <si>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</si>
  <si>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</si>
  <si>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</si>
  <si>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</si>
  <si>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</si>
  <si>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</si>
  <si>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</si>
  <si>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</si>
  <si>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</si>
  <si>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</si>
  <si>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</si>
  <si>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</si>
  <si>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</si>
  <si>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</si>
  <si>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</si>
  <si>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</si>
  <si>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</si>
  <si>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</si>
  <si>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</si>
  <si>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</si>
  <si>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</si>
  <si>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</si>
  <si>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</si>
  <si>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</si>
  <si>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</si>
  <si>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</si>
  <si>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</si>
  <si>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</si>
  <si>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</si>
  <si>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</si>
  <si>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</si>
  <si>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</si>
  <si>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</si>
  <si>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</si>
  <si>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</si>
  <si>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</si>
  <si>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</si>
  <si>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</si>
  <si>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</si>
  <si>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</si>
  <si>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</si>
  <si>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</si>
  <si>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</si>
  <si>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</si>
  <si>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</si>
  <si>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</si>
  <si>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</si>
  <si>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</si>
  <si>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</si>
  <si>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</si>
  <si>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</si>
  <si>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</si>
  <si>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</si>
  <si>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</si>
  <si>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</si>
  <si>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</si>
  <si>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</si>
  <si>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</si>
  <si>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</si>
  <si>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</si>
  <si>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</si>
  <si>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</si>
  <si>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</si>
  <si>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</si>
  <si>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</si>
  <si>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</si>
  <si>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</si>
  <si>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</si>
  <si>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</si>
  <si>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</si>
  <si>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</si>
  <si>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</si>
  <si>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</si>
  <si>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</si>
  <si>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</si>
  <si>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</si>
  <si>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</si>
  <si>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</si>
  <si>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</si>
  <si>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</si>
  <si>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</si>
  <si>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</si>
  <si>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</si>
  <si>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</si>
  <si>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</si>
  <si>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</si>
  <si>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</si>
  <si>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</si>
  <si>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</si>
  <si>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</si>
  <si>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</si>
  <si>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</si>
  <si>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</si>
  <si>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</si>
  <si>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</si>
  <si>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</si>
  <si>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</si>
  <si>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</si>
  <si>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</si>
  <si>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</si>
  <si>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</si>
  <si>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</si>
  <si>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</si>
  <si>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</si>
  <si>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</si>
  <si>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</si>
  <si>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</si>
  <si>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</si>
  <si>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</si>
  <si>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</si>
  <si>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</si>
  <si>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</si>
  <si>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</si>
  <si>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</si>
  <si>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</si>
  <si>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</si>
  <si>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</si>
  <si>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</si>
  <si>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</si>
  <si>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</si>
  <si>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</si>
  <si>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</si>
  <si>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</si>
  <si>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</si>
  <si>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</si>
  <si>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</si>
  <si>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</si>
  <si>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</si>
  <si>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</si>
  <si>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</si>
  <si>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</si>
  <si>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</si>
  <si>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</si>
  <si>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</si>
  <si>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</si>
  <si>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</si>
  <si>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</si>
  <si>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</si>
  <si>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</si>
  <si>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</si>
  <si>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</si>
  <si>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</si>
  <si>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</si>
  <si>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</si>
  <si>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</si>
  <si>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</si>
  <si>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</si>
  <si>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</si>
  <si>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</si>
  <si>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</si>
  <si>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</si>
  <si>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</si>
  <si>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</si>
  <si>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</si>
  <si>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</si>
  <si>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</si>
  <si>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</si>
  <si>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</si>
  <si>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</si>
  <si>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</si>
  <si>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</si>
  <si>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</si>
  <si>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</si>
  <si>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</si>
  <si>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</si>
  <si>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</si>
  <si>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</si>
  <si>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</si>
  <si>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</si>
  <si>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</si>
  <si>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</si>
  <si>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</si>
  <si>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</si>
  <si>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</si>
  <si>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</si>
  <si>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</si>
  <si>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</si>
  <si>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</si>
  <si>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</si>
  <si>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</si>
  <si>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</si>
  <si>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</si>
  <si>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</si>
  <si>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</si>
  <si>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</si>
  <si>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</si>
  <si>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</si>
  <si>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</si>
  <si>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</si>
  <si>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</si>
  <si>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</si>
  <si>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</si>
  <si>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</si>
  <si>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</si>
  <si>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</si>
  <si>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</si>
  <si>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</si>
  <si>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</si>
  <si>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</si>
  <si>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</si>
  <si>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</si>
  <si>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</si>
  <si>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</si>
  <si>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</si>
  <si>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</si>
  <si>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</si>
  <si>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</si>
  <si>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</si>
  <si>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</si>
  <si>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</si>
  <si>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</si>
  <si>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</si>
  <si>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</si>
  <si>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</si>
  <si>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</si>
  <si>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</si>
  <si>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</si>
  <si>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</si>
  <si>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</si>
  <si>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</si>
  <si>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</si>
  <si>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</si>
  <si>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</si>
  <si>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</si>
  <si>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</si>
  <si>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</si>
  <si>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</si>
  <si>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</si>
  <si>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</si>
  <si>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</si>
  <si>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</si>
  <si>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</si>
  <si>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</si>
  <si>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</si>
  <si>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</si>
  <si>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</si>
  <si>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</si>
  <si>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</si>
  <si>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</si>
  <si>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</si>
  <si>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</si>
  <si>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</si>
  <si>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</si>
  <si>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</si>
  <si>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</si>
  <si>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</si>
  <si>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</si>
  <si>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</si>
  <si>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</si>
  <si>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</si>
  <si>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</si>
  <si>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</si>
  <si>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</si>
  <si>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</si>
  <si>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</si>
  <si>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</si>
  <si>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</si>
  <si>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</si>
  <si>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</si>
  <si>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</si>
  <si>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</si>
  <si>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</si>
  <si>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</si>
  <si>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</si>
  <si>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</si>
  <si>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</si>
  <si>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</si>
  <si>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</si>
  <si>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</si>
  <si>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</si>
  <si>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</si>
  <si>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</si>
  <si>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</si>
  <si>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</si>
  <si>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</si>
  <si>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</si>
  <si>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</si>
  <si>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</si>
  <si>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</si>
  <si>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</si>
  <si>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</si>
  <si>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</si>
  <si>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</si>
  <si>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</si>
  <si>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</si>
  <si>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</si>
  <si>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</si>
  <si>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</si>
  <si>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</si>
  <si>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</si>
  <si>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</si>
  <si>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</si>
  <si>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</si>
  <si>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</si>
  <si>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</si>
  <si>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</si>
  <si>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</si>
  <si>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</si>
  <si>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</si>
  <si>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</si>
  <si>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</si>
  <si>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</si>
  <si>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</si>
  <si>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</si>
  <si>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</si>
  <si>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</si>
  <si>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</si>
  <si>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</si>
  <si>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</si>
  <si>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</si>
  <si>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</si>
  <si>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</si>
  <si>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</si>
  <si>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</si>
  <si>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</si>
  <si>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</si>
  <si>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</si>
  <si>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</si>
  <si>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</si>
  <si>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</si>
  <si>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</si>
  <si>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</si>
  <si>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</si>
  <si>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</si>
  <si>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</si>
  <si>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</si>
  <si>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</si>
  <si>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</si>
  <si>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</si>
  <si>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</si>
  <si>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</si>
  <si>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</si>
  <si>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</si>
  <si>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</si>
  <si>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</si>
  <si>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</si>
  <si>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</si>
  <si>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</si>
  <si>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</si>
  <si>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</si>
  <si>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</si>
  <si>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</si>
  <si>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</si>
  <si>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</si>
  <si>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</si>
  <si>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</si>
  <si>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</si>
  <si>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</si>
  <si>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</si>
  <si>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</si>
  <si>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</si>
  <si>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</si>
  <si>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</si>
  <si>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</si>
  <si>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</si>
  <si>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</si>
  <si>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</si>
  <si>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</si>
  <si>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</si>
  <si>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</si>
  <si>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</si>
  <si>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</si>
  <si>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</si>
  <si>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</si>
  <si>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</si>
  <si>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</si>
  <si>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</si>
  <si>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</si>
  <si>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</si>
  <si>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</si>
  <si>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</si>
  <si>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</si>
  <si>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</si>
  <si>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</si>
  <si>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</si>
  <si>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</si>
  <si>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</si>
  <si>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</si>
  <si>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</si>
  <si>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</si>
  <si>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</si>
  <si>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</si>
  <si>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</si>
  <si>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</si>
  <si>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</si>
  <si>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</si>
  <si>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</si>
  <si>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</si>
  <si>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</si>
  <si>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</si>
  <si>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</si>
  <si>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</si>
  <si>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</si>
  <si>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</si>
  <si>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</si>
  <si>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</si>
  <si>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</si>
  <si>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</si>
  <si>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</si>
  <si>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</si>
  <si>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</si>
  <si>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</si>
  <si>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</si>
  <si>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</si>
  <si>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</si>
  <si>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</si>
  <si>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</si>
  <si>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</si>
  <si>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</si>
  <si>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</si>
  <si>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</si>
  <si>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</si>
  <si>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</si>
  <si>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</si>
  <si>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</si>
  <si>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</si>
  <si>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</si>
  <si>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</si>
  <si>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</si>
  <si>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</si>
  <si>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</si>
  <si>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</si>
  <si>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</si>
  <si>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</si>
  <si>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</si>
  <si>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</si>
  <si>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</si>
  <si>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</si>
  <si>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</si>
  <si>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</si>
  <si>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</si>
  <si>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</si>
  <si>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</si>
  <si>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</si>
  <si>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</si>
  <si>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</si>
  <si>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</si>
  <si>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</si>
  <si>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</si>
  <si>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</si>
  <si>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</si>
  <si>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</si>
  <si>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</si>
  <si>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</si>
  <si>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</si>
  <si>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</si>
  <si>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</si>
  <si>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</si>
  <si>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</si>
  <si>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</si>
  <si>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</si>
  <si>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</si>
  <si>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</si>
  <si>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</si>
  <si>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</si>
  <si>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</si>
  <si>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</si>
  <si>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</si>
  <si>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</si>
  <si>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</si>
  <si>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</si>
  <si>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</si>
  <si>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</si>
  <si>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</si>
  <si>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</si>
  <si>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</si>
  <si>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</si>
  <si>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</si>
  <si>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</si>
  <si>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</si>
  <si>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</si>
  <si>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</si>
  <si>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</si>
  <si>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</si>
  <si>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</si>
  <si>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</si>
  <si>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</si>
  <si>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</si>
  <si>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</si>
  <si>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</si>
  <si>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</si>
  <si>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</si>
  <si>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</si>
  <si>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</si>
  <si>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</si>
  <si>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</si>
  <si>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</si>
  <si>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</si>
  <si>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</si>
  <si>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</si>
  <si>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</si>
  <si>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</si>
  <si>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</si>
  <si>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</si>
  <si>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</si>
  <si>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</si>
  <si>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Video shows struggle with SEPTA cop that left man dead: http://6abc.com/news/police-suspect-dead-after-assaulting-septa-officer-in-kensington/1051327/</t>
  </si>
  <si>
    <t>Kensington Ave and Huntingdon St</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</si>
  <si>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</si>
  <si>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</si>
  <si>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</si>
  <si>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</si>
  <si>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</si>
  <si>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</si>
  <si>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</si>
  <si>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</si>
  <si>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</si>
  <si>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</si>
  <si>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</si>
  <si>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</si>
  <si>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</si>
  <si>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</si>
  <si>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</si>
  <si>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</si>
  <si>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</si>
  <si>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</si>
  <si>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</si>
  <si>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</si>
  <si>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</si>
  <si>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</si>
  <si>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</si>
  <si>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</si>
  <si>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</si>
  <si>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</si>
  <si>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</si>
  <si>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</si>
  <si>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</si>
  <si>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</si>
  <si>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</si>
  <si>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</si>
  <si>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</si>
  <si>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</si>
  <si>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</si>
  <si>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</si>
  <si>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</si>
  <si>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</si>
  <si>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</si>
  <si>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</si>
  <si>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</si>
  <si>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</si>
  <si>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</si>
  <si>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</si>
  <si>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</si>
  <si>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</si>
  <si>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</si>
  <si>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</si>
  <si>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</si>
  <si>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</si>
  <si>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</si>
  <si>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</si>
  <si>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</si>
  <si>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</si>
  <si>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</si>
  <si>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</si>
  <si>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</si>
  <si>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</si>
  <si>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</si>
  <si>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</si>
  <si>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</si>
  <si>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</si>
  <si>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</si>
  <si>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</si>
  <si>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</si>
  <si>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</si>
  <si>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</si>
  <si>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</si>
  <si>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</si>
  <si>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</si>
  <si>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</si>
  <si>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</si>
  <si>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</si>
  <si>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</si>
  <si>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</si>
  <si>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</si>
  <si>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</si>
  <si>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</si>
  <si>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</si>
  <si>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</si>
  <si>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</si>
  <si>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</si>
  <si>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</si>
  <si>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</si>
  <si>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</si>
  <si>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</si>
  <si>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</si>
  <si>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</si>
  <si>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</si>
  <si>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</si>
  <si>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</si>
  <si>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</si>
  <si>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</si>
  <si>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</si>
  <si>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</si>
  <si>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</si>
  <si>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</si>
  <si>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</si>
  <si>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</si>
  <si>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</si>
  <si>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</si>
  <si>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</si>
  <si>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</si>
  <si>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</si>
  <si>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</si>
  <si>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</si>
  <si>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</si>
  <si>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</si>
  <si>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</si>
  <si>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</si>
  <si>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</si>
  <si>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</si>
  <si>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</si>
  <si>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</si>
  <si>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</si>
  <si>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</si>
  <si>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</si>
  <si>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</si>
  <si>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</si>
  <si>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</si>
  <si>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</si>
  <si>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</si>
  <si>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</si>
  <si>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</si>
  <si>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</si>
  <si>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</si>
  <si>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</si>
  <si>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</si>
  <si>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</si>
  <si>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</si>
  <si>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</si>
  <si>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</si>
  <si>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</si>
  <si>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</si>
  <si>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</si>
  <si>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</si>
  <si>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</si>
  <si>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</si>
  <si>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</si>
  <si>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</si>
  <si>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</si>
  <si>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</si>
  <si>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</si>
  <si>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</si>
  <si>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</si>
  <si>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</si>
  <si>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</si>
  <si>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</si>
  <si>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</si>
  <si>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</si>
  <si>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</si>
  <si>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</si>
  <si>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</si>
  <si>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</si>
  <si>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</si>
  <si>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</si>
  <si>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</si>
  <si>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</si>
  <si>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</si>
  <si>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</si>
  <si>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</si>
  <si>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</si>
  <si>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</si>
  <si>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</si>
  <si>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</si>
  <si>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</si>
  <si>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</si>
  <si>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</si>
  <si>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</si>
  <si>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</si>
  <si>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</si>
  <si>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</si>
  <si>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</si>
  <si>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</si>
  <si>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</si>
  <si>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</si>
  <si>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</si>
  <si>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</si>
  <si>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</si>
  <si>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</si>
  <si>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</si>
  <si>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</si>
  <si>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</si>
  <si>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</si>
  <si>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</si>
  <si>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</si>
  <si>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</si>
  <si>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</si>
  <si>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</si>
  <si>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</si>
  <si>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</si>
  <si>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</si>
  <si>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</si>
  <si>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</si>
  <si>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</si>
  <si>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</si>
  <si>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</si>
  <si>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</si>
  <si>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</si>
  <si>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</si>
  <si>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</si>
  <si>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</si>
  <si>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</si>
  <si>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</si>
  <si>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</si>
  <si>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</si>
  <si>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</si>
  <si>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</si>
  <si>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</si>
  <si>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</si>
  <si>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</si>
  <si>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</si>
  <si>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</si>
  <si>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</si>
  <si>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</si>
  <si>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</si>
  <si>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</si>
  <si>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</si>
  <si>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</si>
  <si>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</si>
  <si>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</si>
  <si>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</si>
  <si>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</si>
  <si>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</si>
  <si>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</si>
  <si>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</si>
  <si>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</si>
  <si>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</si>
  <si>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</si>
  <si>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</si>
  <si>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</si>
  <si>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</si>
  <si>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</si>
  <si>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</si>
  <si>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</si>
  <si>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</si>
  <si>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</si>
  <si>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</si>
  <si>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</si>
  <si>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</si>
  <si>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</si>
  <si>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</si>
  <si>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</si>
  <si>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</si>
  <si>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</si>
  <si>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</si>
  <si>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</si>
  <si>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</si>
  <si>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</si>
  <si>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</si>
  <si>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</si>
  <si>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</si>
  <si>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</si>
  <si>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</si>
  <si>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</si>
  <si>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</si>
  <si>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</si>
  <si>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</si>
  <si>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</si>
  <si>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</si>
  <si>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</si>
  <si>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</si>
  <si>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</si>
  <si>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</si>
  <si>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</si>
  <si>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</si>
  <si>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</si>
  <si>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</si>
  <si>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</si>
  <si>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</si>
  <si>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</si>
  <si>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</si>
  <si>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</si>
  <si>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</si>
  <si>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</si>
  <si>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</si>
  <si>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</si>
  <si>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</si>
  <si>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</si>
  <si>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</si>
  <si>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</si>
  <si>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</si>
  <si>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</si>
  <si>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</si>
  <si>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</si>
  <si>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</si>
  <si>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</si>
  <si>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</si>
  <si>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</si>
  <si>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</si>
  <si>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</si>
  <si>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</si>
  <si>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</si>
  <si>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</si>
  <si>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</si>
  <si>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</si>
  <si>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</si>
  <si>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</si>
  <si>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</si>
  <si>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</si>
  <si>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</si>
  <si>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</si>
  <si>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</si>
  <si>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</si>
  <si>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</si>
  <si>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</si>
  <si>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</si>
  <si>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</si>
  <si>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</si>
  <si>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</si>
  <si>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</si>
  <si>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</si>
  <si>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</si>
  <si>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</si>
  <si>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</si>
  <si>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</si>
  <si>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</si>
  <si>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</si>
  <si>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</si>
  <si>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</si>
  <si>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</si>
  <si>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</si>
  <si>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</si>
  <si>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</si>
  <si>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</si>
  <si>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</si>
  <si>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</si>
  <si>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</si>
  <si>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</si>
  <si>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</si>
  <si>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</si>
  <si>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</si>
  <si>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</si>
  <si>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</si>
  <si>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</si>
  <si>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</si>
  <si>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</si>
  <si>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</si>
  <si>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</si>
  <si>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</si>
  <si>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</si>
  <si>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</si>
  <si>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</si>
  <si>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</si>
  <si>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</si>
  <si>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</si>
  <si>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</si>
  <si>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</si>
  <si>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</si>
  <si>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</si>
  <si>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</si>
  <si>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</si>
  <si>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</si>
  <si>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</si>
  <si>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</si>
  <si>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</si>
  <si>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</si>
  <si>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</si>
  <si>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</si>
  <si>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</si>
  <si>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</si>
  <si>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</si>
  <si>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</si>
  <si>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</si>
  <si>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</si>
  <si>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</si>
  <si>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</si>
  <si>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</si>
  <si>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</si>
  <si>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</si>
  <si>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</si>
  <si>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</si>
  <si>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</si>
  <si>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</si>
  <si>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</si>
  <si>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</si>
  <si>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</si>
  <si>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</si>
  <si>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</si>
  <si>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</si>
  <si>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</si>
  <si>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</si>
  <si>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</si>
  <si>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</si>
  <si>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</si>
  <si>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</si>
  <si>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</si>
  <si>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</si>
  <si>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</si>
  <si>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</si>
  <si>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</si>
  <si>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</si>
  <si>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</si>
  <si>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</si>
  <si>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</si>
  <si>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</si>
  <si>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</si>
  <si>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</si>
  <si>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</si>
  <si>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</si>
  <si>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</si>
  <si>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</si>
  <si>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</si>
  <si>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</si>
  <si>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</si>
  <si>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</si>
  <si>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</si>
  <si>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</si>
  <si>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</si>
  <si>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</si>
  <si>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</si>
  <si>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</si>
  <si>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</si>
  <si>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</si>
  <si>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</si>
  <si>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</si>
  <si>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</si>
  <si>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</si>
  <si>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</si>
  <si>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</si>
  <si>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</si>
  <si>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</si>
  <si>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</si>
  <si>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</si>
  <si>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</si>
  <si>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</si>
  <si>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</si>
  <si>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</si>
  <si>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</si>
  <si>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</si>
  <si>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</si>
  <si>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</si>
  <si>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</si>
  <si>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</si>
  <si>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</si>
  <si>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</si>
  <si>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</si>
  <si>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</si>
  <si>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</si>
  <si>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</si>
  <si>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</si>
  <si>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</si>
  <si>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</si>
  <si>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</si>
  <si>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</si>
  <si>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</si>
  <si>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</si>
  <si>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</si>
  <si>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</si>
  <si>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</si>
  <si>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</si>
  <si>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</si>
  <si>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</si>
  <si>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</si>
  <si>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</si>
  <si>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</si>
  <si>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</si>
  <si>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</si>
  <si>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</si>
  <si>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</si>
  <si>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</si>
  <si>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</si>
  <si>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</si>
  <si>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</si>
  <si>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</si>
  <si>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</si>
  <si>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</si>
  <si>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</si>
  <si>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</si>
  <si>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</si>
  <si>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</si>
  <si>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</si>
  <si>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</si>
  <si>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</si>
  <si>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</si>
  <si>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</si>
  <si>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</si>
  <si>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</si>
  <si>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</si>
  <si>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</si>
  <si>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</si>
  <si>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</si>
  <si>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</si>
  <si>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</si>
  <si>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</si>
  <si>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</si>
  <si>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</si>
  <si>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</si>
  <si>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</si>
  <si>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</si>
  <si>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</si>
  <si>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</si>
  <si>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</si>
  <si>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</si>
  <si>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</si>
  <si>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</si>
  <si>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</si>
  <si>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</si>
  <si>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</si>
  <si>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</si>
  <si>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</si>
  <si>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</si>
  <si>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</si>
  <si>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</si>
  <si>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</si>
  <si>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</si>
  <si>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</si>
  <si>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</si>
  <si>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</si>
  <si>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</si>
  <si>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</si>
  <si>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</si>
  <si>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</si>
  <si>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</si>
  <si>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</si>
  <si>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</si>
  <si>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</si>
  <si>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</si>
  <si>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</si>
  <si>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</si>
  <si>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</si>
  <si>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</si>
  <si>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</si>
  <si>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</si>
  <si>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</si>
  <si>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</si>
  <si>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</si>
  <si>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</si>
  <si>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</si>
  <si>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</si>
  <si>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</si>
  <si>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</si>
  <si>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</si>
  <si>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</si>
  <si>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</si>
  <si>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</si>
  <si>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</si>
  <si>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</si>
  <si>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</si>
  <si>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</si>
  <si>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</si>
  <si>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</si>
  <si>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</si>
  <si>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</si>
  <si>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</si>
  <si>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</si>
  <si>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</si>
  <si>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</si>
  <si>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</si>
  <si>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</si>
  <si>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</si>
  <si>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</si>
  <si>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</si>
  <si>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</si>
  <si>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</si>
  <si>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</si>
  <si>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</si>
  <si>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</si>
  <si>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</si>
  <si>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</si>
  <si>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</si>
  <si>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</si>
  <si>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</si>
  <si>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</si>
  <si>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</si>
  <si>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</si>
  <si>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</si>
  <si>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</si>
  <si>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</si>
  <si>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</si>
  <si>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</si>
  <si>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</si>
  <si>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</si>
  <si>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</si>
  <si>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</si>
  <si>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</si>
  <si>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</si>
  <si>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</si>
  <si>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</si>
  <si>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</si>
  <si>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</si>
  <si>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</si>
  <si>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</si>
  <si>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</si>
  <si>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</si>
  <si>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</si>
  <si>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</si>
  <si>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</si>
  <si>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</si>
  <si>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</si>
  <si>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</si>
  <si>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</si>
  <si>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</si>
  <si>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</si>
  <si>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</si>
  <si>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</si>
  <si>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</si>
  <si>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</si>
  <si>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</si>
  <si>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</si>
  <si>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</si>
  <si>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</si>
  <si>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</si>
  <si>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</si>
  <si>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</si>
  <si>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</si>
  <si>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</si>
  <si>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</si>
  <si>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</si>
  <si>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</si>
  <si>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</si>
  <si>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</si>
  <si>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</si>
  <si>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</si>
  <si>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</si>
  <si>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</si>
  <si>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</si>
  <si>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</si>
  <si>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</si>
  <si>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</si>
  <si>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</si>
  <si>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</si>
  <si>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</si>
  <si>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</si>
  <si>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</si>
  <si>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</si>
  <si>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</si>
  <si>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</si>
  <si>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</si>
  <si>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</si>
  <si>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</si>
  <si>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</si>
  <si>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</si>
  <si>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</si>
  <si>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</si>
  <si>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</si>
  <si>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</si>
  <si>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</si>
  <si>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</si>
  <si>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</si>
  <si>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</si>
  <si>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</si>
  <si>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</si>
  <si>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</si>
  <si>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</si>
  <si>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</si>
  <si>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</si>
  <si>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</si>
  <si>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</si>
  <si>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</si>
  <si>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</si>
  <si>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</si>
  <si>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</si>
  <si>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</si>
  <si>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</si>
  <si>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</si>
  <si>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</si>
  <si>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</si>
  <si>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</si>
  <si>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</si>
  <si>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</si>
  <si>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</si>
  <si>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</si>
  <si>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</si>
  <si>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</si>
  <si>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</si>
  <si>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</si>
  <si>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</si>
  <si>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</si>
  <si>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</si>
  <si>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</si>
  <si>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</si>
  <si>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</si>
  <si>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</si>
  <si>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</si>
  <si>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</si>
  <si>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</si>
  <si>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</si>
  <si>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</si>
  <si>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</si>
  <si>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</si>
  <si>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</si>
  <si>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</si>
  <si>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</si>
  <si>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</si>
  <si>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</si>
  <si>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</si>
  <si>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</si>
  <si>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</si>
  <si>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</si>
  <si>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</si>
  <si>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</si>
  <si>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</si>
  <si>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</si>
  <si>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</si>
  <si>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</si>
  <si>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</si>
  <si>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</si>
  <si>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</si>
  <si>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</si>
  <si>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</si>
  <si>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</si>
  <si>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</si>
  <si>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</si>
  <si>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</si>
  <si>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</si>
  <si>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</si>
  <si>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</si>
  <si>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</si>
  <si>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</si>
  <si>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</si>
  <si>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</si>
  <si>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</si>
  <si>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</si>
  <si>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</si>
  <si>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</si>
  <si>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</si>
  <si>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</si>
  <si>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</si>
  <si>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</si>
  <si>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</si>
  <si>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</si>
  <si>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</si>
  <si>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</si>
  <si>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</si>
  <si>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</si>
  <si>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</si>
  <si>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</si>
  <si>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</si>
  <si>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</si>
  <si>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</si>
  <si>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</si>
  <si>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</si>
  <si>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</si>
  <si>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</si>
  <si>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</si>
  <si>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</si>
  <si>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</si>
  <si>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</si>
  <si>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</si>
  <si>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</si>
  <si>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</si>
  <si>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</si>
  <si>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</si>
  <si>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</si>
  <si>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</si>
  <si>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</si>
  <si>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</si>
  <si>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</si>
  <si>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</si>
  <si>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</si>
  <si>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</si>
  <si>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</si>
  <si>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</si>
  <si>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</si>
  <si>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</si>
  <si>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</si>
  <si>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</si>
  <si>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</si>
  <si>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</si>
  <si>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</si>
  <si>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</si>
  <si>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</si>
  <si>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</si>
  <si>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</si>
  <si>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</si>
  <si>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</si>
  <si>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</si>
  <si>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</si>
  <si>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</si>
  <si>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</si>
  <si>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</si>
  <si>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</si>
  <si>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</si>
  <si>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</si>
  <si>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</si>
  <si>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</si>
  <si>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</si>
  <si>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</si>
  <si>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</si>
  <si>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</si>
  <si>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</si>
  <si>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</si>
  <si>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</si>
  <si>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</si>
  <si>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</si>
  <si>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</si>
  <si>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</si>
  <si>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</si>
  <si>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</si>
  <si>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</si>
  <si>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</si>
  <si>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</si>
  <si>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</si>
  <si>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</si>
  <si>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</si>
  <si>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</si>
  <si>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</si>
  <si>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</si>
  <si>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</si>
  <si>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</si>
  <si>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</si>
  <si>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</si>
  <si>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</si>
  <si>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</si>
  <si>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</si>
  <si>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</si>
  <si>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</si>
  <si>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</si>
  <si>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</si>
  <si>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</si>
  <si>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</si>
  <si>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</si>
  <si>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</si>
  <si>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</si>
  <si>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</si>
  <si>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</si>
  <si>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</si>
  <si>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</si>
  <si>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</si>
  <si>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</si>
  <si>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</si>
  <si>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</si>
  <si>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</si>
  <si>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</si>
  <si>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</si>
  <si>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</si>
  <si>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</si>
  <si>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</si>
  <si>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</si>
  <si>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</si>
  <si>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</si>
  <si>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</si>
  <si>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</si>
  <si>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</si>
  <si>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</si>
  <si>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</si>
  <si>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</si>
  <si>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</si>
  <si>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</si>
  <si>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</si>
  <si>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</si>
  <si>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</si>
  <si>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</si>
  <si>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</si>
  <si>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</si>
  <si>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</si>
  <si>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</si>
  <si>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</si>
  <si>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</si>
  <si>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</si>
  <si>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</si>
  <si>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</si>
  <si>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</si>
  <si>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</si>
  <si>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</si>
  <si>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</si>
  <si>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</si>
  <si>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</si>
  <si>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</si>
  <si>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</si>
  <si>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</si>
  <si>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</si>
  <si>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</si>
  <si>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</si>
  <si>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</si>
  <si>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</si>
  <si>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</si>
  <si>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</si>
  <si>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</si>
  <si>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</si>
  <si>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</si>
  <si>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</si>
  <si>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</si>
  <si>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</si>
  <si>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</si>
  <si>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</si>
  <si>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</si>
  <si>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</si>
  <si>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</si>
  <si>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</si>
  <si>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</si>
  <si>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</si>
  <si>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</si>
  <si>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</si>
  <si>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</si>
  <si>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</si>
  <si>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</si>
  <si>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</si>
  <si>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</si>
  <si>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</si>
  <si>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</si>
  <si>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</si>
  <si>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</si>
  <si>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</si>
  <si>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</si>
  <si>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</si>
  <si>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</si>
  <si>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</si>
  <si>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</si>
  <si>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</si>
  <si>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</si>
  <si>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</si>
  <si>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</si>
  <si>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</si>
  <si>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</si>
  <si>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</si>
  <si>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</si>
  <si>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</si>
  <si>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</si>
  <si>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</si>
  <si>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</si>
  <si>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</si>
  <si>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</si>
  <si>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</si>
  <si>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</si>
  <si>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</si>
  <si>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</si>
  <si>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</si>
  <si>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</si>
  <si>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</si>
  <si>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</si>
  <si>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</si>
  <si>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</si>
  <si>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</si>
  <si>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</si>
  <si>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</si>
  <si>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</si>
  <si>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</si>
  <si>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</si>
  <si>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</si>
  <si>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</si>
  <si>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</si>
  <si>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</si>
  <si>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</si>
  <si>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St Louis</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</si>
  <si>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</si>
  <si>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</si>
  <si>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</si>
  <si>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</si>
  <si>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</si>
  <si>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</si>
  <si>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</si>
  <si>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</si>
  <si>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</si>
  <si>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</si>
  <si>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</si>
  <si>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</si>
  <si>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</si>
  <si>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</si>
  <si>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</si>
  <si>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</si>
  <si>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</si>
  <si>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</si>
  <si>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</si>
  <si>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</si>
  <si>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</si>
  <si>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</si>
  <si>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</si>
  <si>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</si>
  <si>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</si>
  <si>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</si>
  <si>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</si>
  <si>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</si>
  <si>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</si>
  <si>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</si>
  <si>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</si>
  <si>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</si>
  <si>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</si>
  <si>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</si>
  <si>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</si>
  <si>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</si>
  <si>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</si>
  <si>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</si>
  <si>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</si>
  <si>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</si>
  <si>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</si>
  <si>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</si>
  <si>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</si>
  <si>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</si>
  <si>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</si>
  <si>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</si>
  <si>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</si>
  <si>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</si>
  <si>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</si>
  <si>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</si>
  <si>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</si>
  <si>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</si>
  <si>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</si>
  <si>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</si>
  <si>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</si>
  <si>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</si>
  <si>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</si>
  <si>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</si>
  <si>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</si>
  <si>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</si>
  <si>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</si>
  <si>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</si>
  <si>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</si>
  <si>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</si>
  <si>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</si>
  <si>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</si>
  <si>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</si>
  <si>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</si>
  <si>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</si>
  <si>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</si>
  <si>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</si>
  <si>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</si>
  <si>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</si>
  <si>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</si>
  <si>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</si>
  <si>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</si>
  <si>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</si>
  <si>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</si>
  <si>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</si>
  <si>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</si>
  <si>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</si>
  <si>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</si>
  <si>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</si>
  <si>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</si>
  <si>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</si>
  <si>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</si>
  <si>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</si>
  <si>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</si>
  <si>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</si>
  <si>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</si>
  <si>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</si>
  <si>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</si>
  <si>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</si>
  <si>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</si>
  <si>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</si>
  <si>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</si>
  <si>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</si>
  <si>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</si>
  <si>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</si>
  <si>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</si>
  <si>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</si>
  <si>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</si>
  <si>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</si>
  <si>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</si>
  <si>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</si>
  <si>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</si>
  <si>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</si>
  <si>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</si>
  <si>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</si>
  <si>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</si>
  <si>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</si>
  <si>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</si>
  <si>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</si>
  <si>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</si>
  <si>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</si>
  <si>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</si>
  <si>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</si>
  <si>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</si>
  <si>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</si>
  <si>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</si>
  <si>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</si>
  <si>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</si>
  <si>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</si>
  <si>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</si>
  <si>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</si>
  <si>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</si>
  <si>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</si>
  <si>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</si>
  <si>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</si>
  <si>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</si>
  <si>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</si>
  <si>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</si>
  <si>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</si>
  <si>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</si>
  <si>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</si>
  <si>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</si>
  <si>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</si>
  <si>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</si>
  <si>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</si>
  <si>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</si>
  <si>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</si>
  <si>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</si>
  <si>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</si>
  <si>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</si>
  <si>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</si>
  <si>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</si>
  <si>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</si>
  <si>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</si>
  <si>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</si>
  <si>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</si>
  <si>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</si>
  <si>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</si>
  <si>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</si>
  <si>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</si>
  <si>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</si>
  <si>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</si>
  <si>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</si>
  <si>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</si>
  <si>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</si>
  <si>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</si>
  <si>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</si>
  <si>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</si>
  <si>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</si>
  <si>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</si>
  <si>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</si>
  <si>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</si>
  <si>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</si>
  <si>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</si>
  <si>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</si>
  <si>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</si>
  <si>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</si>
  <si>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</si>
  <si>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</si>
  <si>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</si>
  <si>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</si>
  <si>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</si>
  <si>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</si>
  <si>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</si>
  <si>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</si>
  <si>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</si>
  <si>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</si>
  <si>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</si>
  <si>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</si>
  <si>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</si>
  <si>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</si>
  <si>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</si>
  <si>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</si>
  <si>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</si>
  <si>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</si>
  <si>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</si>
  <si>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</si>
  <si>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</si>
  <si>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</si>
  <si>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</si>
  <si>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</si>
  <si>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</si>
  <si>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</si>
  <si>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</si>
  <si>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</si>
  <si>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</si>
  <si>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</si>
  <si>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</si>
  <si>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</si>
  <si>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</si>
  <si>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</si>
  <si>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</si>
  <si>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</si>
  <si>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</si>
  <si>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</si>
  <si>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</si>
  <si>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</si>
  <si>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</si>
  <si>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</si>
  <si>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</si>
  <si>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</si>
  <si>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</si>
  <si>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</si>
  <si>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</si>
  <si>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</si>
  <si>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</si>
  <si>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</si>
  <si>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</si>
  <si>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</si>
  <si>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</si>
  <si>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</si>
  <si>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</si>
  <si>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</si>
  <si>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</si>
  <si>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</si>
  <si>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</si>
  <si>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</si>
  <si>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</si>
  <si>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</si>
  <si>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</si>
  <si>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</si>
  <si>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</si>
  <si>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</si>
  <si>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</si>
  <si>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</si>
  <si>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</si>
  <si>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</si>
  <si>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</si>
  <si>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</si>
  <si>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</si>
  <si>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</si>
  <si>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</si>
  <si>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</si>
  <si>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</si>
  <si>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</si>
  <si>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</si>
  <si>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</si>
  <si>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</si>
  <si>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</si>
  <si>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</si>
  <si>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</si>
  <si>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</si>
  <si>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</si>
  <si>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</si>
  <si>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</si>
  <si>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</si>
  <si>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</si>
  <si>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</si>
  <si>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</si>
  <si>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</si>
  <si>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</si>
  <si>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</si>
  <si>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</si>
  <si>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</si>
  <si>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</si>
  <si>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</si>
  <si>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</si>
  <si>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</si>
  <si>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</si>
  <si>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</si>
  <si>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</si>
  <si>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</si>
  <si>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</si>
  <si>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</si>
  <si>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</si>
  <si>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</si>
  <si>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</si>
  <si>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</si>
  <si>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87004</t>
  </si>
  <si>
    <t>Sandoval</t>
  </si>
  <si>
    <t>Bernalillo Police Department</t>
  </si>
  <si>
    <t>The man was a passenger in a car that witnesses said had rear-ended another car in a Walmart parking lot. The man then allegedly got out and ran into the store and began knocking over items and fighting with staff. Police struggled with the man, eventually handcuffing him and taking him outside, where he collapsed.</t>
  </si>
  <si>
    <t>http://www.koat.com/news/disturbance-at-walmart-ends-with-man-dying-in-police-custody/35138362</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</si>
  <si>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</si>
  <si>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</si>
  <si>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</si>
  <si>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</si>
  <si>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</si>
  <si>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</si>
  <si>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</si>
  <si>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</si>
  <si>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</si>
  <si>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</si>
  <si>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Cosentino had been trapped in an elevator when police said he began to fight with the police and firefighters who arrived to rescue him. Shortly after, Cosentino asked for medical assistance and became unresponsive. He seemingly suffered from a cardiac arrest and was pronounced dead at the hospital.</t>
  </si>
  <si>
    <t>http://www.providencejournal.com/article/20150907/NEWS/150909454</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</si>
  <si>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</si>
  <si>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</si>
  <si>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</si>
  <si>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</si>
  <si>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</si>
  <si>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</si>
  <si>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</si>
  <si>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</si>
  <si>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</si>
  <si>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</si>
  <si>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</si>
  <si>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</si>
  <si>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</si>
  <si>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</si>
  <si>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</si>
  <si>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</si>
  <si>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</si>
  <si>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</si>
  <si>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</si>
  <si>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</si>
  <si>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</si>
  <si>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</si>
  <si>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</si>
  <si>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</si>
  <si>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</si>
  <si>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</si>
  <si>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</si>
  <si>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</si>
  <si>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</si>
  <si>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</si>
  <si>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</si>
  <si>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</si>
  <si>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</si>
  <si>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</si>
  <si>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</si>
  <si>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</si>
  <si>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</si>
  <si>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</si>
  <si>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</si>
  <si>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</si>
  <si>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</si>
  <si>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</si>
  <si>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</si>
  <si>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</si>
  <si>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</si>
  <si>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</si>
  <si>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</si>
  <si>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</si>
  <si>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</si>
  <si>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</si>
  <si>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</si>
  <si>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</si>
  <si>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</si>
  <si>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</si>
  <si>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</si>
  <si>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</si>
  <si>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</si>
  <si>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</si>
  <si>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</si>
  <si>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</si>
  <si>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</si>
  <si>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</si>
  <si>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</si>
  <si>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</si>
  <si>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</si>
  <si>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</si>
  <si>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</si>
  <si>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</si>
  <si>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</si>
  <si>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</si>
  <si>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</si>
  <si>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</si>
  <si>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</si>
  <si>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</si>
  <si>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</si>
  <si>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</si>
  <si>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</si>
  <si>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</si>
  <si>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</si>
  <si>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</si>
  <si>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</si>
  <si>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</si>
  <si>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</si>
  <si>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</si>
  <si>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</si>
  <si>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</si>
  <si>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</si>
  <si>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</si>
  <si>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</si>
  <si>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</si>
  <si>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</si>
  <si>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</si>
  <si>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</si>
  <si>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</si>
  <si>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</si>
  <si>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</si>
  <si>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</si>
  <si>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</si>
  <si>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</si>
  <si>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</si>
  <si>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</si>
  <si>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</si>
  <si>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</si>
  <si>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</si>
  <si>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</si>
  <si>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</si>
  <si>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</si>
  <si>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</si>
  <si>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</si>
  <si>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</si>
  <si>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</si>
  <si>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</si>
  <si>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</si>
  <si>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</si>
  <si>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</si>
  <si>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</si>
  <si>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</si>
  <si>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</si>
  <si>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</si>
  <si>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</si>
  <si>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</si>
  <si>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</si>
  <si>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</si>
  <si>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</si>
  <si>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</si>
  <si>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</si>
  <si>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</si>
  <si>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</si>
  <si>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</si>
  <si>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</si>
  <si>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</si>
  <si>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</si>
  <si>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</si>
  <si>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</si>
  <si>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</si>
  <si>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</si>
  <si>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</si>
  <si>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</si>
  <si>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</si>
  <si>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</si>
  <si>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</si>
  <si>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</si>
  <si>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</si>
  <si>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</si>
  <si>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</si>
  <si>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</si>
  <si>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</si>
  <si>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</si>
  <si>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</si>
  <si>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</si>
  <si>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</si>
  <si>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</si>
  <si>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</si>
  <si>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</si>
  <si>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</si>
  <si>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</si>
  <si>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</si>
  <si>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</si>
  <si>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</si>
  <si>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</si>
  <si>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</si>
  <si>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</si>
  <si>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</si>
  <si>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</si>
  <si>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</si>
  <si>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</si>
  <si>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</si>
  <si>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</si>
  <si>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</si>
  <si>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</si>
  <si>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</si>
  <si>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</si>
  <si>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</si>
  <si>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</si>
  <si>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</si>
  <si>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</si>
  <si>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</si>
  <si>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</si>
  <si>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</si>
  <si>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</si>
  <si>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</si>
  <si>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</si>
  <si>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</si>
  <si>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Du Page</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</si>
  <si>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</si>
  <si>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</si>
  <si>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</si>
  <si>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</si>
  <si>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</si>
  <si>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</si>
  <si>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</si>
  <si>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</si>
  <si>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</si>
  <si>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</si>
  <si>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</si>
  <si>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</si>
  <si>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</si>
  <si>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</si>
  <si>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</si>
  <si>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</si>
  <si>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</si>
  <si>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</si>
  <si>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</si>
  <si>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</si>
  <si>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</si>
  <si>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</si>
  <si>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</si>
  <si>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</si>
  <si>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</si>
  <si>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</si>
  <si>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</si>
  <si>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</si>
  <si>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</si>
  <si>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</si>
  <si>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</si>
  <si>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</si>
  <si>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</si>
  <si>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</si>
  <si>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</si>
  <si>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</si>
  <si>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</si>
  <si>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</si>
  <si>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</si>
  <si>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</si>
  <si>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</si>
  <si>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</si>
  <si>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</si>
  <si>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</si>
  <si>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</si>
  <si>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</si>
  <si>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</si>
  <si>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http://extras.mnginteractive.com/live/media/site568/2015/0903/20150903__bettertyree~1_200.JPG</t>
  </si>
  <si>
    <t>http://www.mercurynews.com/bay-area-news/ci_28758811/san-jose-jail-death-new-details-from-inmates</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</si>
  <si>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</si>
  <si>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</si>
  <si>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</si>
  <si>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Gerald Lee Dukes</t>
  </si>
  <si>
    <t>http://www.presleyflukerfunerals.com/storage/Dukes-Gerald.jpg?__SQUARESPACE_CACHEVERSION=1434663870356</t>
  </si>
  <si>
    <t>811 Culver Rd</t>
  </si>
  <si>
    <t>Falkville</t>
  </si>
  <si>
    <t>35622</t>
  </si>
  <si>
    <t>Falkville Police Department</t>
  </si>
  <si>
    <t>http://whnt.com/2015/06/04/man-dies-in-crash-during-chase-with-falkville-police-officer/</t>
  </si>
  <si>
    <t>Gerald Lee Dukes died when police chased his vehicle off the road, causing it to overturn.</t>
  </si>
  <si>
    <t>Ricardo Blackmon</t>
  </si>
  <si>
    <t>http://wlbt.images.worldnow.com/images/7660774_G.jpg</t>
  </si>
  <si>
    <t>Edwards Avenue and Collier Avenue</t>
  </si>
  <si>
    <t>39213</t>
  </si>
  <si>
    <t>Ricardo Blackmon crashed into a tree at high speeds while being pursued by police. JPD claims that it wasn't really a chase because the officer hadn't had time to truly begin chasing Blackmon. “The officer noticed the vehicle driving at a high rate of speed with no headlights. He turned around and tried to catch up with it,” said Chief Lee Vance of the Jackson Police Department. “Before he even got close to this individual, he turned off of Northside Drive and crashed.” The family questions this account due to witnesses who contradict the police statements. Antonio Blackmon said there are two sets of tire tracks on the street and he thinks an officer chased his brother. “They told us that there wasn't a chase, that he was just speeding, but the witnesses at the store say he was being chased by a police officer,” Antonio Blackmon said.</t>
  </si>
  <si>
    <t>http://www.wapt.com/news/family-seeks-answers-after-loved-one-dies-in-crash/32806478</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</si>
  <si>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</si>
  <si>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</si>
  <si>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</si>
  <si>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</si>
  <si>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</si>
  <si>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</si>
  <si>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Asia Roundtree</t>
  </si>
  <si>
    <t>Courville Street</t>
  </si>
  <si>
    <t>48224</t>
  </si>
  <si>
    <t>A suspect with his girlfriend and his 9-year-old brother in the car fled police and ended up crashing his white sedan into a tree so hard that it split. His girlfriend, Roundtree, died at the scene. The 9-year-old emerged with painfully damaged legs.</t>
  </si>
  <si>
    <t>http://www.clickondetroit.com/news/9yearold-critically-injured-after-brother-flees-police/30246604</t>
  </si>
  <si>
    <t>Leo Blackmon Jr.</t>
  </si>
  <si>
    <t>N Kingshighway Blvd &amp; Highland Ave</t>
  </si>
  <si>
    <t>St. Louis City</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</si>
  <si>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</si>
  <si>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</si>
  <si>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</si>
  <si>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</si>
  <si>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</si>
  <si>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</si>
  <si>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</si>
  <si>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</si>
  <si>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</si>
  <si>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</si>
  <si>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</si>
  <si>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</si>
  <si>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</si>
  <si>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</si>
  <si>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</si>
  <si>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</si>
  <si>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</si>
  <si>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</si>
  <si>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</si>
  <si>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</si>
  <si>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</si>
  <si>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</si>
  <si>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</si>
  <si>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</si>
  <si>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</si>
  <si>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</si>
  <si>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</si>
  <si>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</si>
  <si>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</si>
  <si>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</si>
  <si>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</si>
  <si>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</si>
  <si>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</si>
  <si>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</si>
  <si>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</si>
  <si>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</si>
  <si>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</si>
  <si>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</si>
  <si>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</si>
  <si>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</si>
  <si>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</si>
  <si>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</si>
  <si>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</si>
  <si>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</si>
  <si>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</si>
  <si>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</si>
  <si>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</si>
  <si>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</si>
  <si>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</si>
  <si>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</si>
  <si>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</si>
  <si>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</si>
  <si>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</si>
  <si>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</si>
  <si>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</si>
  <si>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</si>
  <si>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</si>
  <si>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</si>
  <si>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</si>
  <si>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</si>
  <si>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</si>
  <si>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</si>
  <si>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</si>
  <si>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</si>
  <si>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</si>
  <si>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</si>
  <si>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</si>
  <si>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</si>
  <si>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</si>
  <si>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</si>
  <si>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</si>
  <si>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</si>
  <si>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</si>
  <si>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</si>
  <si>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</si>
  <si>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</si>
  <si>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</si>
  <si>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</si>
  <si>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</si>
  <si>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</si>
  <si>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</si>
  <si>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</si>
  <si>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</si>
  <si>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</si>
  <si>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</si>
  <si>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</si>
  <si>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</si>
  <si>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</si>
  <si>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</si>
  <si>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</si>
  <si>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</si>
  <si>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</si>
  <si>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</si>
  <si>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</si>
  <si>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</si>
  <si>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</si>
  <si>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</si>
  <si>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</si>
  <si>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</si>
  <si>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</si>
  <si>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</si>
  <si>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</si>
  <si>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</si>
  <si>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</si>
  <si>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</si>
  <si>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</si>
  <si>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</si>
  <si>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</si>
  <si>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</si>
  <si>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</si>
  <si>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</si>
  <si>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</si>
  <si>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</si>
  <si>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</si>
  <si>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</si>
  <si>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</si>
  <si>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</si>
  <si>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</si>
  <si>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</si>
  <si>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</si>
  <si>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</si>
  <si>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</si>
  <si>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</si>
  <si>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</si>
  <si>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</si>
  <si>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</si>
  <si>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</si>
  <si>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</si>
  <si>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</si>
  <si>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</si>
  <si>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</si>
  <si>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</si>
  <si>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</si>
  <si>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</si>
  <si>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</si>
  <si>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</si>
  <si>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</si>
  <si>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</si>
  <si>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</si>
  <si>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</si>
  <si>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</si>
  <si>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</si>
  <si>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</si>
  <si>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</si>
  <si>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</si>
  <si>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</si>
  <si>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</si>
  <si>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</si>
  <si>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</si>
  <si>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</si>
  <si>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</si>
  <si>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</si>
  <si>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</si>
  <si>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</si>
  <si>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</si>
  <si>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</si>
  <si>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</si>
  <si>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</si>
  <si>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</si>
  <si>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</si>
  <si>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</si>
  <si>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</si>
  <si>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</si>
  <si>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</si>
  <si>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</si>
  <si>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</si>
  <si>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</si>
  <si>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</si>
  <si>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</si>
  <si>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</si>
  <si>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</si>
  <si>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</si>
  <si>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</si>
  <si>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</si>
  <si>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</si>
  <si>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</si>
  <si>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</si>
  <si>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</si>
  <si>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</si>
  <si>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</si>
  <si>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</si>
  <si>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</si>
  <si>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</si>
  <si>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</si>
  <si>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</si>
  <si>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</si>
  <si>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</si>
  <si>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</si>
  <si>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</si>
  <si>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</si>
  <si>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</si>
  <si>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</si>
  <si>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</si>
  <si>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</si>
  <si>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</si>
  <si>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</si>
  <si>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</si>
  <si>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</si>
  <si>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</si>
  <si>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</si>
  <si>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</si>
  <si>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</si>
  <si>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</si>
  <si>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</si>
  <si>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</si>
  <si>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</si>
  <si>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</si>
  <si>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</si>
  <si>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</si>
  <si>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</si>
  <si>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</si>
  <si>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</si>
  <si>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</si>
  <si>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</si>
  <si>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</si>
  <si>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</si>
  <si>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</si>
  <si>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</si>
  <si>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</si>
  <si>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</si>
  <si>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</si>
  <si>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</si>
  <si>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</si>
  <si>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</si>
  <si>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</si>
  <si>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</si>
  <si>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</si>
  <si>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</si>
  <si>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</si>
  <si>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</si>
  <si>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</si>
  <si>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</si>
  <si>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</si>
  <si>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</si>
  <si>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</si>
  <si>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</si>
  <si>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</si>
  <si>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</si>
  <si>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</si>
  <si>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</si>
  <si>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</si>
  <si>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</si>
  <si>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</si>
  <si>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</si>
  <si>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</si>
  <si>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</si>
  <si>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</si>
  <si>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</si>
  <si>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</si>
  <si>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</si>
  <si>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</si>
  <si>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</si>
  <si>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</si>
  <si>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</si>
  <si>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</si>
  <si>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</si>
  <si>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</si>
  <si>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</si>
  <si>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</si>
  <si>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</si>
  <si>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</si>
  <si>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</si>
  <si>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</si>
  <si>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</si>
  <si>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</si>
  <si>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</si>
  <si>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</si>
  <si>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</si>
  <si>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</si>
  <si>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</si>
  <si>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</si>
  <si>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</si>
  <si>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</si>
  <si>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</si>
  <si>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</si>
  <si>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</si>
  <si>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</si>
  <si>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</si>
  <si>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</si>
  <si>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</si>
  <si>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</si>
  <si>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</si>
  <si>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</si>
  <si>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</si>
  <si>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</si>
  <si>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</si>
  <si>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</si>
  <si>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</si>
  <si>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</si>
  <si>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</si>
  <si>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Police Department</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</si>
  <si>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</si>
  <si>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</si>
  <si>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</si>
  <si>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</si>
  <si>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</si>
  <si>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</si>
  <si>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</si>
  <si>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</si>
  <si>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</si>
  <si>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</si>
  <si>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</si>
  <si>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</si>
  <si>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</si>
  <si>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</si>
  <si>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</si>
  <si>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</si>
  <si>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</si>
  <si>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</si>
  <si>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</si>
  <si>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</si>
  <si>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</si>
  <si>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</si>
  <si>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</si>
  <si>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</si>
  <si>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</si>
  <si>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</si>
  <si>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</si>
  <si>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</si>
  <si>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</si>
  <si>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</si>
  <si>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</si>
  <si>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</si>
  <si>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</si>
  <si>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</si>
  <si>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</si>
  <si>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</si>
  <si>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</si>
  <si>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</si>
  <si>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</si>
  <si>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</si>
  <si>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</si>
  <si>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</si>
  <si>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</si>
  <si>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</si>
  <si>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</si>
  <si>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</si>
  <si>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</si>
  <si>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</si>
  <si>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</si>
  <si>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</si>
  <si>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</si>
  <si>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</si>
  <si>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</si>
  <si>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</si>
  <si>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</si>
  <si>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</si>
  <si>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</si>
  <si>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</si>
  <si>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</si>
  <si>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</si>
  <si>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</si>
  <si>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</si>
  <si>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</si>
  <si>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</si>
  <si>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</si>
  <si>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</si>
  <si>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</si>
  <si>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</si>
  <si>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</si>
  <si>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</si>
  <si>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</si>
  <si>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</si>
  <si>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</si>
  <si>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</si>
  <si>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</si>
  <si>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</si>
  <si>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</si>
  <si>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</si>
  <si>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</si>
  <si>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</si>
  <si>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</si>
  <si>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</si>
  <si>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</si>
  <si>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</si>
  <si>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</si>
  <si>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</si>
  <si>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</si>
  <si>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</si>
  <si>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</si>
  <si>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</si>
  <si>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</si>
  <si>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</si>
  <si>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</si>
  <si>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</si>
  <si>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</si>
  <si>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</si>
  <si>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</si>
  <si>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</si>
  <si>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</si>
  <si>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</si>
  <si>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</si>
  <si>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</si>
  <si>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</si>
  <si>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</si>
  <si>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</si>
  <si>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</si>
  <si>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</si>
  <si>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</si>
  <si>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</si>
  <si>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</si>
  <si>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</si>
  <si>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</si>
  <si>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</si>
  <si>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</si>
  <si>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</si>
  <si>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</si>
  <si>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</si>
  <si>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</si>
  <si>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</si>
  <si>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</si>
  <si>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</si>
  <si>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</si>
  <si>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</si>
  <si>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</si>
  <si>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</si>
  <si>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</si>
  <si>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</si>
  <si>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</si>
  <si>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</si>
  <si>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</si>
  <si>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</si>
  <si>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</si>
  <si>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</si>
  <si>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</si>
  <si>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</si>
  <si>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</si>
  <si>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</si>
  <si>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</si>
  <si>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</si>
  <si>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</si>
  <si>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</si>
  <si>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</si>
  <si>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</si>
  <si>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</si>
  <si>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</si>
  <si>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</si>
  <si>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</si>
  <si>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</si>
  <si>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</si>
  <si>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</si>
  <si>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</si>
  <si>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</si>
  <si>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</si>
  <si>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</si>
  <si>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</si>
  <si>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</si>
  <si>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</si>
  <si>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</si>
  <si>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</si>
  <si>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</si>
  <si>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</si>
  <si>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</si>
  <si>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</si>
  <si>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</si>
  <si>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</si>
  <si>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</si>
  <si>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</si>
  <si>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</si>
  <si>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</si>
  <si>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</si>
  <si>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</si>
  <si>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</si>
  <si>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</si>
  <si>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</si>
  <si>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</si>
  <si>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</si>
  <si>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</si>
  <si>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</si>
  <si>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</si>
  <si>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</si>
  <si>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</si>
  <si>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</si>
  <si>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</si>
  <si>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</si>
  <si>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</si>
  <si>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</si>
  <si>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</si>
  <si>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</si>
  <si>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</si>
  <si>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</si>
  <si>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</si>
  <si>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</si>
  <si>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</si>
  <si>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</si>
  <si>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</si>
  <si>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</si>
  <si>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</si>
  <si>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</si>
  <si>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</si>
  <si>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</si>
  <si>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</si>
  <si>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</si>
  <si>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</si>
  <si>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</si>
  <si>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</si>
  <si>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</si>
  <si>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</si>
  <si>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</si>
  <si>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</si>
  <si>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</si>
  <si>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</si>
  <si>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</si>
  <si>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</si>
  <si>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</si>
  <si>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</si>
  <si>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</si>
  <si>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</si>
  <si>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</si>
  <si>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</si>
  <si>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</si>
  <si>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</si>
  <si>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</si>
  <si>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</si>
  <si>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</si>
  <si>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</si>
  <si>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</si>
  <si>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</si>
  <si>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</si>
  <si>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</si>
  <si>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</si>
  <si>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</si>
  <si>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Local police tried to pull Mariah Boucher over for a traffic infraction -- they wouldn't say what -- but she refused to pull over. The officer initiated a pursuit and learned the car was called in as stolen. As a result of the chase, the car ended up wrecked, in flames, with Boucher and passengers Kameron Jackson and Donovan King dead at the scene.</t>
  </si>
  <si>
    <t>http://abc13.com/news/one-dead-following-deputy-involved-shooting-at-nightclub/865562/</t>
  </si>
  <si>
    <t>http://www.click2houston.com/news/hpd-investigating-after-possible-incustody-death-in-southeast-houston/34238632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</si>
  <si>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</si>
  <si>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</si>
  <si>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</si>
  <si>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</si>
  <si>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</si>
  <si>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</si>
  <si>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</si>
  <si>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</si>
  <si>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</si>
  <si>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</si>
  <si>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</si>
  <si>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</si>
  <si>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</si>
  <si>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</si>
  <si>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</si>
  <si>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</si>
  <si>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</si>
  <si>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</si>
  <si>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</si>
  <si>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</si>
  <si>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</si>
  <si>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</si>
  <si>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</si>
  <si>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</si>
  <si>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</si>
  <si>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</si>
  <si>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</si>
  <si>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</si>
  <si>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</si>
  <si>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</si>
  <si>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</si>
  <si>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</si>
  <si>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</si>
  <si>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</si>
  <si>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</si>
  <si>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</si>
  <si>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</si>
  <si>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</si>
  <si>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</si>
  <si>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</si>
  <si>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</si>
  <si>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</si>
  <si>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</si>
  <si>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</si>
  <si>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</si>
  <si>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</si>
  <si>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</si>
  <si>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</si>
  <si>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</si>
  <si>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</si>
  <si>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</si>
  <si>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</si>
  <si>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</si>
  <si>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</si>
  <si>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</si>
  <si>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</si>
  <si>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</si>
  <si>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</si>
  <si>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</si>
  <si>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</si>
  <si>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</si>
  <si>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</si>
  <si>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</si>
  <si>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</si>
  <si>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</si>
  <si>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</si>
  <si>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</si>
  <si>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</si>
  <si>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</si>
  <si>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</si>
  <si>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</si>
  <si>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</si>
  <si>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</si>
  <si>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</si>
  <si>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</si>
  <si>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</si>
  <si>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</si>
  <si>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</si>
  <si>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</si>
  <si>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</si>
  <si>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</si>
  <si>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</si>
  <si>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</si>
  <si>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</si>
  <si>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</si>
  <si>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</si>
  <si>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</si>
  <si>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</si>
  <si>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</si>
  <si>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</si>
  <si>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</si>
  <si>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</si>
  <si>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</si>
  <si>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</si>
  <si>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</si>
  <si>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</si>
  <si>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</si>
  <si>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</si>
  <si>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</si>
  <si>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</si>
  <si>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</si>
  <si>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</si>
  <si>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</si>
  <si>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</si>
  <si>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</si>
  <si>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</si>
  <si>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</si>
  <si>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</si>
  <si>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</si>
  <si>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</si>
  <si>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</si>
  <si>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</si>
  <si>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</si>
  <si>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</si>
  <si>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</si>
  <si>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</si>
  <si>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</si>
  <si>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</si>
  <si>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</si>
  <si>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</si>
  <si>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</si>
  <si>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</si>
  <si>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</si>
  <si>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</si>
  <si>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</si>
  <si>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</si>
  <si>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Waldorf</t>
  </si>
  <si>
    <t>Maryland State Troopers</t>
  </si>
  <si>
    <t>http://www.killedbypolice.net/victims/151191.jpg</t>
  </si>
  <si>
    <t>http://www.nbcfh.com/obituaries/upload/2043_obit_photo.jpg</t>
  </si>
  <si>
    <t>Jeremy Elliott</t>
  </si>
  <si>
    <t>Georgia Avenue and Dairy Road</t>
  </si>
  <si>
    <t>Baker</t>
  </si>
  <si>
    <t>32531</t>
  </si>
  <si>
    <t>Oskaloosa</t>
  </si>
  <si>
    <t>Jeremy Elliott was killed when his pickup truck crashed while being pursued by Alabama deputies in a high-speed chase that began in Alabama and ended 40 miles away in the Florida Panhandle.</t>
  </si>
  <si>
    <t>http://www.wtvm.com/story/30028485/alabama-florida-police-chase-ends-with-fatal-crash</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</si>
  <si>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</si>
  <si>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</si>
  <si>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</si>
  <si>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</si>
  <si>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</si>
  <si>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</si>
  <si>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</si>
  <si>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</si>
  <si>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</si>
  <si>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</si>
  <si>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</si>
  <si>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</si>
  <si>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</si>
  <si>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</si>
  <si>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</si>
  <si>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</si>
  <si>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</si>
  <si>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</si>
  <si>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</si>
  <si>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</si>
  <si>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</si>
  <si>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</si>
  <si>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</si>
  <si>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</si>
  <si>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</si>
  <si>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</si>
  <si>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</si>
  <si>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</si>
  <si>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</si>
  <si>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</si>
  <si>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</si>
  <si>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</si>
  <si>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</si>
  <si>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</si>
  <si>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</si>
  <si>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</si>
  <si>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</si>
  <si>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</si>
  <si>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</si>
  <si>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</si>
  <si>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</si>
  <si>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</si>
  <si>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</si>
  <si>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</si>
  <si>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</si>
  <si>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</si>
  <si>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</si>
  <si>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</si>
  <si>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</si>
  <si>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</si>
  <si>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</si>
  <si>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</si>
  <si>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</si>
  <si>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</si>
  <si>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</si>
  <si>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</si>
  <si>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</si>
  <si>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</si>
  <si>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</si>
  <si>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</si>
  <si>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</si>
  <si>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</si>
  <si>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</si>
  <si>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</si>
  <si>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</si>
  <si>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</si>
  <si>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</si>
  <si>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</si>
  <si>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</si>
  <si>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</si>
  <si>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</si>
  <si>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</si>
  <si>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</si>
  <si>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</si>
  <si>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</si>
  <si>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</si>
  <si>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</si>
  <si>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</si>
  <si>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</si>
  <si>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</si>
  <si>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</si>
  <si>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</si>
  <si>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http://www.rawstory.com/2013/10/well-known-texas-drag-performer-dies-in-police-custody/</t>
  </si>
  <si>
    <t>County police were called to Ports's house on reports that he was acting irrationally. In the course of subduing an irrational and combative Ports at the hospital, he suffered some sort of head injury. His death three weeks later appeared to be a direct result.</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</si>
  <si>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</si>
  <si>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</si>
  <si>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</si>
  <si>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http://www.wyff4.com/news/local-news/greenville-news/deputies-woman-fatally-shot/22184328</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</si>
  <si>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</si>
  <si>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</si>
  <si>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</si>
  <si>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</si>
  <si>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</si>
  <si>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Alcis was apparently scared to death. Police raided his home at 5:30 a.m. while in pursuit of a suspect who had punched a woman in the street and taken her iPhone. The raid gave a Haitian immigrant and father of eight had a fatal heart attack.</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</si>
  <si>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</si>
  <si>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</si>
  <si>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</si>
  <si>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</si>
  <si>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</si>
  <si>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</si>
  <si>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</si>
  <si>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</si>
  <si>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</si>
  <si>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</si>
  <si>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</si>
  <si>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</si>
  <si>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</si>
  <si>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</si>
  <si>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</si>
  <si>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</si>
  <si>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</si>
  <si>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</si>
  <si>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</si>
  <si>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</si>
  <si>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</si>
  <si>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</si>
  <si>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</si>
  <si>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</si>
  <si>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</si>
  <si>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</si>
  <si>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</si>
  <si>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</si>
  <si>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</si>
  <si>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</si>
  <si>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</si>
  <si>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</si>
  <si>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</si>
  <si>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</si>
  <si>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</si>
  <si>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</si>
  <si>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</si>
  <si>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</si>
  <si>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</si>
  <si>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</si>
  <si>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</si>
  <si>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</si>
  <si>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</si>
  <si>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</si>
  <si>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</si>
  <si>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</si>
  <si>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</si>
  <si>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</si>
  <si>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</si>
  <si>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</si>
  <si>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</si>
  <si>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</si>
  <si>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</si>
  <si>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</si>
  <si>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</si>
  <si>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Deputies responding to a report of shots being fired found Lopes armed with a gun, police said. Lopes allegedly ignored deputies' commands to drop the gun and was shot after he pointed it at them.</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</si>
  <si>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</si>
  <si>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</si>
  <si>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</si>
  <si>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</si>
  <si>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</si>
  <si>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</si>
  <si>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</si>
  <si>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</si>
  <si>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</si>
  <si>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</si>
  <si>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</si>
  <si>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</si>
  <si>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</si>
  <si>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</si>
  <si>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</si>
  <si>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</si>
  <si>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</si>
  <si>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</si>
  <si>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</si>
  <si>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</si>
  <si>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</si>
  <si>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</si>
  <si>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</si>
  <si>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</si>
  <si>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</si>
  <si>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</si>
  <si>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</si>
  <si>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</si>
  <si>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</si>
  <si>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</si>
  <si>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</si>
  <si>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</si>
  <si>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</si>
  <si>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</si>
  <si>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</si>
  <si>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</si>
  <si>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</si>
  <si>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</si>
  <si>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</si>
  <si>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</si>
  <si>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</si>
  <si>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</si>
  <si>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</si>
  <si>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</si>
  <si>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</si>
  <si>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</si>
  <si>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</si>
  <si>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</si>
  <si>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</si>
  <si>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</si>
  <si>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</si>
  <si>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</si>
  <si>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</si>
  <si>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</si>
  <si>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</si>
  <si>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</si>
  <si>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</si>
  <si>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</si>
  <si>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</si>
  <si>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</si>
  <si>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</si>
  <si>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</si>
  <si>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</si>
  <si>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</si>
  <si>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</si>
  <si>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</si>
  <si>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</si>
  <si>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</si>
  <si>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</si>
  <si>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</si>
  <si>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</si>
  <si>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</si>
  <si>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</si>
  <si>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</si>
  <si>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</si>
  <si>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</si>
  <si>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Christmas Eve Walmart shoplifting suspect Randolph fled from police and store security in her vehicle. Pursued by officers, she had a four-car accident in which she died and three others were injured.</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</si>
  <si>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</si>
  <si>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</si>
  <si>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</si>
  <si>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</si>
  <si>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Afterwards, the officer tasered him. He was handcuffed and reported that he couldn't breathe. He died on scene.</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</si>
  <si>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</si>
  <si>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</si>
  <si>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</si>
  <si>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</si>
  <si>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</si>
  <si>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</si>
  <si>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Shawnice drove a red sedan that was chased by police, containing Larry Gilmore and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</si>
  <si>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Larry was a passenger in a red sedan being chased by police, driven by Shawnice Osborne and also containing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</si>
  <si>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An unidentified passenger in a red sedan being chased by police, driven by Shawnice Osborne and also containing Larry Gilmore, which crashed into another vehicle, killing all four involved. For two miles the sedan had fled officers after a shots-fired call and an attempted traffic stop. The crash and resulting fire was so intense that the make and model of the sedan was unclear.</t>
  </si>
  <si>
    <t>Lavoy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Leon Haywood.</t>
  </si>
  <si>
    <t>Leon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Lavoy Steed</t>
  </si>
  <si>
    <t>Juan Ahuezoteco fled a traffic stop by local officers along with passenger Alejandro Molina, setting off a brief vehicle chase at speeds around 100 MPH. After a swerving minor crash they rammed into four members of the Guerrero family in an Accord. All six were killed by the violent impact.</t>
  </si>
  <si>
    <t>Alejandro was a passenger in a vehicle driven by Juan Aheuzoteco that fled a traffic stop by local officer, setting off a brief vehicle chase at speeds around 100 MPH. After a swerving minor crash they rammed into four members of the Guerrero family in an Accord. All six were killed by the violent impact.</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</si>
  <si>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</si>
  <si>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</si>
  <si>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</si>
  <si>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</si>
  <si>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http://ak-cache.legacy.net/legacy/images/cobrands/modestobee/photos/wmb0033723-1_20140430.jpg?v=0x000000003002a81a</t>
  </si>
  <si>
    <t>http://ak-cache.legacy.net/legacy/images/cobrands/modestobee/photos/wmb0033892-1_20140507.jpg?v=0x000000003014e7ef</t>
  </si>
  <si>
    <t>http://ak-cache.legacy.net/legacy/images/cobrands/modestobee/photos/wmb0033724-1_20140430.jpg?v=0x000000003002a81e</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</si>
  <si>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</si>
  <si>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</si>
  <si>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</si>
  <si>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</si>
  <si>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</si>
  <si>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</si>
  <si>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</si>
  <si>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</si>
  <si>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</si>
  <si>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</si>
  <si>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</si>
  <si>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</si>
  <si>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</si>
  <si>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</si>
  <si>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</si>
  <si>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</si>
  <si>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</si>
  <si>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</si>
  <si>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</si>
  <si>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</si>
  <si>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</si>
  <si>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</si>
  <si>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</si>
  <si>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</si>
  <si>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</si>
  <si>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</si>
  <si>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</si>
  <si>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</si>
  <si>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</si>
  <si>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</si>
  <si>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</si>
  <si>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</si>
  <si>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</si>
  <si>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</si>
  <si>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</si>
  <si>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</si>
  <si>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</si>
  <si>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</si>
  <si>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</si>
  <si>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</si>
  <si>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</si>
  <si>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</si>
  <si>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</si>
  <si>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</si>
  <si>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</si>
  <si>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</si>
  <si>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</si>
  <si>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</si>
  <si>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</si>
  <si>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</si>
  <si>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</si>
  <si>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</si>
  <si>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</si>
  <si>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</si>
  <si>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</si>
  <si>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</si>
  <si>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</si>
  <si>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</si>
  <si>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</si>
  <si>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</si>
  <si>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</si>
  <si>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</si>
  <si>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</si>
  <si>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</si>
  <si>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</si>
  <si>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</si>
  <si>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</si>
  <si>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</si>
  <si>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</si>
  <si>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</si>
  <si>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</si>
  <si>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</si>
  <si>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</si>
  <si>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</si>
  <si>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</si>
  <si>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</si>
  <si>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</si>
  <si>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</si>
  <si>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</si>
  <si>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</si>
  <si>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</si>
  <si>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</si>
  <si>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</si>
  <si>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</si>
  <si>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</si>
  <si>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</si>
  <si>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</si>
  <si>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</si>
  <si>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</si>
  <si>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</si>
  <si>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</si>
  <si>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</si>
  <si>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</si>
  <si>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</si>
  <si>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</si>
  <si>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</si>
  <si>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</si>
  <si>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</si>
  <si>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Orleans Parish</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</si>
  <si>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</si>
  <si>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</si>
  <si>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</si>
  <si>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</si>
  <si>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</si>
  <si>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</si>
  <si>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</si>
  <si>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</si>
  <si>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</si>
  <si>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</si>
  <si>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</si>
  <si>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</si>
  <si>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</si>
  <si>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</si>
  <si>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</si>
  <si>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</si>
  <si>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</si>
  <si>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</si>
  <si>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</si>
  <si>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</si>
  <si>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</si>
  <si>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</si>
  <si>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</si>
  <si>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</si>
  <si>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</si>
  <si>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</si>
  <si>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</si>
  <si>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</si>
  <si>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</si>
  <si>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</si>
  <si>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</si>
  <si>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</si>
  <si>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</si>
  <si>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</si>
  <si>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</si>
  <si>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</si>
  <si>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</si>
  <si>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</si>
  <si>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</si>
  <si>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</si>
  <si>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</si>
  <si>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</si>
  <si>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</si>
  <si>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</si>
  <si>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</si>
  <si>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</si>
  <si>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</si>
  <si>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</si>
  <si>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</si>
  <si>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</si>
  <si>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</si>
  <si>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</si>
  <si>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</si>
  <si>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</si>
  <si>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</si>
  <si>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</si>
  <si>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</si>
  <si>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</si>
  <si>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</si>
  <si>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</si>
  <si>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</si>
  <si>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</si>
  <si>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</si>
  <si>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</si>
  <si>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</si>
  <si>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</si>
  <si>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</si>
  <si>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</si>
  <si>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</si>
  <si>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</si>
  <si>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</si>
  <si>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</si>
  <si>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</si>
  <si>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</si>
  <si>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</si>
  <si>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</si>
  <si>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</si>
  <si>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</si>
  <si>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</si>
  <si>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</si>
  <si>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</si>
  <si>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</si>
  <si>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</si>
  <si>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</si>
  <si>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</si>
  <si>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</si>
  <si>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</si>
  <si>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</si>
  <si>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</si>
  <si>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</si>
  <si>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</si>
  <si>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</si>
  <si>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</si>
  <si>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</si>
  <si>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</si>
  <si>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</si>
  <si>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</si>
  <si>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</si>
  <si>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</si>
  <si>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</si>
  <si>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</si>
  <si>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</si>
  <si>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</si>
  <si>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</si>
  <si>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</si>
  <si>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Saint Louis</t>
  </si>
  <si>
    <t>Saint Louis City</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</si>
  <si>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</si>
  <si>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</si>
  <si>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</si>
  <si>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</si>
  <si>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</si>
  <si>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</si>
  <si>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</si>
  <si>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</si>
  <si>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</si>
  <si>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</si>
  <si>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</si>
  <si>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</si>
  <si>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</si>
  <si>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</si>
  <si>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</si>
  <si>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</si>
  <si>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</si>
  <si>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</si>
  <si>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</si>
  <si>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</si>
  <si>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</si>
  <si>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</si>
  <si>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</si>
  <si>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</si>
  <si>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</si>
  <si>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</si>
  <si>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</si>
  <si>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</si>
  <si>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</si>
  <si>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</si>
  <si>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</si>
  <si>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</si>
  <si>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</si>
  <si>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</si>
  <si>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</si>
  <si>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</si>
  <si>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</si>
  <si>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</si>
  <si>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</si>
  <si>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</si>
  <si>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</si>
  <si>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</si>
  <si>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</si>
  <si>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</si>
  <si>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</si>
  <si>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</si>
  <si>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</si>
  <si>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</si>
  <si>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</si>
  <si>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</si>
  <si>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</si>
  <si>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</si>
  <si>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</si>
  <si>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</si>
  <si>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</si>
  <si>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</si>
  <si>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</si>
  <si>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</si>
  <si>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</si>
  <si>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</si>
  <si>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</si>
  <si>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</si>
  <si>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</si>
  <si>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</si>
  <si>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</si>
  <si>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</si>
  <si>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</si>
  <si>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</si>
  <si>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</si>
  <si>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</si>
  <si>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</si>
  <si>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</si>
  <si>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</si>
  <si>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</si>
  <si>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</si>
  <si>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</si>
  <si>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</si>
  <si>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</si>
  <si>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</si>
  <si>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</si>
  <si>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</si>
  <si>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</si>
  <si>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</si>
  <si>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</si>
  <si>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</si>
  <si>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</si>
  <si>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</si>
  <si>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</si>
  <si>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</si>
  <si>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</si>
  <si>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</si>
  <si>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</si>
  <si>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</si>
  <si>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</si>
  <si>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</si>
  <si>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</si>
  <si>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</si>
  <si>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</si>
  <si>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</si>
  <si>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</si>
  <si>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</si>
  <si>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</si>
  <si>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</si>
  <si>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</si>
  <si>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</si>
  <si>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</si>
  <si>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</si>
  <si>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</si>
  <si>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</si>
  <si>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</si>
  <si>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</si>
  <si>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</si>
  <si>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</si>
  <si>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</si>
  <si>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</si>
  <si>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</si>
  <si>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</si>
  <si>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</si>
  <si>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</si>
  <si>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</si>
  <si>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</si>
  <si>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</si>
  <si>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</si>
  <si>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</si>
  <si>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</si>
  <si>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</si>
  <si>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</si>
  <si>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</si>
  <si>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</si>
  <si>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</si>
  <si>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</si>
  <si>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</si>
  <si>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</si>
  <si>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</si>
  <si>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</si>
  <si>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</si>
  <si>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</si>
  <si>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</si>
  <si>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</si>
  <si>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</si>
  <si>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</si>
  <si>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</si>
  <si>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</si>
  <si>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</si>
  <si>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</si>
  <si>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</si>
  <si>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</si>
  <si>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</si>
  <si>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</si>
  <si>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</si>
  <si>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</si>
  <si>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</si>
  <si>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</si>
  <si>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</si>
  <si>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</si>
  <si>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</si>
  <si>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</si>
  <si>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</si>
  <si>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</si>
  <si>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</si>
  <si>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</si>
  <si>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</si>
  <si>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</si>
  <si>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</si>
  <si>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</si>
  <si>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</si>
  <si>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</si>
  <si>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</si>
  <si>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</si>
  <si>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</si>
  <si>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</si>
  <si>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</si>
  <si>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</si>
  <si>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</si>
  <si>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</si>
  <si>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</si>
  <si>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</si>
  <si>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</si>
  <si>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</si>
  <si>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</si>
  <si>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</si>
  <si>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</si>
  <si>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</si>
  <si>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</si>
  <si>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</si>
  <si>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</si>
  <si>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</si>
  <si>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</si>
  <si>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</si>
  <si>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</si>
  <si>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</si>
  <si>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</si>
  <si>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</si>
  <si>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</si>
  <si>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</si>
  <si>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</si>
  <si>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</si>
  <si>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</si>
  <si>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</si>
  <si>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</si>
  <si>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</si>
  <si>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</si>
  <si>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</si>
  <si>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</si>
  <si>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</si>
  <si>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</si>
  <si>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</si>
  <si>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</si>
  <si>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</si>
  <si>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</si>
  <si>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</si>
  <si>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</si>
  <si>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</si>
  <si>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</si>
  <si>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</si>
  <si>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</si>
  <si>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</si>
  <si>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</si>
  <si>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</si>
  <si>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</si>
  <si>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</si>
  <si>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</si>
  <si>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</si>
  <si>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</si>
  <si>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</si>
  <si>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</si>
  <si>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</si>
  <si>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</si>
  <si>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</si>
  <si>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</si>
  <si>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</si>
  <si>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</si>
  <si>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</si>
  <si>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</si>
  <si>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</si>
  <si>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</si>
  <si>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</si>
  <si>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</si>
  <si>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</si>
  <si>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</si>
  <si>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</si>
  <si>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</si>
  <si>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</si>
  <si>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</si>
  <si>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</si>
  <si>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</si>
  <si>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</si>
  <si>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</si>
  <si>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</si>
  <si>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</si>
  <si>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</si>
  <si>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</si>
  <si>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</si>
  <si>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</si>
  <si>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</si>
  <si>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</si>
  <si>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</si>
  <si>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</si>
  <si>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</si>
  <si>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</si>
  <si>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</si>
  <si>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</si>
  <si>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</si>
  <si>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</si>
  <si>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</si>
  <si>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</si>
  <si>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</si>
  <si>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</si>
  <si>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</si>
  <si>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</si>
  <si>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</si>
  <si>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</si>
  <si>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</si>
  <si>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</si>
  <si>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</si>
  <si>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</si>
  <si>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</si>
  <si>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</si>
  <si>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</si>
  <si>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</si>
  <si>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</si>
  <si>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</si>
  <si>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</si>
  <si>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</si>
  <si>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</si>
  <si>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</si>
  <si>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</si>
  <si>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</si>
  <si>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</si>
  <si>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</si>
  <si>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</si>
  <si>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</si>
  <si>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</si>
  <si>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</si>
  <si>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</si>
  <si>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</si>
  <si>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</si>
  <si>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</si>
  <si>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</si>
  <si>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</si>
  <si>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</si>
  <si>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</si>
  <si>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</si>
  <si>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</si>
  <si>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</si>
  <si>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</si>
  <si>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</si>
  <si>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</si>
  <si>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</si>
  <si>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</si>
  <si>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</si>
  <si>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</si>
  <si>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</si>
  <si>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</si>
  <si>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</si>
  <si>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</si>
  <si>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</si>
  <si>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</si>
  <si>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</si>
  <si>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</si>
  <si>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</si>
  <si>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</si>
  <si>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</si>
  <si>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</si>
  <si>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</si>
  <si>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</si>
  <si>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</si>
  <si>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</si>
  <si>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</si>
  <si>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</si>
  <si>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</si>
  <si>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</si>
  <si>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</si>
  <si>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</si>
  <si>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</si>
  <si>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</si>
  <si>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</si>
  <si>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</si>
  <si>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</si>
  <si>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</si>
  <si>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</si>
  <si>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</si>
  <si>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</si>
  <si>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</si>
  <si>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</si>
  <si>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</si>
  <si>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</si>
  <si>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</si>
  <si>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</si>
  <si>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</si>
  <si>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</si>
  <si>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</si>
  <si>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</si>
  <si>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</si>
  <si>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</si>
  <si>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</si>
  <si>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</si>
  <si>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</si>
  <si>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</si>
  <si>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</si>
  <si>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</si>
  <si>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</si>
  <si>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</si>
  <si>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</si>
  <si>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</si>
  <si>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</si>
  <si>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</si>
  <si>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</si>
  <si>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</si>
  <si>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</si>
  <si>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</si>
  <si>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</si>
  <si>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</si>
  <si>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</si>
  <si>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</si>
  <si>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</si>
  <si>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</si>
  <si>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</si>
  <si>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</si>
  <si>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</si>
  <si>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</si>
  <si>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</si>
  <si>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</si>
  <si>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</si>
  <si>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</si>
  <si>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</si>
  <si>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</si>
  <si>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</si>
  <si>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</si>
  <si>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</si>
  <si>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</si>
  <si>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</si>
  <si>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</si>
  <si>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</si>
  <si>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</si>
  <si>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</si>
  <si>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</si>
  <si>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</si>
  <si>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</si>
  <si>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</si>
  <si>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</si>
  <si>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</si>
  <si>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</si>
  <si>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</si>
  <si>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</si>
  <si>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</si>
  <si>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</si>
  <si>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</si>
  <si>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</si>
  <si>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</si>
  <si>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</si>
  <si>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</si>
  <si>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</si>
  <si>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</si>
  <si>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</si>
  <si>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</si>
  <si>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</si>
  <si>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</si>
  <si>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</si>
  <si>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</si>
  <si>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</si>
  <si>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</si>
  <si>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</si>
  <si>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</si>
  <si>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</si>
  <si>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</si>
  <si>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</si>
  <si>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</si>
  <si>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</si>
  <si>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</si>
  <si>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</si>
  <si>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</si>
  <si>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</si>
  <si>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</si>
  <si>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</si>
  <si>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</si>
  <si>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</si>
  <si>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</si>
  <si>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</si>
  <si>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</si>
  <si>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</si>
  <si>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</si>
  <si>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</si>
  <si>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</si>
  <si>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</si>
  <si>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</si>
  <si>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</si>
  <si>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</si>
  <si>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</si>
  <si>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</si>
  <si>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</si>
  <si>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</si>
  <si>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</si>
  <si>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</si>
  <si>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</si>
  <si>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</si>
  <si>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</si>
  <si>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</si>
  <si>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</si>
  <si>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</si>
  <si>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</si>
  <si>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</si>
  <si>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</si>
  <si>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</si>
  <si>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</si>
  <si>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</si>
  <si>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</si>
  <si>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</si>
  <si>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</si>
  <si>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</si>
  <si>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</si>
  <si>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</si>
  <si>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</si>
  <si>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</si>
  <si>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</si>
  <si>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</si>
  <si>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</si>
  <si>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</si>
  <si>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</si>
  <si>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</si>
  <si>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</si>
  <si>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</si>
  <si>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</si>
  <si>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</si>
  <si>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</si>
  <si>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</si>
  <si>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</si>
  <si>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</si>
  <si>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</si>
  <si>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</si>
  <si>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</si>
  <si>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</si>
  <si>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</si>
  <si>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</si>
  <si>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</si>
  <si>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</si>
  <si>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</si>
  <si>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</si>
  <si>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</si>
  <si>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</si>
  <si>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</si>
  <si>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</si>
  <si>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</si>
  <si>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</si>
  <si>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</si>
  <si>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</si>
  <si>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</si>
  <si>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</si>
  <si>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</si>
  <si>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</si>
  <si>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</si>
  <si>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</si>
  <si>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</si>
  <si>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</si>
  <si>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</si>
  <si>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</si>
  <si>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</si>
  <si>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</si>
  <si>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</si>
  <si>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</si>
  <si>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</si>
  <si>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</si>
  <si>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</si>
  <si>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</si>
  <si>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</si>
  <si>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</si>
  <si>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</si>
  <si>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</si>
  <si>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</si>
  <si>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</si>
  <si>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</si>
  <si>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</si>
  <si>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</si>
  <si>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</si>
  <si>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</si>
  <si>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</si>
  <si>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</si>
  <si>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</si>
  <si>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</si>
  <si>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</si>
  <si>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</si>
  <si>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</si>
  <si>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</si>
  <si>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</si>
  <si>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</si>
  <si>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</si>
  <si>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</si>
  <si>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</si>
  <si>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</si>
  <si>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</si>
  <si>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</si>
  <si>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</si>
  <si>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</si>
  <si>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</si>
  <si>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</si>
  <si>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</si>
  <si>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</si>
  <si>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</si>
  <si>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</si>
  <si>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</si>
  <si>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</si>
  <si>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</si>
  <si>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</si>
  <si>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</si>
  <si>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</si>
  <si>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</si>
  <si>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</si>
  <si>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</si>
  <si>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</si>
  <si>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</si>
  <si>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</si>
  <si>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</si>
  <si>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</si>
  <si>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</si>
  <si>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</si>
  <si>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</si>
  <si>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</si>
  <si>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</si>
  <si>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</si>
  <si>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</si>
  <si>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</si>
  <si>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</si>
  <si>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</si>
  <si>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</si>
  <si>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</si>
  <si>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</si>
  <si>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</si>
  <si>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</si>
  <si>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</si>
  <si>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</si>
  <si>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</si>
  <si>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</si>
  <si>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</si>
  <si>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</si>
  <si>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</si>
  <si>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</si>
  <si>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</si>
  <si>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</si>
  <si>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</si>
  <si>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</si>
  <si>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</si>
  <si>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</si>
  <si>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</si>
  <si>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</si>
  <si>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</si>
  <si>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</si>
  <si>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</si>
  <si>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</si>
  <si>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</si>
  <si>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</si>
  <si>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</si>
  <si>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</si>
  <si>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</si>
  <si>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</si>
  <si>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</si>
  <si>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</si>
  <si>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</si>
  <si>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</si>
  <si>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</si>
  <si>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</si>
  <si>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</si>
  <si>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</si>
  <si>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</si>
  <si>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</si>
  <si>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</si>
  <si>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</si>
  <si>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</si>
  <si>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</si>
  <si>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</si>
  <si>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</si>
  <si>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</si>
  <si>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</si>
  <si>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</si>
  <si>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</si>
  <si>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</si>
  <si>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</si>
  <si>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</si>
  <si>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</si>
  <si>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</si>
  <si>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</si>
  <si>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</si>
  <si>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</si>
  <si>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</si>
  <si>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</si>
  <si>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</si>
  <si>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</si>
  <si>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</si>
  <si>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</si>
  <si>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</si>
  <si>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</si>
  <si>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</si>
  <si>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</si>
  <si>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</si>
  <si>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</si>
  <si>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</si>
  <si>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</si>
  <si>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</si>
  <si>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</si>
  <si>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</si>
  <si>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</si>
  <si>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</si>
  <si>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</si>
  <si>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</si>
  <si>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</si>
  <si>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</si>
  <si>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</si>
  <si>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</si>
  <si>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</si>
  <si>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</si>
  <si>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</si>
  <si>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</si>
  <si>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</si>
  <si>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</si>
  <si>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</si>
  <si>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</si>
  <si>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</si>
  <si>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</si>
  <si>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</si>
  <si>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</si>
  <si>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</si>
  <si>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</si>
  <si>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</si>
  <si>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</si>
  <si>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</si>
  <si>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</si>
  <si>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</si>
  <si>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</si>
  <si>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</si>
  <si>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</si>
  <si>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</si>
  <si>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</si>
  <si>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</si>
  <si>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</si>
  <si>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</si>
  <si>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</si>
  <si>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</si>
  <si>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</si>
  <si>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</si>
  <si>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</si>
  <si>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</si>
  <si>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</si>
  <si>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</si>
  <si>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</si>
  <si>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</si>
  <si>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</si>
  <si>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</si>
  <si>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</si>
  <si>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</si>
  <si>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</si>
  <si>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</si>
  <si>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</si>
  <si>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</si>
  <si>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</si>
  <si>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</si>
  <si>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</si>
  <si>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</si>
  <si>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</si>
  <si>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</si>
  <si>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</si>
  <si>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</si>
  <si>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</si>
  <si>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</si>
  <si>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</si>
  <si>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</si>
  <si>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</si>
  <si>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</si>
  <si>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</si>
  <si>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</si>
  <si>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</si>
  <si>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</si>
  <si>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</si>
  <si>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</si>
  <si>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</si>
  <si>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</si>
  <si>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</si>
  <si>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</si>
  <si>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</si>
  <si>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</si>
  <si>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</si>
  <si>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</si>
  <si>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</si>
  <si>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</si>
  <si>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</si>
  <si>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</si>
  <si>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</si>
  <si>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</si>
  <si>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</si>
  <si>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and fired a gun. Police shot and killed him.</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</si>
  <si>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</si>
  <si>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</si>
  <si>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</si>
  <si>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</si>
  <si>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</si>
  <si>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</si>
  <si>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</si>
  <si>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</si>
  <si>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</si>
  <si>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</si>
  <si>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</si>
  <si>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</si>
  <si>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</si>
  <si>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</si>
  <si>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</si>
  <si>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</si>
  <si>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</si>
  <si>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</si>
  <si>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</si>
  <si>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</si>
  <si>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</si>
  <si>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</si>
  <si>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</si>
  <si>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</si>
  <si>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</si>
  <si>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</si>
  <si>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</si>
  <si>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</si>
  <si>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</si>
  <si>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</si>
  <si>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</si>
  <si>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</si>
  <si>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</si>
  <si>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</si>
  <si>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</si>
  <si>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</si>
  <si>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</si>
  <si>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</si>
  <si>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</si>
  <si>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</si>
  <si>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</si>
  <si>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</si>
  <si>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</si>
  <si>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</si>
  <si>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</si>
  <si>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</si>
  <si>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</si>
  <si>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</si>
  <si>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</si>
  <si>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</si>
  <si>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</si>
  <si>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</si>
  <si>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</si>
  <si>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</si>
  <si>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</si>
  <si>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</si>
  <si>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</si>
  <si>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</si>
  <si>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</si>
  <si>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</si>
  <si>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</si>
  <si>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</si>
  <si>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</si>
  <si>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</si>
  <si>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</si>
  <si>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</si>
  <si>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</si>
  <si>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</si>
  <si>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</si>
  <si>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</si>
  <si>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</si>
  <si>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</si>
  <si>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</si>
  <si>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</si>
  <si>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</si>
  <si>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</si>
  <si>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</si>
  <si>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</si>
  <si>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</si>
  <si>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</si>
  <si>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</si>
  <si>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</si>
  <si>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</si>
  <si>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</si>
  <si>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</si>
  <si>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</si>
  <si>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</si>
  <si>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</si>
  <si>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</si>
  <si>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</si>
  <si>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</si>
  <si>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</si>
  <si>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</si>
  <si>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</si>
  <si>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</si>
  <si>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</si>
  <si>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</si>
  <si>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</si>
  <si>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</si>
  <si>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</si>
  <si>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</si>
  <si>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</si>
  <si>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</si>
  <si>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</si>
  <si>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</si>
  <si>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</si>
  <si>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</si>
  <si>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</si>
  <si>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</si>
  <si>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</si>
  <si>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</si>
  <si>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</si>
  <si>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</si>
  <si>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</si>
  <si>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</si>
  <si>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</si>
  <si>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</si>
  <si>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</si>
  <si>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</si>
  <si>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</si>
  <si>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</si>
  <si>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</si>
  <si>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</si>
  <si>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</si>
  <si>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</si>
  <si>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</si>
  <si>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</si>
  <si>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</si>
  <si>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</si>
  <si>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</si>
  <si>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</si>
  <si>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</si>
  <si>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</si>
  <si>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</si>
  <si>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</si>
  <si>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</si>
  <si>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</si>
  <si>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</si>
  <si>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</si>
  <si>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</si>
  <si>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</si>
  <si>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</si>
  <si>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</si>
  <si>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</si>
  <si>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</si>
  <si>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</si>
  <si>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</si>
  <si>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</si>
  <si>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</si>
  <si>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</si>
  <si>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</si>
  <si>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</si>
  <si>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</si>
  <si>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</si>
  <si>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</si>
  <si>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</si>
  <si>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</si>
  <si>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</si>
  <si>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</si>
  <si>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</si>
  <si>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</si>
  <si>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</si>
  <si>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</si>
  <si>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</si>
  <si>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</si>
  <si>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</si>
  <si>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</si>
  <si>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</si>
  <si>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</si>
  <si>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</si>
  <si>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</si>
  <si>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</si>
  <si>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</si>
  <si>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</si>
  <si>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</si>
  <si>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</si>
  <si>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</si>
  <si>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</si>
  <si>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</si>
  <si>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</si>
  <si>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</si>
  <si>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</si>
  <si>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</si>
  <si>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</si>
  <si>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</si>
  <si>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</si>
  <si>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</si>
  <si>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</si>
  <si>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</si>
  <si>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</si>
  <si>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</si>
  <si>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</si>
  <si>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</si>
  <si>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</si>
  <si>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</si>
  <si>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</si>
  <si>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</si>
  <si>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</si>
  <si>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</si>
  <si>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</si>
  <si>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</si>
  <si>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</si>
  <si>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</si>
  <si>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</si>
  <si>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</si>
  <si>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</si>
  <si>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</si>
  <si>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</si>
  <si>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</si>
  <si>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</si>
  <si>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</si>
  <si>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</si>
  <si>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</si>
  <si>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</si>
  <si>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</si>
  <si>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</si>
  <si>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</si>
  <si>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</si>
  <si>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</si>
  <si>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</si>
  <si>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</si>
  <si>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</si>
  <si>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</si>
  <si>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</si>
  <si>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</si>
  <si>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</si>
  <si>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</si>
  <si>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</si>
  <si>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</si>
  <si>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</si>
  <si>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</si>
  <si>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</si>
  <si>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</si>
  <si>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</si>
  <si>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</si>
  <si>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</si>
  <si>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</si>
  <si>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</si>
  <si>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</si>
  <si>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</si>
  <si>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</si>
  <si>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</si>
  <si>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</si>
  <si>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</si>
  <si>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</si>
  <si>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</si>
  <si>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</si>
  <si>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</si>
  <si>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</si>
  <si>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</si>
  <si>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</si>
  <si>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</si>
  <si>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</si>
  <si>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</si>
  <si>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</si>
  <si>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</si>
  <si>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</si>
  <si>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</si>
  <si>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</si>
  <si>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</si>
  <si>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</si>
  <si>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</si>
  <si>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</si>
  <si>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</si>
  <si>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</si>
  <si>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</si>
  <si>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</si>
  <si>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</si>
  <si>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</si>
  <si>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</si>
  <si>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</si>
  <si>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</si>
  <si>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</si>
  <si>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</si>
  <si>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</si>
  <si>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</si>
  <si>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</si>
  <si>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</si>
  <si>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</si>
  <si>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</si>
  <si>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</si>
  <si>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</si>
  <si>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Andrew Dean Howton</t>
  </si>
  <si>
    <t>http://media.graytvinc.com/images/291*350/Andrew+D.+Howton.png</t>
  </si>
  <si>
    <t>403 S. Greeley Highway</t>
  </si>
  <si>
    <t>82007</t>
  </si>
  <si>
    <t>Wheat Ridge Police, Laramie County Sheriff's Office</t>
  </si>
  <si>
    <t>Howton was wanted on a variety of charges. After a several-hour standoff, police sent a robot in and found him dead of an apparent self-inflicted gunshot.</t>
  </si>
  <si>
    <t>http://www.kgwn.tv/home/headlines/Hostage-situation-at-Cheyenne-motel-DEVELOPING-STORY-367902861.html</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</si>
  <si>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</si>
  <si>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</si>
  <si>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</si>
  <si>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</si>
  <si>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</si>
  <si>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</si>
  <si>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</si>
  <si>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</si>
  <si>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</si>
  <si>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</si>
  <si>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</si>
  <si>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</si>
  <si>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</si>
  <si>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</si>
  <si>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</si>
  <si>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</si>
  <si>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</si>
  <si>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</si>
  <si>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</si>
  <si>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</si>
  <si>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</si>
  <si>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</si>
  <si>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</si>
  <si>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</si>
  <si>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</si>
  <si>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</si>
  <si>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</si>
  <si>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</si>
  <si>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</si>
  <si>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</si>
  <si>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</si>
  <si>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</si>
  <si>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</si>
  <si>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</si>
  <si>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</si>
  <si>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</si>
  <si>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</si>
  <si>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</si>
  <si>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</si>
  <si>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</si>
  <si>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</si>
  <si>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</si>
  <si>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</si>
  <si>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</si>
  <si>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</si>
  <si>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</si>
  <si>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</si>
  <si>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</si>
  <si>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</si>
  <si>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</si>
  <si>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</si>
  <si>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</si>
  <si>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</si>
  <si>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</si>
  <si>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</si>
  <si>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</si>
  <si>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</si>
  <si>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</si>
  <si>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</si>
  <si>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</si>
  <si>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</si>
  <si>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</si>
  <si>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</si>
  <si>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</si>
  <si>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</si>
  <si>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</si>
  <si>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</si>
  <si>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</si>
  <si>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</si>
  <si>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</si>
  <si>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</si>
  <si>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</si>
  <si>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</si>
  <si>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</si>
  <si>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</si>
  <si>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</si>
  <si>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</si>
  <si>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</si>
  <si>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</si>
  <si>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</si>
  <si>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</si>
  <si>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</si>
  <si>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</si>
  <si>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</si>
  <si>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</si>
  <si>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</si>
  <si>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</si>
  <si>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</si>
  <si>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</si>
  <si>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</si>
  <si>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</si>
  <si>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</si>
  <si>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</si>
  <si>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</si>
  <si>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</si>
  <si>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</si>
  <si>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</si>
  <si>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</si>
  <si>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</si>
  <si>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</si>
  <si>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</si>
  <si>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</si>
  <si>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</si>
  <si>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</si>
  <si>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</si>
  <si>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</si>
  <si>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</si>
  <si>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</si>
  <si>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</si>
  <si>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</si>
  <si>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</si>
  <si>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</si>
  <si>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</si>
  <si>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</si>
  <si>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</si>
  <si>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</si>
  <si>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</si>
  <si>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</si>
  <si>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</si>
  <si>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</si>
  <si>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</si>
  <si>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</si>
  <si>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</si>
  <si>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</si>
  <si>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</si>
  <si>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</si>
  <si>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</si>
  <si>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</si>
  <si>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</si>
  <si>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</si>
  <si>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</si>
  <si>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</si>
  <si>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</si>
  <si>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</si>
  <si>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</si>
  <si>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</si>
  <si>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</si>
  <si>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</si>
  <si>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</si>
  <si>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</si>
  <si>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</si>
  <si>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</si>
  <si>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</si>
  <si>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</si>
  <si>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</si>
  <si>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</si>
  <si>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</si>
  <si>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</si>
  <si>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</si>
  <si>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</si>
  <si>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</si>
  <si>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</si>
  <si>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</si>
  <si>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</si>
  <si>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</si>
  <si>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</si>
  <si>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</si>
  <si>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</si>
  <si>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</si>
  <si>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</si>
  <si>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</si>
  <si>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</si>
  <si>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</si>
  <si>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</si>
  <si>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</si>
  <si>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</si>
  <si>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</si>
  <si>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</si>
  <si>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</si>
  <si>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</si>
  <si>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</si>
  <si>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</si>
  <si>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</si>
  <si>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</si>
  <si>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</si>
  <si>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</si>
  <si>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</si>
  <si>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</si>
  <si>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</si>
  <si>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</si>
  <si>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</si>
  <si>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</si>
  <si>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</si>
  <si>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</si>
  <si>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</si>
  <si>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</si>
  <si>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</si>
  <si>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</si>
  <si>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</si>
  <si>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</si>
  <si>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</si>
  <si>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</si>
  <si>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</si>
  <si>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</si>
  <si>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</si>
  <si>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</si>
  <si>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</si>
  <si>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</si>
  <si>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</si>
  <si>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</si>
  <si>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</si>
  <si>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</si>
  <si>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</si>
  <si>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</si>
  <si>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</si>
  <si>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</si>
  <si>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</si>
  <si>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</si>
  <si>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</si>
  <si>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</si>
  <si>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</si>
  <si>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</si>
  <si>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</si>
  <si>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</si>
  <si>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</si>
  <si>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</si>
  <si>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</si>
  <si>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</si>
  <si>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</si>
  <si>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</si>
  <si>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</si>
  <si>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</si>
  <si>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</si>
  <si>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</si>
  <si>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</si>
  <si>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</si>
  <si>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</si>
  <si>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</si>
  <si>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</si>
  <si>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</si>
  <si>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</si>
  <si>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</si>
  <si>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</si>
  <si>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</si>
  <si>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</si>
  <si>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</si>
  <si>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</si>
  <si>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</si>
  <si>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</si>
  <si>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</si>
  <si>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</si>
  <si>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</si>
  <si>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</si>
  <si>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</si>
  <si>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</si>
  <si>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</si>
  <si>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</si>
  <si>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</si>
  <si>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</si>
  <si>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</si>
  <si>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</si>
  <si>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</si>
  <si>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</si>
  <si>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</si>
  <si>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</si>
  <si>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</si>
  <si>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</si>
  <si>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</si>
  <si>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</si>
  <si>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</si>
  <si>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</si>
  <si>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</si>
  <si>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</si>
  <si>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</si>
  <si>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</si>
  <si>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</si>
  <si>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</si>
  <si>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</si>
  <si>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</si>
  <si>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</si>
  <si>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</si>
  <si>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</si>
  <si>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</si>
  <si>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</si>
  <si>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</si>
  <si>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</si>
  <si>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</si>
  <si>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</si>
  <si>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</si>
  <si>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</si>
  <si>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</si>
  <si>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</si>
  <si>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</si>
  <si>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</si>
  <si>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</si>
  <si>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</si>
  <si>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</si>
  <si>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</si>
  <si>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</si>
  <si>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</si>
  <si>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</si>
  <si>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Alphonzo Lamonte Porter Jr.</t>
  </si>
  <si>
    <t>https://tribwxmi.files.wordpress.com/2015/10/anthony-walker.png?w=227</t>
  </si>
  <si>
    <t>E Empire Ave &amp; Pipestone St</t>
  </si>
  <si>
    <t>Berrien County Sheriff's Department</t>
  </si>
  <si>
    <t>Porter Jr. was a passenger in a car that collided with a van during a high-speed chase with a sheriff's deputy. The driver of the car, 22-year-old Ulises Damien Rangel,  was arrested and is facing charges of operating a motor vehicle while his license was suspended, revoked or denied causing death and carrying a concealed weapon, according to the Berrien County Sheriff’s Department.</t>
  </si>
  <si>
    <t>http://www.southbendtribune.com/news/publicsafety/passenger-in-vehicle-fleeing-police-dies-in-crash/article_b1175b5c-c170-5c60-947d-fe2da7f5b4fb.html</t>
  </si>
  <si>
    <t>Trevor Tyreke Chambers</t>
  </si>
  <si>
    <t>http://ak-cache.legacy.net/legacy/images/cobrands/tallahassee/photos/tad029407-1_20160224.jpgx?w=130&amp;h=180&amp;option=1&amp;v=0x0000000033901fdd</t>
  </si>
  <si>
    <t>1666 State Hwy 268</t>
  </si>
  <si>
    <t>Midway</t>
  </si>
  <si>
    <t>32343</t>
  </si>
  <si>
    <t>Midway Police Department, Gadsden County Sheriff’s Office</t>
  </si>
  <si>
    <t>According to Midway Police, authorities initiated a pursuit of a stolen vehicle. Police say the chase began in Midway, and ended in a residential neighborhood when the vehicle crashed. The passenger was killed.</t>
  </si>
  <si>
    <t>http://www.wctv.tv/home/headlines/Police-Chase-in-Midway-Ends-in-Fatal-Crash-369341611.html</t>
  </si>
  <si>
    <t>Syiid Brinkley</t>
  </si>
  <si>
    <t>https://2dbdd5116ffa30a49aa8-c03f075f8191fb4e60e74b907071aee8.ssl.cf1.rackcdn.com/9988855_1458246602.5893.jpg</t>
  </si>
  <si>
    <t>Reisterstown Road and Liberty Heights Avenue</t>
  </si>
  <si>
    <t>Two teenagers, Cornell Gilbert and Syiid Brinkley in a stolen car were killed in a crash after the driver fled police, police said. Patrol officers had been on the lookout for the car after it was reported stolen nearby earlier in the day, police said. Officers in a marked police cruiser spotted the BMW and attempted to stop it. The driver, fleeing from police attempting to stop the car, hit a curb and then crashed into the utility pole. The driver was not injured. while both passengers died. Witnesses at the scene said they believe police were chasing the stolen car, which is prohibited under department policy. Police deny they were chasing the vehicle.</t>
  </si>
  <si>
    <t>http://www.abc2news.com/news/region/baltimore-city/police-identified-the-two-teenagers-killed-in-a-crash-wednesday-night</t>
  </si>
  <si>
    <t>Cornell Gilbert</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</si>
  <si>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</si>
  <si>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</si>
  <si>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</si>
  <si>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</si>
  <si>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</si>
  <si>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</si>
  <si>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</si>
  <si>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</si>
  <si>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</si>
  <si>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</si>
  <si>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</si>
  <si>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</si>
  <si>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</si>
  <si>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</si>
  <si>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Quantarius Miller</t>
  </si>
  <si>
    <t>http://www.gannett-cdn.com/-mm-/8334042135d7f679c06190b7cdf533ced74a407e/c=15-0-465-600&amp;r=537&amp;c=0-0-534-712/local/-/media/2016/01/24/Brevard/Brevard/635892488771139580-quantarius.jpg.jpeg</t>
  </si>
  <si>
    <t>Clearlake Road and Rosetine Street</t>
  </si>
  <si>
    <t>Cocoa Police Department</t>
  </si>
  <si>
    <t>Quantarius Miller was driving when a Cocoa Police officer attempted to pull him over for "driving erratically." The officer chased Miller, causing him to crash into a car and then into a concrete wall, killing himself and his passenger, Michelle Jenkins.</t>
  </si>
  <si>
    <t>http://www.floridatoday.com/story/news/2016/01/24/two-people-killed-central-brevard-crash/79262656/</t>
  </si>
  <si>
    <t>Maria Isabel Garcia</t>
  </si>
  <si>
    <t>Off-duty U.S. Border Patrol agent Juan Hernandez, 44, was sitting in his vehicle on Camelia Street with his unnamed girlfriend when the woman's ex-boyfriend, identified as  21-year-old Jesse Garcia drove up, police said. Garcia approached the driver's side of the agen's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</si>
  <si>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</si>
  <si>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Arnulfo Gallegos</t>
  </si>
  <si>
    <t>http://www.glendalestar.com/news/article_22eb33d6-b942-11e5-ba7a-1b3b9677c7ab.html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</si>
  <si>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</si>
  <si>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</si>
  <si>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</si>
  <si>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</si>
  <si>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</si>
  <si>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</si>
  <si>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</si>
  <si>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</si>
  <si>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</si>
  <si>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</si>
  <si>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</si>
  <si>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</si>
  <si>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</si>
  <si>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</si>
  <si>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</si>
  <si>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</si>
  <si>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</si>
  <si>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Michelle Jenkins</t>
  </si>
  <si>
    <t>David Hamilton III</t>
  </si>
  <si>
    <t>Bryan Nelson</t>
  </si>
  <si>
    <t>68th Street and Anthony Avenue</t>
  </si>
  <si>
    <t>http://chicago.suntimes.com/news/7/71/1273072/police-driver-killed-south-side-chase-ends-crash</t>
  </si>
  <si>
    <t>William Michael "Brent" Watkins</t>
  </si>
  <si>
    <t>27th Street and Fourth Avenue South</t>
  </si>
  <si>
    <t>35233</t>
  </si>
  <si>
    <t>Police said the driver of the red SUV was spotted by a South Precinct police officer driving erratically. The SUV was traveling at a high rate of speed, witnesses said, and had almost run several cars off of the road. Police said he had also run multiple red lights. A South Precinct officer was pursuing the SUV, attempting to stop it, when the crash happened.</t>
  </si>
  <si>
    <t>http://www.al.com/news/birmingham/index.ssf/2016/01/man_killed_while_trying_evade.html</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</si>
  <si>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</si>
  <si>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</si>
  <si>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</si>
  <si>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</si>
  <si>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</si>
  <si>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</si>
  <si>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</si>
  <si>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</si>
  <si>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</si>
  <si>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</si>
  <si>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</si>
  <si>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</si>
  <si>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</si>
  <si>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</si>
  <si>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</si>
  <si>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</si>
  <si>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</si>
  <si>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</si>
  <si>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</si>
  <si>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</si>
  <si>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</si>
  <si>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</si>
  <si>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</si>
  <si>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</si>
  <si>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</si>
  <si>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</si>
  <si>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Kelsey Dresser</t>
  </si>
  <si>
    <t>http://www.fatalencounters.org/wp-content/uploads/2013/10/KelseyDresser.png</t>
  </si>
  <si>
    <t>Jefferson Boulevard and Royal Street</t>
  </si>
  <si>
    <t>According to the LA Times, Dresser was driving westbound on Jefferson when she made a left turn and was hit by a DPS vehicle driving eastbound. She died the following day.</t>
  </si>
  <si>
    <t>http://www.latimes.com/local/lanow/la-me-ln-usc-student-killed-crash-campus-police-cruiser-lapd-20151211-story.html</t>
  </si>
  <si>
    <t>USC Department of Public Safety</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</si>
  <si>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</si>
  <si>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</si>
  <si>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</si>
  <si>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</si>
  <si>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</si>
  <si>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</si>
  <si>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</si>
  <si>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</si>
  <si>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</si>
  <si>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</si>
  <si>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</si>
  <si>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</si>
  <si>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</si>
  <si>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</si>
  <si>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</si>
  <si>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</si>
  <si>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</si>
  <si>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</si>
  <si>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</si>
  <si>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</si>
  <si>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</si>
  <si>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</si>
  <si>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</si>
  <si>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</si>
  <si>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</si>
  <si>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</si>
  <si>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</si>
  <si>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</si>
  <si>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</si>
  <si>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</si>
  <si>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</si>
  <si>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</si>
  <si>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</si>
  <si>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</si>
  <si>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</si>
  <si>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</si>
  <si>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</si>
  <si>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</si>
  <si>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</si>
  <si>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</si>
  <si>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</si>
  <si>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</si>
  <si>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</si>
  <si>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</si>
  <si>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</si>
  <si>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</si>
  <si>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</si>
  <si>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</si>
  <si>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</si>
  <si>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</si>
  <si>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</si>
  <si>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</si>
  <si>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</si>
  <si>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</si>
  <si>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</si>
  <si>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</si>
  <si>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</si>
  <si>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</si>
  <si>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</si>
  <si>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</si>
  <si>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</si>
  <si>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</si>
  <si>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</si>
  <si>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</si>
  <si>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</si>
  <si>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</si>
  <si>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</si>
  <si>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</si>
  <si>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</si>
  <si>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</si>
  <si>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</si>
  <si>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</si>
  <si>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</si>
  <si>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</si>
  <si>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</si>
  <si>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</si>
  <si>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</si>
  <si>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</si>
  <si>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</si>
  <si>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</si>
  <si>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</si>
  <si>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</si>
  <si>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</si>
  <si>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</si>
  <si>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</si>
  <si>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</si>
  <si>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</si>
  <si>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Chicago police chased Bryan Nelson in the South Side late Friday, ending when he crashed his SUV into a viaduct support beam. Police pulled the vehicle over after the driver made an illegal turn, police said. When they asked for his license, he sped off from the traffic stop. Officers gave chase and then the SUV slam into the viaduct near 68th Street and Anthony Avenue. Nelson was ejected from the SUV and pronounced dead at the scene.</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</si>
  <si>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</si>
  <si>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</si>
  <si>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</si>
  <si>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</si>
  <si>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</si>
  <si>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</si>
  <si>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</si>
  <si>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</si>
  <si>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</si>
  <si>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</si>
  <si>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</si>
  <si>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</si>
  <si>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</si>
  <si>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</si>
  <si>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</si>
  <si>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</si>
  <si>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</si>
  <si>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</si>
  <si>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</si>
  <si>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</si>
  <si>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</si>
  <si>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</si>
  <si>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</si>
  <si>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</si>
  <si>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</si>
  <si>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</si>
  <si>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</si>
  <si>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</si>
  <si>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</si>
  <si>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</si>
  <si>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</si>
  <si>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</si>
  <si>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</si>
  <si>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</si>
  <si>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</si>
  <si>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</si>
  <si>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</si>
  <si>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</si>
  <si>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Average Yearly Police Homicide Rate for Black People</t>
  </si>
  <si>
    <t>Average Yearly Police Homicide Rate for Black Men (per 100k)</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</si>
  <si>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</si>
  <si>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</si>
  <si>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</si>
  <si>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</si>
  <si>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</si>
  <si>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</si>
  <si>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</si>
  <si>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</si>
  <si>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</si>
  <si>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</si>
  <si>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</si>
  <si>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</si>
  <si>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</si>
  <si>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</si>
  <si>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</si>
  <si>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</si>
  <si>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</si>
  <si>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</si>
  <si>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</si>
  <si>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</si>
  <si>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</si>
  <si>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</si>
  <si>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</si>
  <si>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</si>
  <si>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</si>
  <si>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</si>
  <si>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</si>
  <si>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</si>
  <si>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</si>
  <si>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</si>
  <si>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</si>
  <si>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</si>
  <si>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</si>
  <si>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</si>
  <si>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</si>
  <si>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</si>
  <si>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</si>
  <si>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</si>
  <si>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</si>
  <si>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</si>
  <si>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</si>
  <si>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</si>
  <si>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</si>
  <si>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</si>
  <si>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</si>
  <si>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</si>
  <si>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</si>
  <si>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</si>
  <si>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</si>
  <si>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</si>
  <si>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</si>
  <si>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</si>
  <si>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</si>
  <si>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</si>
  <si>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</si>
  <si>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</si>
  <si>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</si>
  <si>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</si>
  <si>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</si>
  <si>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</si>
  <si>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</si>
  <si>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</si>
  <si>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</si>
  <si>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</si>
  <si>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</si>
  <si>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</si>
  <si>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</si>
  <si>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</si>
  <si>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</si>
  <si>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</si>
  <si>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</si>
  <si>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</si>
  <si>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</si>
  <si>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</si>
  <si>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</si>
  <si>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</si>
  <si>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</si>
  <si>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</si>
  <si>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</si>
  <si>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</si>
  <si>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</si>
  <si>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</si>
  <si>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</si>
  <si>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</si>
  <si>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</si>
  <si>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</si>
  <si>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</si>
  <si>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</si>
  <si>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</si>
  <si>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</si>
  <si>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</si>
  <si>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</si>
  <si>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</si>
  <si>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</si>
  <si>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</si>
  <si>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</si>
  <si>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</si>
  <si>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</si>
  <si>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</si>
  <si>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</si>
  <si>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</si>
  <si>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</si>
  <si>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</si>
  <si>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</si>
  <si>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</si>
  <si>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</si>
  <si>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</si>
  <si>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</si>
  <si>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</si>
  <si>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</si>
  <si>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</si>
  <si>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</si>
  <si>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</si>
  <si>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</si>
  <si>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</si>
  <si>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</si>
  <si>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</si>
  <si>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</si>
  <si>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</si>
  <si>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</si>
  <si>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</si>
  <si>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</si>
  <si>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</si>
  <si>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</si>
  <si>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</si>
  <si>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</si>
  <si>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</si>
  <si>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</si>
  <si>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</si>
  <si>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</si>
  <si>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</si>
  <si>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</si>
  <si>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</si>
  <si>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</si>
  <si>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</si>
  <si>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</si>
  <si>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</si>
  <si>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</si>
  <si>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</si>
  <si>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</si>
  <si>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</si>
  <si>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</si>
  <si>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</si>
  <si>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</si>
  <si>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</si>
  <si>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</si>
  <si>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</si>
  <si>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</si>
  <si>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</si>
  <si>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</si>
  <si>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</si>
  <si>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</si>
  <si>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</si>
  <si>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</si>
  <si>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</si>
  <si>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</si>
  <si>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</si>
  <si>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</si>
  <si>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</si>
  <si>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</si>
  <si>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</si>
  <si>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</si>
  <si>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</si>
  <si>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</si>
  <si>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</si>
  <si>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</si>
  <si>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</si>
  <si>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</si>
  <si>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</si>
  <si>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</si>
  <si>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</si>
  <si>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</si>
  <si>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</si>
  <si>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</si>
  <si>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</si>
  <si>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</si>
  <si>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</si>
  <si>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</si>
  <si>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</si>
  <si>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</si>
  <si>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</si>
  <si>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</si>
  <si>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</si>
  <si>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</si>
  <si>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</si>
  <si>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</si>
  <si>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</si>
  <si>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</si>
  <si>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</si>
  <si>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</si>
  <si>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</si>
  <si>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</si>
  <si>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</si>
  <si>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</si>
  <si>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</si>
  <si>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</si>
  <si>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</si>
  <si>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</si>
  <si>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</si>
  <si>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</si>
  <si>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</si>
  <si>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</si>
  <si>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</si>
  <si>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</si>
  <si>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</si>
  <si>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</si>
  <si>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</si>
  <si>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</si>
  <si>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</si>
  <si>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</si>
  <si>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</si>
  <si>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</si>
  <si>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</si>
  <si>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</si>
  <si>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</si>
  <si>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</si>
  <si>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</si>
  <si>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</si>
  <si>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</si>
  <si>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</si>
  <si>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</si>
  <si>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</si>
  <si>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</si>
  <si>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</si>
  <si>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</si>
  <si>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</si>
  <si>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</si>
  <si>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</si>
  <si>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</si>
  <si>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</si>
  <si>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</si>
  <si>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</si>
  <si>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</si>
  <si>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</si>
  <si>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</si>
  <si>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</si>
  <si>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</si>
  <si>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</si>
  <si>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</si>
  <si>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</si>
  <si>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</si>
  <si>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</si>
  <si>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</si>
  <si>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</si>
  <si>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</si>
  <si>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</si>
  <si>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</si>
  <si>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</si>
  <si>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</si>
  <si>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</si>
  <si>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</si>
  <si>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</si>
  <si>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</si>
  <si>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</si>
  <si>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</si>
  <si>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</si>
  <si>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</si>
  <si>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</si>
  <si>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</si>
  <si>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</si>
  <si>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</si>
  <si>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</si>
  <si>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</si>
  <si>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</si>
  <si>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</si>
  <si>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</si>
  <si>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</si>
  <si>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</si>
  <si>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</si>
  <si>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</si>
  <si>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</si>
  <si>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</si>
  <si>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</si>
  <si>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</si>
  <si>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</si>
  <si>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</si>
  <si>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</si>
  <si>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</si>
  <si>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</si>
  <si>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</si>
  <si>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</si>
  <si>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</si>
  <si>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</si>
  <si>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</si>
  <si>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</si>
  <si>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</si>
  <si>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</si>
  <si>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</si>
  <si>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</si>
  <si>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</si>
  <si>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</si>
  <si>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</si>
  <si>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</si>
  <si>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</si>
  <si>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</si>
  <si>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</si>
  <si>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</si>
  <si>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</si>
  <si>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</si>
  <si>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</si>
  <si>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</si>
  <si>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</si>
  <si>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</si>
  <si>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</si>
  <si>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</si>
  <si>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</si>
  <si>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</si>
  <si>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</si>
  <si>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</si>
  <si>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</si>
  <si>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</si>
  <si>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</si>
  <si>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</si>
  <si>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</si>
  <si>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</si>
  <si>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</si>
  <si>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</si>
  <si>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</si>
  <si>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</si>
  <si>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</si>
  <si>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</si>
  <si>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</si>
  <si>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</si>
  <si>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</si>
  <si>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</si>
  <si>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</si>
  <si>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</si>
  <si>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</si>
  <si>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</si>
  <si>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</si>
  <si>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</si>
  <si>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</si>
  <si>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</si>
  <si>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</si>
  <si>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</si>
  <si>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</si>
  <si>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</si>
  <si>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</si>
  <si>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</si>
  <si>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</si>
  <si>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</si>
  <si>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</si>
  <si>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</si>
  <si>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</si>
  <si>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</si>
  <si>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</si>
  <si>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</si>
  <si>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</si>
  <si>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</si>
  <si>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</si>
  <si>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</si>
  <si>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</si>
  <si>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</si>
  <si>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</si>
  <si>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</si>
  <si>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</si>
  <si>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</si>
  <si>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</si>
  <si>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</si>
  <si>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</si>
  <si>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</si>
  <si>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</si>
  <si>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</si>
  <si>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</si>
  <si>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</si>
  <si>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</si>
  <si>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</si>
  <si>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</si>
  <si>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</si>
  <si>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</si>
  <si>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</si>
  <si>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</si>
  <si>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</si>
  <si>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</si>
  <si>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</si>
  <si>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</si>
  <si>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</si>
  <si>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</si>
  <si>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</si>
  <si>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</si>
  <si>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</si>
  <si>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</si>
  <si>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</si>
  <si>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</si>
  <si>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</si>
  <si>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</si>
  <si>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</si>
  <si>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</si>
  <si>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</si>
  <si>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</si>
  <si>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</si>
  <si>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</si>
  <si>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</si>
  <si>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</si>
  <si>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</si>
  <si>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</si>
  <si>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</si>
  <si>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</si>
  <si>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</si>
  <si>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</si>
  <si>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</si>
  <si>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</si>
  <si>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</si>
  <si>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</si>
  <si>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</si>
  <si>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</si>
  <si>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</si>
  <si>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</si>
  <si>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</si>
  <si>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</si>
  <si>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</si>
  <si>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</si>
  <si>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</si>
  <si>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</si>
  <si>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</si>
  <si>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</si>
  <si>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</si>
  <si>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</si>
  <si>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</si>
  <si>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</si>
  <si>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</si>
  <si>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</si>
  <si>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</si>
  <si>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</si>
  <si>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</si>
  <si>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</si>
  <si>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</si>
  <si>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</si>
  <si>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</si>
  <si>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</si>
  <si>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</si>
  <si>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</si>
  <si>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</si>
  <si>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</si>
  <si>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</si>
  <si>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</si>
  <si>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</si>
  <si>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</si>
  <si>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</si>
  <si>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</si>
  <si>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</si>
  <si>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</si>
  <si>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</si>
  <si>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</si>
  <si>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</si>
  <si>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</si>
  <si>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</si>
  <si>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</si>
  <si>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</si>
  <si>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</si>
  <si>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</si>
  <si>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</si>
  <si>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</si>
  <si>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</si>
  <si>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</si>
  <si>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</si>
  <si>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</si>
  <si>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</si>
  <si>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</si>
  <si>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</si>
  <si>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</si>
  <si>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</si>
  <si>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</si>
  <si>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</si>
  <si>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</si>
  <si>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</si>
  <si>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</si>
  <si>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</si>
  <si>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</si>
  <si>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</si>
  <si>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</si>
  <si>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</si>
  <si>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</si>
  <si>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</si>
  <si>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</si>
  <si>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</si>
  <si>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</si>
  <si>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</si>
  <si>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</si>
  <si>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</si>
  <si>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</si>
  <si>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</si>
  <si>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</si>
  <si>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</si>
  <si>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</si>
  <si>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</si>
  <si>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</si>
  <si>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</si>
  <si>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</si>
  <si>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</si>
  <si>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</si>
  <si>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</si>
  <si>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</si>
  <si>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</si>
  <si>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</si>
  <si>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</si>
  <si>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</si>
  <si>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</si>
  <si>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</si>
  <si>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</si>
  <si>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</si>
  <si>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</si>
  <si>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</si>
  <si>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</si>
  <si>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</si>
  <si>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</si>
  <si>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</si>
  <si>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</si>
  <si>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</si>
  <si>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</si>
  <si>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</si>
  <si>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</si>
  <si>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</si>
  <si>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</si>
  <si>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</si>
  <si>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</si>
  <si>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</si>
  <si>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</si>
  <si>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</si>
  <si>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</si>
  <si>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</si>
  <si>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</si>
  <si>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</si>
  <si>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</si>
  <si>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</si>
  <si>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</si>
  <si>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</si>
  <si>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</si>
  <si>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</si>
  <si>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</si>
  <si>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</si>
  <si>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</si>
  <si>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</si>
  <si>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</si>
  <si>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</si>
  <si>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</si>
  <si>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</si>
  <si>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</si>
  <si>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</si>
  <si>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</si>
  <si>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</si>
  <si>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</si>
  <si>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</si>
  <si>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</si>
  <si>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</si>
  <si>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</si>
  <si>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</si>
  <si>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</si>
  <si>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</si>
  <si>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</si>
  <si>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</si>
  <si>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</si>
  <si>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</si>
  <si>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</si>
  <si>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</si>
  <si>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</si>
  <si>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</si>
  <si>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</si>
  <si>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</si>
  <si>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</si>
  <si>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</si>
  <si>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</si>
  <si>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</si>
  <si>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Glendale police said Arnulfo Gallegos, 50, fled after being involved in a minor collision with another vehicle. The other driver followed the car. Police officers saw the two vehicles run a red light and chased them. The officers soon found a plume of dust where the car hit the cinder block fence. Gallegos died a short time later.</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</si>
  <si>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</si>
  <si>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</si>
  <si>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</si>
  <si>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</si>
  <si>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</si>
  <si>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</si>
  <si>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</si>
  <si>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</si>
  <si>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</si>
  <si>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</si>
  <si>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</si>
  <si>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</si>
  <si>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</si>
  <si>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</si>
  <si>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</si>
  <si>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</si>
  <si>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</si>
  <si>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</si>
  <si>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</si>
  <si>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</si>
  <si>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</si>
  <si>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</si>
  <si>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</si>
  <si>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</si>
  <si>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</si>
  <si>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</si>
  <si>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</si>
  <si>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</si>
  <si>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</si>
  <si>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</si>
  <si>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</si>
  <si>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</si>
  <si>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</si>
  <si>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</si>
  <si>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</si>
  <si>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</si>
  <si>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</si>
  <si>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</si>
  <si>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</si>
  <si>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</si>
  <si>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</si>
  <si>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</si>
  <si>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</si>
  <si>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</si>
  <si>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</si>
  <si>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</si>
  <si>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</si>
  <si>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</si>
  <si>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</si>
  <si>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</si>
  <si>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</si>
  <si>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</si>
  <si>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</si>
  <si>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</si>
  <si>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</si>
  <si>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</si>
  <si>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</si>
  <si>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</si>
  <si>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</si>
  <si>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</si>
  <si>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</si>
  <si>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</si>
  <si>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</si>
  <si>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</si>
  <si>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</si>
  <si>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</si>
  <si>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</si>
  <si>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</si>
  <si>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</si>
  <si>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</si>
  <si>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</si>
  <si>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</si>
  <si>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</si>
  <si>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</si>
  <si>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</si>
  <si>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</si>
  <si>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</si>
  <si>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</si>
  <si>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</si>
  <si>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</si>
  <si>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</si>
  <si>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</si>
  <si>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</si>
  <si>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</si>
  <si>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</si>
  <si>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</si>
  <si>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</si>
  <si>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</si>
  <si>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</si>
  <si>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</si>
  <si>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</si>
  <si>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</si>
  <si>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</si>
  <si>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</si>
  <si>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</si>
  <si>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</si>
  <si>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</si>
  <si>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</si>
  <si>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</si>
  <si>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</si>
  <si>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</si>
  <si>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</si>
  <si>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</si>
  <si>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</si>
  <si>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</si>
  <si>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</si>
  <si>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</si>
  <si>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</si>
  <si>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</si>
  <si>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</si>
  <si>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</si>
  <si>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</si>
  <si>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</si>
  <si>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</si>
  <si>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</si>
  <si>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</si>
  <si>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</si>
  <si>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</si>
  <si>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</si>
  <si>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</si>
  <si>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</si>
  <si>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</si>
  <si>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</si>
  <si>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</si>
  <si>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</si>
  <si>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</si>
  <si>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</si>
  <si>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</si>
  <si>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</si>
  <si>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</si>
  <si>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</si>
  <si>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</si>
  <si>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</si>
  <si>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</si>
  <si>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</si>
  <si>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</si>
  <si>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</si>
  <si>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</si>
  <si>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</si>
  <si>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</si>
  <si>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</si>
  <si>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</si>
  <si>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</si>
  <si>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</si>
  <si>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</si>
  <si>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</si>
  <si>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</si>
  <si>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</si>
  <si>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</si>
  <si>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</si>
  <si>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</si>
  <si>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</si>
  <si>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</si>
  <si>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</si>
  <si>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</si>
  <si>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</si>
  <si>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</si>
  <si>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</si>
  <si>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</si>
  <si>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</si>
  <si>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</si>
  <si>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</si>
  <si>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</si>
  <si>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</si>
  <si>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</si>
  <si>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</si>
  <si>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</si>
  <si>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</si>
  <si>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</si>
  <si>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</si>
  <si>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</si>
  <si>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</si>
  <si>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</si>
  <si>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</si>
  <si>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</si>
  <si>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</si>
  <si>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</si>
  <si>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</si>
  <si>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</si>
  <si>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</si>
  <si>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</si>
  <si>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</si>
  <si>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</si>
  <si>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</si>
  <si>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</si>
  <si>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</si>
  <si>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</si>
  <si>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</si>
  <si>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</si>
  <si>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</si>
  <si>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</si>
  <si>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</si>
  <si>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</si>
  <si>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</si>
  <si>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</si>
  <si>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</si>
  <si>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</si>
  <si>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</si>
  <si>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</si>
  <si>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</si>
  <si>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</si>
  <si>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</si>
  <si>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</si>
  <si>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</si>
  <si>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</si>
  <si>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</si>
  <si>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</si>
  <si>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</si>
  <si>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</si>
  <si>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</si>
  <si>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</si>
  <si>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</si>
  <si>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</si>
  <si>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</si>
  <si>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</si>
  <si>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</si>
  <si>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</si>
  <si>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</si>
  <si>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</si>
  <si>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</si>
  <si>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</si>
  <si>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</si>
  <si>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</si>
  <si>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</si>
  <si>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</si>
  <si>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</si>
  <si>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</si>
  <si>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</si>
  <si>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</si>
  <si>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</si>
  <si>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</si>
  <si>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</si>
  <si>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</si>
  <si>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</si>
  <si>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</si>
  <si>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</si>
  <si>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</si>
  <si>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</si>
  <si>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</si>
  <si>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</si>
  <si>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</si>
  <si>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</si>
  <si>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</si>
  <si>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</si>
  <si>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</si>
  <si>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</si>
  <si>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</si>
  <si>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</si>
  <si>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</si>
  <si>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</si>
  <si>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</si>
  <si>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</si>
  <si>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</si>
  <si>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</si>
  <si>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</si>
  <si>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</si>
  <si>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</si>
  <si>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</si>
  <si>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Michael Kennedy</t>
  </si>
  <si>
    <t>2633 Washington Street</t>
  </si>
  <si>
    <t>Ozaukee</t>
  </si>
  <si>
    <t>Grafton Police Department, Saukville Police Department</t>
  </si>
  <si>
    <t>Saukville police were called regarding a possible burglary. Officers believed Kennedy broke into a woman's house, held her at gunpoint and forced her to drive him around. She was released without being hurt. Grafton police later noticed a car they believed to have been involved in the Saukville incident parked at the Hampton Inn. Police from both police departments tried to reach Kennedy. When they attempted to make contact, they heard a shot; they regrouped and when they attempted to make contact again, there was a second shot. Eventually, when they went in the room, he was dead.</t>
  </si>
  <si>
    <t>http://www.wisn.com/news/shots-fired-inside-local-hampton-inn-hotel/39504946</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</si>
  <si>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</si>
  <si>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</si>
  <si>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</si>
  <si>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</si>
  <si>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</si>
  <si>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</si>
  <si>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</si>
  <si>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</si>
  <si>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</si>
  <si>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</si>
  <si>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</si>
  <si>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</si>
  <si>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</si>
  <si>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</si>
  <si>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</si>
  <si>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</si>
  <si>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</si>
  <si>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</si>
  <si>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</si>
  <si>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</si>
  <si>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</si>
  <si>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</si>
  <si>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</si>
  <si>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</si>
  <si>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</si>
  <si>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</si>
  <si>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</si>
  <si>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</si>
  <si>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</si>
  <si>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</si>
  <si>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</si>
  <si>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</si>
  <si>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</si>
  <si>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</si>
  <si>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</si>
  <si>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</si>
  <si>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</si>
  <si>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</si>
  <si>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</si>
  <si>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</si>
  <si>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</si>
  <si>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</si>
  <si>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</si>
  <si>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</si>
  <si>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</si>
  <si>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</si>
  <si>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</si>
  <si>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</si>
  <si>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</si>
  <si>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</si>
  <si>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</si>
  <si>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</si>
  <si>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</si>
  <si>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</si>
  <si>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</si>
  <si>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</si>
  <si>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</si>
  <si>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</si>
  <si>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</si>
  <si>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</si>
  <si>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</si>
  <si>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</si>
  <si>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Police were investigating a disturbance. Police Thompson was being uncooperative. While being placed into custody, he became unresponsive and died.</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</si>
  <si>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</si>
  <si>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</si>
  <si>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</si>
  <si>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</si>
  <si>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</si>
  <si>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</si>
  <si>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</si>
  <si>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</si>
  <si>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</si>
  <si>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</si>
  <si>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</si>
  <si>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</si>
  <si>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</si>
  <si>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</si>
  <si>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</si>
  <si>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Antwand Tyreese Cousins</t>
  </si>
  <si>
    <t>Penn Avenue and West Broadway Avenue</t>
  </si>
  <si>
    <t>Dash camera video shows officers approaching his vehicle and attempting to get him to roll down his window before he refused and fled at a high rate of speed. The chase ended when Cousins hit a minivan at Penn and West Broadway before hitting the building. He was pronounced dead at the scene.</t>
  </si>
  <si>
    <t>http://minnesota.cbslocal.com/2016/05/19/driver-killed-minneapolis-police-chase/</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</si>
  <si>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</si>
  <si>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</si>
  <si>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</si>
  <si>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</si>
  <si>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</si>
  <si>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</si>
  <si>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</si>
  <si>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</si>
  <si>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</si>
  <si>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</si>
  <si>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</si>
  <si>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</si>
  <si>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</si>
  <si>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</si>
  <si>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</si>
  <si>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</si>
  <si>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</si>
  <si>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</si>
  <si>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</si>
  <si>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</si>
  <si>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</si>
  <si>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</si>
  <si>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</si>
  <si>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</si>
  <si>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</si>
  <si>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</si>
  <si>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</si>
  <si>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</si>
  <si>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</si>
  <si>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</si>
  <si>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</si>
  <si>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</si>
  <si>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</si>
  <si>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</si>
  <si>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</si>
  <si>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</si>
  <si>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</si>
  <si>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</si>
  <si>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</si>
  <si>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</si>
  <si>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</si>
  <si>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</si>
  <si>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</si>
  <si>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</si>
  <si>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</si>
  <si>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</si>
  <si>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</si>
  <si>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</si>
  <si>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</si>
  <si>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</si>
  <si>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</si>
  <si>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</si>
  <si>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</si>
  <si>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</si>
  <si>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</si>
  <si>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</si>
  <si>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</si>
  <si>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</si>
  <si>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</si>
  <si>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</si>
  <si>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</si>
  <si>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</si>
  <si>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</si>
  <si>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</si>
  <si>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</si>
  <si>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</si>
  <si>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</si>
  <si>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</si>
  <si>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</si>
  <si>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</si>
  <si>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</si>
  <si>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</si>
  <si>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</si>
  <si>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</si>
  <si>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</si>
  <si>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</si>
  <si>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</si>
  <si>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</si>
  <si>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</si>
  <si>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</si>
  <si>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</si>
  <si>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</si>
  <si>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</si>
  <si>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</si>
  <si>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</si>
  <si>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</si>
  <si>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</si>
  <si>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</si>
  <si>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</si>
  <si>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</si>
  <si>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</si>
  <si>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</si>
  <si>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</si>
  <si>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</si>
  <si>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</si>
  <si>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</si>
  <si>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</si>
  <si>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</si>
  <si>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</si>
  <si>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</si>
  <si>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</si>
  <si>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</si>
  <si>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</si>
  <si>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</si>
  <si>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</si>
  <si>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</si>
  <si>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</si>
  <si>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</si>
  <si>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</si>
  <si>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</si>
  <si>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</si>
  <si>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</si>
  <si>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</si>
  <si>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</si>
  <si>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</si>
  <si>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</si>
  <si>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</si>
  <si>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</si>
  <si>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</si>
  <si>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</si>
  <si>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</si>
  <si>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</si>
  <si>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</si>
  <si>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</si>
  <si>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</si>
  <si>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</si>
  <si>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</si>
  <si>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</si>
  <si>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</si>
  <si>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</si>
  <si>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</si>
  <si>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</si>
  <si>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</si>
  <si>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</si>
  <si>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</si>
  <si>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</si>
  <si>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</si>
  <si>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</si>
  <si>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</si>
  <si>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</si>
  <si>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</si>
  <si>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</si>
  <si>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</si>
  <si>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</si>
  <si>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</si>
  <si>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</si>
  <si>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</si>
  <si>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</si>
  <si>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</si>
  <si>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</si>
  <si>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</si>
  <si>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</si>
  <si>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</si>
  <si>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</si>
  <si>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</si>
  <si>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</si>
  <si>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</si>
  <si>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</si>
  <si>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</si>
  <si>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</si>
  <si>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</si>
  <si>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</si>
  <si>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</si>
  <si>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</si>
  <si>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</si>
  <si>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</si>
  <si>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</si>
  <si>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</si>
  <si>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</si>
  <si>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</si>
  <si>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</si>
  <si>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</si>
  <si>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</si>
  <si>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</si>
  <si>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</si>
  <si>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</si>
  <si>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</si>
  <si>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</si>
  <si>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</si>
  <si>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</si>
  <si>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</si>
  <si>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</si>
  <si>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</si>
  <si>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</si>
  <si>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</si>
  <si>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</si>
  <si>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</si>
  <si>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</si>
  <si>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</si>
  <si>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</si>
  <si>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</si>
  <si>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</si>
  <si>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</si>
  <si>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</si>
  <si>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</si>
  <si>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</si>
  <si>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</si>
  <si>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</si>
  <si>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</si>
  <si>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</si>
  <si>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</si>
  <si>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</si>
  <si>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</si>
  <si>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</si>
  <si>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</si>
  <si>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</si>
  <si>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</si>
  <si>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</si>
  <si>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</si>
  <si>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</si>
  <si>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</si>
  <si>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</si>
  <si>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</si>
  <si>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</si>
  <si>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</si>
  <si>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</si>
  <si>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</si>
  <si>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</si>
  <si>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</si>
  <si>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</si>
  <si>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</si>
  <si>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</si>
  <si>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</si>
  <si>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</si>
  <si>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</si>
  <si>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</si>
  <si>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</si>
  <si>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</si>
  <si>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</si>
  <si>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</si>
  <si>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</si>
  <si>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</si>
  <si>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</si>
  <si>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</si>
  <si>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</si>
  <si>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</si>
  <si>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</si>
  <si>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</si>
  <si>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</si>
  <si>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</si>
  <si>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</si>
  <si>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</si>
  <si>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</si>
  <si>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</si>
  <si>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</si>
  <si>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</si>
  <si>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</si>
  <si>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</si>
  <si>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</si>
  <si>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</si>
  <si>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</si>
  <si>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</si>
  <si>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</si>
  <si>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</si>
  <si>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</si>
  <si>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</si>
  <si>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</si>
  <si>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</si>
  <si>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</si>
  <si>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</si>
  <si>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</si>
  <si>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</si>
  <si>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</si>
  <si>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</si>
  <si>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</si>
  <si>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</si>
  <si>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</si>
  <si>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</si>
  <si>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</si>
  <si>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</si>
  <si>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</si>
  <si>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</si>
  <si>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</si>
  <si>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</si>
  <si>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</si>
  <si>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</si>
  <si>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</si>
  <si>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</si>
  <si>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</si>
  <si>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</si>
  <si>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</si>
  <si>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</si>
  <si>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</si>
  <si>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</si>
  <si>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</si>
  <si>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</si>
  <si>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</si>
  <si>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</si>
  <si>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</si>
  <si>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</si>
  <si>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</si>
  <si>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</si>
  <si>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</si>
  <si>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</si>
  <si>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</si>
  <si>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</si>
  <si>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</si>
  <si>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</si>
  <si>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</si>
  <si>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</si>
  <si>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</si>
  <si>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</si>
  <si>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</si>
  <si>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</si>
  <si>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</si>
  <si>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</si>
  <si>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</si>
  <si>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</si>
  <si>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</si>
  <si>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</si>
  <si>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</si>
  <si>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</si>
  <si>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</si>
  <si>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</si>
  <si>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</si>
  <si>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</si>
  <si>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</si>
  <si>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</si>
  <si>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</si>
  <si>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</si>
  <si>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</si>
  <si>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</si>
  <si>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</si>
  <si>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</si>
  <si>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</si>
  <si>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</si>
  <si>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</si>
  <si>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</si>
  <si>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</si>
  <si>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</si>
  <si>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</si>
  <si>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</si>
  <si>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</si>
  <si>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</si>
  <si>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</si>
  <si>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</si>
  <si>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</si>
  <si>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</si>
  <si>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</si>
  <si>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</si>
  <si>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</si>
  <si>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</si>
  <si>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</si>
  <si>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</si>
  <si>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</si>
  <si>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</si>
  <si>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</si>
  <si>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</si>
  <si>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</si>
  <si>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</si>
  <si>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</si>
  <si>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</si>
  <si>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</si>
  <si>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</si>
  <si>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</si>
  <si>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</si>
  <si>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</si>
  <si>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</si>
  <si>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</si>
  <si>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</si>
  <si>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</si>
  <si>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</si>
  <si>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</si>
  <si>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</si>
  <si>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</si>
  <si>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</si>
  <si>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</si>
  <si>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</si>
  <si>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</si>
  <si>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</si>
  <si>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</si>
  <si>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</si>
  <si>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</si>
  <si>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</si>
  <si>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</si>
  <si>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</si>
  <si>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</si>
  <si>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</si>
  <si>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</si>
  <si>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</si>
  <si>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</si>
  <si>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</si>
  <si>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</si>
  <si>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</si>
  <si>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</si>
  <si>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</si>
  <si>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</si>
  <si>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</si>
  <si>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</si>
  <si>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</si>
  <si>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</si>
  <si>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</si>
  <si>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</si>
  <si>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</si>
  <si>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</si>
  <si>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</si>
  <si>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</si>
  <si>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</si>
  <si>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</si>
  <si>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</si>
  <si>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</si>
  <si>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</si>
  <si>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</si>
  <si>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</si>
  <si>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</si>
  <si>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</si>
  <si>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</si>
  <si>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</si>
  <si>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</si>
  <si>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</si>
  <si>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</si>
  <si>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</si>
  <si>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</si>
  <si>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</si>
  <si>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</si>
  <si>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</si>
  <si>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</si>
  <si>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</si>
  <si>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</si>
  <si>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</si>
  <si>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</si>
  <si>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</si>
  <si>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</si>
  <si>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</si>
  <si>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</si>
  <si>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</si>
  <si>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</si>
  <si>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</si>
  <si>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</si>
  <si>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</si>
  <si>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</si>
  <si>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</si>
  <si>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</si>
  <si>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</si>
  <si>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</si>
  <si>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</si>
  <si>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</si>
  <si>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</si>
  <si>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</si>
  <si>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</si>
  <si>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</si>
  <si>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</si>
  <si>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</si>
  <si>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</si>
  <si>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</si>
  <si>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</si>
  <si>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</si>
  <si>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</si>
  <si>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</si>
  <si>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</si>
  <si>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</si>
  <si>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</si>
  <si>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</si>
  <si>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</si>
  <si>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</si>
  <si>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</si>
  <si>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</si>
  <si>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</si>
  <si>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</si>
  <si>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</si>
  <si>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</si>
  <si>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</si>
  <si>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</si>
  <si>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</si>
  <si>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</si>
  <si>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</si>
  <si>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</si>
  <si>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</si>
  <si>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</si>
  <si>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</si>
  <si>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</si>
  <si>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</si>
  <si>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</si>
  <si>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</si>
  <si>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</si>
  <si>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</si>
  <si>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</si>
  <si>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</si>
  <si>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</si>
  <si>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</si>
  <si>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</si>
  <si>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</si>
  <si>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</si>
  <si>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</si>
  <si>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</si>
  <si>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</si>
  <si>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</si>
  <si>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</si>
  <si>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</si>
  <si>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</si>
  <si>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</si>
  <si>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</si>
  <si>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</si>
  <si>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</si>
  <si>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</si>
  <si>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</si>
  <si>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</si>
  <si>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</si>
  <si>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</si>
  <si>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</si>
  <si>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</si>
  <si>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</si>
  <si>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</si>
  <si>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</si>
  <si>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</si>
  <si>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</si>
  <si>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</si>
  <si>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</si>
  <si>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</si>
  <si>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</si>
  <si>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</si>
  <si>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</si>
  <si>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</si>
  <si>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</si>
  <si>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</si>
  <si>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</si>
  <si>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</si>
  <si>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</si>
  <si>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</si>
  <si>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</si>
  <si>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</si>
  <si>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</si>
  <si>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</si>
  <si>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</si>
  <si>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</si>
  <si>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</si>
  <si>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</si>
  <si>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</si>
  <si>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</si>
  <si>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</si>
  <si>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</si>
  <si>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</si>
  <si>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</si>
  <si>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</si>
  <si>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</si>
  <si>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</si>
  <si>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</si>
  <si>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</si>
  <si>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</si>
  <si>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</si>
  <si>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</si>
  <si>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7300 N 71st Ave</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</si>
  <si>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</si>
  <si>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</si>
  <si>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</si>
  <si>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</si>
  <si>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</si>
  <si>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</si>
  <si>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</si>
  <si>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</si>
  <si>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</si>
  <si>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</si>
  <si>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</si>
  <si>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</si>
  <si>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</si>
  <si>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</si>
  <si>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</si>
  <si>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</si>
  <si>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</si>
  <si>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</si>
  <si>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</si>
  <si>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</si>
  <si>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</si>
  <si>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</si>
  <si>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</si>
  <si>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</si>
  <si>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</si>
  <si>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</si>
  <si>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</si>
  <si>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</si>
  <si>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</si>
  <si>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</si>
  <si>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</si>
  <si>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</si>
  <si>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</si>
  <si>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</si>
  <si>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</si>
  <si>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</si>
  <si>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</si>
  <si>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</si>
  <si>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</si>
  <si>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</si>
  <si>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</si>
  <si>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</si>
  <si>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</si>
  <si>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</si>
  <si>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</si>
  <si>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</si>
  <si>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</si>
  <si>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</si>
  <si>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</si>
  <si>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</si>
  <si>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</si>
  <si>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</si>
  <si>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</si>
  <si>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</si>
  <si>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</si>
  <si>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</si>
  <si>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</si>
  <si>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</si>
  <si>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</si>
  <si>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</si>
  <si>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</si>
  <si>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</si>
  <si>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</si>
  <si>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</si>
  <si>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</si>
  <si>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</si>
  <si>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</si>
  <si>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</si>
  <si>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</si>
  <si>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</si>
  <si>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</si>
  <si>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</si>
  <si>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</si>
  <si>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</si>
  <si>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</si>
  <si>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</si>
  <si>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</si>
  <si>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</si>
  <si>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</si>
  <si>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</si>
  <si>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</si>
  <si>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</si>
  <si>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</si>
  <si>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</si>
  <si>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</si>
  <si>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</si>
  <si>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</si>
  <si>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</si>
  <si>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</si>
  <si>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</si>
  <si>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</si>
  <si>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</si>
  <si>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</si>
  <si>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</si>
  <si>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</si>
  <si>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</si>
  <si>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</si>
  <si>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</si>
  <si>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</si>
  <si>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</si>
  <si>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</si>
  <si>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</si>
  <si>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</si>
  <si>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</si>
  <si>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</si>
  <si>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</si>
  <si>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</si>
  <si>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</si>
  <si>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</si>
  <si>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</si>
  <si>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</si>
  <si>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</si>
  <si>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</si>
  <si>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</si>
  <si>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</si>
  <si>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</si>
  <si>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</si>
  <si>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</si>
  <si>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</si>
  <si>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</si>
  <si>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</si>
  <si>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</si>
  <si>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</si>
  <si>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</si>
  <si>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</si>
  <si>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</si>
  <si>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</si>
  <si>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</si>
  <si>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</si>
  <si>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</si>
  <si>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</si>
  <si>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</si>
  <si>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</si>
  <si>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</si>
  <si>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</si>
  <si>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</si>
  <si>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</si>
  <si>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</si>
  <si>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2300 East 21st Street</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</si>
  <si>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</si>
  <si>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</si>
  <si>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</si>
  <si>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</si>
  <si>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</si>
  <si>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</si>
  <si>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</si>
  <si>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</si>
  <si>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</si>
  <si>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</si>
  <si>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</si>
  <si>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</si>
  <si>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</si>
  <si>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</si>
  <si>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</si>
  <si>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</si>
  <si>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</si>
  <si>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</si>
  <si>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</si>
  <si>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</si>
  <si>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</si>
  <si>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</si>
  <si>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</si>
  <si>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</si>
  <si>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</si>
  <si>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300 Grant Circle</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</si>
  <si>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</si>
  <si>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</si>
  <si>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</si>
  <si>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</si>
  <si>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</si>
  <si>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</si>
  <si>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</si>
  <si>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</si>
  <si>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</si>
  <si>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</si>
  <si>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</si>
  <si>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</si>
  <si>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</si>
  <si>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</si>
  <si>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</si>
  <si>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</si>
  <si>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</si>
  <si>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</si>
  <si>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</si>
  <si>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</si>
  <si>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</si>
  <si>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6200 Paramount Avenue</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</si>
  <si>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</si>
  <si>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</si>
  <si>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</si>
  <si>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</si>
  <si>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</si>
  <si>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</si>
  <si>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</si>
  <si>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</si>
  <si>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</si>
  <si>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</si>
  <si>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</si>
  <si>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</si>
  <si>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</si>
  <si>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</si>
  <si>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</si>
  <si>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</si>
  <si>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</si>
  <si>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</si>
  <si>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</si>
  <si>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</si>
  <si>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</si>
  <si>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</si>
  <si>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</si>
  <si>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</si>
  <si>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</si>
  <si>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</si>
  <si>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</si>
  <si>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</si>
  <si>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</si>
  <si>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</si>
  <si>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</si>
  <si>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</si>
  <si>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</si>
  <si>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</si>
  <si>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</si>
  <si>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</si>
  <si>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</si>
  <si>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</si>
  <si>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</si>
  <si>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</si>
  <si>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2800 99th Avenue NE</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</si>
  <si>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</si>
  <si>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</si>
  <si>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</si>
  <si>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</si>
  <si>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</si>
  <si>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</si>
  <si>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</si>
  <si>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</si>
  <si>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</si>
  <si>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</si>
  <si>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</si>
  <si>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</si>
  <si>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</si>
  <si>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</si>
  <si>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</si>
  <si>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</si>
  <si>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</si>
  <si>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</si>
  <si>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</si>
  <si>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</si>
  <si>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</si>
  <si>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</si>
  <si>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</si>
  <si>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</si>
  <si>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</si>
  <si>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</si>
  <si>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</si>
  <si>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</si>
  <si>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</si>
  <si>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</si>
  <si>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</si>
  <si>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</si>
  <si>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</si>
  <si>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</si>
  <si>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</si>
  <si>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</si>
  <si>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</si>
  <si>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</si>
  <si>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</si>
  <si>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</si>
  <si>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</si>
  <si>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</si>
  <si>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</si>
  <si>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</si>
  <si>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</si>
  <si>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</si>
  <si>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</si>
  <si>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</si>
  <si>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</si>
  <si>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</si>
  <si>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</si>
  <si>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</si>
  <si>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</si>
  <si>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</si>
  <si>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</si>
  <si>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</si>
  <si>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</si>
  <si>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</si>
  <si>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</si>
  <si>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</si>
  <si>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</si>
  <si>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</si>
  <si>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</si>
  <si>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</si>
  <si>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</si>
  <si>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</si>
  <si>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</si>
  <si>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</si>
  <si>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</si>
  <si>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</si>
  <si>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</si>
  <si>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</si>
  <si>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</si>
  <si>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</si>
  <si>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</si>
  <si>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</si>
  <si>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</si>
  <si>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</si>
  <si>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</si>
  <si>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</si>
  <si>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</si>
  <si>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</si>
  <si>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</si>
  <si>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</si>
  <si>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</si>
  <si>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</si>
  <si>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</si>
  <si>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</si>
  <si>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</si>
  <si>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</si>
  <si>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</si>
  <si>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</si>
  <si>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</si>
  <si>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</si>
  <si>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</si>
  <si>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</si>
  <si>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</si>
  <si>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</si>
  <si>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</si>
  <si>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</si>
  <si>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</si>
  <si>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</si>
  <si>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</si>
  <si>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</si>
  <si>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</si>
  <si>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</si>
  <si>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</si>
  <si>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</si>
  <si>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</si>
  <si>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</si>
  <si>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</si>
  <si>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</si>
  <si>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</si>
  <si>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</si>
  <si>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</si>
  <si>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</si>
  <si>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</si>
  <si>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</si>
  <si>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</si>
  <si>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</si>
  <si>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</si>
  <si>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</si>
  <si>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</si>
  <si>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</si>
  <si>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</si>
  <si>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</si>
  <si>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</si>
  <si>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</si>
  <si>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</si>
  <si>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</si>
  <si>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</si>
  <si>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</si>
  <si>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</si>
  <si>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</si>
  <si>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</si>
  <si>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</si>
  <si>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</si>
  <si>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</si>
  <si>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</si>
  <si>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</si>
  <si>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</si>
  <si>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</si>
  <si>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</si>
  <si>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</si>
  <si>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</si>
  <si>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</si>
  <si>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</si>
  <si>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</si>
  <si>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</si>
  <si>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</si>
  <si>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</si>
  <si>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</si>
  <si>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</si>
  <si>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</si>
  <si>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</si>
  <si>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</si>
  <si>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</si>
  <si>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</si>
  <si>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</si>
  <si>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</si>
  <si>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</si>
  <si>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</si>
  <si>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</si>
  <si>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</si>
  <si>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</si>
  <si>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</si>
  <si>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</si>
  <si>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</si>
  <si>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</si>
  <si>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</si>
  <si>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</si>
  <si>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</si>
  <si>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</si>
  <si>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</si>
  <si>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</si>
  <si>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</si>
  <si>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</si>
  <si>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</si>
  <si>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</si>
  <si>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</si>
  <si>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</si>
  <si>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</si>
  <si>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</si>
  <si>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</si>
  <si>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</si>
  <si>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</si>
  <si>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</si>
  <si>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</si>
  <si>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</si>
  <si>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</si>
  <si>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</si>
  <si>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</si>
  <si>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</si>
  <si>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</si>
  <si>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</si>
  <si>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</si>
  <si>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</si>
  <si>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</si>
  <si>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</si>
  <si>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</si>
  <si>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</si>
  <si>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</si>
  <si>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</si>
  <si>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</si>
  <si>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</si>
  <si>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</si>
  <si>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</si>
  <si>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</si>
  <si>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</si>
  <si>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</si>
  <si>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</si>
  <si>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</si>
  <si>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</si>
  <si>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</si>
  <si>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</si>
  <si>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</si>
  <si>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</si>
  <si>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</si>
  <si>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</si>
  <si>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</si>
  <si>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</si>
  <si>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</si>
  <si>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</si>
  <si>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</si>
  <si>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</si>
  <si>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</si>
  <si>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</si>
  <si>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</si>
  <si>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</si>
  <si>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</si>
  <si>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</si>
  <si>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</si>
  <si>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</si>
  <si>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</si>
  <si>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</si>
  <si>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</si>
  <si>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</si>
  <si>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</si>
  <si>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</si>
  <si>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</si>
  <si>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</si>
  <si>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</si>
  <si>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</si>
  <si>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</si>
  <si>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</si>
  <si>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</si>
  <si>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</si>
  <si>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</si>
  <si>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</si>
  <si>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</si>
  <si>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</si>
  <si>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</si>
  <si>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</si>
  <si>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</si>
  <si>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</si>
  <si>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</si>
  <si>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</si>
  <si>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</si>
  <si>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</si>
  <si>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</si>
  <si>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</si>
  <si>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</si>
  <si>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</si>
  <si>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</si>
  <si>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</si>
  <si>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</si>
  <si>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</si>
  <si>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</si>
  <si>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</si>
  <si>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</si>
  <si>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</si>
  <si>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</si>
  <si>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</si>
  <si>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</si>
  <si>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</si>
  <si>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</si>
  <si>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</si>
  <si>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</si>
  <si>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</si>
  <si>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</si>
  <si>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</si>
  <si>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</si>
  <si>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</si>
  <si>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</si>
  <si>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</si>
  <si>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</si>
  <si>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</si>
  <si>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</si>
  <si>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</si>
  <si>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</si>
  <si>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</si>
  <si>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</si>
  <si>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</si>
  <si>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</si>
  <si>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</si>
  <si>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</si>
  <si>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</si>
  <si>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</si>
  <si>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</si>
  <si>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</si>
  <si>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</si>
  <si>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</si>
  <si>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</si>
  <si>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</si>
  <si>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</si>
  <si>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</si>
  <si>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</si>
  <si>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</si>
  <si>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</si>
  <si>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</si>
  <si>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</si>
  <si>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</si>
  <si>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</si>
  <si>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</si>
  <si>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</si>
  <si>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Black-White Dissimilarity (2010)</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</si>
  <si>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</si>
  <si>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</si>
  <si>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</si>
  <si>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</si>
  <si>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</si>
  <si>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</si>
  <si>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</si>
  <si>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</si>
  <si>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</si>
  <si>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</si>
  <si>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</si>
  <si>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</si>
  <si>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</si>
  <si>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</si>
  <si>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</si>
  <si>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</si>
  <si>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</si>
  <si>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</si>
  <si>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</si>
  <si>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</si>
  <si>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</si>
  <si>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</si>
  <si>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</si>
  <si>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</si>
  <si>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</si>
  <si>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</si>
  <si>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</si>
  <si>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</si>
  <si>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</si>
  <si>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</si>
  <si>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</si>
  <si>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</si>
  <si>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</si>
  <si>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</si>
  <si>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</si>
  <si>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</si>
  <si>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</si>
  <si>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</si>
  <si>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</si>
  <si>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</si>
  <si>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</si>
  <si>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</si>
  <si>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</si>
  <si>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</si>
  <si>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</si>
  <si>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</si>
  <si>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</si>
  <si>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</si>
  <si>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</si>
  <si>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</si>
  <si>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</si>
  <si>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</si>
  <si>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</si>
  <si>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</si>
  <si>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</si>
  <si>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</si>
  <si>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</si>
  <si>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</si>
  <si>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</si>
  <si>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</si>
  <si>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</si>
  <si>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</si>
  <si>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</si>
  <si>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</si>
  <si>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</si>
  <si>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</si>
  <si>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</si>
  <si>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</si>
  <si>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</si>
  <si>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</si>
  <si>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</si>
  <si>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</si>
  <si>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</si>
  <si>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</si>
  <si>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</si>
  <si>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</si>
  <si>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</si>
  <si>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</si>
  <si>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</si>
  <si>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</si>
  <si>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</si>
  <si>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</si>
  <si>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</si>
  <si>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</si>
  <si>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</si>
  <si>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</si>
  <si>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</si>
  <si>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</si>
  <si>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</si>
  <si>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</si>
  <si>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</si>
  <si>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</si>
  <si>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</si>
  <si>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</si>
  <si>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</si>
  <si>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</si>
  <si>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</si>
  <si>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</si>
  <si>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</si>
  <si>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</si>
  <si>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</si>
  <si>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</si>
  <si>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</si>
  <si>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</si>
  <si>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</si>
  <si>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</si>
  <si>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</si>
  <si>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</si>
  <si>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</si>
  <si>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</si>
  <si>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</si>
  <si>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</si>
  <si>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</si>
  <si>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</si>
  <si>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</si>
  <si>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</si>
  <si>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</si>
  <si>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</si>
  <si>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</si>
  <si>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</si>
  <si>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</si>
  <si>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</si>
  <si>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</si>
  <si>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</si>
  <si>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</si>
  <si>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</si>
  <si>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</si>
  <si>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</si>
  <si>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</si>
  <si>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</si>
  <si>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</si>
  <si>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</si>
  <si>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</si>
  <si>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</si>
  <si>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</si>
  <si>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</si>
  <si>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</si>
  <si>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</si>
  <si>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</si>
  <si>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</si>
  <si>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</si>
  <si>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</si>
  <si>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</si>
  <si>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</si>
  <si>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</si>
  <si>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</si>
  <si>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</si>
  <si>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</si>
  <si>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</si>
  <si>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</si>
  <si>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</si>
  <si>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</si>
  <si>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</si>
  <si>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</si>
  <si>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</si>
  <si>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</si>
  <si>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</si>
  <si>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</si>
  <si>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</si>
  <si>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</si>
  <si>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</si>
  <si>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</si>
  <si>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</si>
  <si>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</si>
  <si>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</si>
  <si>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</si>
  <si>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</si>
  <si>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</si>
  <si>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</si>
  <si>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</si>
  <si>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</si>
  <si>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</si>
  <si>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</si>
  <si>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</si>
  <si>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</si>
  <si>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</si>
  <si>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</si>
  <si>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</si>
  <si>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</si>
  <si>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</si>
  <si>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</si>
  <si>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</si>
  <si>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</si>
  <si>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</si>
  <si>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</si>
  <si>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</si>
  <si>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</si>
  <si>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</si>
  <si>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</si>
  <si>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</si>
  <si>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</si>
  <si>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</si>
  <si>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</si>
  <si>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</si>
  <si>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</si>
  <si>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</si>
  <si>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</si>
  <si>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</si>
  <si>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</si>
  <si>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</si>
  <si>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</si>
  <si>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</si>
  <si>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</si>
  <si>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</si>
  <si>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</si>
  <si>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</si>
  <si>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</si>
  <si>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</si>
  <si>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</si>
  <si>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</si>
  <si>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</si>
  <si>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</si>
  <si>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</si>
  <si>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</si>
  <si>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</si>
  <si>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</si>
  <si>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</si>
  <si>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</si>
  <si>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</si>
  <si>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</si>
  <si>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</si>
  <si>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</si>
  <si>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</si>
  <si>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</si>
  <si>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</si>
  <si>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</si>
  <si>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</si>
  <si>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</si>
  <si>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</si>
  <si>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</si>
  <si>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</si>
  <si>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</si>
  <si>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</si>
  <si>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</si>
  <si>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</si>
  <si>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</si>
  <si>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</si>
  <si>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</si>
  <si>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</si>
  <si>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</si>
  <si>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</si>
  <si>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</si>
  <si>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</si>
  <si>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</si>
  <si>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</si>
  <si>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</si>
  <si>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</si>
  <si>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</si>
  <si>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</si>
  <si>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</si>
  <si>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</si>
  <si>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</si>
  <si>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</si>
  <si>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</si>
  <si>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</si>
  <si>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</si>
  <si>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</si>
  <si>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</si>
  <si>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</si>
  <si>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</si>
  <si>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</si>
  <si>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</si>
  <si>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</si>
  <si>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</si>
  <si>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</si>
  <si>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</si>
  <si>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</si>
  <si>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</si>
  <si>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</si>
  <si>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</si>
  <si>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</si>
  <si>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</si>
  <si>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</si>
  <si>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</si>
  <si>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</si>
  <si>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</si>
  <si>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</si>
  <si>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</si>
  <si>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</si>
  <si>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</si>
  <si>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</si>
  <si>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</si>
  <si>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</si>
  <si>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</si>
  <si>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</si>
  <si>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</si>
  <si>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</si>
  <si>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</si>
  <si>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</si>
  <si>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</si>
  <si>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</si>
  <si>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</si>
  <si>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</si>
  <si>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</si>
  <si>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</si>
  <si>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</si>
  <si>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</si>
  <si>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</si>
  <si>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</si>
  <si>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</si>
  <si>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</si>
  <si>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</si>
  <si>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</si>
  <si>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</si>
  <si>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</si>
  <si>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</si>
  <si>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</si>
  <si>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</si>
  <si>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</si>
  <si>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</si>
  <si>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</si>
  <si>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</si>
  <si>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</si>
  <si>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</si>
  <si>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</si>
  <si>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</si>
  <si>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</si>
  <si>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</si>
  <si>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</si>
  <si>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</si>
  <si>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</si>
  <si>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</si>
  <si>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</si>
  <si>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</si>
  <si>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</si>
  <si>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</si>
  <si>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</si>
  <si>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</si>
  <si>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</si>
  <si>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</si>
  <si>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</si>
  <si>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</si>
  <si>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</si>
  <si>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</si>
  <si>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</si>
  <si>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</si>
  <si>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</si>
  <si>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</si>
  <si>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</si>
  <si>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</si>
  <si>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</si>
  <si>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</si>
  <si>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</si>
  <si>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</si>
  <si>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</si>
  <si>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</si>
  <si>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</si>
  <si>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</si>
  <si>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</si>
  <si>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</si>
  <si>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</si>
  <si>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</si>
  <si>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</si>
  <si>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</si>
  <si>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</si>
  <si>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</si>
  <si>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</si>
  <si>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</si>
  <si>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</si>
  <si>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</si>
  <si>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</si>
  <si>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</si>
  <si>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</si>
  <si>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</si>
  <si>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</si>
  <si>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</si>
  <si>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</si>
  <si>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</si>
  <si>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</si>
  <si>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</si>
  <si>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</si>
  <si>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</si>
  <si>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</si>
  <si>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</si>
  <si>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</si>
  <si>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</si>
  <si>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</si>
  <si>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</si>
  <si>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</si>
  <si>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</si>
  <si>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</si>
  <si>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</si>
  <si>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</si>
  <si>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</si>
  <si>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</si>
  <si>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</si>
  <si>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</si>
  <si>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</si>
  <si>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</si>
  <si>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</si>
  <si>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</si>
  <si>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</si>
  <si>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</si>
  <si>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</si>
  <si>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</si>
  <si>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</si>
  <si>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</si>
  <si>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</si>
  <si>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</si>
  <si>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</si>
  <si>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</si>
  <si>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</si>
  <si>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</si>
  <si>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</si>
  <si>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</si>
  <si>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</si>
  <si>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</si>
  <si>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</si>
  <si>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</si>
  <si>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</si>
  <si>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</si>
  <si>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</si>
  <si>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</si>
  <si>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</si>
  <si>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</si>
  <si>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</si>
  <si>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</si>
  <si>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</si>
  <si>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</si>
  <si>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</si>
  <si>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</si>
  <si>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</si>
  <si>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</si>
  <si>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</si>
  <si>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</si>
  <si>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</si>
  <si>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</si>
  <si>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</si>
  <si>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</si>
  <si>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</si>
  <si>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</si>
  <si>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</si>
  <si>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</si>
  <si>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</si>
  <si>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</si>
  <si>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</si>
  <si>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</si>
  <si>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</si>
  <si>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</si>
  <si>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</si>
  <si>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</si>
  <si>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</si>
  <si>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</si>
  <si>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</si>
  <si>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</si>
  <si>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</si>
  <si>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</si>
  <si>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</si>
  <si>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</si>
  <si>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</si>
  <si>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</si>
  <si>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</si>
  <si>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</si>
  <si>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</si>
  <si>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</si>
  <si>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</si>
  <si>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</si>
  <si>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</si>
  <si>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</si>
  <si>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</si>
  <si>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</si>
  <si>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</si>
  <si>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</si>
  <si>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</si>
  <si>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</si>
  <si>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</si>
  <si>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</si>
  <si>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</si>
  <si>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</si>
  <si>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</si>
  <si>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</si>
  <si>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</si>
  <si>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</si>
  <si>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</si>
  <si>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</si>
  <si>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</si>
  <si>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</si>
  <si>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</si>
  <si>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</si>
  <si>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</si>
  <si>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</si>
  <si>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</si>
  <si>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</si>
  <si>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</si>
  <si>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</si>
  <si>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</si>
  <si>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</si>
  <si>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</si>
  <si>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</si>
  <si>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</si>
  <si>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</si>
  <si>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</si>
  <si>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</si>
  <si>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</si>
  <si>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</si>
  <si>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</si>
  <si>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</si>
  <si>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</si>
  <si>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</si>
  <si>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</si>
  <si>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</si>
  <si>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</si>
  <si>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</si>
  <si>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</si>
  <si>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</si>
  <si>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</si>
  <si>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</si>
  <si>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</si>
  <si>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</si>
  <si>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</si>
  <si>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</si>
  <si>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</si>
  <si>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</si>
  <si>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</si>
  <si>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</si>
  <si>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</si>
  <si>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</si>
  <si>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</si>
  <si>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</si>
  <si>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</si>
  <si>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</si>
  <si>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</si>
  <si>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</si>
  <si>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</si>
  <si>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</si>
  <si>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</si>
  <si>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</si>
  <si>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</si>
  <si>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</si>
  <si>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</si>
  <si>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</si>
  <si>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</si>
  <si>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</si>
  <si>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</si>
  <si>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</si>
  <si>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</si>
  <si>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</si>
  <si>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</si>
  <si>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</si>
  <si>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</si>
  <si>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</si>
  <si>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</si>
  <si>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</si>
  <si>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</si>
  <si>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</si>
  <si>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</si>
  <si>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</si>
  <si>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</si>
  <si>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</si>
  <si>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</si>
  <si>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</si>
  <si>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</si>
  <si>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</si>
  <si>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</si>
  <si>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</si>
  <si>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</si>
  <si>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</si>
  <si>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</si>
  <si>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</si>
  <si>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</si>
  <si>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Fred Barlow</t>
  </si>
  <si>
    <t>500 Union Avenue</t>
  </si>
  <si>
    <t>Barlow fought with police both before and after he was taken to the jail. Police said he had an unidentified medical emergency. Media reports don't state categorically whether he was booked, so this incident may be outside of FatalEncounters dataset, which does not include individuals after they've been booked into the detention system.</t>
  </si>
  <si>
    <t>http://www.thereporter.com/general-news/20160812/fairfield-man-dies-after-struggle-in-solano-county-jail</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</si>
  <si>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</si>
  <si>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</si>
  <si>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</si>
  <si>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</si>
  <si>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</si>
  <si>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</si>
  <si>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</si>
  <si>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</si>
  <si>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</si>
  <si>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</si>
  <si>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</si>
  <si>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</si>
  <si>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</si>
  <si>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</si>
  <si>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</si>
  <si>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</si>
  <si>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</si>
  <si>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</si>
  <si>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</si>
  <si>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</si>
  <si>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</si>
  <si>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</si>
  <si>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</si>
  <si>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</si>
  <si>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</si>
  <si>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</si>
  <si>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</si>
  <si>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</si>
  <si>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</si>
  <si>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</si>
  <si>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</si>
  <si>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</si>
  <si>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</si>
  <si>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</si>
  <si>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</si>
  <si>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</si>
  <si>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</si>
  <si>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</si>
  <si>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</si>
  <si>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</si>
  <si>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</si>
  <si>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</si>
  <si>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</si>
  <si>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</si>
  <si>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</si>
  <si>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</si>
  <si>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</si>
  <si>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</si>
  <si>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</si>
  <si>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</si>
  <si>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</si>
  <si>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</si>
  <si>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</si>
  <si>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</si>
  <si>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</si>
  <si>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</si>
  <si>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</si>
  <si>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</si>
  <si>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</si>
  <si>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</si>
  <si>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</si>
  <si>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</si>
  <si>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</si>
  <si>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</si>
  <si>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</si>
  <si>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</si>
  <si>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</si>
  <si>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</si>
  <si>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</si>
  <si>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</si>
  <si>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</si>
  <si>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</si>
  <si>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</si>
  <si>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</si>
  <si>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</si>
  <si>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</si>
  <si>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</si>
  <si>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</si>
  <si>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</si>
  <si>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</si>
  <si>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</si>
  <si>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</si>
  <si>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</si>
  <si>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</si>
  <si>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</si>
  <si>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</si>
  <si>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Joel Huerta</t>
  </si>
  <si>
    <t>http://www.fatalencounters.org/wp-content/uploads/2013/10/Joel-Huerta.jpg</t>
  </si>
  <si>
    <t>4436 Calle Real</t>
  </si>
  <si>
    <t>93110</t>
  </si>
  <si>
    <t>Santa Barbara County Sheriff's Office</t>
  </si>
  <si>
    <t>Huerta was arrested on suspicion of being under the influence of drugs. He was restrained and taken to the County Jail "due to his level of impairment," police said. Jail medical staff attempted to assess Huerta, but he refused to answer questions. Huerta was taken to a cell for observation and had his restraints removed. He became unresponsive almost immediately and died. Media reports don't state categorically whether he was booked, so this incident may be outside of FatalEncounters dataset, which does not include individuals after they've been booked into the detention system.</t>
  </si>
  <si>
    <t>https://www.noozhawk.com/article/man_dies_in_sheriff_custody_at_santa_barbara_county_jail</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</si>
  <si>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</si>
  <si>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</si>
  <si>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</si>
  <si>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</si>
  <si>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</si>
  <si>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</si>
  <si>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</si>
  <si>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</si>
  <si>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</si>
  <si>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</si>
  <si>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</si>
  <si>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</si>
  <si>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</si>
  <si>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</si>
  <si>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</si>
  <si>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</si>
  <si>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</si>
  <si>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</si>
  <si>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</si>
  <si>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</si>
  <si>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</si>
  <si>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</si>
  <si>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</si>
  <si>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</si>
  <si>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</si>
  <si>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</si>
  <si>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</si>
  <si>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</si>
  <si>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</si>
  <si>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</si>
  <si>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</si>
  <si>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</si>
  <si>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</si>
  <si>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</si>
  <si>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</si>
  <si>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</si>
  <si>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</si>
  <si>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</si>
  <si>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</si>
  <si>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</si>
  <si>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</si>
  <si>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</si>
  <si>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</si>
  <si>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</si>
  <si>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</si>
  <si>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</si>
  <si>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</si>
  <si>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</si>
  <si>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</si>
  <si>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</si>
  <si>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</si>
  <si>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</si>
  <si>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</si>
  <si>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</si>
  <si>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</si>
  <si>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</si>
  <si>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</si>
  <si>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</si>
  <si>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</si>
  <si>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</si>
  <si>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</si>
  <si>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</si>
  <si>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</si>
  <si>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</si>
  <si>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</si>
  <si>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</si>
  <si>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</si>
  <si>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</si>
  <si>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</si>
  <si>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</si>
  <si>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</si>
  <si>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</si>
  <si>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</si>
  <si>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</si>
  <si>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</si>
  <si>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</si>
  <si>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</si>
  <si>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</si>
  <si>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</si>
  <si>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</si>
  <si>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</si>
  <si>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</si>
  <si>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</si>
  <si>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</si>
  <si>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</si>
  <si>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</si>
  <si>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</si>
  <si>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</si>
  <si>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</si>
  <si>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</si>
  <si>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</si>
  <si>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</si>
  <si>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</si>
  <si>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</si>
  <si>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</si>
  <si>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</si>
  <si>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</si>
  <si>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</si>
  <si>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</si>
  <si>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</si>
  <si>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</si>
  <si>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</si>
  <si>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</si>
  <si>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</si>
  <si>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</si>
  <si>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</si>
  <si>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</si>
  <si>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</si>
  <si>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</si>
  <si>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</si>
  <si>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</si>
  <si>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</si>
  <si>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</si>
  <si>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</si>
  <si>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</si>
  <si>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</si>
  <si>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</si>
  <si>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</si>
  <si>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</si>
  <si>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</si>
  <si>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</si>
  <si>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</si>
  <si>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</si>
  <si>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</si>
  <si>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</si>
  <si>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</si>
  <si>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</si>
  <si>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</si>
  <si>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</si>
  <si>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</si>
  <si>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</si>
  <si>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</si>
  <si>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</si>
  <si>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</si>
  <si>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</si>
  <si>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</si>
  <si>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</si>
  <si>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</si>
  <si>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</si>
  <si>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</si>
  <si>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</si>
  <si>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</si>
  <si>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</si>
  <si>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</si>
  <si>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</si>
  <si>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</si>
  <si>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</si>
  <si>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</si>
  <si>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</si>
  <si>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</si>
  <si>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</si>
  <si>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</si>
  <si>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</si>
  <si>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</si>
  <si>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</si>
  <si>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Jason Earl Armstrong Jr</t>
  </si>
  <si>
    <t>http://static-32.sinclairstoryline.com/resources/media/55a34485-530c-4397-8d03-4f25dc714ede-large16x9_JasonEarlArmstrong.png?1469711494265</t>
  </si>
  <si>
    <t>35th Avenue and Indian School Road</t>
  </si>
  <si>
    <t>85019</t>
  </si>
  <si>
    <t>Armstrong was wanted for killing his wife. He was found dead after a standoff.</t>
  </si>
  <si>
    <t>http://bakersfieldnow.com/news/nation-world/fbi-suspect-wanted-for-murder-of-soldier-wife-at-fort-bragg-found-dead-after-standoff</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</si>
  <si>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</si>
  <si>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</si>
  <si>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</si>
  <si>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</si>
  <si>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</si>
  <si>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</si>
  <si>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</si>
  <si>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</si>
  <si>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</si>
  <si>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</si>
  <si>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</si>
  <si>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</si>
  <si>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</si>
  <si>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</si>
  <si>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</si>
  <si>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</si>
  <si>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</si>
  <si>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</si>
  <si>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</si>
  <si>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</si>
  <si>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</si>
  <si>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</si>
  <si>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</si>
  <si>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</si>
  <si>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</si>
  <si>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</si>
  <si>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</si>
  <si>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</si>
  <si>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</si>
  <si>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</si>
  <si>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</si>
  <si>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</si>
  <si>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</si>
  <si>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</si>
  <si>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</si>
  <si>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</si>
  <si>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</si>
  <si>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</si>
  <si>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</si>
  <si>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</si>
  <si>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</si>
  <si>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</si>
  <si>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</si>
  <si>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</si>
  <si>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</si>
  <si>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</si>
  <si>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</si>
  <si>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</si>
  <si>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</si>
  <si>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</si>
  <si>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</si>
  <si>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</si>
  <si>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</si>
  <si>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</si>
  <si>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</si>
  <si>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</si>
  <si>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</si>
  <si>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</si>
  <si>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</si>
  <si>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</si>
  <si>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</si>
  <si>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</si>
  <si>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</si>
  <si>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</si>
  <si>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</si>
  <si>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</si>
  <si>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</si>
  <si>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</si>
  <si>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</si>
  <si>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</si>
  <si>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</si>
  <si>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</si>
  <si>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</si>
  <si>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</si>
  <si>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</si>
  <si>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</si>
  <si>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</si>
  <si>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</si>
  <si>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</si>
  <si>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</si>
  <si>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</si>
  <si>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</si>
  <si>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</si>
  <si>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</si>
  <si>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</si>
  <si>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</si>
  <si>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</si>
  <si>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</si>
  <si>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</si>
  <si>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</si>
  <si>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</si>
  <si>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</si>
  <si>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</si>
  <si>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</si>
  <si>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</si>
  <si>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</si>
  <si>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</si>
  <si>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</si>
  <si>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</si>
  <si>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</si>
  <si>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</si>
  <si>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</si>
  <si>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</si>
  <si>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</si>
  <si>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</si>
  <si>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</si>
  <si>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</si>
  <si>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</si>
  <si>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</si>
  <si>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</si>
  <si>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</si>
  <si>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</si>
  <si>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</si>
  <si>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</si>
  <si>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</si>
  <si>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</si>
  <si>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</si>
  <si>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</si>
  <si>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</si>
  <si>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</si>
  <si>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</si>
  <si>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</si>
  <si>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</si>
  <si>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</si>
  <si>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</si>
  <si>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</si>
  <si>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</si>
  <si>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</si>
  <si>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</si>
  <si>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</si>
  <si>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</si>
  <si>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</si>
  <si>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</si>
  <si>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</si>
  <si>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</si>
  <si>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</si>
  <si>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</si>
  <si>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</si>
  <si>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</si>
  <si>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</si>
  <si>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</si>
  <si>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</si>
  <si>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</si>
  <si>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</si>
  <si>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</si>
  <si>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</si>
  <si>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</si>
  <si>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</si>
  <si>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</si>
  <si>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</si>
  <si>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</si>
  <si>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</si>
  <si>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</si>
  <si>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</si>
  <si>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</si>
  <si>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</si>
  <si>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</si>
  <si>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</si>
  <si>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</si>
  <si>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</si>
  <si>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</si>
  <si>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</si>
  <si>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</si>
  <si>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</si>
  <si>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</si>
  <si>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</si>
  <si>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</si>
  <si>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</si>
  <si>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</si>
  <si>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</si>
  <si>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</si>
  <si>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</si>
  <si>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</si>
  <si>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</si>
  <si>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</si>
  <si>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</si>
  <si>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</si>
  <si>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</si>
  <si>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</si>
  <si>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</si>
  <si>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</si>
  <si>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</si>
  <si>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</si>
  <si>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</si>
  <si>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</si>
  <si>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</si>
  <si>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</si>
  <si>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</si>
  <si>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</si>
  <si>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</si>
  <si>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</si>
  <si>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</si>
  <si>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</si>
  <si>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</si>
  <si>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</si>
  <si>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</si>
  <si>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</si>
  <si>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</si>
  <si>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</si>
  <si>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</si>
  <si>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</si>
  <si>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</si>
  <si>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</si>
  <si>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</si>
  <si>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</si>
  <si>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</si>
  <si>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</si>
  <si>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</si>
  <si>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</si>
  <si>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</si>
  <si>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</si>
  <si>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</si>
  <si>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</si>
  <si>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</si>
  <si>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</si>
  <si>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</si>
  <si>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</si>
  <si>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</si>
  <si>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</si>
  <si>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</si>
  <si>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</si>
  <si>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</si>
  <si>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</si>
  <si>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</si>
  <si>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</si>
  <si>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</si>
  <si>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</si>
  <si>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</si>
  <si>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</si>
  <si>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</si>
  <si>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</si>
  <si>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</si>
  <si>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</si>
  <si>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</si>
  <si>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</si>
  <si>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</si>
  <si>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</si>
  <si>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</si>
  <si>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</si>
  <si>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</si>
  <si>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</si>
  <si>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</si>
  <si>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</si>
  <si>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</si>
  <si>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</si>
  <si>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</si>
  <si>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</si>
  <si>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</si>
  <si>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</si>
  <si>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</si>
  <si>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</si>
  <si>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</si>
  <si>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</si>
  <si>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</si>
  <si>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</si>
  <si>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</si>
  <si>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</si>
  <si>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</si>
  <si>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</si>
  <si>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</si>
  <si>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</si>
  <si>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</si>
  <si>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</si>
  <si>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</si>
  <si>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</si>
  <si>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</si>
  <si>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</si>
  <si>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</si>
  <si>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</si>
  <si>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</si>
  <si>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</si>
  <si>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</si>
  <si>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</si>
  <si>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</si>
  <si>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</si>
  <si>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</si>
  <si>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</si>
  <si>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</si>
  <si>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</si>
  <si>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</si>
  <si>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</si>
  <si>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</si>
  <si>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</si>
  <si>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</si>
  <si>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</si>
  <si>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</si>
  <si>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</si>
  <si>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</si>
  <si>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</si>
  <si>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</si>
  <si>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</si>
  <si>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</si>
  <si>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</si>
  <si>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</si>
  <si>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</si>
  <si>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</si>
  <si>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</si>
  <si>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</si>
  <si>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</si>
  <si>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</si>
  <si>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</si>
  <si>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</si>
  <si>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</si>
  <si>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</si>
  <si>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</si>
  <si>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</si>
  <si>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</si>
  <si>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</si>
  <si>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</si>
  <si>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</si>
  <si>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</si>
  <si>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</si>
  <si>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</si>
  <si>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</si>
  <si>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Big Cities</t>
  </si>
  <si>
    <t>Nationwide</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</si>
  <si>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</si>
  <si>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</si>
  <si>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</si>
  <si>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</si>
  <si>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</si>
  <si>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</si>
  <si>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</si>
  <si>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</si>
  <si>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</si>
  <si>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</si>
  <si>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</si>
  <si>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</si>
  <si>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</si>
  <si>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</si>
  <si>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</si>
  <si>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</si>
  <si>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</si>
  <si>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</si>
  <si>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</si>
  <si>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</si>
  <si>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</si>
  <si>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</si>
  <si>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</si>
  <si>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</si>
  <si>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</si>
  <si>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</si>
  <si>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</si>
  <si>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</si>
  <si>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</si>
  <si>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</si>
  <si>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</si>
  <si>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</si>
  <si>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</si>
  <si>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</si>
  <si>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</si>
  <si>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</si>
  <si>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</si>
  <si>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</si>
  <si>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</si>
  <si>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</si>
  <si>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</si>
  <si>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</si>
  <si>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</si>
  <si>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</si>
  <si>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</si>
  <si>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</si>
  <si>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</si>
  <si>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</si>
  <si>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</si>
  <si>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</si>
  <si>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</si>
  <si>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</si>
  <si>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</si>
  <si>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</si>
  <si>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</si>
  <si>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</si>
  <si>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</si>
  <si>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</si>
  <si>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</si>
  <si>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</si>
  <si>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</si>
  <si>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</si>
  <si>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</si>
  <si>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</si>
  <si>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</si>
  <si>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</si>
  <si>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</si>
  <si>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</si>
  <si>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</si>
  <si>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</si>
  <si>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</si>
  <si>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</si>
  <si>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</si>
  <si>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</si>
  <si>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</si>
  <si>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</si>
  <si>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</si>
  <si>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</si>
  <si>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</si>
  <si>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</si>
  <si>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</si>
  <si>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</si>
  <si>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</si>
  <si>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</si>
  <si>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</si>
  <si>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</si>
  <si>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</si>
  <si>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</si>
  <si>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</si>
  <si>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</si>
  <si>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</si>
  <si>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</si>
  <si>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</si>
  <si>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</si>
  <si>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</si>
  <si>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</si>
  <si>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</si>
  <si>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</si>
  <si>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</si>
  <si>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</si>
  <si>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</si>
  <si>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</si>
  <si>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</si>
  <si>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</si>
  <si>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</si>
  <si>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</si>
  <si>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</si>
  <si>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</si>
  <si>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</si>
  <si>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</si>
  <si>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</si>
  <si>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</si>
  <si>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</si>
  <si>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</si>
  <si>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</si>
  <si>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</si>
  <si>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</si>
  <si>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</si>
  <si>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</si>
  <si>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</si>
  <si>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</si>
  <si>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</si>
  <si>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</si>
  <si>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</si>
  <si>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</si>
  <si>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</si>
  <si>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</si>
  <si>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</si>
  <si>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</si>
  <si>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</si>
  <si>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</si>
  <si>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</si>
  <si>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</si>
  <si>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</si>
  <si>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</si>
  <si>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</si>
  <si>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</si>
  <si>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</si>
  <si>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</si>
  <si>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</si>
  <si>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</si>
  <si>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</si>
  <si>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</si>
  <si>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</si>
  <si>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</si>
  <si>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</si>
  <si>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</si>
  <si>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</si>
  <si>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</si>
  <si>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</si>
  <si>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</si>
  <si>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</si>
  <si>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</si>
  <si>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</si>
  <si>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</si>
  <si>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</si>
  <si>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</si>
  <si>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</si>
  <si>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</si>
  <si>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</si>
  <si>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</si>
  <si>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</si>
  <si>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</si>
  <si>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</si>
  <si>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</si>
  <si>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</si>
  <si>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</si>
  <si>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</si>
  <si>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</si>
  <si>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</si>
  <si>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</si>
  <si>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</si>
  <si>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http://ak-cache.legacy.net/legacy/images/Cobrands/birmingham/Photos/photo_20160116_AL0080928_0_brent_20160116.jpg</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</si>
  <si>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</si>
  <si>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</si>
  <si>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</si>
  <si>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</si>
  <si>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</si>
  <si>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</si>
  <si>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</si>
  <si>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</si>
  <si>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</si>
  <si>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</si>
  <si>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</si>
  <si>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</si>
  <si>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</si>
  <si>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</si>
  <si>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https://scontent.xx.fbcdn.net/v/t1.0-9/12573940_822400831203582_5396196248554915447_n.jpg?oh=17047e30928a868cce74f2ea279f7f52&amp;oe=58729BF1</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</si>
  <si>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</si>
  <si>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</si>
  <si>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</si>
  <si>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</si>
  <si>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</si>
  <si>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</si>
  <si>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</si>
  <si>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</si>
  <si>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</si>
  <si>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</si>
  <si>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</si>
  <si>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</si>
  <si>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</si>
  <si>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</si>
  <si>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</si>
  <si>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</si>
  <si>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</si>
  <si>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</si>
  <si>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</si>
  <si>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</si>
  <si>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</si>
  <si>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</si>
  <si>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</si>
  <si>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</si>
  <si>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</si>
  <si>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</si>
  <si>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</si>
  <si>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</si>
  <si>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</si>
  <si>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</si>
  <si>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</si>
  <si>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</si>
  <si>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</si>
  <si>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</si>
  <si>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</si>
  <si>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</si>
  <si>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</si>
  <si>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</si>
  <si>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</si>
  <si>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</si>
  <si>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</si>
  <si>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</si>
  <si>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</si>
  <si>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</si>
  <si>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</si>
  <si>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</si>
  <si>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</si>
  <si>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</si>
  <si>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</si>
  <si>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</si>
  <si>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Antoine L. Ladeaux</t>
  </si>
  <si>
    <t>http://www.fatalencounters.org/wp-content/uploads/2013/10/Antoine-L.-Ladeaux.jpg</t>
  </si>
  <si>
    <t>NE-27 and 680th Road</t>
  </si>
  <si>
    <t>Sheridan</t>
  </si>
  <si>
    <t>http://www.ketv.com/news/highspeed-crash-leaves-1-dead-3-injured/41962164</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</si>
  <si>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</si>
  <si>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</si>
  <si>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</si>
  <si>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</si>
  <si>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</si>
  <si>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</si>
  <si>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</si>
  <si>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</si>
  <si>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</si>
  <si>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</si>
  <si>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</si>
  <si>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</si>
  <si>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</si>
  <si>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</si>
  <si>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</si>
  <si>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</si>
  <si>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</si>
  <si>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</si>
  <si>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</si>
  <si>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</si>
  <si>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</si>
  <si>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</si>
  <si>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</si>
  <si>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</si>
  <si>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</si>
  <si>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</si>
  <si>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</si>
  <si>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</si>
  <si>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</si>
  <si>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</si>
  <si>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</si>
  <si>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</si>
  <si>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</si>
  <si>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</si>
  <si>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</si>
  <si>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</si>
  <si>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</si>
  <si>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</si>
  <si>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</si>
  <si>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</si>
  <si>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</si>
  <si>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</si>
  <si>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</si>
  <si>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</si>
  <si>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</si>
  <si>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</si>
  <si>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</si>
  <si>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</si>
  <si>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</si>
  <si>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</si>
  <si>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</si>
  <si>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</si>
  <si>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</si>
  <si>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</si>
  <si>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</si>
  <si>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</si>
  <si>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</si>
  <si>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</si>
  <si>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</si>
  <si>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</si>
  <si>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</si>
  <si>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</si>
  <si>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</si>
  <si>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</si>
  <si>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</si>
  <si>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</si>
  <si>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</si>
  <si>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</si>
  <si>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</si>
  <si>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</si>
  <si>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</si>
  <si>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</si>
  <si>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</si>
  <si>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</si>
  <si>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</si>
  <si>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</si>
  <si>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</si>
  <si>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</si>
  <si>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</si>
  <si>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</si>
  <si>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</si>
  <si>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</si>
  <si>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</si>
  <si>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</si>
  <si>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</si>
  <si>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</si>
  <si>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</si>
  <si>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</si>
  <si>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</si>
  <si>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</si>
  <si>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</si>
  <si>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</si>
  <si>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</si>
  <si>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</si>
  <si>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</si>
  <si>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</si>
  <si>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</si>
  <si>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</si>
  <si>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</si>
  <si>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</si>
  <si>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</si>
  <si>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</si>
  <si>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Matthew John Vogel</t>
  </si>
  <si>
    <t>http://www.fatalencounters.org/wp-content/uploads/2013/10/MatthewVogel.jpg</t>
  </si>
  <si>
    <t>Co Rd 5 and West 131st Street</t>
  </si>
  <si>
    <t>Apple Valley Police Department, Burnsville Police Department</t>
  </si>
  <si>
    <t>Police said Matthew John Vogel, 22, was driving a Chevrolet Astro minivan pursued by Burnsville and Apple Valley police when he crashed into a Toyota SUV driven by Aida Leticia Sevilla Ocampo, 39, and killed them both.</t>
  </si>
  <si>
    <t>http://www.twincities.com/2016/10/12/driver-victim-in-fatal-police-chase-crash-in-burnsville-are-identified/</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</si>
  <si>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</si>
  <si>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</si>
  <si>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</si>
  <si>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</si>
  <si>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</si>
  <si>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</si>
  <si>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</si>
  <si>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</si>
  <si>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</si>
  <si>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</si>
  <si>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</si>
  <si>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</si>
  <si>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</si>
  <si>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</si>
  <si>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</si>
  <si>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</si>
  <si>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</si>
  <si>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</si>
  <si>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</si>
  <si>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</si>
  <si>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</si>
  <si>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</si>
  <si>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</si>
  <si>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</si>
  <si>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</si>
  <si>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</si>
  <si>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</si>
  <si>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</si>
  <si>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</si>
  <si>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</si>
  <si>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</si>
  <si>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</si>
  <si>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</si>
  <si>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</si>
  <si>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</si>
  <si>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</si>
  <si>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</si>
  <si>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</si>
  <si>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</si>
  <si>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</si>
  <si>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</si>
  <si>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</si>
  <si>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</si>
  <si>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</si>
  <si>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</si>
  <si>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</si>
  <si>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</si>
  <si>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</si>
  <si>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</si>
  <si>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</si>
  <si>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</si>
  <si>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</si>
  <si>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</si>
  <si>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</si>
  <si>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</si>
  <si>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</si>
  <si>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</si>
  <si>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</si>
  <si>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</si>
  <si>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</si>
  <si>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</si>
  <si>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</si>
  <si>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</si>
  <si>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</si>
  <si>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</si>
  <si>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</si>
  <si>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</si>
  <si>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</si>
  <si>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</si>
  <si>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</si>
  <si>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</si>
  <si>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</si>
  <si>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</si>
  <si>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</si>
  <si>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</si>
  <si>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</si>
  <si>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</si>
  <si>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</si>
  <si>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</si>
  <si>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</si>
  <si>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</si>
  <si>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</si>
  <si>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</si>
  <si>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</si>
  <si>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</si>
  <si>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</si>
  <si>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</si>
  <si>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</si>
  <si>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</si>
  <si>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</si>
  <si>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</si>
  <si>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</si>
  <si>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</si>
  <si>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</si>
  <si>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</si>
  <si>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</si>
  <si>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</si>
  <si>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</si>
  <si>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</si>
  <si>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</si>
  <si>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</si>
  <si>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</si>
  <si>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</si>
  <si>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</si>
  <si>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</si>
  <si>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</si>
  <si>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</si>
  <si>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</si>
  <si>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</si>
  <si>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</si>
  <si>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</si>
  <si>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</si>
  <si>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</si>
  <si>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</si>
  <si>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</si>
  <si>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</si>
  <si>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</si>
  <si>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</si>
  <si>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</si>
  <si>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</si>
  <si>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</si>
  <si>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</si>
  <si>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</si>
  <si>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</si>
  <si>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</si>
  <si>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</si>
  <si>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</si>
  <si>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</si>
  <si>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</si>
  <si>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</si>
  <si>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</si>
  <si>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</si>
  <si>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</si>
  <si>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</si>
  <si>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</si>
  <si>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</si>
  <si>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</si>
  <si>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</si>
  <si>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</si>
  <si>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</si>
  <si>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</si>
  <si>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</si>
  <si>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</si>
  <si>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</si>
  <si>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</si>
  <si>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</si>
  <si>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</si>
  <si>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</si>
  <si>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</si>
  <si>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</si>
  <si>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</si>
  <si>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</si>
  <si>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</si>
  <si>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</si>
  <si>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</si>
  <si>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</si>
  <si>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</si>
  <si>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</si>
  <si>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</si>
  <si>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</si>
  <si>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</si>
  <si>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</si>
  <si>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</si>
  <si>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</si>
  <si>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</si>
  <si>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</si>
  <si>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</si>
  <si>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</si>
  <si>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</si>
  <si>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</si>
  <si>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</si>
  <si>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</si>
  <si>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</si>
  <si>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</si>
  <si>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</si>
  <si>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Yshaneeta Magee</t>
  </si>
  <si>
    <t>Lone Star Road</t>
  </si>
  <si>
    <t>Collins</t>
  </si>
  <si>
    <t>Jefferson Davis County Sheriff's Office</t>
  </si>
  <si>
    <t>Yshaneeta Magee, 33, Jeremiah Barnes, 2, and Chiquita Barnes Flowers, 22, died when their Pontiac G6 ran off the road following a high-speed police chase and struck a tree on Lone Star Road in Covington County. Brandon Flowers was driving.</t>
  </si>
  <si>
    <t>http://www.clarionledger.com/story/news/2016/10/26/fatal-high-speed-police-chase/92772316/</t>
  </si>
  <si>
    <t>Jeremiah Barnes</t>
  </si>
  <si>
    <t>Chiquita Barnes Flowers</t>
  </si>
  <si>
    <t>http://www.fatalencounters.org/wp-content/uploads/2013/10/ChiquitaBarnes.jpg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</si>
  <si>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</si>
  <si>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</si>
  <si>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</si>
  <si>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</si>
  <si>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</si>
  <si>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</si>
  <si>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</si>
  <si>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</si>
  <si>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</si>
  <si>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</si>
  <si>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</si>
  <si>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</si>
  <si>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</si>
  <si>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</si>
  <si>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</si>
  <si>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</si>
  <si>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</si>
  <si>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</si>
  <si>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</si>
  <si>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</si>
  <si>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</si>
  <si>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</si>
  <si>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</si>
  <si>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</si>
  <si>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</si>
  <si>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</si>
  <si>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</si>
  <si>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</si>
  <si>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</si>
  <si>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</si>
  <si>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</si>
  <si>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</si>
  <si>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</si>
  <si>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</si>
  <si>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</si>
  <si>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</si>
  <si>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</si>
  <si>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</si>
  <si>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</si>
  <si>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</si>
  <si>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</si>
  <si>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</si>
  <si>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</si>
  <si>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</si>
  <si>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</si>
  <si>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</si>
  <si>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</si>
  <si>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</si>
  <si>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</si>
  <si>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</si>
  <si>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</si>
  <si>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</si>
  <si>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</si>
  <si>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</si>
  <si>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</si>
  <si>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</si>
  <si>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</si>
  <si>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</si>
  <si>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</si>
  <si>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</si>
  <si>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</si>
  <si>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</si>
  <si>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Rene Burrola</t>
  </si>
  <si>
    <t>http://www.fatalencounters.org/wp-content/uploads/2013/10/Rene-Burrola.jpg</t>
  </si>
  <si>
    <t>Blanco Road and Huebner Road</t>
  </si>
  <si>
    <t>Bexar County Police</t>
  </si>
  <si>
    <t>A county law enforcement officer, charged solely with providing bailiff services for justices of the peace and serving civil papers, had tried to stop Burrola for speeding and not having a visible license plate on his motorcycle. When he fled, the deputy chased him at speeds up to 100 mph. Burrola crashed and died.</t>
  </si>
  <si>
    <t>http://www.expressnews.com/news/news_columnists/brian_chasnoff/article/Chase-by-deputy-constable-causes-fatal-crash-10426104.php</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</si>
  <si>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</si>
  <si>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</si>
  <si>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</si>
  <si>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</si>
  <si>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</si>
  <si>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</si>
  <si>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</si>
  <si>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</si>
  <si>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</si>
  <si>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</si>
  <si>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</si>
  <si>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</si>
  <si>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</si>
  <si>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</si>
  <si>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</si>
  <si>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</si>
  <si>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</si>
  <si>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</si>
  <si>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</si>
  <si>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</si>
  <si>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</si>
  <si>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</si>
  <si>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</si>
  <si>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</si>
  <si>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</si>
  <si>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</si>
  <si>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</si>
  <si>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</si>
  <si>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</si>
  <si>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</si>
  <si>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</si>
  <si>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</si>
  <si>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</si>
  <si>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</si>
  <si>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</si>
  <si>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</si>
  <si>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</si>
  <si>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</si>
  <si>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</si>
  <si>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</si>
  <si>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</si>
  <si>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</si>
  <si>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</si>
  <si>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</si>
  <si>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</si>
  <si>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</si>
  <si>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</si>
  <si>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</si>
  <si>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</si>
  <si>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</si>
  <si>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</si>
  <si>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</si>
  <si>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</si>
  <si>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</si>
  <si>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</si>
  <si>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</si>
  <si>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</si>
  <si>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</si>
  <si>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</si>
  <si>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</si>
  <si>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</si>
  <si>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</si>
  <si>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</si>
  <si>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</si>
  <si>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</si>
  <si>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</si>
  <si>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</si>
  <si>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</si>
  <si>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</si>
  <si>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</si>
  <si>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</si>
  <si>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</si>
  <si>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</si>
  <si>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</si>
  <si>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</si>
  <si>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</si>
  <si>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</si>
  <si>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</si>
  <si>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</si>
  <si>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</si>
  <si>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</si>
  <si>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</si>
  <si>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</si>
  <si>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</si>
  <si>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</si>
  <si>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</si>
  <si>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</si>
  <si>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</si>
  <si>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</si>
  <si>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</si>
  <si>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</si>
  <si>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</si>
  <si>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</si>
  <si>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</si>
  <si>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</si>
  <si>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</si>
  <si>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</si>
  <si>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</si>
  <si>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</si>
  <si>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</si>
  <si>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</si>
  <si>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</si>
  <si>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</si>
  <si>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</si>
  <si>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</si>
  <si>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</si>
  <si>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</si>
  <si>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</si>
  <si>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</si>
  <si>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</si>
  <si>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</si>
  <si>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</si>
  <si>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</si>
  <si>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</si>
  <si>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</si>
  <si>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</si>
  <si>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</si>
  <si>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</si>
  <si>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</si>
  <si>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</si>
  <si>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</si>
  <si>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</si>
  <si>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</si>
  <si>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</si>
  <si>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</si>
  <si>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</si>
  <si>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</si>
  <si>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</si>
  <si>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</si>
  <si>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</si>
  <si>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</si>
  <si>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</si>
  <si>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</si>
  <si>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</si>
  <si>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</si>
  <si>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</si>
  <si>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</si>
  <si>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</si>
  <si>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</si>
  <si>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</si>
  <si>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</si>
  <si>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</si>
  <si>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</si>
  <si>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</si>
  <si>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</si>
  <si>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</si>
  <si>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</si>
  <si>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</si>
  <si>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</si>
  <si>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</si>
  <si>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</si>
  <si>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</si>
  <si>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</si>
  <si>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</si>
  <si>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</si>
  <si>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</si>
  <si>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</si>
  <si>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</si>
  <si>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</si>
  <si>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</si>
  <si>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</si>
  <si>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</si>
  <si>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</si>
  <si>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</si>
  <si>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</si>
  <si>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</si>
  <si>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</si>
  <si>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</si>
  <si>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</si>
  <si>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</si>
  <si>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</si>
  <si>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</si>
  <si>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</si>
  <si>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</si>
  <si>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</si>
  <si>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</si>
  <si>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</si>
  <si>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</si>
  <si>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</si>
  <si>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</si>
  <si>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</si>
  <si>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</si>
  <si>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</si>
  <si>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</si>
  <si>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</si>
  <si>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</si>
  <si>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</si>
  <si>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</si>
  <si>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</si>
  <si>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</si>
  <si>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</si>
  <si>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</si>
  <si>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</si>
  <si>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</si>
  <si>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</si>
  <si>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</si>
  <si>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</si>
  <si>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</si>
  <si>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</si>
  <si>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</si>
  <si>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</si>
  <si>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</si>
  <si>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</si>
  <si>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</si>
  <si>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</si>
  <si>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</si>
  <si>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</si>
  <si>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</si>
  <si>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</si>
  <si>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</si>
  <si>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</si>
  <si>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</si>
  <si>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</si>
  <si>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</si>
  <si>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</si>
  <si>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</si>
  <si>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</si>
  <si>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</si>
  <si>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</si>
  <si>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</si>
  <si>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</si>
  <si>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</si>
  <si>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</si>
  <si>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</si>
  <si>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Michael Alan Sawyer</t>
  </si>
  <si>
    <t>Highway 78 and Pinewood Drive</t>
  </si>
  <si>
    <t>Ladson</t>
  </si>
  <si>
    <t>Details are sketchy. Apparently, there was a fight and the man was tasered, restrained and killed by a group of people who were helping police.</t>
  </si>
  <si>
    <t>http://www.live5news.com/story/33698083/deputies-suspect-dead-after-altercation-with-charleston-co-deputies-hwy-78-remains-closed-in-both-directions</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</si>
  <si>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</si>
  <si>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</si>
  <si>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</si>
  <si>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</si>
  <si>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</si>
  <si>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</si>
  <si>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</si>
  <si>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</si>
  <si>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</si>
  <si>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</si>
  <si>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</si>
  <si>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</si>
  <si>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</si>
  <si>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</si>
  <si>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</si>
  <si>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</si>
  <si>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</si>
  <si>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</si>
  <si>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</si>
  <si>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</si>
  <si>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</si>
  <si>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</si>
  <si>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</si>
  <si>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</si>
  <si>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</si>
  <si>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</si>
  <si>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</si>
  <si>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</si>
  <si>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</si>
  <si>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</si>
  <si>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</si>
  <si>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</si>
  <si>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</si>
  <si>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</si>
  <si>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</si>
  <si>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</si>
  <si>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</si>
  <si>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</si>
  <si>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</si>
  <si>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</si>
  <si>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</si>
  <si>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</si>
  <si>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</si>
  <si>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</si>
  <si>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</si>
  <si>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</si>
  <si>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</si>
  <si>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</si>
  <si>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</si>
  <si>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</si>
  <si>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</si>
  <si>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</si>
  <si>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</si>
  <si>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</si>
  <si>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</si>
  <si>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</si>
  <si>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</si>
  <si>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</si>
  <si>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</si>
  <si>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</si>
  <si>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</si>
  <si>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</si>
  <si>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</si>
  <si>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</si>
  <si>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</si>
  <si>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</si>
  <si>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</si>
  <si>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</si>
  <si>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</si>
  <si>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</si>
  <si>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</si>
  <si>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</si>
  <si>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</si>
  <si>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</si>
  <si>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</si>
  <si>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</si>
  <si>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</si>
  <si>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</si>
  <si>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</si>
  <si>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</si>
  <si>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</si>
  <si>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</si>
  <si>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</si>
  <si>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</si>
  <si>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</si>
  <si>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</si>
  <si>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</si>
  <si>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</si>
  <si>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</si>
  <si>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</si>
  <si>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</si>
  <si>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</si>
  <si>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</si>
  <si>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</si>
  <si>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</si>
  <si>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</si>
  <si>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</si>
  <si>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</si>
  <si>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</si>
  <si>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</si>
  <si>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</si>
  <si>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</si>
  <si>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</si>
  <si>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</si>
  <si>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</si>
  <si>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</si>
  <si>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</si>
  <si>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</si>
  <si>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</si>
  <si>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</si>
  <si>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</si>
  <si>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</si>
  <si>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</si>
  <si>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</si>
  <si>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</si>
  <si>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</si>
  <si>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</si>
  <si>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</si>
  <si>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</si>
  <si>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</si>
  <si>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</si>
  <si>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</si>
  <si>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</si>
  <si>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</si>
  <si>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</si>
  <si>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</si>
  <si>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</si>
  <si>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</si>
  <si>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</si>
  <si>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</si>
  <si>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</si>
  <si>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</si>
  <si>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</si>
  <si>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</si>
  <si>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</si>
  <si>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</si>
  <si>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</si>
  <si>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</si>
  <si>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</si>
  <si>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</si>
  <si>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</si>
  <si>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</si>
  <si>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</si>
  <si>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</si>
  <si>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</si>
  <si>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</si>
  <si>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</si>
  <si>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</si>
  <si>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</si>
  <si>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</si>
  <si>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</si>
  <si>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</si>
  <si>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</si>
  <si>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</si>
  <si>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</si>
  <si>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</si>
  <si>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</si>
  <si>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</si>
  <si>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</si>
  <si>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</si>
  <si>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</si>
  <si>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</si>
  <si>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</si>
  <si>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Ladeaux apparently fled an attempted stop for failure to stop at a stop sign. Police chased him, he crashed and died.</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</si>
  <si>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</si>
  <si>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</si>
  <si>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</si>
  <si>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</si>
  <si>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</si>
  <si>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</si>
  <si>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</si>
  <si>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</si>
  <si>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</si>
  <si>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</si>
  <si>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</si>
  <si>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</si>
  <si>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</si>
  <si>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</si>
  <si>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</si>
  <si>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</si>
  <si>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</si>
  <si>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</si>
  <si>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</si>
  <si>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</si>
  <si>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</si>
  <si>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</si>
  <si>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</si>
  <si>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</si>
  <si>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</si>
  <si>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</si>
  <si>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</si>
  <si>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</si>
  <si>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</si>
  <si>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</si>
  <si>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</si>
  <si>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</si>
  <si>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</si>
  <si>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</si>
  <si>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</si>
  <si>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</si>
  <si>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</si>
  <si>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</si>
  <si>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</si>
  <si>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</si>
  <si>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</si>
  <si>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</si>
  <si>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</si>
  <si>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</si>
  <si>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</si>
  <si>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</si>
  <si>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</si>
  <si>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</si>
  <si>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</si>
  <si>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</si>
  <si>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</si>
  <si>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</si>
  <si>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</si>
  <si>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</si>
  <si>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</si>
  <si>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</si>
  <si>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</si>
  <si>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</si>
  <si>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</si>
  <si>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</si>
  <si>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</si>
  <si>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</si>
  <si>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</si>
  <si>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</si>
  <si>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</si>
  <si>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</si>
  <si>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</si>
  <si>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</si>
  <si>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</si>
  <si>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</si>
  <si>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</si>
  <si>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</si>
  <si>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</si>
  <si>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</si>
  <si>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</si>
  <si>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</si>
  <si>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</si>
  <si>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</si>
  <si>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</si>
  <si>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</si>
  <si>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</si>
  <si>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</si>
  <si>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</si>
  <si>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</si>
  <si>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</si>
  <si>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</si>
  <si>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</si>
  <si>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</si>
  <si>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</si>
  <si>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</si>
  <si>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</si>
  <si>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</si>
  <si>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</si>
  <si>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</si>
  <si>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</si>
  <si>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</si>
  <si>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</si>
  <si>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</si>
  <si>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</si>
  <si>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</si>
  <si>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</si>
  <si>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</si>
  <si>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</si>
  <si>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</si>
  <si>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</si>
  <si>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</si>
  <si>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</si>
  <si>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</si>
  <si>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</si>
  <si>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</si>
  <si>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</si>
  <si>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</si>
  <si>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</si>
  <si>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</si>
  <si>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</si>
  <si>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</si>
  <si>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</si>
  <si>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</si>
  <si>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</si>
  <si>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</si>
  <si>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</si>
  <si>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</si>
  <si>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</si>
  <si>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</si>
  <si>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</si>
  <si>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</si>
  <si>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</si>
  <si>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</si>
  <si>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</si>
  <si>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</si>
  <si>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</si>
  <si>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</si>
  <si>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</si>
  <si>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</si>
  <si>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</si>
  <si>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</si>
  <si>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</si>
  <si>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</si>
  <si>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</si>
  <si>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</si>
  <si>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</si>
  <si>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</si>
  <si>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</si>
  <si>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</si>
  <si>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</si>
  <si>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</si>
  <si>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</si>
  <si>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</si>
  <si>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</si>
  <si>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</si>
  <si>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</si>
  <si>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</si>
  <si>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</si>
  <si>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</si>
  <si>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</si>
  <si>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</si>
  <si>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</si>
  <si>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</si>
  <si>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</si>
  <si>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</si>
  <si>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</si>
  <si>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</si>
  <si>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</si>
  <si>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</si>
  <si>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</si>
  <si>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</si>
  <si>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</si>
  <si>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</si>
  <si>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</si>
  <si>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</si>
  <si>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</si>
  <si>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</si>
  <si>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</si>
  <si>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</si>
  <si>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</si>
  <si>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</si>
  <si>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</si>
  <si>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</si>
  <si>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</si>
  <si>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</si>
  <si>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</si>
  <si>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</si>
  <si>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</si>
  <si>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</si>
  <si>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</si>
  <si>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</si>
  <si>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</si>
  <si>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</si>
  <si>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</si>
  <si>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</si>
  <si>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</si>
  <si>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</si>
  <si>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</si>
  <si>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</si>
  <si>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</si>
  <si>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</si>
  <si>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</si>
  <si>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</si>
  <si>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</si>
  <si>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</si>
  <si>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</si>
  <si>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</si>
  <si>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</si>
  <si>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</si>
  <si>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</si>
  <si>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</si>
  <si>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</si>
  <si>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</si>
  <si>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</si>
  <si>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</si>
  <si>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</si>
  <si>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</si>
  <si>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</si>
  <si>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</si>
  <si>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</si>
  <si>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</si>
  <si>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</si>
  <si>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</si>
  <si>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</si>
  <si>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</si>
  <si>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</si>
  <si>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</si>
  <si>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</si>
  <si>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</si>
  <si>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</si>
  <si>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</si>
  <si>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</si>
  <si>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</si>
  <si>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</si>
  <si>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</si>
  <si>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</si>
  <si>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</si>
  <si>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</si>
  <si>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</si>
  <si>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</si>
  <si>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</si>
  <si>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</si>
  <si>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</si>
  <si>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</si>
  <si>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</si>
  <si>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</si>
  <si>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</si>
  <si>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</si>
  <si>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</si>
  <si>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</si>
  <si>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</si>
  <si>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</si>
  <si>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</si>
  <si>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</si>
  <si>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</si>
  <si>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</si>
  <si>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</si>
  <si>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</si>
  <si>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</si>
  <si>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</si>
  <si>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</si>
  <si>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</si>
  <si>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</si>
  <si>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</si>
  <si>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</si>
  <si>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</si>
  <si>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</si>
  <si>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</si>
  <si>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</si>
  <si>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</si>
  <si>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</si>
  <si>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</si>
  <si>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</si>
  <si>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</si>
  <si>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</si>
  <si>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</si>
  <si>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</si>
  <si>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</si>
  <si>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</si>
  <si>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</si>
  <si>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</si>
  <si>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</si>
  <si>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</si>
  <si>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</si>
  <si>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</si>
  <si>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</si>
  <si>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</si>
  <si>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</si>
  <si>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</si>
  <si>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</si>
  <si>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</si>
  <si>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</si>
  <si>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</si>
  <si>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</si>
  <si>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</si>
  <si>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</si>
  <si>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</si>
  <si>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</si>
  <si>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</si>
  <si>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</si>
  <si>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</si>
  <si>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</si>
  <si>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</si>
  <si>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</si>
  <si>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</si>
  <si>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</si>
  <si>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</si>
  <si>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</si>
  <si>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</si>
  <si>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</si>
  <si>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</si>
  <si>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</si>
  <si>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</si>
  <si>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</si>
  <si>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</si>
  <si>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</si>
  <si>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</si>
  <si>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</si>
  <si>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</si>
  <si>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</si>
  <si>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</si>
  <si>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</si>
  <si>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</si>
  <si>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</si>
  <si>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Tiffany S. Fitzgerald</t>
  </si>
  <si>
    <t>http://www.fatalencounters.org/wp-content/uploads/2013/10/tiffany-fitzgerald.jpg</t>
  </si>
  <si>
    <t>13 Mountainville Road</t>
  </si>
  <si>
    <t>Danbury</t>
  </si>
  <si>
    <t>Danbury Police Department</t>
  </si>
  <si>
    <t>Ricardo Andre, 32, was driving a 1997 Ford Explorer on Mountainville Road, and Danbury Police Officer Jamie Hodge, 38, was working a roadside construction assignment as an extra duty job. He noticed the Explorer, which he recognized as having been reported stolen. Police say Hodge jumped into his own car and began chasing the Explorer. He reportedly called the chase into Danbury Police dispatch. The officer was unable to stop the car, and while the Explorer was on a left hand curve in the road it crashed. Andre was taken to the hospital with a serious injury. Fitzgerald, the passenger, died a few days later.</t>
  </si>
  <si>
    <t>http://fox61.com/2016/12/05/family-mourns-death-of-woman-killed-in-rollover-crash-following-police-chase/</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</si>
  <si>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</si>
  <si>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</si>
  <si>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</si>
  <si>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</si>
  <si>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</si>
  <si>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</si>
  <si>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</si>
  <si>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</si>
  <si>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</si>
  <si>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</si>
  <si>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</si>
  <si>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</si>
  <si>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</si>
  <si>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</si>
  <si>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</si>
  <si>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</si>
  <si>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</si>
  <si>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</si>
  <si>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</si>
  <si>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</si>
  <si>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</si>
  <si>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</si>
  <si>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</si>
  <si>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</si>
  <si>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</si>
  <si>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</si>
  <si>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</si>
  <si>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</si>
  <si>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</si>
  <si>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</si>
  <si>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</si>
  <si>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</si>
  <si>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</si>
  <si>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</si>
  <si>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</si>
  <si>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</si>
  <si>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</si>
  <si>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</si>
  <si>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</si>
  <si>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</si>
  <si>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</si>
  <si>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</si>
  <si>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</si>
  <si>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</si>
  <si>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</si>
  <si>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</si>
  <si>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</si>
  <si>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</si>
  <si>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</si>
  <si>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</si>
  <si>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</si>
  <si>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</si>
  <si>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</si>
  <si>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</si>
  <si>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</si>
  <si>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</si>
  <si>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</si>
  <si>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</si>
  <si>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</si>
  <si>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</si>
  <si>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</si>
  <si>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</si>
  <si>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</si>
  <si>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</si>
  <si>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</si>
  <si>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</si>
  <si>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</si>
  <si>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</si>
  <si>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</si>
  <si>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</si>
  <si>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</si>
  <si>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</si>
  <si>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</si>
  <si>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</si>
  <si>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</si>
  <si>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</si>
  <si>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</si>
  <si>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</si>
  <si>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</si>
  <si>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</si>
  <si>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</si>
  <si>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</si>
  <si>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</si>
  <si>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</si>
  <si>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</si>
  <si>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</si>
  <si>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</si>
  <si>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</si>
  <si>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</si>
  <si>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</si>
  <si>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</si>
  <si>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</si>
  <si>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</si>
  <si>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</si>
  <si>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</si>
  <si>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</si>
  <si>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</si>
  <si>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</si>
  <si>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</si>
  <si>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</si>
  <si>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</si>
  <si>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</si>
  <si>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</si>
  <si>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</si>
  <si>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</si>
  <si>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</si>
  <si>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</si>
  <si>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</si>
  <si>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</si>
  <si>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</si>
  <si>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</si>
  <si>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</si>
  <si>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</si>
  <si>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</si>
  <si>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</si>
  <si>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</si>
  <si>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</si>
  <si>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</si>
  <si>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</si>
  <si>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</si>
  <si>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</si>
  <si>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</si>
  <si>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</si>
  <si>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</si>
  <si>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</si>
  <si>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</si>
  <si>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</si>
  <si>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</si>
  <si>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</si>
  <si>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</si>
  <si>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</si>
  <si>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</si>
  <si>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</si>
  <si>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</si>
  <si>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</si>
  <si>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</si>
  <si>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</si>
  <si>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</si>
  <si>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</si>
  <si>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</si>
  <si>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</si>
  <si>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</si>
  <si>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</si>
  <si>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</si>
  <si>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</si>
  <si>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</si>
  <si>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</si>
  <si>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</si>
  <si>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</si>
  <si>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</si>
  <si>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</si>
  <si>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</si>
  <si>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</si>
  <si>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</si>
  <si>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</si>
  <si>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</si>
  <si>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</si>
  <si>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</si>
  <si>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</si>
  <si>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</si>
  <si>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</si>
  <si>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</si>
  <si>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</si>
  <si>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</si>
  <si>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</si>
  <si>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</si>
  <si>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</si>
  <si>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</si>
  <si>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</si>
  <si>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</si>
  <si>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</si>
  <si>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</si>
  <si>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</si>
  <si>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</si>
  <si>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</si>
  <si>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</si>
  <si>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</si>
  <si>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</si>
  <si>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</si>
  <si>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</si>
  <si>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</si>
  <si>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</si>
  <si>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</si>
  <si>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</si>
  <si>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</si>
  <si>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</si>
  <si>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</si>
  <si>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</si>
  <si>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</si>
  <si>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</si>
  <si>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</si>
  <si>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</si>
  <si>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</si>
  <si>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</si>
  <si>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</si>
  <si>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</si>
  <si>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</si>
  <si>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</si>
  <si>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</si>
  <si>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</si>
  <si>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Avg Rate</t>
  </si>
  <si>
    <t>Police Killings 2013</t>
  </si>
  <si>
    <t>Police Killings 2014</t>
  </si>
  <si>
    <t>Police Killings 2015</t>
  </si>
  <si>
    <t>Police Killings 2016</t>
  </si>
  <si>
    <t>Police Killings 2013 Rate</t>
  </si>
  <si>
    <t>Police Killings 2014 Rate</t>
  </si>
  <si>
    <t>Police Killings 2015 Rate</t>
  </si>
  <si>
    <t>Police Killings 2016 Rate</t>
  </si>
  <si>
    <t>Total Killings (2013-16)</t>
  </si>
  <si>
    <t>Rochester, MN Police Department</t>
  </si>
  <si>
    <t>Black People Killed by Police (2013-2016)</t>
  </si>
  <si>
    <t>Black People Killed by Police (2016)</t>
  </si>
  <si>
    <t>Percent of Killings Black</t>
  </si>
  <si>
    <t>Percent of Killings Black (2016)</t>
  </si>
  <si>
    <t>Number of Restrictive Use of Force Policies</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</si>
  <si>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</si>
  <si>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</si>
  <si>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</si>
  <si>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</si>
  <si>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</si>
  <si>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</si>
  <si>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</si>
  <si>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</si>
  <si>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</si>
  <si>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</si>
  <si>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</si>
  <si>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</si>
  <si>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</si>
  <si>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</si>
  <si>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</si>
  <si>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</si>
  <si>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</si>
  <si>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</si>
  <si>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</si>
  <si>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</si>
  <si>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</si>
  <si>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</si>
  <si>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</si>
  <si>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</si>
  <si>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</si>
  <si>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</si>
  <si>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</si>
  <si>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</si>
  <si>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</si>
  <si>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</si>
  <si>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</si>
  <si>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</si>
  <si>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</si>
  <si>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</si>
  <si>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</si>
  <si>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</si>
  <si>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</si>
  <si>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</si>
  <si>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</si>
  <si>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</si>
  <si>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</si>
  <si>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</si>
  <si>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</si>
  <si>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</si>
  <si>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</si>
  <si>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</si>
  <si>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</si>
  <si>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</si>
  <si>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</si>
  <si>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</si>
  <si>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</si>
  <si>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</si>
  <si>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</si>
  <si>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</si>
  <si>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</si>
  <si>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</si>
  <si>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</si>
  <si>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</si>
  <si>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</si>
  <si>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</si>
  <si>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</si>
  <si>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</si>
  <si>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</si>
  <si>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</si>
  <si>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</si>
  <si>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</si>
  <si>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</si>
  <si>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</si>
  <si>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</si>
  <si>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</si>
  <si>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</si>
  <si>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</si>
  <si>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</si>
  <si>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</si>
  <si>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</si>
  <si>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</si>
  <si>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</si>
  <si>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</si>
  <si>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</si>
  <si>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</si>
  <si>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</si>
  <si>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</si>
  <si>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</si>
  <si>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</si>
  <si>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</si>
  <si>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</si>
  <si>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</si>
  <si>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</si>
  <si>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</si>
  <si>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</si>
  <si>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</si>
  <si>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</si>
  <si>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</si>
  <si>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</si>
  <si>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</si>
  <si>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</si>
  <si>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</si>
  <si>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</si>
  <si>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</si>
  <si>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</si>
  <si>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</si>
  <si>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</si>
  <si>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</si>
  <si>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</si>
  <si>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</si>
  <si>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</si>
  <si>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</si>
  <si>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</si>
  <si>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</si>
  <si>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</si>
  <si>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</si>
  <si>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</si>
  <si>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</si>
  <si>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</si>
  <si>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</si>
  <si>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</si>
  <si>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</si>
  <si>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Data from 1/1/13 - 12/31/16</t>
  </si>
  <si>
    <t>Unarmed Killings</t>
  </si>
  <si>
    <t>Percent Unarmed</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</si>
  <si>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</si>
  <si>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</si>
  <si>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</si>
  <si>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</si>
  <si>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</si>
  <si>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Gun</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</si>
  <si>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</si>
  <si>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</si>
  <si>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</si>
  <si>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</si>
  <si>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</si>
  <si>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</si>
  <si>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</si>
  <si>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</si>
  <si>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</si>
  <si>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</si>
  <si>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</si>
  <si>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</si>
  <si>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</si>
  <si>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</si>
  <si>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</si>
  <si>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</si>
  <si>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</si>
  <si>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</si>
  <si>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</si>
  <si>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</si>
  <si>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</si>
  <si>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</si>
  <si>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</si>
  <si>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</si>
  <si>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</si>
  <si>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</si>
  <si>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</si>
  <si>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</si>
  <si>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</si>
  <si>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</si>
  <si>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</si>
  <si>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</si>
  <si>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</si>
  <si>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</si>
  <si>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</si>
  <si>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</si>
  <si>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</si>
  <si>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</si>
  <si>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</si>
  <si>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</si>
  <si>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</si>
  <si>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</si>
  <si>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</si>
  <si>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</si>
  <si>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</si>
  <si>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</si>
  <si>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</si>
  <si>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</si>
  <si>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</si>
  <si>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</si>
  <si>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</si>
  <si>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</si>
  <si>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</si>
  <si>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</si>
  <si>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</si>
  <si>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</si>
  <si>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</si>
  <si>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</si>
  <si>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</si>
  <si>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</si>
  <si>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</si>
  <si>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</si>
  <si>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</si>
  <si>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</si>
  <si>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</si>
  <si>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</si>
  <si>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</si>
  <si>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</si>
  <si>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</si>
  <si>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</si>
  <si>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</si>
  <si>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</si>
  <si>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</si>
  <si>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</si>
  <si>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</si>
  <si>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</si>
  <si>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</si>
  <si>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</si>
  <si>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</si>
  <si>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</si>
  <si>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</si>
  <si>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</si>
  <si>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</si>
  <si>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</si>
  <si>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</si>
  <si>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</si>
  <si>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</si>
  <si>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</si>
  <si>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</si>
  <si>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</si>
  <si>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</si>
  <si>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</si>
  <si>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</si>
  <si>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</si>
  <si>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</si>
  <si>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</si>
  <si>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</si>
  <si>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</si>
  <si>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</si>
  <si>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</si>
  <si>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</si>
  <si>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</si>
  <si>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</si>
  <si>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</si>
  <si>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</si>
  <si>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</si>
  <si>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</si>
  <si>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</si>
  <si>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</si>
  <si>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</si>
  <si>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</si>
  <si>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</si>
  <si>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</si>
  <si>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</si>
  <si>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</si>
  <si>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</si>
  <si>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</si>
  <si>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</si>
  <si>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</si>
  <si>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</si>
  <si>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</si>
  <si>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</si>
  <si>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</si>
  <si>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</si>
  <si>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</si>
  <si>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</si>
  <si>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</si>
  <si>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</si>
  <si>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</si>
  <si>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</si>
  <si>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</si>
  <si>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</si>
  <si>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</si>
  <si>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</si>
  <si>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</si>
  <si>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</si>
  <si>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</si>
  <si>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</si>
  <si>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</si>
  <si>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</si>
  <si>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</si>
  <si>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</si>
  <si>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</si>
  <si>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</si>
  <si>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</si>
  <si>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</si>
  <si>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</si>
  <si>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</si>
  <si>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</si>
  <si>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</si>
  <si>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</si>
  <si>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</si>
  <si>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</si>
  <si>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</si>
  <si>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</si>
  <si>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</si>
  <si>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</si>
  <si>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</si>
  <si>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</si>
  <si>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</si>
  <si>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</si>
  <si>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</si>
  <si>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</si>
  <si>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</si>
  <si>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</si>
  <si>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</si>
  <si>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</si>
  <si>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</si>
  <si>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</si>
  <si>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</si>
  <si>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</si>
  <si>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</si>
  <si>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</si>
  <si>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</si>
  <si>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</si>
  <si>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</si>
  <si>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</si>
  <si>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</si>
  <si>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</si>
  <si>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</si>
  <si>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</si>
  <si>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</si>
  <si>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</si>
  <si>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</si>
  <si>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</si>
  <si>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</si>
  <si>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</si>
  <si>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</si>
  <si>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</si>
  <si>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</si>
  <si>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</si>
  <si>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</si>
  <si>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</si>
  <si>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</si>
  <si>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</si>
  <si>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</si>
  <si>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</si>
  <si>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</si>
  <si>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</si>
  <si>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</si>
  <si>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</si>
  <si>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</si>
  <si>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</si>
  <si>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</si>
  <si>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</si>
  <si>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</si>
  <si>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</si>
  <si>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</si>
  <si>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</si>
  <si>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</si>
  <si>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</si>
  <si>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</si>
  <si>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</si>
  <si>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</si>
  <si>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</si>
  <si>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</si>
  <si>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</si>
  <si>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</si>
  <si>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</si>
  <si>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</si>
  <si>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</si>
  <si>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</si>
  <si>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</si>
  <si>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</si>
  <si>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</si>
  <si>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</si>
  <si>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</si>
  <si>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</si>
  <si>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</si>
  <si>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</si>
  <si>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</si>
  <si>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</si>
  <si>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</si>
  <si>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</si>
  <si>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</si>
  <si>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</si>
  <si>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</si>
  <si>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</si>
  <si>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</si>
  <si>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</si>
  <si>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</si>
  <si>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</si>
  <si>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</si>
  <si>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</si>
  <si>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Jacksonville County Sheriff's Office</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</si>
  <si>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</si>
  <si>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</si>
  <si>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</si>
  <si>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</si>
  <si>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</si>
  <si>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</si>
  <si>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</si>
  <si>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</si>
  <si>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</si>
  <si>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</si>
  <si>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</si>
  <si>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</si>
  <si>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</si>
  <si>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</si>
  <si>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</si>
  <si>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</si>
  <si>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</si>
  <si>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</si>
  <si>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</si>
  <si>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</si>
  <si>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</si>
  <si>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</si>
  <si>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</si>
  <si>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</si>
  <si>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</si>
  <si>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</si>
  <si>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</si>
  <si>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</si>
  <si>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</si>
  <si>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</si>
  <si>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</si>
  <si>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</si>
  <si>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</si>
  <si>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</si>
  <si>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</si>
  <si>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</si>
  <si>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</si>
  <si>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</si>
  <si>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</si>
  <si>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</si>
  <si>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</si>
  <si>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</si>
  <si>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</si>
  <si>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</si>
  <si>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</si>
  <si>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</si>
  <si>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</si>
  <si>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</si>
  <si>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</si>
  <si>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</si>
  <si>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</si>
  <si>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</si>
  <si>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</si>
  <si>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</si>
  <si>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</si>
  <si>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</si>
  <si>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</si>
  <si>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</si>
  <si>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</si>
  <si>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</si>
  <si>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</si>
  <si>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</si>
  <si>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</si>
  <si>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</si>
  <si>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</si>
  <si>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</si>
  <si>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</si>
  <si>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</si>
  <si>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</si>
  <si>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</si>
  <si>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</si>
  <si>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</si>
  <si>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</si>
  <si>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</si>
  <si>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</si>
  <si>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</si>
  <si>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</si>
  <si>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</si>
  <si>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</si>
  <si>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</si>
  <si>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</si>
  <si>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</si>
  <si>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</si>
  <si>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</si>
  <si>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</si>
  <si>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</si>
  <si>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</si>
  <si>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</si>
  <si>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</si>
  <si>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</si>
  <si>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</si>
  <si>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</si>
  <si>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</si>
  <si>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</si>
  <si>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</si>
  <si>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</si>
  <si>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</si>
  <si>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</si>
  <si>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</si>
  <si>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</si>
  <si>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</si>
  <si>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</si>
  <si>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</si>
  <si>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</si>
  <si>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</si>
  <si>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</si>
  <si>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</si>
  <si>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</si>
  <si>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</si>
  <si>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</si>
  <si>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</si>
  <si>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</si>
  <si>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</si>
  <si>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</si>
  <si>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</si>
  <si>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</si>
  <si>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</si>
  <si>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</si>
  <si>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</si>
  <si>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</si>
  <si>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</si>
  <si>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</si>
  <si>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</si>
  <si>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</si>
  <si>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</si>
  <si>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</si>
  <si>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</si>
  <si>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</si>
  <si>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</si>
  <si>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</si>
  <si>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</si>
  <si>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</si>
  <si>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</si>
  <si>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</si>
  <si>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</si>
  <si>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</si>
  <si>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</si>
  <si>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</si>
  <si>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</si>
  <si>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</si>
  <si>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</si>
  <si>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</si>
  <si>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</si>
  <si>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</si>
  <si>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</si>
  <si>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</si>
  <si>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</si>
  <si>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</si>
  <si>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</si>
  <si>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</si>
  <si>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</si>
  <si>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</si>
  <si>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</si>
  <si>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</si>
  <si>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</si>
  <si>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</si>
  <si>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</si>
  <si>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</si>
  <si>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</si>
  <si>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</si>
  <si>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</si>
  <si>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</si>
  <si>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</si>
  <si>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</si>
  <si>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</si>
  <si>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</si>
  <si>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</si>
  <si>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</si>
  <si>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</si>
  <si>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</si>
  <si>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</si>
  <si>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</si>
  <si>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</si>
  <si>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</si>
  <si>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</si>
  <si>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</si>
  <si>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</si>
  <si>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</si>
  <si>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</si>
  <si>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</si>
  <si>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</si>
  <si>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</si>
  <si>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</si>
  <si>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</si>
  <si>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</si>
  <si>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</si>
  <si>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</si>
  <si>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</si>
  <si>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</si>
  <si>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</si>
  <si>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</si>
  <si>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</si>
  <si>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</si>
  <si>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</si>
  <si>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</si>
  <si>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</si>
  <si>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</si>
  <si>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</si>
  <si>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</si>
  <si>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</si>
  <si>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Quintin Swicegood</t>
  </si>
  <si>
    <t>1102 N Gateway Ave</t>
  </si>
  <si>
    <t>Rockwood Police Department</t>
  </si>
  <si>
    <t>Rockwood Police Department learned that a possibly suicidal man, 58-year-old Quintin Swicegood, was in the parking lot of the Walmart, according to police. When officers arrived and made contact with Swicegood, he produced a gun. Swicegood was killed during an exchange of gunfire.</t>
  </si>
  <si>
    <t>http://www.knoxnews.com/story/news/crime/2017/02/07/tbi-officer-involved-shooting-reported-rockwood/97608088/</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</si>
  <si>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</si>
  <si>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</si>
  <si>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</si>
  <si>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</si>
  <si>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</si>
  <si>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</si>
  <si>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</si>
  <si>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</si>
  <si>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</si>
  <si>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</si>
  <si>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</si>
  <si>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</si>
  <si>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</si>
  <si>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</si>
  <si>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</si>
  <si>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</si>
  <si>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</si>
  <si>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</si>
  <si>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</si>
  <si>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</si>
  <si>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</si>
  <si>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</si>
  <si>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</si>
  <si>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</si>
  <si>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</si>
  <si>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</si>
  <si>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</si>
  <si>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</si>
  <si>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</si>
  <si>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</si>
  <si>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</si>
  <si>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</si>
  <si>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</si>
  <si>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</si>
  <si>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</si>
  <si>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</si>
  <si>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</si>
  <si>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</si>
  <si>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</si>
  <si>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</si>
  <si>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</si>
  <si>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</si>
  <si>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</si>
  <si>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</si>
  <si>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</si>
  <si>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</si>
  <si>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</si>
  <si>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</si>
  <si>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</si>
  <si>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</si>
  <si>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</si>
  <si>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</si>
  <si>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</si>
  <si>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</si>
  <si>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</si>
  <si>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</si>
  <si>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</si>
  <si>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</si>
  <si>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</si>
  <si>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</si>
  <si>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</si>
  <si>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</si>
  <si>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</si>
  <si>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</si>
  <si>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</si>
  <si>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</si>
  <si>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</si>
  <si>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</si>
  <si>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</si>
  <si>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</si>
  <si>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</si>
  <si>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</si>
  <si>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</si>
  <si>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</si>
  <si>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</si>
  <si>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</si>
  <si>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</si>
  <si>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</si>
  <si>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</si>
  <si>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</si>
  <si>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</si>
  <si>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</si>
  <si>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</si>
  <si>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</si>
  <si>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</si>
  <si>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</si>
  <si>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</si>
  <si>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</si>
  <si>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</si>
  <si>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</si>
  <si>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</si>
  <si>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</si>
  <si>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</si>
  <si>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</si>
  <si>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</si>
  <si>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</si>
  <si>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</si>
  <si>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</si>
  <si>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</si>
  <si>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</si>
  <si>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</si>
  <si>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</si>
  <si>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</si>
  <si>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</si>
  <si>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</si>
  <si>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</si>
  <si>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</si>
  <si>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</si>
  <si>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</si>
  <si>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</si>
  <si>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</si>
  <si>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</si>
  <si>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</si>
  <si>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</si>
  <si>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</si>
  <si>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</si>
  <si>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</si>
  <si>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</si>
  <si>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</si>
  <si>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</si>
  <si>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</si>
  <si>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</si>
  <si>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</si>
  <si>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</si>
  <si>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</si>
  <si>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</si>
  <si>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</si>
  <si>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</si>
  <si>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</si>
  <si>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</si>
  <si>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</si>
  <si>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</si>
  <si>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</si>
  <si>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</si>
  <si>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</si>
  <si>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</si>
  <si>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</si>
  <si>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</si>
  <si>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None</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</si>
  <si>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</si>
  <si>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</si>
  <si>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</si>
  <si>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</si>
  <si>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</si>
  <si>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</si>
  <si>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</si>
  <si>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</si>
  <si>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</si>
  <si>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</si>
  <si>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</si>
  <si>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</si>
  <si>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</si>
  <si>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</si>
  <si>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</si>
  <si>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</si>
  <si>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</si>
  <si>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</si>
  <si>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</si>
  <si>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</si>
  <si>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</si>
  <si>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</si>
  <si>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</si>
  <si>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</si>
  <si>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</si>
  <si>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</si>
  <si>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</si>
  <si>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</si>
  <si>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</si>
  <si>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</si>
  <si>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</si>
  <si>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</si>
  <si>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</si>
  <si>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</si>
  <si>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</si>
  <si>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</si>
  <si>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</si>
  <si>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</si>
  <si>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</si>
  <si>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</si>
  <si>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</si>
  <si>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</si>
  <si>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</si>
  <si>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</si>
  <si>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</si>
  <si>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</si>
  <si>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</si>
  <si>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</si>
  <si>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</si>
  <si>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</si>
  <si>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</si>
  <si>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</si>
  <si>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</si>
  <si>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</si>
  <si>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</si>
  <si>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</si>
  <si>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</si>
  <si>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</si>
  <si>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</si>
  <si>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</si>
  <si>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</si>
  <si>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</si>
  <si>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</si>
  <si>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</si>
  <si>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</si>
  <si>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</si>
  <si>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</si>
  <si>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</si>
  <si>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</si>
  <si>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</si>
  <si>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</si>
  <si>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</si>
  <si>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</si>
  <si>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</si>
  <si>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</si>
  <si>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</si>
  <si>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</si>
  <si>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</si>
  <si>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</si>
  <si>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</si>
  <si>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</si>
  <si>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</si>
  <si>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</si>
  <si>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Administrative discipline</t>
  </si>
  <si>
    <t>http://www.11alive.com/news/local/norcross/teen-struck-by-gwinnett-police-car-dies/401202703</t>
  </si>
  <si>
    <t>Criminal</t>
  </si>
  <si>
    <t>Ny’Zarria Kitchings</t>
  </si>
  <si>
    <t>http://www.fatalencounters.org/wp-content/uploads/2013/10/kitchingspicture.jpg</t>
  </si>
  <si>
    <t>Hollow Creek Rd and John Nunn Hwy.</t>
  </si>
  <si>
    <t>Salley</t>
  </si>
  <si>
    <t>Salley Police Department</t>
  </si>
  <si>
    <t>Police said Willie Seawright Jr., 21, allegedly crashed a stolen car during a police chase, killing 16-year-old Ny'zarria Kitchings.</t>
  </si>
  <si>
    <t>http://wach.com/news/local/teenager-killed-after-police-chase-leads-to-car-crash</t>
  </si>
  <si>
    <t>Taylor Duvall</t>
  </si>
  <si>
    <t>http://wfmj.images.worldnow.com/images/12884629_G.jpg</t>
  </si>
  <si>
    <t>Zedaker Street and Compton Lane</t>
  </si>
  <si>
    <t>Youngstown</t>
  </si>
  <si>
    <t>Boardman Police Department</t>
  </si>
  <si>
    <t>Boardman Police charged Nicole Mitchell with complicity to commit theft and failing to comply with a police order or command. It's alleged that Mitchell was driving the car that crashed into a utility pole following a police pursuit. A passenger in that car, Taylor Duvall, 23, was killed when the car flipped over.</t>
  </si>
  <si>
    <t>http://www.wfmj.com/story/34222642/authorities-identify-woman-killed-in-youngstown-crash</t>
  </si>
  <si>
    <t>Andrew Bolden-Velez</t>
  </si>
  <si>
    <t>85 Harrison Street</t>
  </si>
  <si>
    <t>New Haven Police Department</t>
  </si>
  <si>
    <t>New Haven Police said they responded to a carjacking report shortly after midnight. A little more than an hour later an officer spotted the stolen car, called for backup, and began pursuing the suspects. Once reinforcements arrived, police tried to stop the car, only for the driver to take off again. Minutes later, police came upon the Highlander, which had crashed into the Congregation Beth El Keser Synagogue, killing Tommy Brown and his passenger Andrew Bolden-Velez.</t>
  </si>
  <si>
    <t>http://www.foxnews.com/us/2017/01/02/suspected-carjackers-killed-after-crashing-into-synagogue-during-police-chase.html</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</si>
  <si>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</si>
  <si>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</si>
  <si>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</si>
  <si>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</si>
  <si>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</si>
  <si>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</si>
  <si>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</si>
  <si>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</si>
  <si>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</si>
  <si>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</si>
  <si>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</si>
  <si>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</si>
  <si>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</si>
  <si>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</si>
  <si>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</si>
  <si>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</si>
  <si>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Jermaine Fleming</t>
  </si>
  <si>
    <t>http://www.fatalencounters.org/wp-content/uploads/2013/10/SamuelPhillipsandJermaineFleming.jpg</t>
  </si>
  <si>
    <t>College St &amp; Humbolt St</t>
  </si>
  <si>
    <t>Police say a call for a stolen vehicle came in, and an officer found a vehicle resembling it. The officer followed the car and flipped on his lights, and Samuel Phillips, 16, took off. Police followed the SUV for about two and a half minutes, with Phillips reaching speeds around 75 miles per hour. The chase came to an end when the vehicle lost control and hit a tree. Philips' brother, Jermaine Fleming, 15, was pronounced dead at the scene. A 17-year-old was ejected from the vehicle and suffered bleeding on his brain. A 15-year-old in the front passenger seat suffered broken bones. Both male teens survived; their identities have not been released.</t>
  </si>
  <si>
    <t>http://www.wndu.com/content/news/Police-ID-teens-killed-after-wrecking-stolen-SUV-in-South-Bend-413194753.html</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</si>
  <si>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</si>
  <si>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</si>
  <si>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</si>
  <si>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</si>
  <si>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</si>
  <si>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</si>
  <si>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</si>
  <si>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</si>
  <si>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</si>
  <si>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</si>
  <si>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</si>
  <si>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</si>
  <si>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</si>
  <si>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</si>
  <si>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</si>
  <si>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</si>
  <si>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</si>
  <si>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</si>
  <si>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</si>
  <si>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</si>
  <si>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</si>
  <si>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</si>
  <si>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</si>
  <si>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</si>
  <si>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</si>
  <si>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</si>
  <si>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</si>
  <si>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</si>
  <si>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</si>
  <si>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</si>
  <si>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</si>
  <si>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</si>
  <si>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</si>
  <si>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</si>
  <si>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</si>
  <si>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</si>
  <si>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Detectives from the Santa Ana Police Department’s gang detail either made a car stop in an alley or encountered a car in an alley with two occupants. The passenger from the car fled on foot through the neighborhood – resulting in a foot pursuit – and was shot and killed, although what precipitated the shooting was not immediately disclosed by police.</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</si>
  <si>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</si>
  <si>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</si>
  <si>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</si>
  <si>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</si>
  <si>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</si>
  <si>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</si>
  <si>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</si>
  <si>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</si>
  <si>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</si>
  <si>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</si>
  <si>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</si>
  <si>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</si>
  <si>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</si>
  <si>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</si>
  <si>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</si>
  <si>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</si>
  <si>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</si>
  <si>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</si>
  <si>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</si>
  <si>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</si>
  <si>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</si>
  <si>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</si>
  <si>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</si>
  <si>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</si>
  <si>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</si>
  <si>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</si>
  <si>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</si>
  <si>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</si>
  <si>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</si>
  <si>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</si>
  <si>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</si>
  <si>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</si>
  <si>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</si>
  <si>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</si>
  <si>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</si>
  <si>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</si>
  <si>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</si>
  <si>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</si>
  <si>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</si>
  <si>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</si>
  <si>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</si>
  <si>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</si>
  <si>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</si>
  <si>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</si>
  <si>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</si>
  <si>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</si>
  <si>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</si>
  <si>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</si>
  <si>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</si>
  <si>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</si>
  <si>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</si>
  <si>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</si>
  <si>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</si>
  <si>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</si>
  <si>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</si>
  <si>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</si>
  <si>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</si>
  <si>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</si>
  <si>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</si>
  <si>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</si>
  <si>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</si>
  <si>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</si>
  <si>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</si>
  <si>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Nichelle Hill</t>
  </si>
  <si>
    <t>http://www.fatalencounters.org/wp-content/uploads/2013/10/15977862_1823918757866424_1347063177173696933_n.jpg</t>
  </si>
  <si>
    <t>Yorkville</t>
  </si>
  <si>
    <t>Yorkville Police Department</t>
  </si>
  <si>
    <t>Yorkville police said someone reported seeing a package being stolen from a porch. Officers spotted the car reported to be involved, and pulled over the 17-year-old girl who was driving. However, she then hit the gas and sped away, and police started chasing her through the subdivision. Police said the girl eventually lost control of the 2003 Toyota Avalon, which had been reported stolen, and crashed into a tree, killing Nichelle Hill.</t>
  </si>
  <si>
    <t>http://chicago.cbslocal.com/2017/01/06/girl-17-killed-in-crash-during-high-speed-chase-in-yorkville/</t>
  </si>
  <si>
    <t>Tommy Clayton Brown</t>
  </si>
  <si>
    <t>Devontae Troy Brooks</t>
  </si>
  <si>
    <t>http://www.fatalencounters.org/wp-content/uploads/2013/10/Devontae-Troy-Brooks.jpg</t>
  </si>
  <si>
    <t>NJ-49</t>
  </si>
  <si>
    <t>Bridgeton Police Department were looking for a Lincoln Continental involved in a crash earlier that evening where the car struck a police officer and drove off, according to police. A New Jersey State Police trooper tried to stop the Lincoln, but the car did not stop, which led to a short pursuit. The pursuit ended when the trooper lost sight of the Lincoln. Bridgeton police reported to State Police a short time later that the car was found crashed into a utility pole on Route 49 east near milepost 25.7. Police said the driver was traveling fast and attempting to turn when it ran off the road and slammed into the utility pole.</t>
  </si>
  <si>
    <t>http://www.nj.com/cumberland/index.ssf/2017/01/man_fleeing_police_killed_after_crashing_into_util.html</t>
  </si>
  <si>
    <t>Joella Cyphers</t>
  </si>
  <si>
    <t>http://www.fatalencounters.org/wp-content/uploads/2013/10/Joella-Cyphers.jpg</t>
  </si>
  <si>
    <t>809 S Agnew Ave</t>
  </si>
  <si>
    <t>Oklahoma Police Department</t>
  </si>
  <si>
    <t>http://www.koco.com/article/crews-responding-to-multi-vehicle-crash-in-oklahoma-city/8672500</t>
  </si>
  <si>
    <t>Quincey Gamar Norman</t>
  </si>
  <si>
    <t>Memorial Dr SE &amp; Douglas St SE</t>
  </si>
  <si>
    <t>After leading police on a chase, the driver of a Chevy pickup, Quincey Gamar Norman, was killed when the truck struck a car head-on in southeast Atlanta, also killing the woman, Ashley Tewell, who was driving the car, police said. Tewell's 7-year-old daughter, Lindsey, was also injured.</t>
  </si>
  <si>
    <t>http://www.ajc.com/news/traffic/update-truck-driver-chase-that-ended-deadly-head-crash/obstVYuPJ7HaK8RxJYJs1J/</t>
  </si>
  <si>
    <t>Samuel Phillips</t>
  </si>
  <si>
    <t>http://www.fatalencounters.org/wp-content/uploads/2013/10/SamuelPhillips.jpg</t>
  </si>
  <si>
    <t>Vincent Shaqui Elijah Fowlkes</t>
  </si>
  <si>
    <t>http://www.fatalencounters.org/wp-content/uploads/2013/10/Vincent-Shaqui-Elijah-Fowlkes.jpg</t>
  </si>
  <si>
    <t>31 Geneva Road</t>
  </si>
  <si>
    <t>Norwalk Police Department</t>
  </si>
  <si>
    <t>Vincent Fowlkes was attempting to elude a Norwalk police officer who was trying to make a traffic stop when the pursuit and crash occurred in the residential neighborhood. Fowlkes was killed and his passenger was injured.</t>
  </si>
  <si>
    <t>http://norwalk.dailyvoice.com/police-fire/norwalk-man-22-identified-as-driver-killed-in-crash-after-police-pursuit/697755/</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</si>
  <si>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</si>
  <si>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</si>
  <si>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</si>
  <si>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</si>
  <si>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</si>
  <si>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</si>
  <si>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</si>
  <si>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</si>
  <si>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</si>
  <si>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</si>
  <si>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</si>
  <si>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</si>
  <si>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</si>
  <si>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</si>
  <si>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</si>
  <si>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Dvontai Wright</t>
  </si>
  <si>
    <t>http://www.fatalencounters.org/wp-content/uploads/2013/10/Dvontai-Wright.jpg</t>
  </si>
  <si>
    <t>Gary Police Department</t>
  </si>
  <si>
    <t>The Gary Police Department responded to a call with active shooters, according to police. During the incident, numerous shots were fired, and five individuals suffered gunshot wounds. Wright was shot and killed, although it was not immediately reported who held the gun.</t>
  </si>
  <si>
    <t>http://www.nwitimes.com/news/local/lake/update-griffith-man-dies-in-gary-of-gunshot-wounds/article_66d7bc13-dd6e-52da-a43e-a7a634fb130e.html</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</si>
  <si>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</si>
  <si>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</si>
  <si>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</si>
  <si>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</si>
  <si>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</si>
  <si>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</si>
  <si>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</si>
  <si>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</si>
  <si>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</si>
  <si>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</si>
  <si>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</si>
  <si>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</si>
  <si>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</si>
  <si>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</si>
  <si>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</si>
  <si>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</si>
  <si>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</si>
  <si>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</si>
  <si>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</si>
  <si>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</si>
  <si>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</si>
  <si>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</si>
  <si>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</si>
  <si>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</si>
  <si>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</si>
  <si>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</si>
  <si>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</si>
  <si>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</si>
  <si>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</si>
  <si>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</si>
  <si>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</si>
  <si>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</si>
  <si>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</si>
  <si>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</si>
  <si>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</si>
  <si>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</si>
  <si>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</si>
  <si>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</si>
  <si>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</si>
  <si>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</si>
  <si>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</si>
  <si>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</si>
  <si>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</si>
  <si>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</si>
  <si>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</si>
  <si>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</si>
  <si>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</si>
  <si>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</si>
  <si>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</si>
  <si>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</si>
  <si>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</si>
  <si>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</si>
  <si>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</si>
  <si>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</si>
  <si>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</si>
  <si>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</si>
  <si>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</si>
  <si>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</si>
  <si>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</si>
  <si>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</si>
  <si>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</si>
  <si>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</si>
  <si>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</si>
  <si>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</si>
  <si>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</si>
  <si>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</si>
  <si>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</si>
  <si>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</si>
  <si>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</si>
  <si>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</si>
  <si>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</si>
  <si>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</si>
  <si>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</si>
  <si>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</si>
  <si>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</si>
  <si>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</si>
  <si>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http://kron4.com/2017/02/01/shelter-in-place-in-alameda-due-to-police-activity/</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</si>
  <si>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</si>
  <si>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</si>
  <si>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</si>
  <si>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</si>
  <si>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</si>
  <si>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</si>
  <si>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</si>
  <si>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</si>
  <si>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</si>
  <si>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</si>
  <si>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</si>
  <si>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</si>
  <si>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</si>
  <si>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10674 NE 11th Ct</t>
  </si>
  <si>
    <t>Miami Shores</t>
  </si>
  <si>
    <t>Golden Beach Police Department</t>
  </si>
  <si>
    <t>A woman called police after seeing a man outside her house. The man told the woman to go back inside, and she called police. Police from several agencies arrived and tracked down the man at a vacant home. A Golden Beach police officer was shot after entering the home. Negotiators tried to make contact with the man, to no avail. SWAT team officers eventually entered the home and found him dead.</t>
  </si>
  <si>
    <t>http://www.local10.com/news/crime/gunman-dies-aventural-hospital-releases-wounded-k-9-police-officer</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</si>
  <si>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</si>
  <si>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</si>
  <si>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</si>
  <si>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</si>
  <si>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</si>
  <si>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</si>
  <si>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</si>
  <si>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</si>
  <si>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</si>
  <si>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</si>
  <si>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</si>
  <si>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</si>
  <si>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</si>
  <si>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</si>
  <si>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</si>
  <si>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</si>
  <si>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</si>
  <si>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</si>
  <si>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</si>
  <si>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</si>
  <si>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</si>
  <si>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</si>
  <si>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During a brief fight, one shot was fired, killing Burton.</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</si>
  <si>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</si>
  <si>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</si>
  <si>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</si>
  <si>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</si>
  <si>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</si>
  <si>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</si>
  <si>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</si>
  <si>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</si>
  <si>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</si>
  <si>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Police Department, Mower County Sheriff's Office</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</si>
  <si>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</si>
  <si>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</si>
  <si>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</si>
  <si>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</si>
  <si>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</si>
  <si>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</si>
  <si>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</si>
  <si>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</si>
  <si>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</si>
  <si>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</si>
  <si>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</si>
  <si>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</si>
  <si>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</si>
  <si>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</si>
  <si>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</si>
  <si>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</si>
  <si>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</si>
  <si>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</si>
  <si>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</si>
  <si>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</si>
  <si>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</si>
  <si>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</si>
  <si>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</si>
  <si>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</si>
  <si>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</si>
  <si>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</si>
  <si>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</si>
  <si>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</si>
  <si>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</si>
  <si>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</si>
  <si>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</si>
  <si>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</si>
  <si>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</si>
  <si>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</si>
  <si>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</si>
  <si>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</si>
  <si>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</si>
  <si>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</si>
  <si>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</si>
  <si>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</si>
  <si>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</si>
  <si>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</si>
  <si>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</si>
  <si>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</si>
  <si>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</si>
  <si>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</si>
  <si>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</si>
  <si>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</si>
  <si>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</si>
  <si>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</si>
  <si>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</si>
  <si>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</si>
  <si>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</si>
  <si>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</si>
  <si>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</si>
  <si>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</si>
  <si>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</si>
  <si>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</si>
  <si>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</si>
  <si>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</si>
  <si>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</si>
  <si>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</si>
  <si>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</si>
  <si>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</si>
  <si>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</si>
  <si>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</si>
  <si>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</si>
  <si>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</si>
  <si>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</si>
  <si>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</si>
  <si>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</si>
  <si>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</si>
  <si>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</si>
  <si>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</si>
  <si>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</si>
  <si>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</si>
  <si>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</si>
  <si>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</si>
  <si>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</si>
  <si>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</si>
  <si>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</si>
  <si>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</si>
  <si>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</si>
  <si>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</si>
  <si>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</si>
  <si>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</si>
  <si>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</si>
  <si>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</si>
  <si>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</si>
  <si>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</si>
  <si>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</si>
  <si>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</si>
  <si>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</si>
  <si>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</si>
  <si>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</si>
  <si>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</si>
  <si>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</si>
  <si>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</si>
  <si>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</si>
  <si>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</si>
  <si>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</si>
  <si>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</si>
  <si>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</si>
  <si>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</si>
  <si>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</si>
  <si>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</si>
  <si>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600 Heartland Drive</t>
  </si>
  <si>
    <t>1700 Grant St</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</si>
  <si>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</si>
  <si>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</si>
  <si>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</si>
  <si>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</si>
  <si>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</si>
  <si>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</si>
  <si>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</si>
  <si>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</si>
  <si>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</si>
  <si>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</si>
  <si>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</si>
  <si>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</si>
  <si>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</si>
  <si>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</si>
  <si>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</si>
  <si>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Police spotted a Ford Explorer driving erratically. They tried to pull over the vehicle, but the driver refused to stop. Police said the suspect vehicle reached dangerous speeds during the chase. Moments later, the SUV crashed into a Chevy pickup truck on South Agnew Avenue just south of Interstate 40. The SUV then caught fire. Authorities said the SUV driver died at the scene. She has been identified as Joella Cyphers, 27.</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</si>
  <si>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</si>
  <si>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</si>
  <si>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</si>
  <si>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</si>
  <si>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</si>
  <si>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</si>
  <si>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</si>
  <si>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</si>
  <si>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</si>
  <si>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</si>
  <si>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</si>
  <si>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</si>
  <si>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</si>
  <si>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</si>
  <si>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</si>
  <si>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</si>
  <si>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</si>
  <si>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</si>
  <si>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</si>
  <si>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</si>
  <si>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</si>
  <si>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77031</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</si>
  <si>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</si>
  <si>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</si>
  <si>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</si>
  <si>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</si>
  <si>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</si>
  <si>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</si>
  <si>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</si>
  <si>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</si>
  <si>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</si>
  <si>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</si>
  <si>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62014</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</si>
  <si>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</si>
  <si>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</si>
  <si>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</si>
  <si>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</si>
  <si>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</si>
  <si>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</si>
  <si>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</si>
  <si>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</si>
  <si>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75904</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</si>
  <si>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</si>
  <si>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</si>
  <si>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</si>
  <si>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East 16th Street and Sheryl Lane</t>
  </si>
  <si>
    <t>National City</t>
  </si>
  <si>
    <t>91950</t>
  </si>
  <si>
    <t>National City Police Department</t>
  </si>
  <si>
    <t>A driver fleeing from police on a South Bay street was killed when he lost control of his car, sending it plowing into several parked vehicles, police said.</t>
  </si>
  <si>
    <t>http://fox5sandiego.com/2017/03/01/driver-killed-in-high-speed-police-chase/</t>
  </si>
  <si>
    <t>Isidro Bazan Jr.</t>
  </si>
  <si>
    <t>http://www.fatalencounters.org/wp-content/uploads/2013/10/Isidro-Bazan-Jr.png</t>
  </si>
  <si>
    <t>92078</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</si>
  <si>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</si>
  <si>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</si>
  <si>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</si>
  <si>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</si>
  <si>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</si>
  <si>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</si>
  <si>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54401</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</si>
  <si>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</si>
  <si>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</si>
  <si>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</si>
  <si>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</si>
  <si>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</si>
  <si>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</si>
  <si>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</si>
  <si>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</si>
  <si>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</si>
  <si>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</si>
  <si>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</si>
  <si>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Matthew Gonzales</t>
  </si>
  <si>
    <t>Woodland Avenue and Palm Avenue</t>
  </si>
  <si>
    <t>Trevor James Wright, 18, is charged with evading a peace officer causing death and injury, hit-and-run with death and injury and unlawful possession of a firearm. Passenger Matthew Gonzales, 16, died in a crash resulting from a high-speed police pursuit in Woodland.</t>
  </si>
  <si>
    <t>https://www.davisenterprise.com/local-news/crime-fire-courts/teen-crash-victim-idd/</t>
  </si>
  <si>
    <t>Ramon Andrade</t>
  </si>
  <si>
    <t>Main Street and Levine Street</t>
  </si>
  <si>
    <t>07503</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</si>
  <si>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</si>
  <si>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</si>
  <si>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</si>
  <si>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</si>
  <si>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80110</t>
  </si>
  <si>
    <t>Michael Kocher took hostages and barricaded himself in a home before he was shot and killed.</t>
  </si>
  <si>
    <t>http://englewoodherald.net/stories/Suspect-shot-by-police-in-Englewood-standoff,243773</t>
  </si>
  <si>
    <t>Dave Phoenix</t>
  </si>
  <si>
    <t>17225 Jersey Ave</t>
  </si>
  <si>
    <t>Lemoore</t>
  </si>
  <si>
    <t>93245</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</si>
  <si>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</si>
  <si>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</si>
  <si>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</si>
  <si>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</si>
  <si>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</si>
  <si>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</si>
  <si>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</si>
  <si>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Joseph Scott Inabinet</t>
  </si>
  <si>
    <t>Fountain Inn</t>
  </si>
  <si>
    <t>29644</t>
  </si>
  <si>
    <t>Deputies responded to a domestic disturbance. When they arrived, they found the caller's estranged husband in the home's backyard. As deputies approached him, he pointed a firearm at them and was shot and killed.</t>
  </si>
  <si>
    <t>http://www.wyff4.com/article/officer-involved-shooting-in-the-upstate/9091639</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</si>
  <si>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</si>
  <si>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</si>
  <si>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</si>
  <si>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</si>
  <si>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</si>
  <si>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</si>
  <si>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</si>
  <si>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</si>
  <si>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</si>
  <si>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99005</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</si>
  <si>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</si>
  <si>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</si>
  <si>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</si>
  <si>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40214</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</si>
  <si>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</si>
  <si>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</si>
  <si>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</si>
  <si>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</si>
  <si>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</si>
  <si>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90056</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</si>
  <si>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</si>
  <si>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</si>
  <si>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</si>
  <si>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</si>
  <si>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</si>
  <si>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</si>
  <si>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44136</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</si>
  <si>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</si>
  <si>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</si>
  <si>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</si>
  <si>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</si>
  <si>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</si>
  <si>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24017</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</si>
  <si>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</si>
  <si>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</si>
  <si>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</si>
  <si>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</si>
  <si>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</si>
  <si>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</si>
  <si>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</si>
  <si>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16101</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</si>
  <si>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</si>
  <si>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</si>
  <si>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</si>
  <si>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</si>
  <si>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</si>
  <si>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</si>
  <si>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</si>
  <si>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</si>
  <si>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</si>
  <si>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</si>
  <si>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</si>
  <si>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</si>
  <si>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95050</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</si>
  <si>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</si>
  <si>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</si>
  <si>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</si>
  <si>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</si>
  <si>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</si>
  <si>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</si>
  <si>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</si>
  <si>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</si>
  <si>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</si>
  <si>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77550</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</si>
  <si>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</si>
  <si>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</si>
  <si>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</si>
  <si>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</si>
  <si>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</si>
  <si>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</si>
  <si>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</si>
  <si>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76065</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</si>
  <si>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</si>
  <si>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</si>
  <si>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</si>
  <si>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</si>
  <si>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</si>
  <si>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53224</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</si>
  <si>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</si>
  <si>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</si>
  <si>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</si>
  <si>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</si>
  <si>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92867</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</si>
  <si>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</si>
  <si>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</si>
  <si>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</si>
  <si>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</si>
  <si>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</si>
  <si>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98225</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</si>
  <si>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</si>
  <si>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</si>
  <si>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</si>
  <si>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</si>
  <si>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</si>
  <si>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</si>
  <si>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44123</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</si>
  <si>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</si>
  <si>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</si>
  <si>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</si>
  <si>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</si>
  <si>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</si>
  <si>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94559</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</si>
  <si>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</si>
  <si>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</si>
  <si>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</si>
  <si>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</si>
  <si>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</si>
  <si>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94542</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</si>
  <si>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</si>
  <si>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</si>
  <si>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</si>
  <si>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</si>
  <si>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</si>
  <si>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80031</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</si>
  <si>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</si>
  <si>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</si>
  <si>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</si>
  <si>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</si>
  <si>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</si>
  <si>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</si>
  <si>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</si>
  <si>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32413</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</si>
  <si>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</si>
  <si>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</si>
  <si>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</si>
  <si>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</si>
  <si>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</si>
  <si>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</si>
  <si>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</si>
  <si>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21207</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</si>
  <si>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</si>
  <si>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</si>
  <si>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</si>
  <si>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</si>
  <si>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08755</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</si>
  <si>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</si>
  <si>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</si>
  <si>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</si>
  <si>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</si>
  <si>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</si>
  <si>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</si>
  <si>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98424</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</si>
  <si>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</si>
  <si>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</si>
  <si>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</si>
  <si>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</si>
  <si>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</si>
  <si>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</si>
  <si>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85085</t>
  </si>
  <si>
    <t>Todd Munson was wanted in connection with a deadly Ahwatukee shooting. After a chase and an intentional crash, he was shot and killed.</t>
  </si>
  <si>
    <t>http://www.abc15.com/news/region-phoenix-metro/north-phoenix/high-speed-chase-in-phoenix-suspect-down-after-leading-police-on-pursuit</t>
  </si>
  <si>
    <t>Daniel Edward Kulwicki</t>
  </si>
  <si>
    <t>http://www.fatalencounters.org/wp-content/uploads/2013/10/Daniel-Kulwicki.jpg</t>
  </si>
  <si>
    <t>5157 80th Way</t>
  </si>
  <si>
    <t>33709</t>
  </si>
  <si>
    <t>What began as an argument about doughnuts between Jeffrey M. Falsey, 24, and his mother, Susan DiFabbio, 63, ended with Falsey's arrest, and the death of Daniel Kulwicki, who was shot during the standoff between Falsey and police.</t>
  </si>
  <si>
    <t>http://www.tbreporter.com/crime/deputy-shot-man-killed-lealman-shooting/</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</si>
  <si>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</si>
  <si>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</si>
  <si>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</si>
  <si>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</si>
  <si>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</si>
  <si>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</si>
  <si>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</si>
  <si>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</si>
  <si>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</si>
  <si>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</si>
  <si>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</si>
  <si>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</si>
  <si>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</si>
  <si>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</si>
  <si>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04769</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</si>
  <si>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</si>
  <si>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</si>
  <si>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</si>
  <si>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</si>
  <si>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48093</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</si>
  <si>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</si>
  <si>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</si>
  <si>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</si>
  <si>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</si>
  <si>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</si>
  <si>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</si>
  <si>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</si>
  <si>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</si>
  <si>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</si>
  <si>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38001</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</si>
  <si>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</si>
  <si>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</si>
  <si>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</si>
  <si>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</si>
  <si>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</si>
  <si>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53209</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</si>
  <si>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</si>
  <si>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</si>
  <si>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</si>
  <si>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</si>
  <si>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95926</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</si>
  <si>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</si>
  <si>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</si>
  <si>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</si>
  <si>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</si>
  <si>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</si>
  <si>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38002</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</si>
  <si>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</si>
  <si>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</si>
  <si>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</si>
  <si>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</si>
  <si>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</si>
  <si>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</si>
  <si>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</si>
  <si>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30349</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</si>
  <si>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</si>
  <si>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</si>
  <si>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</si>
  <si>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</si>
  <si>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</si>
  <si>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83702</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</si>
  <si>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</si>
  <si>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</si>
  <si>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</si>
  <si>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</si>
  <si>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67216</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</si>
  <si>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</si>
  <si>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</si>
  <si>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</si>
  <si>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</si>
  <si>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74137</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</si>
  <si>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</si>
  <si>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</si>
  <si>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</si>
  <si>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</si>
  <si>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</si>
  <si>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70816</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</si>
  <si>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</si>
  <si>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</si>
  <si>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</si>
  <si>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</si>
  <si>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</si>
  <si>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</si>
  <si>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</si>
  <si>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92241</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</si>
  <si>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</si>
  <si>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</si>
  <si>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</si>
  <si>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</si>
  <si>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</si>
  <si>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</si>
  <si>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</si>
  <si>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</si>
  <si>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</si>
  <si>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</si>
  <si>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</si>
  <si>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32920</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</si>
  <si>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</si>
  <si>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</si>
  <si>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</si>
  <si>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</si>
  <si>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</si>
  <si>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32724</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</si>
  <si>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</si>
  <si>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</si>
  <si>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</si>
  <si>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</si>
  <si>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</si>
  <si>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</si>
  <si>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</si>
  <si>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</si>
  <si>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</si>
  <si>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</si>
  <si>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</si>
  <si>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91780</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</si>
  <si>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</si>
  <si>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</si>
  <si>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</si>
  <si>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</si>
  <si>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56762</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</si>
  <si>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</si>
  <si>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</si>
  <si>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</si>
  <si>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</si>
  <si>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27607</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</si>
  <si>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</si>
  <si>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</si>
  <si>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</si>
  <si>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Phillip Jerriel Moore</t>
  </si>
  <si>
    <t>http://www.fatalencounters.org/wp-content/uploads/2013/10/Phillip-Jerriel-Moore.jpg</t>
  </si>
  <si>
    <t>408 S University Ave</t>
  </si>
  <si>
    <t>72701</t>
  </si>
  <si>
    <t>Phillip Jerriel Moore, 23, had been stopped for ignoring a stop sign. After a foot chase and a couple of medical interventions, died.</t>
  </si>
  <si>
    <t>http://www.arkansasonline.com/news/2017/mar/22/arkansas-authorities-launch-investigation-after-ma/</t>
  </si>
  <si>
    <t>Robert Lee Eichen</t>
  </si>
  <si>
    <t>Redwood City</t>
  </si>
  <si>
    <t>94063</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</si>
  <si>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</si>
  <si>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</si>
  <si>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</si>
  <si>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</si>
  <si>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28412</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</si>
  <si>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</si>
  <si>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</si>
  <si>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</si>
  <si>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</si>
  <si>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</si>
  <si>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98296</t>
  </si>
  <si>
    <t>Snohomish County Sheriff's Office, Monroe Police Department</t>
  </si>
  <si>
    <t>Police responding to a domestic disturbance regarding a mentally ill man, Alex Dold was tasered and killed.</t>
  </si>
  <si>
    <t>http://www.king5.com/news/local/suspect-dies-during-domestic-violence-altercation-with-police/424540340</t>
  </si>
  <si>
    <t>Keg Mill Road</t>
  </si>
  <si>
    <t>72150</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</si>
  <si>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</si>
  <si>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</si>
  <si>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</si>
  <si>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</si>
  <si>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</si>
  <si>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</si>
  <si>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</si>
  <si>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</si>
  <si>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</si>
  <si>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</si>
  <si>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41314</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</si>
  <si>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</si>
  <si>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</si>
  <si>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</si>
  <si>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</si>
  <si>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</si>
  <si>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Acadiana</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</si>
  <si>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</si>
  <si>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</si>
  <si>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</si>
  <si>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</si>
  <si>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</si>
  <si>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</si>
  <si>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</si>
  <si>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</si>
  <si>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</si>
  <si>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</si>
  <si>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</si>
  <si>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</si>
  <si>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</si>
  <si>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</si>
  <si>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</si>
  <si>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</si>
  <si>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</si>
  <si>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76437</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</si>
  <si>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</si>
  <si>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</si>
  <si>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</si>
  <si>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</si>
  <si>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</si>
  <si>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</si>
  <si>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96022</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</si>
  <si>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</si>
  <si>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</si>
  <si>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Paul Junior Prieto</t>
  </si>
  <si>
    <t>233 Hamilton St</t>
  </si>
  <si>
    <t>18101</t>
  </si>
  <si>
    <t>A morning shootout at the American Plaza left a man dead and two other people wounded. An officer shot and killed a shooter who was spraying bullets at pedestrians in the area, police said.</t>
  </si>
  <si>
    <t>http://www.mcall.com/news/local/police/mc-allentown-fatal-shooting-20170325-story.html</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</si>
  <si>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</si>
  <si>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</si>
  <si>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</si>
  <si>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</si>
  <si>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</si>
  <si>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</si>
  <si>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</si>
  <si>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72201</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</si>
  <si>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</si>
  <si>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</si>
  <si>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</si>
  <si>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</si>
  <si>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</si>
  <si>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</si>
  <si>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</si>
  <si>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</si>
  <si>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20886</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</si>
  <si>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</si>
  <si>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</si>
  <si>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</si>
  <si>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</si>
  <si>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</si>
  <si>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</si>
  <si>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39752</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</si>
  <si>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</si>
  <si>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</si>
  <si>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</si>
  <si>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</si>
  <si>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</si>
  <si>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37091</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</si>
  <si>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</si>
  <si>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</si>
  <si>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</si>
  <si>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</si>
  <si>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</si>
  <si>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</si>
  <si>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</si>
  <si>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</si>
  <si>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</si>
  <si>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</si>
  <si>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</si>
  <si>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</si>
  <si>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</si>
  <si>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</si>
  <si>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</si>
  <si>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</si>
  <si>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</si>
  <si>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</si>
  <si>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</si>
  <si>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</si>
  <si>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</si>
  <si>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</si>
  <si>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</si>
  <si>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</si>
  <si>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block him in, striking two of their vehicles and speeding directly toward a trooper on foot when he was shot and killed.</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</si>
  <si>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</si>
  <si>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</si>
  <si>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</si>
  <si>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</si>
  <si>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</si>
  <si>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</si>
  <si>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</si>
  <si>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</si>
  <si>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</si>
  <si>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</si>
  <si>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</si>
  <si>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</si>
  <si>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</si>
  <si>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</si>
  <si>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</si>
  <si>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</si>
  <si>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</si>
  <si>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</si>
  <si>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</si>
  <si>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</si>
  <si>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</si>
  <si>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</si>
  <si>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</si>
  <si>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</si>
  <si>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</si>
  <si>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</si>
  <si>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</si>
  <si>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</si>
  <si>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</si>
  <si>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</si>
  <si>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</si>
  <si>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</si>
  <si>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</si>
  <si>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</si>
  <si>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</si>
  <si>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</si>
  <si>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</si>
  <si>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</si>
  <si>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</si>
  <si>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</si>
  <si>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</si>
  <si>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Paul Parienlla</t>
  </si>
  <si>
    <t>Jimmy Briggs</t>
  </si>
  <si>
    <t>Daniel Darnell Stroughter</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</si>
  <si>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</si>
  <si>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</si>
  <si>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</si>
  <si>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</si>
  <si>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</si>
  <si>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</si>
  <si>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</si>
  <si>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</si>
  <si>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</si>
  <si>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</si>
  <si>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</si>
  <si>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</si>
  <si>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</si>
  <si>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</si>
  <si>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</si>
  <si>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</si>
  <si>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</si>
  <si>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</si>
  <si>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</si>
  <si>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</si>
  <si>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</si>
  <si>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</si>
  <si>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</si>
  <si>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</si>
  <si>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</si>
  <si>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</si>
  <si>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</si>
  <si>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</si>
  <si>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</si>
  <si>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</si>
  <si>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</si>
  <si>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</si>
  <si>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</si>
  <si>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</si>
  <si>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</si>
  <si>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</si>
  <si>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</si>
  <si>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</si>
  <si>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</si>
  <si>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</si>
  <si>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</si>
  <si>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</si>
  <si>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</si>
  <si>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</si>
  <si>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</si>
  <si>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</si>
  <si>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</si>
  <si>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</si>
  <si>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</si>
  <si>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</si>
  <si>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</si>
  <si>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</si>
  <si>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</si>
  <si>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</si>
  <si>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WaPo ID</t>
  </si>
  <si>
    <t>machete and Gun</t>
  </si>
  <si>
    <t>hatchet and Gun</t>
  </si>
  <si>
    <t>bean-bag Gun</t>
  </si>
  <si>
    <t>Guns and explosives</t>
  </si>
  <si>
    <t>nail Gun</t>
  </si>
  <si>
    <t>Knife</t>
  </si>
  <si>
    <t>Gun and Knife</t>
  </si>
  <si>
    <t>pole and Knife</t>
  </si>
  <si>
    <t>Scissors</t>
  </si>
  <si>
    <t>Hammer</t>
  </si>
  <si>
    <t>Pole</t>
  </si>
  <si>
    <t>Stapler</t>
  </si>
  <si>
    <t>Ax</t>
  </si>
  <si>
    <t>Tire Iron</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</si>
  <si>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</si>
  <si>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</si>
  <si>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</si>
  <si>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Sword</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</si>
  <si>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</si>
  <si>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</si>
  <si>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</si>
  <si>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</si>
  <si>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</si>
  <si>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</si>
  <si>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</si>
  <si>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</si>
  <si>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</si>
  <si>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</si>
  <si>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</si>
  <si>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</si>
  <si>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</si>
  <si>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</si>
  <si>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</si>
  <si>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</si>
  <si>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</si>
  <si>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</si>
  <si>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</si>
  <si>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</si>
  <si>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</si>
  <si>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</si>
  <si>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</si>
  <si>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</si>
  <si>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1700 Scuffletown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</si>
  <si>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</si>
  <si>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</si>
  <si>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</si>
  <si>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</si>
  <si>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</si>
  <si>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</si>
  <si>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</si>
  <si>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</si>
  <si>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</si>
  <si>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</si>
  <si>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</si>
  <si>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</si>
  <si>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</si>
  <si>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</si>
  <si>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</si>
  <si>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</si>
  <si>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</si>
  <si>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</si>
  <si>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</si>
  <si>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</si>
  <si>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</si>
  <si>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</si>
  <si>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</si>
  <si>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</si>
  <si>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</si>
  <si>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</si>
  <si>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</si>
  <si>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</si>
  <si>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</si>
  <si>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</si>
  <si>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</si>
  <si>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</si>
  <si>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</si>
  <si>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</si>
  <si>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</si>
  <si>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</si>
  <si>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</si>
  <si>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</si>
  <si>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</si>
  <si>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</si>
  <si>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</si>
  <si>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</si>
  <si>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</si>
  <si>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</si>
  <si>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</si>
  <si>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</si>
  <si>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</si>
  <si>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</si>
  <si>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</si>
  <si>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</si>
  <si>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</si>
  <si>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</si>
  <si>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</si>
  <si>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</si>
  <si>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</si>
  <si>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Leon County</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</si>
  <si>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</si>
  <si>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</si>
  <si>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</si>
  <si>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</si>
  <si>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</si>
  <si>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</si>
  <si>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</si>
  <si>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</si>
  <si>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</si>
  <si>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</si>
  <si>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</si>
  <si>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</si>
  <si>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Wood County</t>
  </si>
  <si>
    <t>Gary Don Lafon</t>
  </si>
  <si>
    <t>John Ethan Carpentier</t>
  </si>
  <si>
    <t>Ashley Sides</t>
  </si>
  <si>
    <t>Bloomsburg</t>
  </si>
  <si>
    <t>Jonathan M. Young</t>
  </si>
  <si>
    <t>Deerfield</t>
  </si>
  <si>
    <t>Jamal Parks</t>
  </si>
  <si>
    <t>Troy Bateman</t>
  </si>
  <si>
    <t>William Dwayne Darby</t>
  </si>
  <si>
    <t>Taser, Pepper spray, beaten</t>
  </si>
  <si>
    <t>Pepper spray, Taser, beaten</t>
  </si>
  <si>
    <t>Bomb</t>
  </si>
  <si>
    <t>Toy</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</si>
  <si>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</si>
  <si>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</si>
  <si>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</si>
  <si>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</si>
  <si>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</si>
  <si>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</si>
  <si>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</si>
  <si>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</si>
  <si>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</si>
  <si>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</si>
  <si>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</si>
  <si>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</si>
  <si>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</si>
  <si>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</si>
  <si>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</si>
  <si>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</si>
  <si>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</si>
  <si>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</si>
  <si>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</si>
  <si>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</si>
  <si>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</si>
  <si>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</si>
  <si>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</si>
  <si>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</si>
  <si>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</si>
  <si>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</si>
  <si>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</si>
  <si>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</si>
  <si>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</si>
  <si>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</si>
  <si>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</si>
  <si>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</si>
  <si>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</si>
  <si>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</si>
  <si>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</si>
  <si>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</si>
  <si>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</si>
  <si>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</si>
  <si>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aggravated assault, Sentenced to 9 years deferred adjudication</t>
  </si>
  <si>
    <t>Charged, Convicted, Sentenced to 9 years deferred adjudication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</si>
  <si>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</si>
  <si>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</si>
  <si>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</si>
  <si>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</si>
  <si>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</si>
  <si>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</si>
  <si>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</si>
  <si>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</si>
  <si>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</si>
  <si>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</si>
  <si>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</si>
  <si>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 xml:space="preserve">
</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</si>
  <si>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</si>
  <si>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</si>
  <si>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</si>
  <si>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</si>
  <si>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</si>
  <si>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</si>
  <si>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</si>
  <si>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</si>
  <si>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</si>
  <si>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</si>
  <si>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</si>
  <si>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</si>
  <si>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</si>
  <si>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</si>
  <si>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</si>
  <si>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</si>
  <si>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</si>
  <si>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</si>
  <si>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</si>
  <si>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</si>
  <si>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</si>
  <si>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</si>
  <si>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</si>
  <si>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</si>
  <si>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</si>
  <si>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</si>
  <si>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</si>
  <si>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</si>
  <si>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</si>
  <si>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</si>
  <si>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</si>
  <si>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</si>
  <si>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</si>
  <si>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</si>
  <si>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</si>
  <si>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</si>
  <si>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</si>
  <si>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</si>
  <si>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</si>
  <si>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</si>
  <si>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</si>
  <si>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</si>
  <si>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</si>
  <si>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</si>
  <si>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Newark Department of Public Safety</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</si>
  <si>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</si>
  <si>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</si>
  <si>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</si>
  <si>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</si>
  <si>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</si>
  <si>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</si>
  <si>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</si>
  <si>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</si>
  <si>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</si>
  <si>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</si>
  <si>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</si>
  <si>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</si>
  <si>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</si>
  <si>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</si>
  <si>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</si>
  <si>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</si>
  <si>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</si>
  <si>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</si>
  <si>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</si>
  <si>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</si>
  <si>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</si>
  <si>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</si>
  <si>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</si>
  <si>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</si>
  <si>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</si>
  <si>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</si>
  <si>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</si>
  <si>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</si>
  <si>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</si>
  <si>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</si>
  <si>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</si>
  <si>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</si>
  <si>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</si>
  <si>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</si>
  <si>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</si>
  <si>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</si>
  <si>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</si>
  <si>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</si>
  <si>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</si>
  <si>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</si>
  <si>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</si>
  <si>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</si>
  <si>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</si>
  <si>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</si>
  <si>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</si>
  <si>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</si>
  <si>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</si>
  <si>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</si>
  <si>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</si>
  <si>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</si>
  <si>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unarmed</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</si>
  <si>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</si>
  <si>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</si>
  <si>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</si>
  <si>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</si>
  <si>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</si>
  <si>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</si>
  <si>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</si>
  <si>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</si>
  <si>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</si>
  <si>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</si>
  <si>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</si>
  <si>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</si>
  <si>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</si>
  <si>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</si>
  <si>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</si>
  <si>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</si>
  <si>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</si>
  <si>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</si>
  <si>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</si>
  <si>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</si>
  <si>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</si>
  <si>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</si>
  <si>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</si>
  <si>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Jose Hernandez-Rossy was shot and killed when he allegedly fired on an officer during a traffic stop.</t>
  </si>
  <si>
    <t>http://buffalonews.com/2017/05/07/buffalo-police-officer-struck-by-gunfire-after-shooting-in-black-rock/</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</si>
  <si>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</si>
  <si>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</si>
  <si>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</si>
  <si>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</si>
  <si>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</si>
  <si>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</si>
  <si>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</si>
  <si>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</si>
  <si>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</si>
  <si>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</si>
  <si>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</si>
  <si>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</si>
  <si>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</si>
  <si>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</si>
  <si>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</si>
  <si>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</si>
  <si>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</si>
  <si>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</si>
  <si>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</si>
  <si>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</si>
  <si>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</si>
  <si>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</si>
  <si>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</si>
  <si>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</si>
  <si>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</si>
  <si>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</si>
  <si>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</si>
  <si>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</si>
  <si>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</si>
  <si>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</si>
  <si>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</si>
  <si>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</si>
  <si>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</si>
  <si>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</si>
  <si>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</si>
  <si>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</si>
  <si>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</si>
  <si>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</si>
  <si>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hatchet and gun</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</si>
  <si>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</si>
  <si>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</si>
  <si>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</si>
  <si>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</si>
  <si>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</si>
  <si>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</si>
  <si>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</si>
  <si>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</si>
  <si>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</si>
  <si>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</si>
  <si>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</si>
  <si>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</si>
  <si>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</si>
  <si>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</si>
  <si>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</si>
  <si>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</si>
  <si>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</si>
  <si>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</si>
  <si>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</si>
  <si>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</si>
  <si>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</si>
  <si>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</si>
  <si>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</si>
  <si>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</si>
  <si>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</si>
  <si>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</si>
  <si>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</si>
  <si>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</si>
  <si>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</si>
  <si>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</si>
  <si>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</si>
  <si>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</si>
  <si>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</si>
  <si>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</si>
  <si>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</si>
  <si>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</si>
  <si>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Robert Brunner</t>
  </si>
  <si>
    <t>26 Westview Dr</t>
  </si>
  <si>
    <t>Milford Police Department responded to a report of a domestic situation. As officers approached the residence, a male subject fired several rounds at officers. A Milford Officer returned fire. After a standoff, police entered the residence and found Robert Brunner, 52, dead inside.</t>
  </si>
  <si>
    <t>http://siouxlandnews.com/news/local/dci-investigating-officer-involved-shooting-in-milford-ia</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</si>
  <si>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</si>
  <si>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</si>
  <si>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</si>
  <si>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</si>
  <si>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</si>
  <si>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</si>
  <si>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</si>
  <si>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</si>
  <si>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</si>
  <si>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</si>
  <si>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</si>
  <si>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</si>
  <si>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</si>
  <si>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</si>
  <si>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</si>
  <si>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</si>
  <si>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</si>
  <si>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</si>
  <si>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</si>
  <si>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</si>
  <si>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</si>
  <si>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</si>
  <si>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</si>
  <si>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</si>
  <si>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</si>
  <si>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</si>
  <si>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</si>
  <si>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</si>
  <si>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</si>
  <si>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</si>
  <si>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</si>
  <si>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</si>
  <si>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</si>
  <si>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</si>
  <si>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</si>
  <si>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</si>
  <si>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</si>
  <si>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</si>
  <si>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</si>
  <si>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</si>
  <si>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</si>
  <si>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</si>
  <si>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</si>
  <si>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</si>
  <si>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</si>
  <si>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</si>
  <si>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</si>
  <si>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</si>
  <si>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</si>
  <si>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</si>
  <si>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</si>
  <si>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</si>
  <si>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</si>
  <si>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</si>
  <si>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Charles Bossinger was shot and killed by two Lewistown police officers during an incident in the borough Wednesday evening, according to police. Few details were immediately released.</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</si>
  <si>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</si>
  <si>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</si>
  <si>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</si>
  <si>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</si>
  <si>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</si>
  <si>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</si>
  <si>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</si>
  <si>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</si>
  <si>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</si>
  <si>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</si>
  <si>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</si>
  <si>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</si>
  <si>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</si>
  <si>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</si>
  <si>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</si>
  <si>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</si>
  <si>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</si>
  <si>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</si>
  <si>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</si>
  <si>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</si>
  <si>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</si>
  <si>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</si>
  <si>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</si>
  <si>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</si>
  <si>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</si>
  <si>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</si>
  <si>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</si>
  <si>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</si>
  <si>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</si>
  <si>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</si>
  <si>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</si>
  <si>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</si>
  <si>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</si>
  <si>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</si>
  <si>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</si>
  <si>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</si>
  <si>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</si>
  <si>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</si>
  <si>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</si>
  <si>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</si>
  <si>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</si>
  <si>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</si>
  <si>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</si>
  <si>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</si>
  <si>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</si>
  <si>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</si>
  <si>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</si>
  <si>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</si>
  <si>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</si>
  <si>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</si>
  <si>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</si>
  <si>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</si>
  <si>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</si>
  <si>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</si>
  <si>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</si>
  <si>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</si>
  <si>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</si>
  <si>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</si>
  <si>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</si>
  <si>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</si>
  <si>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</si>
  <si>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</si>
  <si>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</si>
  <si>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</si>
  <si>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</si>
  <si>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</si>
  <si>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</si>
  <si>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</si>
  <si>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</si>
  <si>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</si>
  <si>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</si>
  <si>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</si>
  <si>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</si>
  <si>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</si>
  <si>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</si>
  <si>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</si>
  <si>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</si>
  <si>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</si>
  <si>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</si>
  <si>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</si>
  <si>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</si>
  <si>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</si>
  <si>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</si>
  <si>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</si>
  <si>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</si>
  <si>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</si>
  <si>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</si>
  <si>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</si>
  <si>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</si>
  <si>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</si>
  <si>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</si>
  <si>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</si>
  <si>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</si>
  <si>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</si>
  <si>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</si>
  <si>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</si>
  <si>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</si>
  <si>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</si>
  <si>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</si>
  <si>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</si>
  <si>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</si>
  <si>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</si>
  <si>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</si>
  <si>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</si>
  <si>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</si>
  <si>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</si>
  <si>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</si>
  <si>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</si>
  <si>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</si>
  <si>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</si>
  <si>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</si>
  <si>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</si>
  <si>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</si>
  <si>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</si>
  <si>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</si>
  <si>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</si>
  <si>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</si>
  <si>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</si>
  <si>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</si>
  <si>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</si>
  <si>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</si>
  <si>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</si>
  <si>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</si>
  <si>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</si>
  <si>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</si>
  <si>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</si>
  <si>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</si>
  <si>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</si>
  <si>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</si>
  <si>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</si>
  <si>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</si>
  <si>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</si>
  <si>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</si>
  <si>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</si>
  <si>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</si>
  <si>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</si>
  <si>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</si>
  <si>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</si>
  <si>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</si>
  <si>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</si>
  <si>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</si>
  <si>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</si>
  <si>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</si>
  <si>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</si>
  <si>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</si>
  <si>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</si>
  <si>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</si>
  <si>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</si>
  <si>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</si>
  <si>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</si>
  <si>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</si>
  <si>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</si>
  <si>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</si>
  <si>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</si>
  <si>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</si>
  <si>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</si>
  <si>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</si>
  <si>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</si>
  <si>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</si>
  <si>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</si>
  <si>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</si>
  <si>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</si>
  <si>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</si>
  <si>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</si>
  <si>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</si>
  <si>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</si>
  <si>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Jacksonville County Sheriff’s Office</t>
  </si>
  <si>
    <t>The Jacksonville Sheriff’s Office said Selwyn Hall struggled with two officers called to the scene as a follow-up to an earlier domestic battery call. They both used Tasers on him, but the devices were not effective, police said. Hall allegedly gained control of one officer’s Taser before Officer Ryan L. McGee fired eight times, killing him.</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</si>
  <si>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</si>
  <si>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</si>
  <si>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</si>
  <si>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</si>
  <si>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</si>
  <si>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</si>
  <si>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</si>
  <si>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</si>
  <si>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</si>
  <si>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</si>
  <si>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</si>
  <si>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</si>
  <si>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</si>
  <si>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</si>
  <si>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</si>
  <si>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</si>
  <si>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</si>
  <si>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</si>
  <si>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</si>
  <si>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</si>
  <si>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</si>
  <si>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</si>
  <si>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</si>
  <si>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</si>
  <si>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</si>
  <si>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</si>
  <si>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</si>
  <si>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</si>
  <si>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toy weapon</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</si>
  <si>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</si>
  <si>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</si>
  <si>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</si>
  <si>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</si>
  <si>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</si>
  <si>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</si>
  <si>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</si>
  <si>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</si>
  <si>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</si>
  <si>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</si>
  <si>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</si>
  <si>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</si>
  <si>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</si>
  <si>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</si>
  <si>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</si>
  <si>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</si>
  <si>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</si>
  <si>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</si>
  <si>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</si>
  <si>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</si>
  <si>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</si>
  <si>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</si>
  <si>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</si>
  <si>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</si>
  <si>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</si>
  <si>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</si>
  <si>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</si>
  <si>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</si>
  <si>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</si>
  <si>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</si>
  <si>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</si>
  <si>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</si>
  <si>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</si>
  <si>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</si>
  <si>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</si>
  <si>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</si>
  <si>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</si>
  <si>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</si>
  <si>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</si>
  <si>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</si>
  <si>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</si>
  <si>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</si>
  <si>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</si>
  <si>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</si>
  <si>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</si>
  <si>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</si>
  <si>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</si>
  <si>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</si>
  <si>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</si>
  <si>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</si>
  <si>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</si>
  <si>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</si>
  <si>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</si>
  <si>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</si>
  <si>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</si>
  <si>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</si>
  <si>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</si>
  <si>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</si>
  <si>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</si>
  <si>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Andrew Kearse</t>
  </si>
  <si>
    <t>http://www.fatalencounters.org/wp-content/uploads/2013/10/Andrew-Kearse.png</t>
  </si>
  <si>
    <t>531 Liberty St</t>
  </si>
  <si>
    <t>Medical emergency</t>
  </si>
  <si>
    <t>Police said that officers were trying to stop Kearse for a traffic violation, he pulled into a friend's driveway, got out and ran into the backyard. Officers caught up with him, arrested him and drove him to the police station. He was unresponsive on arrival and died.</t>
  </si>
  <si>
    <t>https://dailygazette.com/article/2017/05/12/witness-police-said-man-who-died-in-custody-was-faking</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</si>
  <si>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</si>
  <si>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</si>
  <si>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</si>
  <si>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</si>
  <si>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</si>
  <si>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</si>
  <si>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</si>
  <si>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</si>
  <si>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</si>
  <si>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</si>
  <si>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</si>
  <si>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</si>
  <si>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</si>
  <si>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Clarence Leon Davis</t>
  </si>
  <si>
    <t>http://www.fatalencounters.org/wp-content/uploads/2013/10/Clarence-Leon-Davis.jpg</t>
  </si>
  <si>
    <t>US-501 and County Line Rd</t>
  </si>
  <si>
    <t>Rougemont</t>
  </si>
  <si>
    <t>Person County Sheriff’s Office</t>
  </si>
  <si>
    <t>Officers with the Roxboro Police Department said they had a checkpoint set up and that Davis turned around about 500 yards prior to arriving at the checkpoint. Deputies were chasing the vehicle when it crossed over the median and struck another vehicle head-on. The driver, Clarence Leon Davis, was killed, and Earl Bailey, who was inside the second vehicle, was injured.</t>
  </si>
  <si>
    <t>http://www.wral.com/person-killed-during-police-chase-on-highway-501/16623219/</t>
  </si>
  <si>
    <t>Shakur Loyal</t>
  </si>
  <si>
    <t>http://www.fatalencounters.org/wp-content/uploads/2013/10/Shakur.jpg</t>
  </si>
  <si>
    <t>Irvine Turner Boulevard and Clinton Avenue</t>
  </si>
  <si>
    <t>Shakur Loyal, 18, was killed in a fiery crash as police chased him in a stolen Jaguar FX.</t>
  </si>
  <si>
    <t>http://www.nj.com/essex/index.ssf/2017/04/man_killed_in_fiery_wreck_during_police_chase_auth.html</t>
  </si>
  <si>
    <t>Da'Quan Harrell Blackwell</t>
  </si>
  <si>
    <t>http://www.fatalencounters.org/wp-content/uploads/2013/10/DaQuan-Harrell-Blackwell.jpg</t>
  </si>
  <si>
    <t>W Hammer Ln &amp; Alexandria Pl</t>
  </si>
  <si>
    <t>Fifteen-year-old Da'Quan Blackwell and 17-year-old Darrell Carpenter died after the vehicle they were in rolled over during a police pursuit. A third suspect, a 15-year-old, was arrested. The teens were being chased regarding an armed robbery.</t>
  </si>
  <si>
    <t>http://fox40.com/2017/04/05/two-teens-identified-as-suspects-killed-in-stockton-police-pursuit/</t>
  </si>
  <si>
    <t>Roger Perez</t>
  </si>
  <si>
    <t>3860 Decoto Rd</t>
  </si>
  <si>
    <t>Fremont police received a call from the East Bay Regional Parks police dispatch center requesting assistance after realizing a person had a gun. When Fremont police officers arrived, they saw one person leave the scene. He was found behind a Walgreens store. Police shot and killed the man. Circumstances as to why the officer shot him were not immediately released.</t>
  </si>
  <si>
    <t>http://kron4.com/2017/04/10/police-investigating-officer-involved-shooting-in-fremont/</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</si>
  <si>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</si>
  <si>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</si>
  <si>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</si>
  <si>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</si>
  <si>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</si>
  <si>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</si>
  <si>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</si>
  <si>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</si>
  <si>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</si>
  <si>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</si>
  <si>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</si>
  <si>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</si>
  <si>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</si>
  <si>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</si>
  <si>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</si>
  <si>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</si>
  <si>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</si>
  <si>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</si>
  <si>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</si>
  <si>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</si>
  <si>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</si>
  <si>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Grand Ave &amp; N 34th Ave</t>
  </si>
  <si>
    <t>Police were called to the home regarding a person shooting a gun. As they walked down the stairs to the basement, police said a man inside opened fire. After an exchange of gunfire, police retreated, sending a robot in later and finding a man dead.</t>
  </si>
  <si>
    <t>http://www.ketv.com/article/person-barricaded-inside-home-near-34th-street-grand-avenue/9653453</t>
  </si>
  <si>
    <t>800 South State Street</t>
  </si>
  <si>
    <t>Sgt. Rodney Vawter and Officer Dillon Silver responded to a call about an intoxicated man lying in the grass. They found Douglas A. Wiggington, and he became combative, according to police. The Greenfield officers shocked him with a Taser, killing him.</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</si>
  <si>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</si>
  <si>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</si>
  <si>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</si>
  <si>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</si>
  <si>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</si>
  <si>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</si>
  <si>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</si>
  <si>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</si>
  <si>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</si>
  <si>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</si>
  <si>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</si>
  <si>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</si>
  <si>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</si>
  <si>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</si>
  <si>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</si>
  <si>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</si>
  <si>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</si>
  <si>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</si>
  <si>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Kevin Marcus Robertson</t>
  </si>
  <si>
    <t>120 W Andy Devine Ave</t>
  </si>
  <si>
    <t>Kevin Marcus Robertson, 37, was wanted on a felony warrant for child molestation. It was reported that Robertson was despondent, suicidal and believed to be armed with a handgun. Police tried to take Robertson into custody, but he was uncooperative, refused commands and sped off. The truck slammed into a signpost in front of the Powerhouse Visitor Center. Robertson was killed in the crash.</t>
  </si>
  <si>
    <t>https://kdminer.com/news/2017/may/11/california-fugitive-dies-crash-andy-devine-avenue/</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</si>
  <si>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</si>
  <si>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</si>
  <si>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</si>
  <si>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</si>
  <si>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</si>
  <si>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</si>
  <si>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block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</si>
  <si>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</si>
  <si>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</si>
  <si>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</si>
  <si>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</si>
  <si>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</si>
  <si>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</si>
  <si>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</si>
  <si>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</si>
  <si>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</si>
  <si>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Hamilton Palmer</t>
  </si>
  <si>
    <t>Pulaski Pike NW &amp; Mastin Lake Rd NE</t>
  </si>
  <si>
    <t>Officers responded to a domestic violence call. Hamilton Palmer was trying to leave when he hit a patrol car before speeding away. Police chased Palmer and was several blocks ahead of officers on Mastin Lake Road when they said he ran the red light at Mastin Lake and Pulaski Pike. The truck then hit a car on Mastin Lake, police said. Palmer was killed.</t>
  </si>
  <si>
    <t>http://www.waaytv.com/appnews/update-man-killed-in-wreck-during-police-chase-identified/article_f9601ab6-1815-11e7-8644-bf3e3d096720.html</t>
  </si>
  <si>
    <t>Jose Francisco Martinez</t>
  </si>
  <si>
    <t>S Ely Rd &amp; Browns Ln</t>
  </si>
  <si>
    <t>Petaluma</t>
  </si>
  <si>
    <t>Petaluma Police Department</t>
  </si>
  <si>
    <t>Martinez and his brother, Josue Reynaldo, were riding motorcycles on the southeastern outskirts of Petaluma. Police received a 911 call from someone who said the bikers were speeding, police said. Both the men initially fled, but Josue stopped. Jose continued and crashed and died. Josue was arrested for allegedly drunken driving.</t>
  </si>
  <si>
    <t>http://www.pressdemocrat.com/news/6850484-181/motorcyclist-killed-in-crash-involving</t>
  </si>
  <si>
    <t>Darrell Carpenter</t>
  </si>
  <si>
    <t>Tabais Lee Robinson</t>
  </si>
  <si>
    <t>Fairground Rd</t>
  </si>
  <si>
    <t>Driver, 24-year-old Tabais L. Robinson, was killed, while the passenger, 23-year-old Andre T. Gross, was treated at an area hospital for his injuries suffered when they crashed while they were fleeing from police. Robinson was wanted on a parole retake warrant and on a warrant for violation of probation, while Gross was wanted on five warrants from the Calvert County Sheriff’s Office.</t>
  </si>
  <si>
    <t>http://baltimore.cbslocal.com/2017/04/04/suspect-dead-another-injured-after-crashing-during-police-chase/</t>
  </si>
  <si>
    <t>Beltway 8 and Old Beaumont Highway</t>
  </si>
  <si>
    <t>Harris County Sheriff's Department</t>
  </si>
  <si>
    <t>A deputy tried to stop a man driving a white Ford Explorer for failing to dim his lights and an expired registration, but he kept going, police said. The driver, Anthony Garcia, led the deputy on a short chase on Beltway 8 before exiting at Old Beaumont Highway onto the feeder road. He was driving about 90 to 100 mph and ran several red lights before he hit a curb and lost control. The SUV rolled several times, and Garcia was thrown from the vehicle, killing him.</t>
  </si>
  <si>
    <t>http://www.click2houston.com/news/driver-killed-in-rollover-crash-during-chase-on-beltway-8</t>
  </si>
  <si>
    <t>Garrett Wayne Johnson</t>
  </si>
  <si>
    <t>1600 Sandy Cross Road</t>
  </si>
  <si>
    <t>Alamance</t>
  </si>
  <si>
    <t>Police released very little information about this fatal crash. They chase a car for some undetermined criminal activity, and Garrett Wayne Johnson was partially ejected when the car flipped, and he died as a result of his injuries.</t>
  </si>
  <si>
    <t>http://wncn.com/2017/04/08/hillsborough-man-dies-in-crash-during-police-chase-officials-say/</t>
  </si>
  <si>
    <t>Lance Wooten</t>
  </si>
  <si>
    <t>http://www.fatalencounters.org/wp-content/uploads/2013/10/Lance-Wooten.jpg</t>
  </si>
  <si>
    <t>1009 Hood Avenue</t>
  </si>
  <si>
    <t>Chickamauga</t>
  </si>
  <si>
    <t>Lance Wooten, 30, was shot in the chest by his father, 58-year-old Pat Wooten, at a home on Hood Avenue. The elder is a Walker County detention officer.</t>
  </si>
  <si>
    <t>http://www.wrcbtv.com/story/35360247/walker-county-detention-officer-faces-murder-charges</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</si>
  <si>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</si>
  <si>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</si>
  <si>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</si>
  <si>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</si>
  <si>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</si>
  <si>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</si>
  <si>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</si>
  <si>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</si>
  <si>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</si>
  <si>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</si>
  <si>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</si>
  <si>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</si>
  <si>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</si>
  <si>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</si>
  <si>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</si>
  <si>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</si>
  <si>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</si>
  <si>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</si>
  <si>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</si>
  <si>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</si>
  <si>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</si>
  <si>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</si>
  <si>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</si>
  <si>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</si>
  <si>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</si>
  <si>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</si>
  <si>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</si>
  <si>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</si>
  <si>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</si>
  <si>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</si>
  <si>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</si>
  <si>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</si>
  <si>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</si>
  <si>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</si>
  <si>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</si>
  <si>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</si>
  <si>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</si>
  <si>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</si>
  <si>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</si>
  <si>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</si>
  <si>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</si>
  <si>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</si>
  <si>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Nicklaus Macke</t>
  </si>
  <si>
    <t>http://www.fatalencounters.org/wp-content/uploads/2013/10/obit.Macke_.P.4-29.jpg</t>
  </si>
  <si>
    <t>Olive St &amp; N Cardinal Ave</t>
  </si>
  <si>
    <t>Nicklaus Macke was on a 2008 Honda CBR motorcycle , heading east on Olive Street from North Compton. He was approaching the intersection of North Cardinal Avenue when the off-duty officer attempted to turn westbound on Olive from Cardinal. The motorcycle collided with the left side of the officer's car, a 2003 Cadillac CTS, police said. Macke was killed.</t>
  </si>
  <si>
    <t>http://www.stltoday.com/news/local/crime-and-courts/police-identify-motorcyclist-killed-in-collision-with-off-duty-police/article_9fdc7b05-24f9-5a1b-bc03-35533bd9bffd.html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</si>
  <si>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</si>
  <si>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</si>
  <si>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</si>
  <si>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</si>
  <si>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</si>
  <si>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</si>
  <si>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</si>
  <si>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</si>
  <si>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</si>
  <si>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</si>
  <si>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</si>
  <si>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</si>
  <si>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</si>
  <si>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</si>
  <si>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</si>
  <si>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04046</t>
  </si>
  <si>
    <t>York County Sheriff’s Office</t>
  </si>
  <si>
    <t>Deputies Steven Thistlewood and Heath Mains responded to a domestic disturbance. Chad Dionne, 37, was killed during "an armed confrontation."</t>
  </si>
  <si>
    <t>No known charges</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</si>
  <si>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</si>
  <si>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</si>
  <si>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</si>
  <si>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</si>
  <si>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</si>
  <si>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</si>
  <si>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200 block Firetree Lane</t>
  </si>
  <si>
    <t>Cary</t>
  </si>
  <si>
    <t>27513</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</si>
  <si>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</si>
  <si>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</si>
  <si>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</si>
  <si>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</si>
  <si>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</si>
  <si>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</si>
  <si>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</si>
  <si>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64138</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</si>
  <si>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</si>
  <si>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</si>
  <si>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</si>
  <si>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</si>
  <si>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</si>
  <si>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</si>
  <si>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</si>
  <si>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</si>
  <si>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</si>
  <si>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</si>
  <si>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600 block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</si>
  <si>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</si>
  <si>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</si>
  <si>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</si>
  <si>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02632</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</si>
  <si>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</si>
  <si>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</si>
  <si>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</si>
  <si>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</si>
  <si>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</si>
  <si>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</si>
  <si>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</si>
  <si>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37841</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</si>
  <si>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</si>
  <si>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</si>
  <si>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</si>
  <si>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</si>
  <si>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</si>
  <si>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</si>
  <si>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04915</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</si>
  <si>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</si>
  <si>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</si>
  <si>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</si>
  <si>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</si>
  <si>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</si>
  <si>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</si>
  <si>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</si>
  <si>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30168</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</si>
  <si>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</si>
  <si>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</si>
  <si>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</si>
  <si>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</si>
  <si>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</si>
  <si>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91006</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</si>
  <si>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</si>
  <si>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</si>
  <si>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</si>
  <si>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</si>
  <si>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</si>
  <si>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</si>
  <si>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87051</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</si>
  <si>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</si>
  <si>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</si>
  <si>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</si>
  <si>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</si>
  <si>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63116</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</si>
  <si>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</si>
  <si>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</si>
  <si>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</si>
  <si>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</si>
  <si>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</si>
  <si>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</si>
  <si>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</si>
  <si>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</si>
  <si>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</si>
  <si>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</si>
  <si>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53214</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</si>
  <si>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</si>
  <si>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and fought officers.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</si>
  <si>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</si>
  <si>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</si>
  <si>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</si>
  <si>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</si>
  <si>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</si>
  <si>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</si>
  <si>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</si>
  <si>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</si>
  <si>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</si>
  <si>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</si>
  <si>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44703</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</si>
  <si>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</si>
  <si>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</si>
  <si>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</si>
  <si>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</si>
  <si>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3700 block Cork Place</t>
  </si>
  <si>
    <t>94080</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</si>
  <si>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</si>
  <si>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</si>
  <si>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</si>
  <si>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900 block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</si>
  <si>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</si>
  <si>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</si>
  <si>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</si>
  <si>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</si>
  <si>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</si>
  <si>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83647</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</si>
  <si>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</si>
  <si>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</si>
  <si>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</si>
  <si>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</si>
  <si>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2200 block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</si>
  <si>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</si>
  <si>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</si>
  <si>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</si>
  <si>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</si>
  <si>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</si>
  <si>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</si>
  <si>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</si>
  <si>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</si>
  <si>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</si>
  <si>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100 block N Leslie St</t>
  </si>
  <si>
    <t>Pahrump</t>
  </si>
  <si>
    <t>89060</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</si>
  <si>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</si>
  <si>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</si>
  <si>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</si>
  <si>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</si>
  <si>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1900 block Park Boulevard</t>
  </si>
  <si>
    <t>West Sacramento</t>
  </si>
  <si>
    <t>95691</t>
  </si>
  <si>
    <t>West Sacramento Police Department</t>
  </si>
  <si>
    <t>Police were called about a man was yelling and throwing items. Officers tried to calm the man. He started to stab himself with a knife. Officers used a Taser, which police said had no effect. Officers fired rubber projectiles at the man, which allowed police to handcuff him. Lukins said the man was breathing at the time he was restrained and died shortly thereafter.</t>
  </si>
  <si>
    <t>http://www.sacbee.com/news/local/crime/article152099487.html</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</si>
  <si>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</si>
  <si>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</si>
  <si>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</si>
  <si>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</si>
  <si>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</si>
  <si>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</si>
  <si>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3200 block Champions Drive</t>
  </si>
  <si>
    <t>19808</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</si>
  <si>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</si>
  <si>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</si>
  <si>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</si>
  <si>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</si>
  <si>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</si>
  <si>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</si>
  <si>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</si>
  <si>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</si>
  <si>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</si>
  <si>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</si>
  <si>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</si>
  <si>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71419</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</si>
  <si>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</si>
  <si>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</si>
  <si>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</si>
  <si>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</si>
  <si>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</si>
  <si>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</si>
  <si>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</si>
  <si>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54911</t>
  </si>
  <si>
    <t>Outagamie</t>
  </si>
  <si>
    <t>Appleton Police Department</t>
  </si>
  <si>
    <t>Appleton Police answered a call about shots being fired inside Jack’s Apple Pub around 1 o'clock on Sunday morning. When officers arrived, people were leaving the building. An officer going in encountered a person with a gun and shot Jimmie Montel Sanders during an exchange of gunfire.</t>
  </si>
  <si>
    <t>http://www.wbay.com/content/news/One-person-dead-following-officer-involved-shooting-423432414.html</t>
  </si>
  <si>
    <t>Joseph Hodgin</t>
  </si>
  <si>
    <t>19th Street and Green Street</t>
  </si>
  <si>
    <t>18104</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</si>
  <si>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</si>
  <si>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</si>
  <si>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</si>
  <si>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</si>
  <si>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18013</t>
  </si>
  <si>
    <t>State police shot and killed Anthony Paul Ardo, 47. He had threatened to blow himself up and had a firework around his neck, police said.</t>
  </si>
  <si>
    <t>http://www.mcall.com/news/local/police/mc-lower-mount-bethel-20170520-story.html</t>
  </si>
  <si>
    <t>Mark Roshawn Adkins</t>
  </si>
  <si>
    <t>8100 block Lemon Grove Way</t>
  </si>
  <si>
    <t>Lemon Grove</t>
  </si>
  <si>
    <t>91945</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</si>
  <si>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</si>
  <si>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</si>
  <si>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</si>
  <si>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block Burgundy Drive</t>
  </si>
  <si>
    <t>94566</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</si>
  <si>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</si>
  <si>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</si>
  <si>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</si>
  <si>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</si>
  <si>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</si>
  <si>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</si>
  <si>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</si>
  <si>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</si>
  <si>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</si>
  <si>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</si>
  <si>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04917</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</si>
  <si>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</si>
  <si>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</si>
  <si>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</si>
  <si>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Daniel George Bork</t>
  </si>
  <si>
    <t>2528 S Glebe Rd</t>
  </si>
  <si>
    <t>22206</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</si>
  <si>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</si>
  <si>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</si>
  <si>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</si>
  <si>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</si>
  <si>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</si>
  <si>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</si>
  <si>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</si>
  <si>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John Martin</t>
  </si>
  <si>
    <t>400 NE Mother Joseph Pl</t>
  </si>
  <si>
    <t>98664</t>
  </si>
  <si>
    <t>Little information was immediately released, but John Martin, a Clark County Jail inmate, was being treated at PeaceHealth Southwest Medical Center when he was shot and killed by jail guards.</t>
  </si>
  <si>
    <t>http://www.columbian.com/news/2017/may/18/shots-fired-at-peacehealth-officer-involved/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</si>
  <si>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</si>
  <si>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</si>
  <si>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</si>
  <si>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</si>
  <si>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</si>
  <si>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</si>
  <si>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</si>
  <si>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</si>
  <si>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</si>
  <si>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</si>
  <si>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</si>
  <si>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</si>
  <si>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</si>
  <si>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</si>
  <si>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</si>
  <si>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</si>
  <si>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</si>
  <si>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59825</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</si>
  <si>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</si>
  <si>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</si>
  <si>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</si>
  <si>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</si>
  <si>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</si>
  <si>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</si>
  <si>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3200 block Camino Del Mar</t>
  </si>
  <si>
    <t>Del Mar</t>
  </si>
  <si>
    <t>92014</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</si>
  <si>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</si>
  <si>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</si>
  <si>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</si>
  <si>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</si>
  <si>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</si>
  <si>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Trey Alston Short</t>
  </si>
  <si>
    <t>http://media.graytvinc.com/images/810*454/Trey+Shorts+Cropped.jpg</t>
  </si>
  <si>
    <t>Main St &amp; S Lovers Ln</t>
  </si>
  <si>
    <t>Gatesville</t>
  </si>
  <si>
    <t>76528</t>
  </si>
  <si>
    <t>Gatesville Police Department</t>
  </si>
  <si>
    <t>Officers observed that Short, riding a Harley Davison, was speeding. They pursued him. Short evaded arrest and died in the resulting crash. A Cossack, Short was among the 192 people arrested after the 2015 gunfight in Waco that killed nine men.</t>
  </si>
  <si>
    <t>http://www.kwtx.com/content/news/Twin-Peaks-biker-killed-in-crash-during-police-chase-396536341.html</t>
  </si>
  <si>
    <t>Stacy Hardy</t>
  </si>
  <si>
    <t>http://media.graytvinc.com/images/810*456/Pfc.-Stacy-Jordan-Hardy.jpg</t>
  </si>
  <si>
    <t>S Fort Hood St &amp; W Elms Rd</t>
  </si>
  <si>
    <t>76549</t>
  </si>
  <si>
    <t>An officer tried to pull Hardy’s motorcycle over for speeding. Hardy evaded arrest at speeds of over 100 mph, weaving between vehicles and crashing into a Dodge Caravan at an intersection. Pfc. Hardy was a decorated Army infantryman.</t>
  </si>
  <si>
    <t>http://www.kwtx.com/content/news/Fort-Hood-soldier-dies-after-motorcycle-crash-393012441.html</t>
  </si>
  <si>
    <t>Ashley N. Whittington</t>
  </si>
  <si>
    <t>http://www.fatalencounters.org/wp-content/uploads/2013/10/Ashley-N.-Whittington.jpg</t>
  </si>
  <si>
    <t>305 Malvern Avenue</t>
  </si>
  <si>
    <t>Hot Spring County Sheriff's Office</t>
  </si>
  <si>
    <t>Dakota Avants, 22, of Pine Bluff, the car's diriver, was charged with two counts of first-degree murder after two passengers in the vehicle, Kersha L. Arrington, 32, and Ashley Nicole Whittington, 30, both of Pine Bluff, died as the result of injuries sustained in the crash, which occurred after a highspeed pursuit that originated in Hot Spring County.</t>
  </si>
  <si>
    <t>https://www.pressreader.com/usa/the-sentinel-record/20160824/281479275833229</t>
  </si>
  <si>
    <t>Kersha L. Arrington</t>
  </si>
  <si>
    <t>http://www.fatalencounters.org/wp-content/uploads/2013/10/KershaArrington.jpg</t>
  </si>
  <si>
    <t>Dakota Avants, 22, of Pine Bluff, the car's diriver, was charged with two counts of first-degree murder after two passengers in the vehicle, Kersha L. Arrington, 32, and Ashley Nicole Whittington, 30, both of Pine Bluff, died as the result of injuries sustained in a crash, which occurred after a highspeed pursuit that originated in Hot Spring County.</t>
  </si>
  <si>
    <t>Andre Smith</t>
  </si>
  <si>
    <t>http://www.fatalencounters.org/wp-content/uploads/2013/10/AndreSmith.jpg</t>
  </si>
  <si>
    <t>Market Street and Bank Street</t>
  </si>
  <si>
    <t>15417</t>
  </si>
  <si>
    <t>Andre Smith died when the Honda Civic he was driving crashed after state police attempted to stop it to question him about an incident earlier in the night. Police said Smith took off at an “excessive speed” when a state police cruiser activated its lights and sirens. Smith tried to turn right onto Bank Street, but his car struck a building.</t>
  </si>
  <si>
    <t>http://triblive.com/news/westmoreland/9408018-74/smith-family-brownsville</t>
  </si>
  <si>
    <t>Richard O. Giles Jr.</t>
  </si>
  <si>
    <t>52 Bates St</t>
  </si>
  <si>
    <t>15213</t>
  </si>
  <si>
    <t>Police say the driver, Richard O. Giles Jr., of a car being chased by state troopers was killed and four others were hurt when he crashed into another vehicle while fleeing police. Police thought they smelled marijuana in the car during a traffic stop.</t>
  </si>
  <si>
    <t>http://www.wtae.com/article/1-dead-4-hurt-after-parkway-east-chase-1/7472399</t>
  </si>
  <si>
    <t>Marco Hilson</t>
  </si>
  <si>
    <t>W Capitol Dr &amp; N 60th St</t>
  </si>
  <si>
    <t>53216</t>
  </si>
  <si>
    <t>Marco Hilson, the driver of a vehicle that was stolen during an armed robbery, was killed when he was involved in a crash involving five vehicles while fleeing police.</t>
  </si>
  <si>
    <t>http://fox6now.com/2015/04/20/15-year-old-marco-hilson-teen-gang-member-who-caused-five-vehicle-crash-at-60th-capitol-has-died/</t>
  </si>
  <si>
    <t>Jeremiah Michael Herrold</t>
  </si>
  <si>
    <t>http://www.fatalencounters.org/wp-content/uploads/2013/10/JeremiahHerrold.jpg</t>
  </si>
  <si>
    <t>Produce Road and Silver Creek Road</t>
  </si>
  <si>
    <t>Port Trevorton</t>
  </si>
  <si>
    <t>17864</t>
  </si>
  <si>
    <t>Snyder</t>
  </si>
  <si>
    <t>Jeremiah Michael Herrold died from injuries suffered when his pickup truck struck a tree while he was fleeing a police stop.</t>
  </si>
  <si>
    <t>http://www.pennlive.com/midstate/index.ssf/2015/03/snyder_county_man_fatally_hurt.html</t>
  </si>
  <si>
    <t>James M. Dilliplane</t>
  </si>
  <si>
    <t>I-24 &amp; US-45</t>
  </si>
  <si>
    <t>Paducah</t>
  </si>
  <si>
    <t>McCracken</t>
  </si>
  <si>
    <t>McCracken County Sheriff's Department</t>
  </si>
  <si>
    <t>A McCracken County Sheriff's Deputy tried to pull James M. Dilliplane, 27, for speeding on John Puryear Drive, but he fled west on I-24 at speeds exceeding 150 mph. Dilliplane lost control as he exited onto US 45. His car then hit a concrete median, crossed the southbound lanes and struck a dirt embankment, killing Dilliplane and injuring his passenger.</t>
  </si>
  <si>
    <t>http://www.westkentuckystar.com/News/Local-Regional/Western-Kentucky/Police-Pursuit-Ends-in-Fatal-Wreck.aspx</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</si>
  <si>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</si>
  <si>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</si>
  <si>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</si>
  <si>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</si>
  <si>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</si>
  <si>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I-29</t>
  </si>
  <si>
    <t>The driver of a stolen truck was killed after he led police on a high-speed chase and crashed the vehicle. Police said the man drove the wrong way on southbound I-29, crashed into a suburban, and was killed.</t>
  </si>
  <si>
    <t>https://docs.google.com/document/d/1vbfNiZI36TDj7KuZfE_6McUiISO3jeqMFy9ddYSeUj8/edit?usp=sharing</t>
  </si>
  <si>
    <t>Adrain Ramero Taylor</t>
  </si>
  <si>
    <t>http://www.fatalencounters.org/wp-content/uploads/2013/10/Adrain-Ramero-Taylor.jpg</t>
  </si>
  <si>
    <t>Roosevelt Ave. and Bluff St.</t>
  </si>
  <si>
    <t>Adrain Ramero Taylor, 22, died after he fled from police who were trying to stop him for a speeding ticket, hit another vehicle and crashed into a pole, police said.</t>
  </si>
  <si>
    <t>http://archive.jsonline.com/news/traffic/brfbeloit17-b99226611z1-250529771.html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</si>
  <si>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</si>
  <si>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</si>
  <si>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</si>
  <si>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</si>
  <si>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</si>
  <si>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</si>
  <si>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</si>
  <si>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</si>
  <si>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</si>
  <si>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</si>
  <si>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</si>
  <si>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3300 block S Byers Avenue</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</si>
  <si>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</si>
  <si>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</si>
  <si>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</si>
  <si>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</si>
  <si>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</si>
  <si>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</si>
  <si>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</si>
  <si>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</si>
  <si>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</si>
  <si>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</si>
  <si>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</si>
  <si>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</si>
  <si>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</si>
  <si>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Ellis Scarborough</t>
  </si>
  <si>
    <t>Pelion</t>
  </si>
  <si>
    <t>29123</t>
  </si>
  <si>
    <t>South Carolina Highway Patrol</t>
  </si>
  <si>
    <t>Deputies had been looking for Scarborough after a female friend reported he had punched her and kicked her in the face. Deputies tried to pull Scarborough over at a traffic stop, but he drove away. He died after hitting a utility pole.</t>
  </si>
  <si>
    <t>http://www.aikenstandard.com/news/suspect-killed-in-chase-with-lexington-deputies/article_7873eb5a-0db8-5f31-9bf2-e31cc423279e.html</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</si>
  <si>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</si>
  <si>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</si>
  <si>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</si>
  <si>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</si>
  <si>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</si>
  <si>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</si>
  <si>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</si>
  <si>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</si>
  <si>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</si>
  <si>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</si>
  <si>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</si>
  <si>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</si>
  <si>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</si>
  <si>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</si>
  <si>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</si>
  <si>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</si>
  <si>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</si>
  <si>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</si>
  <si>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</si>
  <si>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</si>
  <si>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</si>
  <si>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</si>
  <si>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</si>
  <si>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</si>
  <si>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</si>
  <si>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</si>
  <si>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</si>
  <si>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</si>
  <si>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</si>
  <si>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</si>
  <si>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</si>
  <si>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</si>
  <si>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</si>
  <si>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</si>
  <si>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</si>
  <si>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</si>
  <si>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</si>
  <si>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</si>
  <si>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</si>
  <si>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</si>
  <si>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</si>
  <si>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</si>
  <si>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</si>
  <si>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</si>
  <si>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</si>
  <si>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</si>
  <si>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</si>
  <si>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</si>
  <si>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</si>
  <si>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</si>
  <si>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</si>
  <si>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</si>
  <si>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</si>
  <si>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</si>
  <si>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</si>
  <si>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</si>
  <si>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</si>
  <si>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</si>
  <si>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</si>
  <si>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</si>
  <si>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</si>
  <si>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</si>
  <si>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</si>
  <si>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</si>
  <si>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</si>
  <si>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</si>
  <si>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</si>
  <si>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</si>
  <si>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</si>
  <si>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</si>
  <si>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</si>
  <si>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</si>
  <si>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</si>
  <si>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</si>
  <si>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</si>
  <si>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</si>
  <si>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</si>
  <si>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</si>
  <si>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</si>
  <si>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</si>
  <si>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</si>
  <si>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</si>
  <si>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</si>
  <si>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</si>
  <si>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</si>
  <si>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</si>
  <si>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</si>
  <si>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</si>
  <si>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</si>
  <si>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</si>
  <si>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</si>
  <si>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</si>
  <si>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</si>
  <si>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</si>
  <si>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</si>
  <si>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</si>
  <si>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</si>
  <si>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</si>
  <si>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</si>
  <si>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</si>
  <si>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</si>
  <si>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</si>
  <si>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A man robbed two people in a shopping center parking lot, then hopped onto a No. 10 MTA bus. Police stopped the bus a block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</si>
  <si>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</si>
  <si>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</si>
  <si>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</si>
  <si>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</si>
  <si>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</si>
  <si>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</si>
  <si>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</si>
  <si>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</si>
  <si>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</si>
  <si>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</si>
  <si>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</si>
  <si>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</si>
  <si>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</si>
  <si>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</si>
  <si>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</si>
  <si>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</si>
  <si>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</si>
  <si>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</si>
  <si>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</si>
  <si>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</si>
  <si>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</si>
  <si>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</si>
  <si>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</si>
  <si>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</si>
  <si>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</si>
  <si>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</si>
  <si>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</si>
  <si>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</si>
  <si>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</si>
  <si>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</si>
  <si>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</si>
  <si>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</si>
  <si>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</si>
  <si>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</si>
  <si>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</si>
  <si>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</si>
  <si>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</si>
  <si>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</si>
  <si>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</si>
  <si>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</si>
  <si>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</si>
  <si>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</si>
  <si>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</si>
  <si>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</si>
  <si>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</si>
  <si>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</si>
  <si>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</si>
  <si>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</si>
  <si>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</si>
  <si>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</si>
  <si>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</si>
  <si>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</si>
  <si>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</si>
  <si>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</si>
  <si>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</si>
  <si>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</si>
  <si>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</si>
  <si>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Quinton Cortez Samuel was a pedestrian on 2800 block of East Main Street when he was run down and killed by a Houston County Sheriff's deputy.</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</si>
  <si>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</si>
  <si>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</si>
  <si>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</si>
  <si>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</si>
  <si>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</si>
  <si>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</si>
  <si>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</si>
  <si>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</si>
  <si>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</si>
  <si>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</si>
  <si>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</si>
  <si>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</si>
  <si>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</si>
  <si>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</si>
  <si>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</si>
  <si>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</si>
  <si>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</si>
  <si>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</si>
  <si>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</si>
  <si>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</si>
  <si>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</si>
  <si>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</si>
  <si>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</si>
  <si>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</si>
  <si>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</si>
  <si>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</si>
  <si>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</si>
  <si>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</si>
  <si>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</si>
  <si>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</si>
  <si>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</si>
  <si>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</si>
  <si>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</si>
  <si>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</si>
  <si>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</si>
  <si>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</si>
  <si>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</si>
  <si>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</si>
  <si>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</si>
  <si>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</si>
  <si>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</si>
  <si>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</si>
  <si>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</si>
  <si>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</si>
  <si>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</si>
  <si>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</si>
  <si>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</si>
  <si>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</si>
  <si>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</si>
  <si>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</si>
  <si>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</si>
  <si>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</si>
  <si>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</si>
  <si>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</si>
  <si>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</si>
  <si>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</si>
  <si>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</si>
  <si>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</si>
  <si>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</si>
  <si>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</si>
  <si>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</si>
  <si>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</si>
  <si>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</si>
  <si>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</si>
  <si>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</si>
  <si>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</si>
  <si>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</si>
  <si>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</si>
  <si>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</si>
  <si>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</si>
  <si>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</si>
  <si>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Roman Jade Carrillo</t>
  </si>
  <si>
    <t>http://www.fatalencounters.org/wp-content/uploads/2013/10/Roman-Jade-Carrillo.jpg</t>
  </si>
  <si>
    <t>Canyon Rd and Mountain View Rd</t>
  </si>
  <si>
    <t>Police responded to a shooting, finding the car that the suspects from the shooting were driving. After a chase, the suspects hit a tree and a mailbox before getting out of the car and confronting police. Roman Carrillo was shot and killed.</t>
  </si>
  <si>
    <t>http://fox13now.com/2017/05/30/high-speed-chase-leads-to-officer-involved-shooting/</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</si>
  <si>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</si>
  <si>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</si>
  <si>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</si>
  <si>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</si>
  <si>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</si>
  <si>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</si>
  <si>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</si>
  <si>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</si>
  <si>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</si>
  <si>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</si>
  <si>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</si>
  <si>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</si>
  <si>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</si>
  <si>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</si>
  <si>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</si>
  <si>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</si>
  <si>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</si>
  <si>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</si>
  <si>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</si>
  <si>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</si>
  <si>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</si>
  <si>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</si>
  <si>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</si>
  <si>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</si>
  <si>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</si>
  <si>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</si>
  <si>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</si>
  <si>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</si>
  <si>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</si>
  <si>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negligent homicide</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</si>
  <si>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</si>
  <si>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</si>
  <si>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</si>
  <si>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</si>
  <si>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</si>
  <si>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</si>
  <si>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</si>
  <si>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</si>
  <si>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</si>
  <si>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</si>
  <si>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</si>
  <si>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</si>
  <si>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</si>
  <si>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</si>
  <si>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with aggravated assault</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</si>
  <si>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</si>
  <si>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</si>
  <si>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</si>
  <si>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</si>
  <si>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</si>
  <si>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</si>
  <si>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</si>
  <si>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</si>
  <si>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</si>
  <si>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</si>
  <si>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</si>
  <si>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</si>
  <si>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</si>
  <si>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</si>
  <si>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</si>
  <si>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</si>
  <si>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</si>
  <si>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</si>
  <si>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</si>
  <si>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</si>
  <si>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</si>
  <si>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</si>
  <si>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</si>
  <si>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http://www.columbiatribune.com/2787a427-803e-5861-a0af-4589fe754c17.html</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</si>
  <si>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</si>
  <si>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</si>
  <si>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</si>
  <si>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</si>
  <si>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</si>
  <si>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</si>
  <si>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</si>
  <si>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</si>
  <si>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</si>
  <si>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</si>
  <si>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</si>
  <si>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</si>
  <si>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</si>
  <si>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</si>
  <si>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</si>
  <si>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</si>
  <si>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</si>
  <si>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</si>
  <si>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</si>
  <si>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</si>
  <si>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</si>
  <si>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</si>
  <si>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</si>
  <si>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Tyrone Peabody</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</si>
  <si>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</si>
  <si>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</si>
  <si>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</si>
  <si>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</si>
  <si>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</si>
  <si>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http://www.nwitimes.com/news/local/crime-and-courts/man-killed-in-collision-with-kouts-police-officer/article_709119f0-de68-5997-84b0-9c366e13da96.html</t>
  </si>
  <si>
    <t>Kouts police Officer Brock Moore, 24, was eastbound on Ind. 8 approaching the area of Baums Bridge Road. Robert Lindsey, 45, was northbound on Baums Bridge Road in a Buick. Police said Lindsey failed to yield the right of way to the police car and entered the intersection. The Buick was struck on the driver's side by the police car, killing Lindsey.</t>
  </si>
  <si>
    <t>Kouts Police Department</t>
  </si>
  <si>
    <t>Kouts</t>
  </si>
  <si>
    <t>IN-8 and S. Baums Bridge Road</t>
  </si>
  <si>
    <t>Robert Lindsey</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</si>
  <si>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</si>
  <si>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</si>
  <si>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</si>
  <si>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</si>
  <si>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</si>
  <si>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</si>
  <si>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</si>
  <si>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</si>
  <si>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</si>
  <si>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</si>
  <si>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</si>
  <si>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</si>
  <si>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</si>
  <si>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</si>
  <si>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</si>
  <si>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</si>
  <si>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A man knocked on the door of the McCleary Police Department, and when officers answered the knock, the man told him he'd ingested "too much methamphetamine" and needed medical help. He fought with medical personnel and police and ran onto a highway before being tasered and eventually shot and killed.</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</si>
  <si>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</si>
  <si>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</si>
  <si>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</si>
  <si>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</si>
  <si>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</si>
  <si>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</si>
  <si>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</si>
  <si>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</si>
  <si>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</si>
  <si>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</si>
  <si>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</si>
  <si>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</si>
  <si>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</si>
  <si>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</si>
  <si>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</si>
  <si>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</si>
  <si>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</si>
  <si>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</si>
  <si>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</si>
  <si>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http://www.nbcwashington.com/news/local/Police-Man-Carjacked-Woman-at-Gunpoint-Got-Into-Fatal-Crash-431178853.html</t>
  </si>
  <si>
    <t>Derrick Foster was suspected of stealing a car at gunpoint and later crashed during a police chase, setting the stolen car aflame, killing him, police said.</t>
  </si>
  <si>
    <t>4200 Silver Hill Rd</t>
  </si>
  <si>
    <t>Derrick Foster</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</si>
  <si>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</si>
  <si>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</si>
  <si>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</si>
  <si>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</si>
  <si>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2100 N Street</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</si>
  <si>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</si>
  <si>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</si>
  <si>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</si>
  <si>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</si>
  <si>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</si>
  <si>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</si>
  <si>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</si>
  <si>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</si>
  <si>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http://abc7chicago.com/news/police-chased-off-duty-cpd-officer-prior-to-crash-that-killed-2/2153455/</t>
  </si>
  <si>
    <t>An unidentified off-duty Chicago police officer was being pursued by police before being killed in a crash that also killed Chequita Adams.</t>
  </si>
  <si>
    <t>4400 West Roosevelt Road</t>
  </si>
  <si>
    <t>http://www.fatalencounters.org/wp-content/uploads/2013/10/Chequita-Adams.jpg</t>
  </si>
  <si>
    <t>Chequita Adams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</si>
  <si>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</si>
  <si>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</si>
  <si>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</si>
  <si>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</si>
  <si>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</si>
  <si>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William Webster</t>
  </si>
  <si>
    <t>pen</t>
  </si>
  <si>
    <t>http://www.seattlepi.com/local/crime/article/Sheriff-s-Office-Deputy-fatally-shot-11219678.php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</si>
  <si>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</si>
  <si>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</si>
  <si>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</si>
  <si>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</si>
  <si>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</si>
  <si>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</si>
  <si>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9600 14th Bay Street</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</si>
  <si>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</si>
  <si>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</si>
  <si>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</si>
  <si>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</si>
  <si>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</si>
  <si>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</si>
  <si>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</si>
  <si>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</si>
  <si>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</si>
  <si>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</si>
  <si>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</si>
  <si>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</si>
  <si>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</si>
  <si>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</si>
  <si>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</si>
  <si>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</si>
  <si>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</si>
  <si>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</si>
  <si>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</si>
  <si>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</si>
  <si>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</si>
  <si>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</si>
  <si>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</si>
  <si>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</si>
  <si>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</si>
  <si>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</si>
  <si>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</si>
  <si>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</si>
  <si>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</si>
  <si>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</si>
  <si>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</si>
  <si>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</si>
  <si>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</si>
  <si>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</si>
  <si>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</si>
  <si>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</si>
  <si>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</si>
  <si>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</si>
  <si>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</si>
  <si>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</si>
  <si>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</si>
  <si>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</si>
  <si>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</si>
  <si>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</si>
  <si>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</si>
  <si>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</si>
  <si>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</si>
  <si>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</si>
  <si>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</si>
  <si>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</si>
  <si>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</si>
  <si>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</si>
  <si>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</si>
  <si>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2200 S Kostner</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</si>
  <si>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</si>
  <si>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</si>
  <si>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</si>
  <si>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</si>
  <si>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</si>
  <si>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</si>
  <si>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</si>
  <si>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</si>
  <si>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</si>
  <si>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</si>
  <si>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</si>
  <si>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</si>
  <si>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</si>
  <si>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</si>
  <si>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</si>
  <si>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</si>
  <si>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</si>
  <si>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</si>
  <si>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</si>
  <si>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</si>
  <si>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</si>
  <si>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</si>
  <si>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</si>
  <si>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7400 Desert Morning SW</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</si>
  <si>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</si>
  <si>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</si>
  <si>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</si>
  <si>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</si>
  <si>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</si>
  <si>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</si>
  <si>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</si>
  <si>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</si>
  <si>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</si>
  <si>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</si>
  <si>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</si>
  <si>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</si>
  <si>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</si>
  <si>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</si>
  <si>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</si>
  <si>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</si>
  <si>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</si>
  <si>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</si>
  <si>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</si>
  <si>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</si>
  <si>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</si>
  <si>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</si>
  <si>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</si>
  <si>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</si>
  <si>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</si>
  <si>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</si>
  <si>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</si>
  <si>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</si>
  <si>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</si>
  <si>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</si>
  <si>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</si>
  <si>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Taser (reached for)</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</si>
  <si>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</si>
  <si>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</si>
  <si>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</si>
  <si>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</si>
  <si>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</si>
  <si>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</si>
  <si>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</si>
  <si>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</si>
  <si>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</si>
  <si>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12000 Colbarn Dr</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</si>
  <si>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</si>
  <si>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</si>
  <si>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</si>
  <si>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</si>
  <si>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</si>
  <si>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</si>
  <si>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</si>
  <si>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</si>
  <si>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</si>
  <si>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</si>
  <si>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</si>
  <si>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</si>
  <si>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</si>
  <si>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</si>
  <si>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</si>
  <si>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</si>
  <si>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</si>
  <si>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</si>
  <si>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</si>
  <si>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</si>
  <si>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</si>
  <si>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</si>
  <si>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</si>
  <si>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</si>
  <si>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</si>
  <si>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</si>
  <si>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</si>
  <si>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</si>
  <si>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</si>
  <si>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</si>
  <si>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</si>
  <si>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</si>
  <si>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</si>
  <si>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</si>
  <si>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</si>
  <si>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</si>
  <si>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</si>
  <si>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</si>
  <si>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</si>
  <si>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</si>
  <si>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</si>
  <si>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</si>
  <si>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</si>
  <si>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</si>
  <si>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</si>
  <si>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</si>
  <si>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</si>
  <si>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</si>
  <si>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</si>
  <si>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</si>
  <si>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</si>
  <si>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</si>
  <si>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</si>
  <si>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</si>
  <si>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</si>
  <si>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</si>
  <si>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</si>
  <si>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</si>
  <si>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</si>
  <si>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</si>
  <si>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</si>
  <si>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</si>
  <si>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</si>
  <si>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</si>
  <si>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</si>
  <si>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</si>
  <si>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</si>
  <si>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</si>
  <si>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</si>
  <si>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</si>
  <si>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</si>
  <si>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</si>
  <si>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</si>
  <si>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</si>
  <si>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</si>
  <si>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5900 S Mount Vernon Rd</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</si>
  <si>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</si>
  <si>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</si>
  <si>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</si>
  <si>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</si>
  <si>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</si>
  <si>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</si>
  <si>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</si>
  <si>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</si>
  <si>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</si>
  <si>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</si>
  <si>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</si>
  <si>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</si>
  <si>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</si>
  <si>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</si>
  <si>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</si>
  <si>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</si>
  <si>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</si>
  <si>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</si>
  <si>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</si>
  <si>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</si>
  <si>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</si>
  <si>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</si>
  <si>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</si>
  <si>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</si>
  <si>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</si>
  <si>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</si>
  <si>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</si>
  <si>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</si>
  <si>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</si>
  <si>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</si>
  <si>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</si>
  <si>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</si>
  <si>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</si>
  <si>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</si>
  <si>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</si>
  <si>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</si>
  <si>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</si>
  <si>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</si>
  <si>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</si>
  <si>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</si>
  <si>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</si>
  <si>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</si>
  <si>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</si>
  <si>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</si>
  <si>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</si>
  <si>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</si>
  <si>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</si>
  <si>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</si>
  <si>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</si>
  <si>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</si>
  <si>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</si>
  <si>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</si>
  <si>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</si>
  <si>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</si>
  <si>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</si>
  <si>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</si>
  <si>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</si>
  <si>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</si>
  <si>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</si>
  <si>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</si>
  <si>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</si>
  <si>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</si>
  <si>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</si>
  <si>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</si>
  <si>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</si>
  <si>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</si>
  <si>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</si>
  <si>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</si>
  <si>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</si>
  <si>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</si>
  <si>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</si>
  <si>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</si>
  <si>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</si>
  <si>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</si>
  <si>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</si>
  <si>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</si>
  <si>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</si>
  <si>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</si>
  <si>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</si>
  <si>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</si>
  <si>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</si>
  <si>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</si>
  <si>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</si>
  <si>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</si>
  <si>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</si>
  <si>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</si>
  <si>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</si>
  <si>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</si>
  <si>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</si>
  <si>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</si>
  <si>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Data from 1/1/13 - 6/30/17</t>
  </si>
  <si>
    <t>Big Cities Average</t>
  </si>
  <si>
    <t>Nationwide Average</t>
  </si>
  <si>
    <t>Black People Killed by Police (1/1/2013-6/30/2017)</t>
  </si>
  <si>
    <t>All People Killed by Police (1/1/2013-6/30/2017)</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</si>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</sst>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
    <numFmt numFmtId="167" formatCode="#,##0.000;#,##0.000"/>
  </numFmts>
  <fonts count="20" x14ac:knownFonts="1">
    <font>
      <sz val="10"/>
      <color rgb="FF000000"/>
      <name val="Arial"/>
    </font>
    <font>
      <b/>
      <sz val="10"/>
      <name val="Arial"/>
    </font>
    <font>
      <b/>
      <sz val="10"/>
      <color rgb="FF000000"/>
      <name val="Arial"/>
    </font>
    <font>
      <sz val="10"/>
      <name val="Arial"/>
    </font>
    <font>
      <u/>
      <sz val="10"/>
      <color rgb="FF000000"/>
      <name val="Arial"/>
    </font>
    <font>
      <sz val="10"/>
      <color rgb="FF000000"/>
      <name val="Arial"/>
    </font>
    <font>
      <u/>
      <sz val="10"/>
      <color rgb="FF0000FF"/>
      <name val="Arial"/>
    </font>
    <font>
      <u/>
      <sz val="10"/>
      <color theme="10"/>
      <name val="Arial"/>
    </font>
    <font>
      <u/>
      <sz val="10"/>
      <color theme="11"/>
      <name val="Arial"/>
    </font>
    <font>
      <sz val="10"/>
      <color theme="1"/>
      <name val="Arial"/>
    </font>
    <font>
      <b/>
      <sz val="10"/>
      <color theme="1"/>
      <name val="Arial"/>
    </font>
    <font>
      <sz val="12"/>
      <color rgb="FF000000"/>
      <name val="Calibri"/>
      <family val="2"/>
      <scheme val="minor"/>
    </font>
    <font>
      <u/>
      <sz val="10"/>
      <color rgb="FF1155CC"/>
      <name val="Arial"/>
    </font>
    <font>
      <sz val="10"/>
      <color rgb="FF333333"/>
      <name val="Arial"/>
    </font>
    <font>
      <u/>
      <sz val="10"/>
      <color theme="10"/>
      <name val="Calibri"/>
      <family val="2"/>
      <scheme val="minor"/>
    </font>
    <font>
      <sz val="10"/>
      <color rgb="FF000000"/>
      <name val="Calibri"/>
    </font>
    <font>
      <sz val="10"/>
      <color theme="1"/>
      <name val="Calibri"/>
      <family val="2"/>
      <scheme val="minor"/>
    </font>
    <font>
      <sz val="10"/>
      <color rgb="FF24292E"/>
      <name val="Arial"/>
    </font>
    <font>
      <b/>
      <sz val="12"/>
      <color rgb="FF000000"/>
      <name val="Calibri"/>
      <scheme val="minor"/>
    </font>
    <font>
      <sz val="10"/>
      <color rgb="FF24292E"/>
      <name val="Helvetica"/>
    </font>
  </fonts>
  <fills count="5">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60">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9" fontId="5"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98">
    <xf numFmtId="0" fontId="0" fillId="0" borderId="0" xfId="0" applyFont="1" applyAlignment="1"/>
    <xf numFmtId="0" fontId="0" fillId="0" borderId="0" xfId="0" applyFont="1" applyFill="1" applyBorder="1" applyAlignment="1"/>
    <xf numFmtId="0" fontId="3" fillId="0" borderId="0" xfId="0" applyFont="1" applyFill="1" applyBorder="1" applyAlignment="1"/>
    <xf numFmtId="0" fontId="3" fillId="0" borderId="0" xfId="0" applyFont="1" applyFill="1" applyBorder="1" applyAlignment="1">
      <alignment horizontal="left"/>
    </xf>
    <xf numFmtId="0" fontId="0" fillId="0" borderId="0" xfId="0" applyFont="1" applyFill="1" applyBorder="1" applyAlignment="1">
      <alignment horizontal="left"/>
    </xf>
    <xf numFmtId="0" fontId="2" fillId="0" borderId="0" xfId="0" applyFont="1" applyFill="1" applyBorder="1" applyAlignment="1"/>
    <xf numFmtId="0" fontId="2" fillId="0" borderId="0" xfId="0" applyFont="1" applyFill="1" applyBorder="1" applyAlignment="1">
      <alignment horizontal="left"/>
    </xf>
    <xf numFmtId="0" fontId="6" fillId="0" borderId="0" xfId="0" applyFont="1" applyFill="1" applyBorder="1" applyAlignment="1"/>
    <xf numFmtId="0" fontId="3" fillId="0" borderId="0" xfId="0" applyFont="1" applyFill="1" applyAlignment="1"/>
    <xf numFmtId="0" fontId="0" fillId="0" borderId="1" xfId="0" applyFont="1" applyFill="1" applyBorder="1" applyAlignment="1"/>
    <xf numFmtId="0" fontId="9" fillId="0" borderId="0" xfId="0" applyFont="1" applyFill="1" applyAlignment="1">
      <alignment horizontal="left"/>
    </xf>
    <xf numFmtId="0" fontId="9" fillId="0" borderId="0" xfId="0" applyFont="1" applyFill="1" applyAlignment="1"/>
    <xf numFmtId="0" fontId="0" fillId="0" borderId="0" xfId="0"/>
    <xf numFmtId="49" fontId="3" fillId="0" borderId="0" xfId="0" applyNumberFormat="1" applyFont="1" applyFill="1" applyBorder="1" applyAlignment="1"/>
    <xf numFmtId="0" fontId="6" fillId="0" borderId="0" xfId="0" applyFont="1" applyFill="1" applyAlignment="1"/>
    <xf numFmtId="0" fontId="3" fillId="0" borderId="0" xfId="0" applyFont="1" applyAlignment="1"/>
    <xf numFmtId="49" fontId="3" fillId="0" borderId="0" xfId="0" applyNumberFormat="1" applyFont="1" applyFill="1" applyAlignment="1"/>
    <xf numFmtId="0" fontId="3" fillId="0" borderId="0" xfId="0" applyFont="1" applyFill="1" applyAlignment="1">
      <alignment horizontal="left"/>
    </xf>
    <xf numFmtId="0" fontId="9" fillId="0" borderId="0" xfId="0" applyFont="1" applyFill="1" applyBorder="1" applyAlignment="1"/>
    <xf numFmtId="0" fontId="1" fillId="2" borderId="4"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3"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3"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2"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0" fillId="0" borderId="0" xfId="0" applyFont="1" applyFill="1" applyAlignment="1">
      <alignment horizontal="left"/>
    </xf>
    <xf numFmtId="0" fontId="0" fillId="0" borderId="0" xfId="0" applyFont="1" applyFill="1" applyAlignment="1"/>
    <xf numFmtId="0" fontId="1" fillId="0" borderId="0" xfId="0" applyFont="1" applyFill="1" applyAlignment="1"/>
    <xf numFmtId="0" fontId="9" fillId="0" borderId="0" xfId="0" applyFont="1" applyFill="1" applyAlignment="1">
      <alignment horizontal="right"/>
    </xf>
    <xf numFmtId="0" fontId="3" fillId="0" borderId="0" xfId="0" applyFont="1" applyFill="1" applyAlignment="1">
      <alignment horizontal="right"/>
    </xf>
    <xf numFmtId="0" fontId="0" fillId="0" borderId="0" xfId="0" applyFont="1" applyFill="1" applyAlignment="1">
      <alignment horizontal="right"/>
    </xf>
    <xf numFmtId="0" fontId="3" fillId="0" borderId="2" xfId="0" applyFont="1" applyBorder="1"/>
    <xf numFmtId="4" fontId="3" fillId="0" borderId="0" xfId="0" applyNumberFormat="1" applyFont="1"/>
    <xf numFmtId="49" fontId="6" fillId="0" borderId="0" xfId="0" applyNumberFormat="1" applyFont="1" applyFill="1" applyAlignment="1"/>
    <xf numFmtId="0" fontId="15" fillId="0" borderId="0" xfId="0" applyFont="1" applyFill="1" applyAlignment="1"/>
    <xf numFmtId="0" fontId="3" fillId="0" borderId="0" xfId="0" applyFont="1" applyFill="1" applyBorder="1" applyAlignment="1">
      <alignment horizontal="right"/>
    </xf>
    <xf numFmtId="0" fontId="0" fillId="0" borderId="1" xfId="0" applyFont="1" applyFill="1" applyBorder="1" applyAlignment="1">
      <alignment horizontal="left"/>
    </xf>
    <xf numFmtId="3" fontId="3" fillId="0" borderId="2" xfId="0" applyNumberFormat="1" applyFont="1" applyBorder="1" applyAlignment="1">
      <alignment vertical="top"/>
    </xf>
    <xf numFmtId="2" fontId="3" fillId="0" borderId="0" xfId="0" applyNumberFormat="1" applyFont="1" applyFill="1" applyBorder="1" applyAlignment="1">
      <alignment horizontal="left" vertical="top"/>
    </xf>
    <xf numFmtId="0" fontId="1" fillId="0" borderId="0" xfId="0" applyFont="1" applyFill="1" applyBorder="1" applyAlignment="1">
      <alignment horizontal="left" vertical="top"/>
    </xf>
    <xf numFmtId="9" fontId="3" fillId="0" borderId="0" xfId="171" applyFont="1" applyFill="1" applyBorder="1" applyAlignment="1">
      <alignment horizontal="left" vertical="top"/>
    </xf>
    <xf numFmtId="49" fontId="1" fillId="0" borderId="0" xfId="0" applyNumberFormat="1" applyFont="1" applyFill="1" applyBorder="1" applyAlignment="1"/>
    <xf numFmtId="0" fontId="7" fillId="0" borderId="0" xfId="1" applyFont="1" applyFill="1" applyAlignment="1"/>
    <xf numFmtId="0" fontId="13" fillId="0" borderId="0" xfId="0" applyFont="1" applyFill="1" applyAlignment="1"/>
    <xf numFmtId="0" fontId="12" fillId="0" borderId="0" xfId="0" applyFont="1" applyFill="1" applyAlignment="1"/>
    <xf numFmtId="0" fontId="7" fillId="0" borderId="0" xfId="1" applyFont="1" applyFill="1" applyBorder="1" applyAlignment="1"/>
    <xf numFmtId="0" fontId="10" fillId="0" borderId="0" xfId="0" applyFont="1" applyFill="1" applyBorder="1" applyAlignment="1"/>
    <xf numFmtId="0" fontId="4" fillId="0" borderId="0" xfId="0" applyFont="1" applyFill="1" applyBorder="1" applyAlignment="1"/>
    <xf numFmtId="0" fontId="9" fillId="0" borderId="0" xfId="0" applyFont="1"/>
    <xf numFmtId="14" fontId="9" fillId="0" borderId="0" xfId="0" applyNumberFormat="1" applyFont="1"/>
    <xf numFmtId="0" fontId="9" fillId="0" borderId="0" xfId="0" applyFont="1" applyFill="1"/>
    <xf numFmtId="14" fontId="9" fillId="0" borderId="0" xfId="0" applyNumberFormat="1" applyFont="1" applyFill="1"/>
    <xf numFmtId="0" fontId="16" fillId="0" borderId="0" xfId="0" applyFont="1" applyFill="1" applyAlignment="1"/>
    <xf numFmtId="0" fontId="14" fillId="0" borderId="0" xfId="1" applyFont="1" applyFill="1" applyAlignment="1"/>
    <xf numFmtId="14" fontId="9" fillId="0" borderId="0" xfId="0" applyNumberFormat="1" applyFont="1" applyFill="1" applyAlignment="1"/>
    <xf numFmtId="0" fontId="10" fillId="0" borderId="0" xfId="0" applyFont="1" applyFill="1"/>
    <xf numFmtId="0" fontId="0" fillId="0" borderId="0" xfId="0" applyFont="1" applyFill="1" applyBorder="1" applyAlignment="1">
      <alignment wrapText="1"/>
    </xf>
    <xf numFmtId="0" fontId="3" fillId="0" borderId="0" xfId="0" applyFont="1" applyFill="1" applyAlignment="1">
      <alignment wrapText="1"/>
    </xf>
    <xf numFmtId="0" fontId="14" fillId="0" borderId="0" xfId="1" applyFont="1"/>
    <xf numFmtId="0" fontId="17" fillId="0" borderId="0" xfId="0" applyFont="1"/>
    <xf numFmtId="0" fontId="16" fillId="0" borderId="0" xfId="0" applyFont="1"/>
    <xf numFmtId="0" fontId="15" fillId="0" borderId="0" xfId="0" applyFont="1"/>
    <xf numFmtId="3" fontId="3" fillId="0" borderId="2" xfId="0" applyNumberFormat="1" applyFont="1" applyBorder="1"/>
    <xf numFmtId="0" fontId="18" fillId="0" borderId="0" xfId="0" applyFont="1"/>
    <xf numFmtId="3" fontId="11" fillId="0" borderId="0" xfId="0" applyNumberFormat="1" applyFont="1"/>
    <xf numFmtId="10" fontId="11" fillId="0" borderId="0" xfId="0" applyNumberFormat="1" applyFont="1"/>
    <xf numFmtId="9" fontId="0" fillId="0" borderId="0" xfId="171"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0" fontId="19" fillId="0" borderId="0" xfId="0" applyFont="1"/>
    <xf numFmtId="0" fontId="7" fillId="0" borderId="0" xfId="1" applyFill="1" applyBorder="1" applyAlignment="1"/>
    <xf numFmtId="0" fontId="9" fillId="0" borderId="0" xfId="0" applyFont="1" applyBorder="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2" xfId="0" applyNumberFormat="1" applyFont="1" applyFill="1" applyBorder="1" applyAlignment="1" applyProtection="1">
      <alignment horizontal="right" vertical="top"/>
    </xf>
  </cellXfs>
  <cellStyles count="460">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Hyperlink" xfId="1" builtinId="8"/>
    <cellStyle name="Normal" xfId="0" builtinId="0"/>
    <cellStyle name="Percent" xfId="171"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9</xdr:col>
      <xdr:colOff>1104900</xdr:colOff>
      <xdr:row>2119</xdr:row>
      <xdr:rowOff>38100</xdr:rowOff>
    </xdr:to>
    <xdr:sp macro="" textlink="">
      <xdr:nvSpPr>
        <xdr:cNvPr id="1026"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30" Type="http://schemas.openxmlformats.org/officeDocument/2006/relationships/hyperlink" Target="http://facebook.com/KilledByPolice/posts/1034785363216267" TargetMode="External"/><Relationship Id="rId231" Type="http://schemas.openxmlformats.org/officeDocument/2006/relationships/hyperlink" Target="http://krqe.com/2015/05/03/suspect-from-deputy-involved-shooting-dies/" TargetMode="External"/><Relationship Id="rId232" Type="http://schemas.openxmlformats.org/officeDocument/2006/relationships/hyperlink" Target="http://www.deseretnews.com/article/865627866/Roosevelt-police-shoot-kill-man-wielding-handgun-near-hospital.html?pg=all" TargetMode="External"/><Relationship Id="rId233" Type="http://schemas.openxmlformats.org/officeDocument/2006/relationships/hyperlink" Target="http://www.wboc.com/story/28959278/police-investigating-officer-involved-shooting" TargetMode="External"/><Relationship Id="rId234" Type="http://schemas.openxmlformats.org/officeDocument/2006/relationships/hyperlink" Target="http://www.wsmv.com/story/28940658/police-investigating-shooting-in-south-nashville" TargetMode="External"/><Relationship Id="rId235" Type="http://schemas.openxmlformats.org/officeDocument/2006/relationships/hyperlink" Target="http://www.wsmv.com/story/28940658/police-investigating-shooting-in-south-nashville" TargetMode="External"/><Relationship Id="rId236" Type="http://schemas.openxmlformats.org/officeDocument/2006/relationships/hyperlink" Target="http://www.cbs8.com/story/28940667/homicide-detectives-on-scene-after-officer-involved-shooting-in-midway" TargetMode="External"/><Relationship Id="rId237" Type="http://schemas.openxmlformats.org/officeDocument/2006/relationships/hyperlink" Target="http://www.azcentral.com/story/news/local/mesa/2015/04/29/mesa-police-officer-involved-fatal-shooting-abrk/26610825/" TargetMode="External"/><Relationship Id="rId238" Type="http://schemas.openxmlformats.org/officeDocument/2006/relationships/hyperlink" Target="http://www.elpasotimes.com/news/ci_28023272/el-paso-police-officer-shot-and-killed-burglary" TargetMode="External"/><Relationship Id="rId239" Type="http://schemas.openxmlformats.org/officeDocument/2006/relationships/hyperlink" Target="http://kfor.com/2015/04/29/oklahoma-police-officer-involved-in-fatal-shooting/" TargetMode="External"/><Relationship Id="rId1170" Type="http://schemas.openxmlformats.org/officeDocument/2006/relationships/hyperlink" Target="http://www.nbcwashington.com/news/local/1-Injured-in-NW-DC-Shooting-337103121.html" TargetMode="External"/><Relationship Id="rId1171" Type="http://schemas.openxmlformats.org/officeDocument/2006/relationships/hyperlink" Target="http://newsok.com/article/5456285" TargetMode="External"/><Relationship Id="rId2600" Type="http://schemas.openxmlformats.org/officeDocument/2006/relationships/hyperlink" Target="http://abc13.com/news/police-investigating-critical-incident-in-friendswood/1631210/" TargetMode="External"/><Relationship Id="rId2601" Type="http://schemas.openxmlformats.org/officeDocument/2006/relationships/hyperlink" Target="http://www.fatalencounters.org/wp-content/uploads/2013/10/Daniel-Landeros.jpg" TargetMode="External"/><Relationship Id="rId2602" Type="http://schemas.openxmlformats.org/officeDocument/2006/relationships/hyperlink" Target="http://www.sacbee.com/news/local/crime/article118172608.html" TargetMode="External"/><Relationship Id="rId2603" Type="http://schemas.openxmlformats.org/officeDocument/2006/relationships/hyperlink" Target="http://www.fatalencounters.org/wp-content/uploads/2013/10/David-K.-Crosby-Dowdy.jpg" TargetMode="External"/><Relationship Id="rId2604" Type="http://schemas.openxmlformats.org/officeDocument/2006/relationships/hyperlink" Target="http://www.kansascity.com/news/local/crime/article117997383.html" TargetMode="External"/><Relationship Id="rId2605" Type="http://schemas.openxmlformats.org/officeDocument/2006/relationships/hyperlink" Target="http://www.fatalencounters.org/wp-content/uploads/2013/10/Quinton-Phillips.jpg" TargetMode="External"/><Relationship Id="rId2606" Type="http://schemas.openxmlformats.org/officeDocument/2006/relationships/hyperlink" Target="http://www.arkansasonline.com/news/2016/dec/01/state-police-en-route-shooting-pope-county-spokesm/?f=news-arkansas" TargetMode="External"/><Relationship Id="rId2607" Type="http://schemas.openxmlformats.org/officeDocument/2006/relationships/hyperlink" Target="http://www.fatalencounters.org/wp-content/uploads/2013/10/Jose-Noe-Barron-Gomez2.jpg" TargetMode="External"/><Relationship Id="rId2608" Type="http://schemas.openxmlformats.org/officeDocument/2006/relationships/hyperlink" Target="http://www.tucsonnewsnow.com/story/33842487/two-tucson-police-officers-shot-suspect-has-life-threatening-injuries" TargetMode="External"/><Relationship Id="rId2609" Type="http://schemas.openxmlformats.org/officeDocument/2006/relationships/hyperlink" Target="http://www.fatalencounters.org/wp-content/uploads/2013/10/Bruce-R.-Johnson-II.jpg" TargetMode="External"/><Relationship Id="rId1172" Type="http://schemas.openxmlformats.org/officeDocument/2006/relationships/hyperlink" Target="http://www.sandiegouniontribune.com/news/2015/oct/17/chula-vista-shooting/" TargetMode="External"/><Relationship Id="rId1173" Type="http://schemas.openxmlformats.org/officeDocument/2006/relationships/hyperlink" Target="http://abc13.com/news/one-dead-in-officer-involved-shooting-in-nw-houston/1035019/" TargetMode="External"/><Relationship Id="rId1174" Type="http://schemas.openxmlformats.org/officeDocument/2006/relationships/hyperlink" Target="http://bloximages.newyork1.vip.townnews.com/oanow.com/content/tncms/assets/v3/editorial/4/24/42460824-81ce-11e5-8788-17b5c2efa76d/563814cfd1a5a.image.jpg?resize=300%2C169" TargetMode="External"/><Relationship Id="rId1175" Type="http://schemas.openxmlformats.org/officeDocument/2006/relationships/hyperlink" Target="http://www.ledger-enquirer.com/news/article42133281.html" TargetMode="External"/><Relationship Id="rId1176" Type="http://schemas.openxmlformats.org/officeDocument/2006/relationships/hyperlink" Target="http://www.bradenton.com/news/local/crime/hgcvb4/picture45462828/ALTERNATES/FREE_320/Randy%20Allen%20Smith.jpg" TargetMode="External"/><Relationship Id="rId1177" Type="http://schemas.openxmlformats.org/officeDocument/2006/relationships/hyperlink" Target="http://www.bradenton.com/news/local/crime/article45451434.html" TargetMode="External"/><Relationship Id="rId1178" Type="http://schemas.openxmlformats.org/officeDocument/2006/relationships/hyperlink" Target="http://media.jrn.com/images/SteveDormil.jpg" TargetMode="External"/><Relationship Id="rId1179" Type="http://schemas.openxmlformats.org/officeDocument/2006/relationships/hyperlink" Target="http://www.pe.com/articles/death-787032-altercation-deputy.html" TargetMode="External"/><Relationship Id="rId1900" Type="http://schemas.openxmlformats.org/officeDocument/2006/relationships/hyperlink" Target="http://www.fatalencounters.org/wp-content/uploads/2013/10/WillieJames.jpg" TargetMode="External"/><Relationship Id="rId1901" Type="http://schemas.openxmlformats.org/officeDocument/2006/relationships/hyperlink" Target="http://pilotonline.com/news/local/crime/man-shot-and-killed-by-norfolk-officers-relatives-dispute-police/article_77ad85c6-c5b6-5278-89a9-e9f5d67c92e1.html" TargetMode="External"/><Relationship Id="rId1902" Type="http://schemas.openxmlformats.org/officeDocument/2006/relationships/hyperlink" Target="http://www.parkerliveonline.com/2016/06/04/officer-involved-shooting-at-100-homes-one-dead/" TargetMode="External"/><Relationship Id="rId1903" Type="http://schemas.openxmlformats.org/officeDocument/2006/relationships/hyperlink" Target="http://www.ksfy.com/content/news/Man-shot-by-tribal-police-officer-in-emergency-room-dies-383111841.html" TargetMode="External"/><Relationship Id="rId1904" Type="http://schemas.openxmlformats.org/officeDocument/2006/relationships/hyperlink" Target="https://blackopswiki.s3.amazonaws.com/uploads/article/avatar/2213/large_avatar_DemarcoRhymes.jpg" TargetMode="External"/><Relationship Id="rId1905" Type="http://schemas.openxmlformats.org/officeDocument/2006/relationships/hyperlink" Target="http://www.al.com/news/montgomery/index.ssf/2016/06/officer-involved_shooting_unde.html" TargetMode="External"/><Relationship Id="rId1906" Type="http://schemas.openxmlformats.org/officeDocument/2006/relationships/hyperlink" Target="http://www.redding.com/news/local/Suspect-killed-in-officer-involved-shooting-381880091.html" TargetMode="External"/><Relationship Id="rId1907" Type="http://schemas.openxmlformats.org/officeDocument/2006/relationships/hyperlink" Target="http://www.thestarpress.com/story/news/crime/2016/06/04/man-injured-police-action-shooting-muncie/85419012/" TargetMode="External"/><Relationship Id="rId1908" Type="http://schemas.openxmlformats.org/officeDocument/2006/relationships/hyperlink" Target="http://www.news-press.com/story/news/crime/2016/06/05/cape-coral-police-investigate-shooting/85459222/" TargetMode="External"/><Relationship Id="rId1909" Type="http://schemas.openxmlformats.org/officeDocument/2006/relationships/hyperlink" Target="http://woodtv.com/2016/06/05/calhoun-co-deputy-spouse-killed-in-emmett-twp/" TargetMode="External"/><Relationship Id="rId780" Type="http://schemas.openxmlformats.org/officeDocument/2006/relationships/hyperlink" Target="http://abc7.com/news/man-dies-of-heart-attack-while-in-montclair-police-custody/826399/" TargetMode="External"/><Relationship Id="rId781" Type="http://schemas.openxmlformats.org/officeDocument/2006/relationships/hyperlink" Target="http://www.mlive.com/news/grand-rapids/index.ssf/2015/07/no_reason_to_shoot_him_step-da.html" TargetMode="External"/><Relationship Id="rId782" Type="http://schemas.openxmlformats.org/officeDocument/2006/relationships/hyperlink" Target="https://www.bostonglobe.com/metro/2015/07/14/roxbury-man-identified-person-fatally-shot-lynn-police-officer-during-drug-investigation/HluhRMJJeFBqMqtUt3gNWP/story.html" TargetMode="External"/><Relationship Id="rId783" Type="http://schemas.openxmlformats.org/officeDocument/2006/relationships/hyperlink" Target="http://www.citizen-times.com/story/news/crime/2015/07/14/sbi-investigating-custody-death-henderson-jail/30124137/" TargetMode="External"/><Relationship Id="rId784" Type="http://schemas.openxmlformats.org/officeDocument/2006/relationships/hyperlink" Target="http://www.kansas.com/news/local/crime/r08yss/picture32105475/ALTERNATES/FREE_320/Nicholas%20Garner%201" TargetMode="External"/><Relationship Id="rId785" Type="http://schemas.openxmlformats.org/officeDocument/2006/relationships/hyperlink" Target="https://tacomastories.files.wordpress.com/2015/08/jasongalaviz.jpg?w=300&amp;h=300" TargetMode="External"/><Relationship Id="rId786" Type="http://schemas.openxmlformats.org/officeDocument/2006/relationships/hyperlink" Target="http://ak-cache.legacy.net/legacy/images/cobrands/dignitymemorial/photos/ecf6168a-835c-4498-a00e-86434b125335.jpgx?w=130&amp;h=180&amp;option=1&amp;v=0x000000003111f297" TargetMode="External"/><Relationship Id="rId787" Type="http://schemas.openxmlformats.org/officeDocument/2006/relationships/hyperlink" Target="https://mgtvwric.files.wordpress.com/2015/08/frank-short.jpg" TargetMode="External"/><Relationship Id="rId788" Type="http://schemas.openxmlformats.org/officeDocument/2006/relationships/hyperlink" Target="https://mgtvwhtm.files.wordpress.com/2015/08/55c248d06dc55-image.jpg?w=300" TargetMode="External"/><Relationship Id="rId789" Type="http://schemas.openxmlformats.org/officeDocument/2006/relationships/hyperlink" Target="http://www.gannett-cdn.com/-mm-/4a642aabe5f985a52bba9ddf24c8c1b9c310561c/c=0-58-401-593&amp;r=537&amp;c=0-0-534-712/local/-/media/2015/08/03/Muncie/B9318324335Z.1_20150803220258_000_GL1BHGGFA.1-0.jpg" TargetMode="External"/><Relationship Id="rId3310" Type="http://schemas.openxmlformats.org/officeDocument/2006/relationships/hyperlink" Target="http://www.fatalencounters.org/wp-content/uploads/2013/10/Cedric-Jamal-Mifflin.png" TargetMode="External"/><Relationship Id="rId3311" Type="http://schemas.openxmlformats.org/officeDocument/2006/relationships/hyperlink" Target="http://wrbl.com/2017/05/07/officer-involved-shooting-confirmed-in-phenix-city/" TargetMode="External"/><Relationship Id="rId3312" Type="http://schemas.openxmlformats.org/officeDocument/2006/relationships/hyperlink" Target="http://ktla.com/2017/05/08/sunland-home-break-in-leads-to-hourslong-standoff-police-shooting-lapd/" TargetMode="External"/><Relationship Id="rId3313" Type="http://schemas.openxmlformats.org/officeDocument/2006/relationships/hyperlink" Target="http://www.sacbee.com/news/local/crime/article149419079.html" TargetMode="External"/><Relationship Id="rId3314" Type="http://schemas.openxmlformats.org/officeDocument/2006/relationships/hyperlink" Target="http://www.fatalencounters.org/wp-content/uploads/2013/10/Terry-Campbell.png" TargetMode="External"/><Relationship Id="rId3315" Type="http://schemas.openxmlformats.org/officeDocument/2006/relationships/hyperlink" Target="http://www.news4jax.com/news/local/jacksonville/swat-called-to-sandalwood-area" TargetMode="External"/><Relationship Id="rId3316" Type="http://schemas.openxmlformats.org/officeDocument/2006/relationships/hyperlink" Target="http://www.fatalencounters.org/wp-content/uploads/2013/10/Scott-Bloomfield.png" TargetMode="External"/><Relationship Id="rId3317" Type="http://schemas.openxmlformats.org/officeDocument/2006/relationships/hyperlink" Target="http://www.13abc.com/content/news/State-Route-231-closed-in-Tiffin-as-officers-respond-to-situation-421783453.html" TargetMode="External"/><Relationship Id="rId3318" Type="http://schemas.openxmlformats.org/officeDocument/2006/relationships/hyperlink" Target="http://www.thestate.com/news/local/crime/article149497259.html" TargetMode="External"/><Relationship Id="rId3319" Type="http://schemas.openxmlformats.org/officeDocument/2006/relationships/hyperlink" Target="http://www.fatalencounters.org/wp-content/uploads/2013/10/Jayson-Negron.png" TargetMode="External"/><Relationship Id="rId240" Type="http://schemas.openxmlformats.org/officeDocument/2006/relationships/hyperlink" Target="http://www.sacbee.com/news/local/crime/article19860156.html" TargetMode="External"/><Relationship Id="rId241" Type="http://schemas.openxmlformats.org/officeDocument/2006/relationships/hyperlink" Target="http://www.kfvs12.com/story/28915534/1-dead-after-standoff-in-marion" TargetMode="External"/><Relationship Id="rId242" Type="http://schemas.openxmlformats.org/officeDocument/2006/relationships/hyperlink" Target="http://www.kfvs12.com/story/28915534/1-dead-after-standoff-in-marion" TargetMode="External"/><Relationship Id="rId243" Type="http://schemas.openxmlformats.org/officeDocument/2006/relationships/hyperlink" Target="http://www.mansfieldnewsjournal.com/story/news/local/2015/04/27/mansfield-police-scene-standoff/26457727/" TargetMode="External"/><Relationship Id="rId244" Type="http://schemas.openxmlformats.org/officeDocument/2006/relationships/hyperlink" Target="http://www.mansfieldnewsjournal.com/story/news/local/2015/04/27/mansfield-police-scene-standoff/26457727/" TargetMode="External"/><Relationship Id="rId245" Type="http://schemas.openxmlformats.org/officeDocument/2006/relationships/hyperlink" Target="http://abc7.com/news/burglary-suspect-killed-in-officer-involved-shooting-in-fountain-valley/682399/" TargetMode="External"/><Relationship Id="rId246" Type="http://schemas.openxmlformats.org/officeDocument/2006/relationships/hyperlink" Target="http://www.guns.com/2015/04/30/game-warden-shoots-kills-man-who-tried-to-drown-him-after-checking-fishing-license/" TargetMode="External"/><Relationship Id="rId247" Type="http://schemas.openxmlformats.org/officeDocument/2006/relationships/hyperlink" Target="https://www.victoriaadvocate.com/news/2015/apr/27/parents-of-veteran-fatally-shot-by-police-seek-ans/" TargetMode="External"/><Relationship Id="rId248" Type="http://schemas.openxmlformats.org/officeDocument/2006/relationships/hyperlink" Target="https://www.victoriaadvocate.com/news/2015/apr/27/parents-of-veteran-fatally-shot-by-police-seek-ans/" TargetMode="External"/><Relationship Id="rId249" Type="http://schemas.openxmlformats.org/officeDocument/2006/relationships/hyperlink" Target="http://www.wftv.com/news/news/local/1-fatally-shot-lake-county-deputy-involved-shootin/nk3ng/" TargetMode="External"/><Relationship Id="rId1180" Type="http://schemas.openxmlformats.org/officeDocument/2006/relationships/hyperlink" Target="http://www.fatalencounters.org/wp-content/uploads/2013/10/Cornelius-Brown-e1448418750146.jpg" TargetMode="External"/><Relationship Id="rId1181" Type="http://schemas.openxmlformats.org/officeDocument/2006/relationships/hyperlink" Target="http://www.wsvn.com/story/30546376/police-involved-shooting-in-opa-locka-1-dead" TargetMode="External"/><Relationship Id="rId2610" Type="http://schemas.openxmlformats.org/officeDocument/2006/relationships/hyperlink" Target="http://www.kiro7.com/news/local/reports-gunman-on-loose-after-tacoma-shooting/471880730" TargetMode="External"/><Relationship Id="rId2611" Type="http://schemas.openxmlformats.org/officeDocument/2006/relationships/hyperlink" Target="http://www.fatalencounters.org/wp-content/uploads/2013/10/Derek-Lynn-Scott.jpg" TargetMode="External"/><Relationship Id="rId2612" Type="http://schemas.openxmlformats.org/officeDocument/2006/relationships/hyperlink" Target="http://whnt.com/2016/12/02/breaking-officer-involved-shooting-under-investigation-in-tuscumbia/" TargetMode="External"/><Relationship Id="rId2613" Type="http://schemas.openxmlformats.org/officeDocument/2006/relationships/hyperlink" Target="http://www.fatalencounters.org/wp-content/uploads/2013/10/Joseph-Edward-Turner-Jr..png" TargetMode="External"/><Relationship Id="rId2614" Type="http://schemas.openxmlformats.org/officeDocument/2006/relationships/hyperlink" Target="http://www.arkansasonline.com/news/2016/dec/02/police-suspect-shot-after-attempted-bank-robbery/?f=crime" TargetMode="External"/><Relationship Id="rId2615" Type="http://schemas.openxmlformats.org/officeDocument/2006/relationships/hyperlink" Target="http://www.wtsp.com/news/crime/deputy-not-hurt-in-shooting-at-brandon-walmart/362274329" TargetMode="External"/><Relationship Id="rId2616" Type="http://schemas.openxmlformats.org/officeDocument/2006/relationships/hyperlink" Target="http://www.fatalencounters.org/wp-content/uploads/2013/10/Dylan-M.-Dalzell.jpg" TargetMode="External"/><Relationship Id="rId2617" Type="http://schemas.openxmlformats.org/officeDocument/2006/relationships/hyperlink" Target="http://abcnews.go.com/US/wireStory/latest-man-crowbar-shot-officer-church-43938368" TargetMode="External"/><Relationship Id="rId2618" Type="http://schemas.openxmlformats.org/officeDocument/2006/relationships/hyperlink" Target="http://www.fatalencounters.org/wp-content/uploads/2013/10/Josh-Dunne.jpg" TargetMode="External"/><Relationship Id="rId2619" Type="http://schemas.openxmlformats.org/officeDocument/2006/relationships/hyperlink" Target="http://www.lcsun-news.com/story/news/2016/12/03/officers-fatally-shoot-suicidal-man-las-cruces-hotel/94880692/" TargetMode="External"/><Relationship Id="rId1182"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183" Type="http://schemas.openxmlformats.org/officeDocument/2006/relationships/hyperlink" Target="https://www.washingtonpost.com/local/public-safety/dc-police-investigate-death-of-man-found-unconscious-and-in-handcuffs/2015/11/04/205105a8-8317-11e5-9afb-0c971f713d0c_story.html" TargetMode="External"/><Relationship Id="rId1184" Type="http://schemas.openxmlformats.org/officeDocument/2006/relationships/hyperlink" Target="http://www.wusa9.com/story/news/local/dc/2015/11/02/police-involved-shooting-reported-southeast-dc/75070140/" TargetMode="External"/><Relationship Id="rId1185" Type="http://schemas.openxmlformats.org/officeDocument/2006/relationships/hyperlink" Target="http://whns.images.worldnow.com/images/9218557_G.jpg" TargetMode="External"/><Relationship Id="rId1186" Type="http://schemas.openxmlformats.org/officeDocument/2006/relationships/hyperlink" Target="http://www.foxcarolina.com/story/30476491/spartanburg-methodist-college-burglary-suspect-talks-to-fox-carolina" TargetMode="External"/><Relationship Id="rId1187" Type="http://schemas.openxmlformats.org/officeDocument/2006/relationships/hyperlink" Target="http://wach.com/resources/media/283f8404-c162-47c2-aafc-8a93d8b6df7b-large16x9_DemtriusBryant.jpg?1447798547635" TargetMode="External"/><Relationship Id="rId1188" Type="http://schemas.openxmlformats.org/officeDocument/2006/relationships/hyperlink" Target="http://www.wltx.com/story/news/2015/11/17/overnight-officer-involved-shooting-cayce/75914374/" TargetMode="External"/><Relationship Id="rId1189" Type="http://schemas.openxmlformats.org/officeDocument/2006/relationships/hyperlink" Target="http://a.abcnews.go.com/images/US/ap_jamar_clark_police_shooting_float_jc_151119_4x3_992.jpg" TargetMode="External"/><Relationship Id="rId1910" Type="http://schemas.openxmlformats.org/officeDocument/2006/relationships/hyperlink" Target="http://www.hawaiipolice.com/wp-content/gallery/04-27-15-wanted-kalyp-rapoza/kalyp-rapoza.JPG" TargetMode="External"/><Relationship Id="rId1911" Type="http://schemas.openxmlformats.org/officeDocument/2006/relationships/hyperlink" Target="http://khon2.com/2016/06/06/police-investigate-officer-involved-hilo-shooting/" TargetMode="External"/><Relationship Id="rId1912" Type="http://schemas.openxmlformats.org/officeDocument/2006/relationships/hyperlink" Target="http://nbc4i.com/2016/06/06/reported-north-columbus-shooting-leaves-1-in-critical-condition/" TargetMode="External"/><Relationship Id="rId1913" Type="http://schemas.openxmlformats.org/officeDocument/2006/relationships/hyperlink" Target="http://www.modbee.com/news/local/crime/article83107557.html" TargetMode="External"/><Relationship Id="rId1914" Type="http://schemas.openxmlformats.org/officeDocument/2006/relationships/hyperlink" Target="http://www.fatalencounters.org/wp-content/uploads/2013/10/William-Powell.jpg" TargetMode="External"/><Relationship Id="rId1915" Type="http://schemas.openxmlformats.org/officeDocument/2006/relationships/hyperlink" Target="http://www.wsbtv.com/news/local/henry-county/man-shot-by-police-responding-to-wrong-location-has-died/333736593" TargetMode="External"/><Relationship Id="rId1916" Type="http://schemas.openxmlformats.org/officeDocument/2006/relationships/hyperlink" Target="http://www.newson6.com/story/32161369/25-year-old-man-shot-killed-by-wagoner-police-officer" TargetMode="External"/><Relationship Id="rId1917" Type="http://schemas.openxmlformats.org/officeDocument/2006/relationships/hyperlink" Target="http://wtvr.com/2016/06/08/culpeper-sheriffs-shooting-update/" TargetMode="External"/><Relationship Id="rId1918" Type="http://schemas.openxmlformats.org/officeDocument/2006/relationships/hyperlink" Target="http://www.kansascity.com/news/local/crime/article82909297.html" TargetMode="External"/><Relationship Id="rId1919"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790" Type="http://schemas.openxmlformats.org/officeDocument/2006/relationships/hyperlink" Target="http://www.mcleanfuneral.com/obituary/Jeffery-Clyde-Jeff-Wilkes/Gastonia-NC/1535971" TargetMode="External"/><Relationship Id="rId791" Type="http://schemas.openxmlformats.org/officeDocument/2006/relationships/hyperlink" Target="http://khq.images.worldnow.com/images/8550850_G.jpg" TargetMode="External"/><Relationship Id="rId792" Type="http://schemas.openxmlformats.org/officeDocument/2006/relationships/hyperlink" Target="http://media.graytvinc.com/images/EricTompkins.jpg" TargetMode="External"/><Relationship Id="rId793"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794" Type="http://schemas.openxmlformats.org/officeDocument/2006/relationships/hyperlink" Target="http://bloximages.chicago2.vip.townnews.com/wacotrib.com/content/tncms/assets/v3/editorial/4/82/48227766-7587-5e01-bab0-26e1b520923e/55cbc329cd5f0.image.jpg?resize=300%2C376" TargetMode="External"/><Relationship Id="rId795" Type="http://schemas.openxmlformats.org/officeDocument/2006/relationships/hyperlink" Target="http://bloximages.newyork1.vip.townnews.com/oaoa.com/content/tncms/assets/v3/editorial/3/b1/3b1e4ae8-4132-11e5-bdc3-0b12b6b90913/55cbaf23977b2.image.jpg?resize=300%2C225" TargetMode="External"/><Relationship Id="rId796" Type="http://schemas.openxmlformats.org/officeDocument/2006/relationships/hyperlink" Target="http://www.trbimg.com/img-55d2252a/turbine/hc-bolton-chase-update-0818-20150817-001/900/900x506" TargetMode="External"/><Relationship Id="rId797" Type="http://schemas.openxmlformats.org/officeDocument/2006/relationships/hyperlink" Target="http://www.trbimg.com/img-55d0c66a/turbine/la-ashley-la0030492077-20150816/378/378x213" TargetMode="External"/><Relationship Id="rId798" Type="http://schemas.openxmlformats.org/officeDocument/2006/relationships/hyperlink" Target="http://www.sgvtribune.com/apps/pbcsi.dll/storyimage/LC/20150819/NEWS/150819459/AR/0/AR-150819459.jpg&amp;maxh=400&amp;maxw=667" TargetMode="External"/><Relationship Id="rId799" Type="http://schemas.openxmlformats.org/officeDocument/2006/relationships/hyperlink" Target="http://pbs.twimg.com/media/CMxQAW5VEAAvMJF.jpg" TargetMode="External"/><Relationship Id="rId3320" Type="http://schemas.openxmlformats.org/officeDocument/2006/relationships/hyperlink" Target="http://www.courant.com/breaking-news/hc-bridgeport-officer-involved-shooting-0510-20170509-story.html" TargetMode="External"/><Relationship Id="rId3321" Type="http://schemas.openxmlformats.org/officeDocument/2006/relationships/hyperlink" Target="http://www.denverpost.com/2017/05/10/westminster-standoff-suspect-killed/" TargetMode="External"/><Relationship Id="rId3322" Type="http://schemas.openxmlformats.org/officeDocument/2006/relationships/hyperlink" Target="http://www.fatalencounters.org/wp-content/uploads/2013/10/Terrell-Kyreem-Johnson.jpg" TargetMode="External"/><Relationship Id="rId3323" Type="http://schemas.openxmlformats.org/officeDocument/2006/relationships/hyperlink" Target="http://www.oregonlive.com/portland/index.ssf/2017/05/one_person_dead_in_officer-inv.html" TargetMode="External"/><Relationship Id="rId3324" Type="http://schemas.openxmlformats.org/officeDocument/2006/relationships/hyperlink" Target="http://www.nbcsandiego.com/news/local/Law-Enforcement-Activity-Northeast-of-Barona-Indian-Reservation-421924474.html" TargetMode="External"/><Relationship Id="rId3325" Type="http://schemas.openxmlformats.org/officeDocument/2006/relationships/hyperlink" Target="https://kdminer.com/news/2017/may/11/california-fugitive-dies-crash-andy-devine-avenue/" TargetMode="External"/><Relationship Id="rId3326" Type="http://schemas.openxmlformats.org/officeDocument/2006/relationships/hyperlink" Target="http://www.kmov.com/story/35395160/woman-shot-killed-in-holly-hills-neighborhood" TargetMode="External"/><Relationship Id="rId3327" Type="http://schemas.openxmlformats.org/officeDocument/2006/relationships/hyperlink" Target="http://www.fatalencounters.org/wp-content/uploads/2013/10/Andrew-Kearse.png" TargetMode="External"/><Relationship Id="rId3328" Type="http://schemas.openxmlformats.org/officeDocument/2006/relationships/hyperlink" Target="https://dailygazette.com/article/2017/05/12/witness-police-said-man-who-died-in-custody-was-faking" TargetMode="External"/><Relationship Id="rId3329" Type="http://schemas.openxmlformats.org/officeDocument/2006/relationships/hyperlink" Target="http://www.wfaa.com/news/arlington-police-shoot-man-during-standoff/438974686" TargetMode="External"/><Relationship Id="rId250" Type="http://schemas.openxmlformats.org/officeDocument/2006/relationships/hyperlink" Target="http://www.miamiok.com/news/article_7116fd15-d23e-59c9-aa7e-043ec0f3871f.html" TargetMode="External"/><Relationship Id="rId251" Type="http://schemas.openxmlformats.org/officeDocument/2006/relationships/hyperlink" Target="http://www.statesmanjournal.com/story/news/2015/04/25/man-shot-killed-salem-police-identified/26377897/" TargetMode="External"/><Relationship Id="rId252" Type="http://schemas.openxmlformats.org/officeDocument/2006/relationships/hyperlink" Target="http://www.oregonlive.com/pacific-northwest-news/index.ssf/2015/04/salem_police_wound_armed_man_e.html" TargetMode="External"/><Relationship Id="rId253" Type="http://schemas.openxmlformats.org/officeDocument/2006/relationships/hyperlink" Target="http://www.presstelegram.com/general-news/20150424/police-no-weapon-found-at-scene-of-officer-involved-shooting-in-long-beach-thursday" TargetMode="External"/><Relationship Id="rId254" Type="http://schemas.openxmlformats.org/officeDocument/2006/relationships/hyperlink" Target="http://www.latimes.com/local/lanow/la-me-ln-lapd-shoots-sylmar-gunman-20150423-story.html" TargetMode="External"/><Relationship Id="rId255" Type="http://schemas.openxmlformats.org/officeDocument/2006/relationships/hyperlink" Target="http://sanfrancisco.cbslocal.com/2015/04/24/woman-shot-deputies-sonoma-county-chase-dies/" TargetMode="External"/><Relationship Id="rId256" Type="http://schemas.openxmlformats.org/officeDocument/2006/relationships/hyperlink" Target="http://www.nytimes.com/2015/04/24/nyregion/man-killed-by-police-in-queens-had-a-history-of-instability.html?_r=0" TargetMode="External"/><Relationship Id="rId257" Type="http://schemas.openxmlformats.org/officeDocument/2006/relationships/hyperlink" Target="http://www.nytimes.com/2015/04/24/nyregion/man-killed-by-police-in-queens-had-a-history-of-instability.html?_r=0" TargetMode="External"/><Relationship Id="rId258" Type="http://schemas.openxmlformats.org/officeDocument/2006/relationships/hyperlink" Target="http://www.dispatch.com/content/stories/local/2015/04/27/Knox_County_jail_death.html" TargetMode="External"/><Relationship Id="rId259" Type="http://schemas.openxmlformats.org/officeDocument/2006/relationships/hyperlink" Target="http://www.newson6.com/story/28881786/choctaw-county-law-enforcement-officers-shot-serving-warrant" TargetMode="External"/><Relationship Id="rId1190" Type="http://schemas.openxmlformats.org/officeDocument/2006/relationships/hyperlink" Target="http://www.startribune.com/police-officer-shoots-north-minneapolis-assault-suspect-during-physical-struggle/349730171/" TargetMode="External"/><Relationship Id="rId1191" Type="http://schemas.openxmlformats.org/officeDocument/2006/relationships/hyperlink" Target="https://www.poncacitynow.com/8/images/media/JerayChatham.png" TargetMode="External"/><Relationship Id="rId2620" Type="http://schemas.openxmlformats.org/officeDocument/2006/relationships/hyperlink" Target="http://www.theadvocate.com/new_orleans/news/crime_police/article_ffe052a8-b982-11e6-9834-5329717dee67.html?sr_source=lift_amplify" TargetMode="External"/><Relationship Id="rId2621" Type="http://schemas.openxmlformats.org/officeDocument/2006/relationships/hyperlink" Target="http://wsbt.com/news/local/large-crowd-gathers-at-scene-of-elkhart-shooting-investigation" TargetMode="External"/><Relationship Id="rId2622" Type="http://schemas.openxmlformats.org/officeDocument/2006/relationships/hyperlink" Target="http://www.newsnet5.com/news/local-news/oh-summit/fatal-officer-involved-shooting-following-crash-in-hudson" TargetMode="External"/><Relationship Id="rId2623" Type="http://schemas.openxmlformats.org/officeDocument/2006/relationships/hyperlink" Target="http://www.fatalencounters.org/wp-content/uploads/2013/10/James-Dean-Smith.jpg" TargetMode="External"/><Relationship Id="rId2624" Type="http://schemas.openxmlformats.org/officeDocument/2006/relationships/hyperlink" Target="http://www.sltrib.com/news/4672455-155/two-people-dead-in-officer-involved-shooting" TargetMode="External"/><Relationship Id="rId2625" Type="http://schemas.openxmlformats.org/officeDocument/2006/relationships/hyperlink" Target="http://www.fatalencounters.org/wp-content/uploads/2013/10/Dorsey.jpg" TargetMode="External"/><Relationship Id="rId2626" Type="http://schemas.openxmlformats.org/officeDocument/2006/relationships/hyperlink" Target="http://www.clickorlando.com/news/deputy-involved-shooting-investigation-underway-in-fruitland-park-deputies-say" TargetMode="External"/><Relationship Id="rId2627" Type="http://schemas.openxmlformats.org/officeDocument/2006/relationships/hyperlink" Target="http://www.orlandosentinel.com/news/breaking-news/os-officer-involved-shooting-orange-city-20161206-story.html" TargetMode="External"/><Relationship Id="rId2628" Type="http://schemas.openxmlformats.org/officeDocument/2006/relationships/hyperlink" Target="http://www.kansas.com/news/local/crime/article119125213.html" TargetMode="External"/><Relationship Id="rId2629" Type="http://schemas.openxmlformats.org/officeDocument/2006/relationships/hyperlink" Target="http://www.fatalencounters.org/wp-content/uploads/2013/10/Steven-Wayne-Liffel.jpg" TargetMode="External"/><Relationship Id="rId1192" Type="http://schemas.openxmlformats.org/officeDocument/2006/relationships/hyperlink" Target="http://newsok.com/article/5461273" TargetMode="External"/><Relationship Id="rId1193" Type="http://schemas.openxmlformats.org/officeDocument/2006/relationships/hyperlink" Target="http://www.boydmortuary.com/fh_live/14900/14906/images/obituaries/3375053_wlpp.jpg" TargetMode="External"/><Relationship Id="rId1194" Type="http://schemas.openxmlformats.org/officeDocument/2006/relationships/hyperlink" Target="http://abc13.com/news/officer-shoots-kills-man-accused-of-pulling-gun-on-police/1067399/" TargetMode="External"/><Relationship Id="rId1195" Type="http://schemas.openxmlformats.org/officeDocument/2006/relationships/hyperlink" Target="http://www.homefacts.com/images/offenders/michigan/thumb/2013445.jpg" TargetMode="External"/><Relationship Id="rId1196" Type="http://schemas.openxmlformats.org/officeDocument/2006/relationships/hyperlink" Target="http://www.wndu.com/home/headlines/Police-investigating-alleged-kidnapping-at-assisted-living-facililty-351375961.html" TargetMode="External"/><Relationship Id="rId1197" Type="http://schemas.openxmlformats.org/officeDocument/2006/relationships/hyperlink" Target="https://blackopswiki.s3.amazonaws.com/uploads/article/avatar/498/large_avatar_ryan_quinn_martin.jpg" TargetMode="External"/><Relationship Id="rId1198" Type="http://schemas.openxmlformats.org/officeDocument/2006/relationships/hyperlink" Target="http://www.baltimoresun.com/news/maryland/baltimore-city/bs-md-ci-officer-involved-shoot-1112-20151111-story.html" TargetMode="External"/><Relationship Id="rId1199" Type="http://schemas.openxmlformats.org/officeDocument/2006/relationships/hyperlink" Target="http://www.local10.com/image/view/-/36526126/medRes/3/-/maxh/360/maxw/640/-/10fwv3w/-/Yohans-Leon-stock-mug-jpg.jpg" TargetMode="External"/><Relationship Id="rId1920" Type="http://schemas.openxmlformats.org/officeDocument/2006/relationships/hyperlink" Target="http://www.yumasun.com/news/border-agent-shoots-kills-illegal-entrant-who-was-attacking-him/article_b115c42a-2f33-11e6-97ba-2f90c328452a.html" TargetMode="External"/><Relationship Id="rId1921" Type="http://schemas.openxmlformats.org/officeDocument/2006/relationships/hyperlink" Target="http://www.uppermichiganssource.com/content/news/Police-responding-to-Ishpeming-Twp-incident-382352271.html" TargetMode="External"/><Relationship Id="rId1922" Type="http://schemas.openxmlformats.org/officeDocument/2006/relationships/hyperlink" Target="http://fox43.com/2016/06/09/suspect-dead-and-sheriffs-deputy-injured-in-shooting-in-york-city/" TargetMode="External"/><Relationship Id="rId1923" Type="http://schemas.openxmlformats.org/officeDocument/2006/relationships/hyperlink" Target="http://www.fatalencounters.org/wp-content/uploads/2013/10/Brisco.png" TargetMode="External"/><Relationship Id="rId1924" Type="http://schemas.openxmlformats.org/officeDocument/2006/relationships/hyperlink" Target="http://kfdm.com/news/local/new-information-on-shooting-of-port-arthur-walgreens-robbery-suspect" TargetMode="External"/><Relationship Id="rId1925" Type="http://schemas.openxmlformats.org/officeDocument/2006/relationships/hyperlink" Target="http://www.fatalencounters.org/wp-content/uploads/2013/10/Lorez-Rayfond-Chambers.jpg" TargetMode="External"/><Relationship Id="rId1926" Type="http://schemas.openxmlformats.org/officeDocument/2006/relationships/hyperlink" Target="http://kfor.com/2016/06/20/oklahoma-city-man-dies-in-police-custody/" TargetMode="External"/><Relationship Id="rId1927" Type="http://schemas.openxmlformats.org/officeDocument/2006/relationships/hyperlink" Target="http://gazette.com/man-shot-by-pueblo-police-idd-as-colorado-springs-resident/article/1578192" TargetMode="External"/><Relationship Id="rId1928" Type="http://schemas.openxmlformats.org/officeDocument/2006/relationships/hyperlink" Target="http://www.officer.com/news/12220262/north-carolina-deputies-kill-bat-wielding-suspect" TargetMode="External"/><Relationship Id="rId1929" Type="http://schemas.openxmlformats.org/officeDocument/2006/relationships/hyperlink" Target="http://www.yakimaherald.com/news/crime_and_courts/man-shot-and-killed-by-yakima-police-identified/article_29b696c6-3014-11e6-95e5-8f6bf16c087a.html" TargetMode="External"/><Relationship Id="rId3330" Type="http://schemas.openxmlformats.org/officeDocument/2006/relationships/hyperlink" Target="http://www.kristv.com/story/35406677/authorities-investigate-death-of-detained-man" TargetMode="External"/><Relationship Id="rId3331" Type="http://schemas.openxmlformats.org/officeDocument/2006/relationships/hyperlink" Target="http://www.fatalencounters.org/wp-content/uploads/2013/10/Jonathan-David-Victor.jpg" TargetMode="External"/><Relationship Id="rId3332" Type="http://schemas.openxmlformats.org/officeDocument/2006/relationships/hyperlink" Target="http://wkrg.com/2017/05/12/breaking-officer-involved-shooting-in-baldwin-county/" TargetMode="External"/><Relationship Id="rId3333" Type="http://schemas.openxmlformats.org/officeDocument/2006/relationships/hyperlink" Target="http://www.fatalencounters.org/wp-content/uploads/2013/10/Branch-Wroth.jpg" TargetMode="External"/><Relationship Id="rId3334" Type="http://schemas.openxmlformats.org/officeDocument/2006/relationships/hyperlink" Target="http://kron4.com/2017/05/12/man-tased-by-police-dies-after-altercation-at-rohnert-park-budget-inn-hotel/" TargetMode="External"/><Relationship Id="rId3335" Type="http://schemas.openxmlformats.org/officeDocument/2006/relationships/hyperlink" Target="http://www.fatalencounters.org/wp-content/uploads/2013/10/PhilipOshea.jpg" TargetMode="External"/><Relationship Id="rId3336" Type="http://schemas.openxmlformats.org/officeDocument/2006/relationships/hyperlink" Target="http://www.wptv.com/news/region-c-palm-beach-county/west-palm-beach/police-investigating-shooting-in-jupiter" TargetMode="External"/><Relationship Id="rId3337" Type="http://schemas.openxmlformats.org/officeDocument/2006/relationships/hyperlink" Target="http://www.ktvq.com/story/35419232/several-billings-officers-on-leave-after-shooting-suicidal-man" TargetMode="External"/><Relationship Id="rId3338" Type="http://schemas.openxmlformats.org/officeDocument/2006/relationships/hyperlink" Target="http://6abc.com/news/suspect-shot-and-killed-by-police-in-sw-philadelphia/1983558/" TargetMode="External"/><Relationship Id="rId3339" Type="http://schemas.openxmlformats.org/officeDocument/2006/relationships/hyperlink" Target="http://www.khou.com/news/local/2-off-duty-deputies-involved-in-deadly-shooting-in-ne-harris-county-1/439104111" TargetMode="External"/><Relationship Id="rId260" Type="http://schemas.openxmlformats.org/officeDocument/2006/relationships/hyperlink" Target="http://www.newson6.com/story/28881786/choctaw-county-law-enforcement-officers-shot-serving-warrant" TargetMode="External"/><Relationship Id="rId261" Type="http://schemas.openxmlformats.org/officeDocument/2006/relationships/hyperlink" Target="http://www.bakersfieldnow.com/news/local/Man-shot-in-Delano-300955291.html" TargetMode="External"/><Relationship Id="rId262" Type="http://schemas.openxmlformats.org/officeDocument/2006/relationships/hyperlink" Target="http://www.latimes.com/local/lanow/la-me-ln-lapd-lincoln-heights-shooting-20150422-story.html" TargetMode="External"/><Relationship Id="rId263" Type="http://schemas.openxmlformats.org/officeDocument/2006/relationships/hyperlink" Target="http://www.wtok.com/news/headlines/Lauderdale-County-Man-Dies-after-Arrest-300851931.html" TargetMode="External"/><Relationship Id="rId264" Type="http://schemas.openxmlformats.org/officeDocument/2006/relationships/hyperlink" Target="http://www.suntelegraph.com/story/2015/04/21/community/leasa-hlavinka-husband-was-a-doting-father/6849.html" TargetMode="External"/><Relationship Id="rId265" Type="http://schemas.openxmlformats.org/officeDocument/2006/relationships/hyperlink" Target="http://www.kentucky.com/2015/04/19/3809168/wilmore-man-killed-by-police-had.html" TargetMode="External"/><Relationship Id="rId266" Type="http://schemas.openxmlformats.org/officeDocument/2006/relationships/hyperlink" Target="http://www.azfamily.com/story/28852387/phoenix-pds-mental-health-squad-looks-to-reduce-violent-encounters" TargetMode="External"/><Relationship Id="rId267" Type="http://schemas.openxmlformats.org/officeDocument/2006/relationships/hyperlink" Target="http://www.pe.com/articles/car-765208-officers-sheriff.html" TargetMode="External"/><Relationship Id="rId268" Type="http://schemas.openxmlformats.org/officeDocument/2006/relationships/hyperlink" Target="http://www.bakersfieldnow.com/news/local/Questions-raised-after-officer-involved-shooting-in-Shafter-300410121.html" TargetMode="External"/><Relationship Id="rId269" Type="http://schemas.openxmlformats.org/officeDocument/2006/relationships/hyperlink" Target="http://www.detroitnews.com/story/news/local/wayne-county/2015/04/17/assault-suspect-died-hit-taser-identified/25947299/" TargetMode="External"/><Relationship Id="rId2630" Type="http://schemas.openxmlformats.org/officeDocument/2006/relationships/hyperlink" Target="http://www.oregonlive.com/portland/index.ssf/2016/12/portland_police_shoot_kill_man.html" TargetMode="External"/><Relationship Id="rId2631" Type="http://schemas.openxmlformats.org/officeDocument/2006/relationships/hyperlink" Target="http://siouxcityjournal.com/news/local/sioux-city-police-officer-shot-killed-passenger-after-traffic-stop/article_25b92815-8e21-55ad-aebe-f3c7fa2108da.html" TargetMode="External"/><Relationship Id="rId2632" Type="http://schemas.openxmlformats.org/officeDocument/2006/relationships/hyperlink" Target="http://www.fatalencounters.org/wp-content/uploads/2013/10/Mark-Anthony-Hicks.jpg" TargetMode="External"/><Relationship Id="rId2633" Type="http://schemas.openxmlformats.org/officeDocument/2006/relationships/hyperlink" Target="http://www.fayobserver.com/news/crime_courts/police-man-stabs-woman-to-death-then-shot-killed-by/article_f2e547cb-bfe0-54e5-8ded-3f917a6d369b.html" TargetMode="External"/><Relationship Id="rId2634" Type="http://schemas.openxmlformats.org/officeDocument/2006/relationships/hyperlink" Target="http://www.fatalencounters.org/wp-content/uploads/2013/10/Steven-Garrett-Ward.jpg" TargetMode="External"/><Relationship Id="rId2635" Type="http://schemas.openxmlformats.org/officeDocument/2006/relationships/hyperlink" Target="http://pittsburgh.cbslocal.com/2016/12/16/suspect-shot-during-avella-domestic-dispute-call-dies-in-hospital/" TargetMode="External"/><Relationship Id="rId2636" Type="http://schemas.openxmlformats.org/officeDocument/2006/relationships/hyperlink" Target="http://www.fatalencounters.org/wp-content/uploads/2013/10/Murray2.jpg" TargetMode="External"/><Relationship Id="rId2637" Type="http://schemas.openxmlformats.org/officeDocument/2006/relationships/hyperlink" Target="http://www.dallasnews.com/news/crime/2016/12/07/duncanville-officer-fatally-shoots-person-operation-downtown-dallas" TargetMode="External"/><Relationship Id="rId2638" Type="http://schemas.openxmlformats.org/officeDocument/2006/relationships/hyperlink" Target="http://www.khou.com/news/local/hpd-officer-shot-wounded-suspected-robbery-suspect/365102468" TargetMode="External"/><Relationship Id="rId2639" Type="http://schemas.openxmlformats.org/officeDocument/2006/relationships/hyperlink" Target="http://www.nbcdfw.com/news/local/Allen-Police-Fatally-Shoot-405554496.html" TargetMode="External"/><Relationship Id="rId1930" Type="http://schemas.openxmlformats.org/officeDocument/2006/relationships/hyperlink" Target="http://abc7.com/news/suspect-with-spear-killed-in-maywood-deputy-involved-shooting/1381668/" TargetMode="External"/><Relationship Id="rId1931" Type="http://schemas.openxmlformats.org/officeDocument/2006/relationships/hyperlink" Target="http://djournal.com/news/alleged-shooter-claims-cabbie-killing/" TargetMode="External"/><Relationship Id="rId1932" Type="http://schemas.openxmlformats.org/officeDocument/2006/relationships/hyperlink" Target="http://www.fatalencounters.org/wp-content/uploads/2013/10/mateen.jpg" TargetMode="External"/><Relationship Id="rId1933" Type="http://schemas.openxmlformats.org/officeDocument/2006/relationships/hyperlink" Target="http://www.cnn.com/2016/06/12/us/orlando-shooting-timeline/" TargetMode="External"/><Relationship Id="rId1934" Type="http://schemas.openxmlformats.org/officeDocument/2006/relationships/hyperlink" Target="http://www.heraldextra.com/news/local/crime-and-courts/police-identify-man-killed-in-eagle-mountain-officer-involved-shooting/article_1e7adbd2-c5da-5492-85a6-8bb21aa017d2.html" TargetMode="External"/><Relationship Id="rId1935" Type="http://schemas.openxmlformats.org/officeDocument/2006/relationships/hyperlink" Target="http://www.glasgowdailytimes.com/news/update-shooting-in-hiseville-leaves-one-man-dead/article_1424ae2c-3133-11e6-9ef6-ab99744949e6.html" TargetMode="External"/><Relationship Id="rId1936" Type="http://schemas.openxmlformats.org/officeDocument/2006/relationships/hyperlink" Target="http://local15tv.com/news/local/officer-involved-shooting-on-stanton-road" TargetMode="External"/><Relationship Id="rId1937" Type="http://schemas.openxmlformats.org/officeDocument/2006/relationships/hyperlink" Target="http://www.fatalencounters.org/wp-content/uploads/2013/10/frank-anthony-kelley.jpg" TargetMode="External"/><Relationship Id="rId1938" Type="http://schemas.openxmlformats.org/officeDocument/2006/relationships/hyperlink" Target="http://www.mlive.com/news/grand-rapids/index.ssf/2016/06/robbery_suspect_shot_and_kille.html" TargetMode="External"/><Relationship Id="rId1939" Type="http://schemas.openxmlformats.org/officeDocument/2006/relationships/hyperlink" Target="http://www.fatalencounters.org/wp-content/uploads/2013/10/Joshua-Sciscm.jpg" TargetMode="External"/><Relationship Id="rId3340" Type="http://schemas.openxmlformats.org/officeDocument/2006/relationships/hyperlink" Target="http://www.chicagotribune.com/suburbs/aurora-beacon-news/ct-geneva-delnor-hospital-police-standoff-20170513-story.html" TargetMode="External"/><Relationship Id="rId3341" Type="http://schemas.openxmlformats.org/officeDocument/2006/relationships/hyperlink" Target="http://www.indystar.com/story/news/2017/05/13/indianapolis-man-dies-after-being-tased-greenfield-police/321113001/" TargetMode="External"/><Relationship Id="rId3342" Type="http://schemas.openxmlformats.org/officeDocument/2006/relationships/hyperlink" Target="http://www.abc17news.com/news/highway-patrol-confirms-fatal-officer-involved-shooting-in-columbia-suspect-identified/498416615" TargetMode="External"/><Relationship Id="rId3343" Type="http://schemas.openxmlformats.org/officeDocument/2006/relationships/hyperlink" Target="https://kdminer.com/news/2017/may/14/police-action-andy-devine-avenue-and-interstate-40/" TargetMode="External"/><Relationship Id="rId3344" Type="http://schemas.openxmlformats.org/officeDocument/2006/relationships/hyperlink" Target="http://news3lv.com/news/local/suspect-dies-after-being-tazed-choked-while-in-metro-custody" TargetMode="External"/><Relationship Id="rId3345" Type="http://schemas.openxmlformats.org/officeDocument/2006/relationships/hyperlink" Target="http://www.wdbj7.com/content/news/Police-standoff-in-Pulaski-county-422249653.html" TargetMode="External"/><Relationship Id="rId3346" Type="http://schemas.openxmlformats.org/officeDocument/2006/relationships/hyperlink" Target="http://www.fatalencounters.org/wp-content/uploads/2013/10/Jonathan-David-Victor.jpg" TargetMode="External"/><Relationship Id="rId3347" Type="http://schemas.openxmlformats.org/officeDocument/2006/relationships/hyperlink" Target="http://kfor.com/2017/05/15/man-dead-after-hostage-situation-turned-into-standoff-in-wewoka/" TargetMode="External"/><Relationship Id="rId3348" Type="http://schemas.openxmlformats.org/officeDocument/2006/relationships/hyperlink" Target="http://www.abc15.com/news/region-phoenix-metro/central-phoenix/phoenix-police-investigating-officer-involved-shooting-near-downtown" TargetMode="External"/><Relationship Id="rId3349" Type="http://schemas.openxmlformats.org/officeDocument/2006/relationships/hyperlink" Target="http://www.latimes.com/local/lanow/la-me-ln-van-pursuit-officer-involved-shooting-live-tv-20170515-story.html" TargetMode="External"/><Relationship Id="rId270" Type="http://schemas.openxmlformats.org/officeDocument/2006/relationships/hyperlink" Target="http://www.abc17news.com/news/suspect-shot-and-killed-by-police/32394506" TargetMode="External"/><Relationship Id="rId271" Type="http://schemas.openxmlformats.org/officeDocument/2006/relationships/hyperlink" Target="http://www.dailybulletin.com/government-and-politics/20150416/man-fatally-shot-by-deputies-near-montclair-had-bb-gun" TargetMode="External"/><Relationship Id="rId272" Type="http://schemas.openxmlformats.org/officeDocument/2006/relationships/hyperlink" Target="http://wreg.com/2015/04/15/man-wielding-machete-is-shot-and-killed-by-jonesboro-patrolman/" TargetMode="External"/><Relationship Id="rId273" Type="http://schemas.openxmlformats.org/officeDocument/2006/relationships/hyperlink" Target="http://www.nbclosangeles.com/news/local/Highland-In-Custody-Death-Investigation-300128821.html" TargetMode="External"/><Relationship Id="rId274" Type="http://schemas.openxmlformats.org/officeDocument/2006/relationships/hyperlink" Target="http://denver.cbslocal.com/2015/04/16/marriage-down-the-tubes-i-hope-they-kill-me-says-killed-standoff-suspect-on-facebook/" TargetMode="External"/><Relationship Id="rId275" Type="http://schemas.openxmlformats.org/officeDocument/2006/relationships/hyperlink" Target="http://www.nj.com/mercer/index.ssf/2015/04/man_shot_by_hamilton_police_in_stabbing_incident_d.html" TargetMode="External"/><Relationship Id="rId276" Type="http://schemas.openxmlformats.org/officeDocument/2006/relationships/hyperlink" Target="http://fox2now.com/2015/04/14/man-identified-in-alton-officer-involved-shooting/" TargetMode="External"/><Relationship Id="rId277" Type="http://schemas.openxmlformats.org/officeDocument/2006/relationships/hyperlink" Target="http://fox2now.com/2015/04/14/man-identified-in-alton-officer-involved-shooting/" TargetMode="External"/><Relationship Id="rId278" Type="http://schemas.openxmlformats.org/officeDocument/2006/relationships/hyperlink" Target="http://abc11.com/news/sampson-county-sheriffs-deputy-shoots-and-kills-robbery-suspect/654777/" TargetMode="External"/><Relationship Id="rId279" Type="http://schemas.openxmlformats.org/officeDocument/2006/relationships/hyperlink" Target="http://www.koco.com/news/police-investigating-reported-shooting-in-newalla/32332484" TargetMode="External"/><Relationship Id="rId2640" Type="http://schemas.openxmlformats.org/officeDocument/2006/relationships/hyperlink" Target="http://www.fatalencounters.org/wp-content/uploads/2013/10/stephen-joshua-whitney.jpeg" TargetMode="External"/><Relationship Id="rId2641" Type="http://schemas.openxmlformats.org/officeDocument/2006/relationships/hyperlink" Target="http://khon2.com/2016/12/09/suspect-killed-in-officer-involved-shooting-on-hawaii-island/" TargetMode="External"/><Relationship Id="rId2642" Type="http://schemas.openxmlformats.org/officeDocument/2006/relationships/hyperlink" Target="http://www.wect.com/story/34019895/officer-shot-suspect-killed-in-leland-shooting" TargetMode="External"/><Relationship Id="rId2643" Type="http://schemas.openxmlformats.org/officeDocument/2006/relationships/hyperlink" Target="http://www.fatalencounters.org/wp-content/uploads/2013/10/Scott-MacIntosh.jpg" TargetMode="External"/><Relationship Id="rId2644" Type="http://schemas.openxmlformats.org/officeDocument/2006/relationships/hyperlink" Target="http://www.wfmz.com/news/top-stories/man-shot-and-killed-by-forks-township-police-officer/203462830" TargetMode="External"/><Relationship Id="rId2645" Type="http://schemas.openxmlformats.org/officeDocument/2006/relationships/hyperlink" Target="http://www.fatalencounters.org/wp-content/uploads/2013/10/David-Scott-Winkler.jpg" TargetMode="External"/><Relationship Id="rId2646" Type="http://schemas.openxmlformats.org/officeDocument/2006/relationships/hyperlink" Target="http://www.wbir.com/news/local/mcminn-monroe/sheriffs-office-tbi-investigating-fatal-monroe-co-shooting/367123570" TargetMode="External"/><Relationship Id="rId2647" Type="http://schemas.openxmlformats.org/officeDocument/2006/relationships/hyperlink" Target="http://www.fatalencounters.org/wp-content/uploads/2013/10/Samson-G.-Varner.jpg" TargetMode="External"/><Relationship Id="rId2648" Type="http://schemas.openxmlformats.org/officeDocument/2006/relationships/hyperlink" Target="http://www.theindychannel.com/news/local-news/greenwood-police-shoot-kill-man" TargetMode="External"/><Relationship Id="rId2649" Type="http://schemas.openxmlformats.org/officeDocument/2006/relationships/hyperlink" Target="http://www.fatalencounters.org/wp-content/uploads/2013/10/Waltki-Cermoun-Williams.jpg" TargetMode="External"/><Relationship Id="rId1940" Type="http://schemas.openxmlformats.org/officeDocument/2006/relationships/hyperlink" Target="http://news10.com/2016/06/13/police-investigating-officer-involved-shooting-in-schenectady/" TargetMode="External"/><Relationship Id="rId1941" Type="http://schemas.openxmlformats.org/officeDocument/2006/relationships/hyperlink" Target="http://www.fatalencounters.org/wp-content/uploads/2013/10/Edward-Acquisto.jpg" TargetMode="External"/><Relationship Id="rId1942" Type="http://schemas.openxmlformats.org/officeDocument/2006/relationships/hyperlink" Target="http://patch.com/rhode-island/tiverton/shootings-reported-tiverton" TargetMode="External"/><Relationship Id="rId1943" Type="http://schemas.openxmlformats.org/officeDocument/2006/relationships/hyperlink" Target="http://16749-presscdn-0-94.pagely.netdna-cdn.com/wp-content/uploads/2016/06/Kenneth-Allen-Pointer.jpg" TargetMode="External"/><Relationship Id="rId1944" Type="http://schemas.openxmlformats.org/officeDocument/2006/relationships/hyperlink" Target="http://www.oregonlive.com/clark-county/index.ssf/2016/06/vancouver_bank_robbery_suspect_2.html" TargetMode="External"/><Relationship Id="rId1945" Type="http://schemas.openxmlformats.org/officeDocument/2006/relationships/hyperlink" Target="http://www.fatalencounters.org/wp-content/uploads/2013/10/Noel-Rodriguez.jpg" TargetMode="External"/><Relationship Id="rId1946" Type="http://schemas.openxmlformats.org/officeDocument/2006/relationships/hyperlink" Target="http://www.idahostatesman.com/news/local/crime/article83638777.html" TargetMode="External"/><Relationship Id="rId1947" Type="http://schemas.openxmlformats.org/officeDocument/2006/relationships/hyperlink" Target="http://www.nbcsandiego.com/news/local/Chula-Vista-Police-Searching-for-Suspect-in-Eastlake-Shooting-383023971.html" TargetMode="External"/><Relationship Id="rId1948" Type="http://schemas.openxmlformats.org/officeDocument/2006/relationships/hyperlink" Target="http://fox4kc.com/2016/06/14/lafayette-county-deputy-shoots-kills-armed-man-officials-report/" TargetMode="External"/><Relationship Id="rId1949" Type="http://schemas.openxmlformats.org/officeDocument/2006/relationships/hyperlink" Target="http://www.fatalencounters.org/wp-content/uploads/2013/10/Mohammad-Sadegh-Moghaddam.jpg" TargetMode="External"/><Relationship Id="rId2100" Type="http://schemas.openxmlformats.org/officeDocument/2006/relationships/hyperlink" Target="http://www.tulsaworld.com/news/crimewatch/axe-wielding-man-fatally-shot-by-tulsa-police-in-west/article_56830253-78a3-5aec-96e0-7f9ab970107e.html" TargetMode="External"/><Relationship Id="rId2101" Type="http://schemas.openxmlformats.org/officeDocument/2006/relationships/hyperlink" Target="http://santamariatimes.com/news/local/man-armed-with-a-knife-shot-by-santa-maria-police/article_09193b8a-bcea-5c4b-b65e-3a09327ce7b9.html" TargetMode="External"/><Relationship Id="rId2102" Type="http://schemas.openxmlformats.org/officeDocument/2006/relationships/hyperlink" Target="http://www.fatalencounters.org/wp-content/uploads/2013/10/James-T.-Stuart.jpg" TargetMode="External"/><Relationship Id="rId2103" Type="http://schemas.openxmlformats.org/officeDocument/2006/relationships/hyperlink" Target="http://rep-am.com/news/local/doc578f6b5132c08416884246.txt" TargetMode="External"/><Relationship Id="rId2104" Type="http://schemas.openxmlformats.org/officeDocument/2006/relationships/hyperlink" Target="http://www.fatalencounters.org/wp-content/uploads/2013/10/Medeiros.jpg" TargetMode="External"/><Relationship Id="rId2105" Type="http://schemas.openxmlformats.org/officeDocument/2006/relationships/hyperlink" Target="http://www.hawaiinewsnow.com/story/32503835/hilo-police-fatally-shoot-man-during-struggle-over-a-gun" TargetMode="External"/><Relationship Id="rId2106" Type="http://schemas.openxmlformats.org/officeDocument/2006/relationships/hyperlink" Target="http://www.chicagotribune.com/news/local/breaking/ct-officer-shot-south-loop-20160721-story.html" TargetMode="External"/><Relationship Id="rId2107" Type="http://schemas.openxmlformats.org/officeDocument/2006/relationships/hyperlink" Target="http://www.wvgazettemail.com/news/20160722/upshur-deputy-shoots-and-kills-pennsylvania-man" TargetMode="External"/><Relationship Id="rId2108" Type="http://schemas.openxmlformats.org/officeDocument/2006/relationships/hyperlink" Target="http://www.dailybulletin.com/general-news/20160724/san-diego-man-shot-killed-after-confrontation-with-chino-police" TargetMode="External"/><Relationship Id="rId2109" Type="http://schemas.openxmlformats.org/officeDocument/2006/relationships/hyperlink" Target="http://www.ksat.com/news/suspect-wounded-in-officer-involved-shooting-dies" TargetMode="External"/><Relationship Id="rId3350" Type="http://schemas.openxmlformats.org/officeDocument/2006/relationships/hyperlink" Target="http://www.ketv.com/article/person-barricaded-inside-home-near-34th-street-grand-avenue/9653453" TargetMode="External"/><Relationship Id="rId3351" Type="http://schemas.openxmlformats.org/officeDocument/2006/relationships/hyperlink" Target="http://wjhl.com/2017/05/15/suspect-shot-and-killed-after-police-pursuit-in-carter-county-and-johnson-city/" TargetMode="External"/><Relationship Id="rId3352" Type="http://schemas.openxmlformats.org/officeDocument/2006/relationships/hyperlink" Target="http://www.nbc12.com/story/35435450/police-investigating-officer-involved-shooting-in-south-richmond" TargetMode="External"/><Relationship Id="rId3353" Type="http://schemas.openxmlformats.org/officeDocument/2006/relationships/hyperlink" Target="http://www.wisn.com/article/police-on-scene-of-possible-standoff-situation-in-west-allis/9648868" TargetMode="External"/><Relationship Id="rId3354" Type="http://schemas.openxmlformats.org/officeDocument/2006/relationships/hyperlink" Target="http://www.cbs8.com/story/35435395/deputy-involved-shooting-reported-in-solana-beach" TargetMode="External"/><Relationship Id="rId3355" Type="http://schemas.openxmlformats.org/officeDocument/2006/relationships/hyperlink" Target="http://www.fatalencounters.org/wp-content/uploads/2013/10/EdwinFuentes.png" TargetMode="External"/><Relationship Id="rId3356" Type="http://schemas.openxmlformats.org/officeDocument/2006/relationships/hyperlink" Target="http://www.latimes.com/local/lanow/la-me-tustin-police-fatal-shooting-20170517-story.html" TargetMode="External"/><Relationship Id="rId3357" Type="http://schemas.openxmlformats.org/officeDocument/2006/relationships/hyperlink" Target="http://www.fatalencounters.org/wp-content/uploads/2013/10/Isabelle-Duval.jpg" TargetMode="External"/><Relationship Id="rId3358" Type="http://schemas.openxmlformats.org/officeDocument/2006/relationships/hyperlink" Target="http://wjla.com/news/local/police-woman-appearing-to-have-a-gun-shot-in-police-involved-shooting-in-dc" TargetMode="External"/><Relationship Id="rId3359" Type="http://schemas.openxmlformats.org/officeDocument/2006/relationships/hyperlink" Target="http://www.fatalencounters.org/wp-content/uploads/2013/10/Marshall-Barrus.jpg" TargetMode="External"/><Relationship Id="rId1400" Type="http://schemas.openxmlformats.org/officeDocument/2006/relationships/hyperlink" Target="http://www.times-standard.com/general-news/20160116/police-man-killed-after-pointing-shotgun-at-troopers" TargetMode="External"/><Relationship Id="rId1401" Type="http://schemas.openxmlformats.org/officeDocument/2006/relationships/hyperlink" Target="http://www.oregonlive.com/washingtoncounty/index.ssf/2016/01/man_shot_by_beaverton_police_d.html" TargetMode="External"/><Relationship Id="rId1402" Type="http://schemas.openxmlformats.org/officeDocument/2006/relationships/hyperlink" Target="http://www.dailynews.com/general-news/20160117/burglary-suspect-fatally-shot-by-police-in-hollywood-hills" TargetMode="External"/><Relationship Id="rId1403" Type="http://schemas.openxmlformats.org/officeDocument/2006/relationships/hyperlink" Target="http://www.cbs8.com/story/30983403/woman-dog-killed-in-officer-involved-shooting" TargetMode="External"/><Relationship Id="rId1404" Type="http://schemas.openxmlformats.org/officeDocument/2006/relationships/hyperlink" Target="http://wchstv.com/news/local/pursuit-leads-to-state-trooper-shooting-killing-suspect" TargetMode="External"/><Relationship Id="rId1405" Type="http://schemas.openxmlformats.org/officeDocument/2006/relationships/hyperlink" Target="http://www.wbrc.com/story/30988343/armed-man-dies-in-officer-involved-shooting-in-rainbow-city" TargetMode="External"/><Relationship Id="rId1406" Type="http://schemas.openxmlformats.org/officeDocument/2006/relationships/hyperlink" Target="http://www.azcentral.com/story/news/local/mesa/breaking/2016/01/19/1-dead-after-police-involved-shooting-mesa/79019960/" TargetMode="External"/><Relationship Id="rId1407" Type="http://schemas.openxmlformats.org/officeDocument/2006/relationships/hyperlink" Target="http://fox13now.com/2016/01/17/officer-suspect-shot-in-officer-involved-shooting-in-holladay/" TargetMode="External"/><Relationship Id="rId1408" Type="http://schemas.openxmlformats.org/officeDocument/2006/relationships/hyperlink" Target="http://jacksonville.com/news/crime/2016-02-12/story/jacksonville-man-shot-duty-federal-officer-during-attempted-robbery" TargetMode="External"/><Relationship Id="rId1409" Type="http://schemas.openxmlformats.org/officeDocument/2006/relationships/hyperlink" Target="http://www.mysanantonio.com/news/local/article/SAPD-officer-involved-in-shooting-on-West-Side-6765652.php" TargetMode="External"/><Relationship Id="rId280" Type="http://schemas.openxmlformats.org/officeDocument/2006/relationships/hyperlink" Target="http://www.dailymail.co.uk/news/article-3051433/Bodycam-footage-shows-Sand-Springs-Officer-Brian-Barnett-killing-Donald-Allen.html" TargetMode="External"/><Relationship Id="rId281" Type="http://schemas.openxmlformats.org/officeDocument/2006/relationships/hyperlink" Target="http://www.appeal-democrat.com/corning_observer/deputy-shoots-kills-corning-man-stabbing-father/article_800aa990-e23b-11e4-9469-435eb6fa3396.html" TargetMode="External"/><Relationship Id="rId282" Type="http://schemas.openxmlformats.org/officeDocument/2006/relationships/hyperlink" Target="http://www.pennlive.com/midstate/index.ssf/2015/04/adams_county_prison_gunman_die.html" TargetMode="External"/><Relationship Id="rId283" Type="http://schemas.openxmlformats.org/officeDocument/2006/relationships/hyperlink" Target="http://www.northescambia.com/2015/04/santa-rosa-deputy-attacked-by-man-with-sword-suspect-shot-and-killed" TargetMode="External"/><Relationship Id="rId284" Type="http://schemas.openxmlformats.org/officeDocument/2006/relationships/hyperlink" Target="http://newsok.com/oklahoma-agents-investigate-fatal-deputy-involved-shooting-in-creek-county/article/5408706" TargetMode="External"/><Relationship Id="rId285" Type="http://schemas.openxmlformats.org/officeDocument/2006/relationships/hyperlink" Target="http://www.wyff4.com/news/family-of-man-killed-by-deputies-hires-attorney/32601896" TargetMode="External"/><Relationship Id="rId286" Type="http://schemas.openxmlformats.org/officeDocument/2006/relationships/hyperlink" Target="http://www.latimes.com/local/lanow/la-me-ln-boyle-heights-ois-man-identified-20150410-story.html" TargetMode="External"/><Relationship Id="rId287" Type="http://schemas.openxmlformats.org/officeDocument/2006/relationships/hyperlink" Target="http://www.kerngoldenempire.com/news/top-stories/new-information-on-kcso-in-custody-death" TargetMode="External"/><Relationship Id="rId288" Type="http://schemas.openxmlformats.org/officeDocument/2006/relationships/hyperlink" Target="http://sanfrancisco.cbslocal.com/2015/04/14/armed-robbery-suspect-killed-by-sunnyvale-police-was-army-veteran/" TargetMode="External"/><Relationship Id="rId289" Type="http://schemas.openxmlformats.org/officeDocument/2006/relationships/hyperlink" Target="http://www.ksat.com/content/pns/ksat/news/2015/04/10/man-shot--killed-by-police-id-d.html" TargetMode="External"/><Relationship Id="rId2650" Type="http://schemas.openxmlformats.org/officeDocument/2006/relationships/hyperlink" Target="http://www.wltx.com/news/local/sumter-police-say-suspect-dead-after-shootout-with-officers/367773380" TargetMode="External"/><Relationship Id="rId2651" Type="http://schemas.openxmlformats.org/officeDocument/2006/relationships/hyperlink" Target="http://www.azfamily.com/story/34036387/woman-with-replica-pistol-shot-and-killed-by-officer-in-bullhead-city" TargetMode="External"/><Relationship Id="rId2652" Type="http://schemas.openxmlformats.org/officeDocument/2006/relationships/hyperlink" Target="http://www.kansas.com/news/local/crime/article120423998.html" TargetMode="External"/><Relationship Id="rId2653" Type="http://schemas.openxmlformats.org/officeDocument/2006/relationships/hyperlink" Target="http://www.omaha.com/news/crime/nebraska-man-dies-after-being-wounded-in-officer-related-shooting/article_6bab2ede-bfd4-11e6-9825-f7f3cfdfdaa7.html" TargetMode="External"/><Relationship Id="rId2654" Type="http://schemas.openxmlformats.org/officeDocument/2006/relationships/hyperlink" Target="http://www.lmtonline.com/news/article/Man-fatally-shot-by-Laredo-police-10789657.php" TargetMode="External"/><Relationship Id="rId2655" Type="http://schemas.openxmlformats.org/officeDocument/2006/relationships/hyperlink" Target="http://www.wdtv.com/content/news/Suspect-dead-in-White-Hall-Walmart-shooting--405948655.html" TargetMode="External"/><Relationship Id="rId2656" Type="http://schemas.openxmlformats.org/officeDocument/2006/relationships/hyperlink" Target="http://www.fatalencounters.org/wp-content/uploads/2013/10/Francisco-Serna.jpg" TargetMode="External"/><Relationship Id="rId2657" Type="http://schemas.openxmlformats.org/officeDocument/2006/relationships/hyperlink" Target="http://www.turnto23.com/news/local-news/bpd-investigating-an-officer-involved-shooting-in-southwest-bakersfield" TargetMode="External"/><Relationship Id="rId2658" Type="http://schemas.openxmlformats.org/officeDocument/2006/relationships/hyperlink" Target="http://www.floridatoday.com/story/news/2016/12/12/fdle-investigate--custody-palm-bay-death/95330738/" TargetMode="External"/><Relationship Id="rId2659" Type="http://schemas.openxmlformats.org/officeDocument/2006/relationships/hyperlink" Target="http://www.13wmaz.com/news/local/two-byron-officers-shot-serving-warrant-suspect-dead/368227424" TargetMode="External"/><Relationship Id="rId1950" Type="http://schemas.openxmlformats.org/officeDocument/2006/relationships/hyperlink" Target="http://heavy.com/news/2016/06/mohammad-sadegh-moghaddam-amarillo-texas-walmart-gunman-shooter-hostage-somalia-somalian-wife-leila-gachlou-photos/" TargetMode="External"/><Relationship Id="rId1951" Type="http://schemas.openxmlformats.org/officeDocument/2006/relationships/hyperlink" Target="http://www.fatalencounters.org/wp-content/uploads/2013/10/Russell-Rosser.jpg" TargetMode="External"/><Relationship Id="rId1952" Type="http://schemas.openxmlformats.org/officeDocument/2006/relationships/hyperlink" Target="http://www.newson6.com/story/32240844/tpd-identifies-sergeant-involved-in-fatal-shooting" TargetMode="External"/><Relationship Id="rId1953" Type="http://schemas.openxmlformats.org/officeDocument/2006/relationships/hyperlink" Target="http://wbay.com/2016/06/15/large-police-presence-near-pembine/" TargetMode="External"/><Relationship Id="rId1954" Type="http://schemas.openxmlformats.org/officeDocument/2006/relationships/hyperlink" Target="http://www.fatalencounters.org/wp-content/uploads/2013/10/Ronald-Delfino.jpg" TargetMode="External"/><Relationship Id="rId1955" Type="http://schemas.openxmlformats.org/officeDocument/2006/relationships/hyperlink" Target="http://krqe.com/2016/06/17/bcso-identifies-suspect-in-fatal-carjacking/" TargetMode="External"/><Relationship Id="rId1956" Type="http://schemas.openxmlformats.org/officeDocument/2006/relationships/hyperlink" Target="http://www.9news.com/news/crime/suspect-dead-after-officer-involved-shooting/246481939" TargetMode="External"/><Relationship Id="rId1957" Type="http://schemas.openxmlformats.org/officeDocument/2006/relationships/hyperlink" Target="http://helenair.com/news/crime-and-courts/police-identify-man-shot-thursday-by-butte-police-as-peter/article_14a3da13-8702-5b25-964d-a16a0359237d.html" TargetMode="External"/><Relationship Id="rId1958" Type="http://schemas.openxmlformats.org/officeDocument/2006/relationships/hyperlink" Target="http://www.toledoblade.com/Police-Fire/2016/06/18/Sheriff-says-fatal-shooting-likely-justified.html" TargetMode="External"/><Relationship Id="rId1959" Type="http://schemas.openxmlformats.org/officeDocument/2006/relationships/hyperlink" Target="http://www.fatalencounters.org/wp-content/uploads/2013/10/William-Thomas-Hennessey.jpg" TargetMode="External"/><Relationship Id="rId2110" Type="http://schemas.openxmlformats.org/officeDocument/2006/relationships/hyperlink" Target="http://www.jsonline.com/news/milwaukee-police-shoot-kill-stabbing-suspect-b99766770z1-388014112.html" TargetMode="External"/><Relationship Id="rId2111" Type="http://schemas.openxmlformats.org/officeDocument/2006/relationships/hyperlink" Target="http://www.latimes.com/local/lanow/la-me-ln-lapd-officer-shot-20160725-snap-story.html" TargetMode="External"/><Relationship Id="rId2112" Type="http://schemas.openxmlformats.org/officeDocument/2006/relationships/hyperlink" Target="http://www.pe.com/articles/shooting-808998-involved-deputy.html" TargetMode="External"/><Relationship Id="rId2113" Type="http://schemas.openxmlformats.org/officeDocument/2006/relationships/hyperlink" Target="http://www.fatalencounters.org/wp-content/uploads/2013/10/Alvin-R.-Sylversmythe.jpg" TargetMode="External"/><Relationship Id="rId2114" Type="http://schemas.openxmlformats.org/officeDocument/2006/relationships/hyperlink" Target="http://www.kob.com/new-mexico-news/nmsp-investigating-officer-involved-shooting-in-gallup/4209859/" TargetMode="External"/><Relationship Id="rId2115" Type="http://schemas.openxmlformats.org/officeDocument/2006/relationships/hyperlink" Target="http://www.fatalencounters.org/wp-content/uploads/2013/10/jeff-tyson.jpg" TargetMode="External"/><Relationship Id="rId2116" Type="http://schemas.openxmlformats.org/officeDocument/2006/relationships/hyperlink" Target="http://www.indystar.com/story/news/fox59/2016/07/25/impd-officer-shot-another-injured-during-pursuit-northwest-side/87548522/" TargetMode="External"/><Relationship Id="rId2117" Type="http://schemas.openxmlformats.org/officeDocument/2006/relationships/hyperlink" Target="http://www.fatalencounters.org/wp-content/uploads/2013/10/Anthony-Michael-Edwards.jpg" TargetMode="External"/><Relationship Id="rId2118" Type="http://schemas.openxmlformats.org/officeDocument/2006/relationships/hyperlink" Target="http://www.wbir.com/news/local/maryville-blount/man-involved-in-scuffle-with-blount-deputy-has-died/283514089" TargetMode="External"/><Relationship Id="rId2119" Type="http://schemas.openxmlformats.org/officeDocument/2006/relationships/hyperlink" Target="http://www.fatalencounters.org/wp-content/uploads/2013/10/Humberto-Martinez.jpg" TargetMode="External"/><Relationship Id="rId3360" Type="http://schemas.openxmlformats.org/officeDocument/2006/relationships/hyperlink" Target="http://www.ktvq.com/story/35455462/suspect-in-deputy-slaying-dies-from-injuries" TargetMode="External"/><Relationship Id="rId3361" Type="http://schemas.openxmlformats.org/officeDocument/2006/relationships/hyperlink" Target="http://www.abc15.com/news/region-southeast-valley/tempe/tempe-police-officer-injured-in-shooting-near-ruralsouthern" TargetMode="External"/><Relationship Id="rId3362" Type="http://schemas.openxmlformats.org/officeDocument/2006/relationships/hyperlink" Target="http://wgntv.com/2017/05/17/police-off-duty-sheriffs-deputy-fatally-shoots-armed-robber/" TargetMode="External"/><Relationship Id="rId3363" Type="http://schemas.openxmlformats.org/officeDocument/2006/relationships/hyperlink" Target="http://www.nbcwashington.com/news/local/One-Shot-Officer-Injured-in-Arlington-422840974.html" TargetMode="External"/><Relationship Id="rId3364" Type="http://schemas.openxmlformats.org/officeDocument/2006/relationships/hyperlink" Target="http://wrbl.com/2017/05/18/police-officer-suspect-hit-by-vehicles-at-cusseta-road-and-25th-avenue-suspect-killed/" TargetMode="External"/><Relationship Id="rId3365" Type="http://schemas.openxmlformats.org/officeDocument/2006/relationships/hyperlink" Target="http://www.columbian.com/news/2017/may/18/shots-fired-at-peacehealth-officer-involved/" TargetMode="External"/><Relationship Id="rId3366" Type="http://schemas.openxmlformats.org/officeDocument/2006/relationships/hyperlink" Target="http://www.abc15.com/news/region-west-valley/glendale/glendale-police-investigating-shooting-near-63rd-avenue-and-bethany-home" TargetMode="External"/><Relationship Id="rId3367" Type="http://schemas.openxmlformats.org/officeDocument/2006/relationships/hyperlink" Target="http://www.fatalencounters.org/wp-content/uploads/2013/10/Roger-Bubar.jpg" TargetMode="External"/><Relationship Id="rId3368" Type="http://schemas.openxmlformats.org/officeDocument/2006/relationships/hyperlink" Target="http://www.centralmaine.com/2017/05/20/police-1-man-killed-another-person-injured-in-officer-involved-shooting-in-belgrade/" TargetMode="External"/><Relationship Id="rId3369" Type="http://schemas.openxmlformats.org/officeDocument/2006/relationships/hyperlink" Target="http://www.mcall.com/news/local/police/mc-lower-mount-bethel-20170520-story.html" TargetMode="External"/><Relationship Id="rId1410" Type="http://schemas.openxmlformats.org/officeDocument/2006/relationships/hyperlink" Target="http://homicide.latimes.com/post/efrain-herrera-jr/" TargetMode="External"/><Relationship Id="rId1411" Type="http://schemas.openxmlformats.org/officeDocument/2006/relationships/hyperlink" Target="http://www.12news.com/story/news/local/valley/2016/01/18/phoenix-police-barricade-situation-near-18th-avepeoria/78990086/" TargetMode="External"/><Relationship Id="rId1412" Type="http://schemas.openxmlformats.org/officeDocument/2006/relationships/hyperlink" Target="http://www.mailtribune.com/article/20160118/NEWS/160119595/101033/NEWS?rssfeed=true" TargetMode="External"/><Relationship Id="rId1413" Type="http://schemas.openxmlformats.org/officeDocument/2006/relationships/hyperlink" Target="http://www.orlandosentinel.com/news/breaking-news/os-eric-provost-opd-officer-shootings-20160119-story.html" TargetMode="External"/><Relationship Id="rId1414" Type="http://schemas.openxmlformats.org/officeDocument/2006/relationships/hyperlink" Target="http://tucson.com/news/local/crime/gunman-killed-after-standoff-with-tucson-police/article_46792806-68f4-5b24-a116-7d543520a625.html" TargetMode="External"/><Relationship Id="rId1415" Type="http://schemas.openxmlformats.org/officeDocument/2006/relationships/hyperlink" Target="http://www.insidebayarea.com/breaking-news/ci_29403791/union-city-police-fatally-shoot-suspect-backyard-home" TargetMode="External"/><Relationship Id="rId1416" Type="http://schemas.openxmlformats.org/officeDocument/2006/relationships/hyperlink" Target="http://www.wbtv.com/story/31012596/sheriff-deputies-exposed-to-imminent-danger-in-statesville-shooting" TargetMode="External"/><Relationship Id="rId1417" Type="http://schemas.openxmlformats.org/officeDocument/2006/relationships/hyperlink" Target="http://www.valdostadailytimes.com/news/local_news/suspect-shot-by-authorities-at-pilot/article_089b0c44-bed9-11e5-8340-cb76f2e99187.html" TargetMode="External"/><Relationship Id="rId1418" Type="http://schemas.openxmlformats.org/officeDocument/2006/relationships/hyperlink" Target="http://www.wfaa.com/story/news/2016/01/19/1-injured-police-chase-shooting-forney/78993606/" TargetMode="External"/><Relationship Id="rId1419" Type="http://schemas.openxmlformats.org/officeDocument/2006/relationships/hyperlink" Target="http://fox40.com/2016/01/19/police-home-intruder-dead-after-physical-altercation-with-stockton-officers/" TargetMode="External"/><Relationship Id="rId290" Type="http://schemas.openxmlformats.org/officeDocument/2006/relationships/hyperlink" Target="http://www.ksat.com/content/pns/ksat/news/2015/04/10/man-shot--killed-by-police-id-d.html" TargetMode="External"/><Relationship Id="rId291" Type="http://schemas.openxmlformats.org/officeDocument/2006/relationships/hyperlink" Target="http://www.ktvb.com/story/news/crime/2015/04/07/deputy-shoots-kills-man-rifle/25414923/" TargetMode="External"/><Relationship Id="rId292" Type="http://schemas.openxmlformats.org/officeDocument/2006/relationships/hyperlink" Target="http://kfor.com/2015/04/08/officer-involved-shooting-in-shawnee-leaves-one-dead/" TargetMode="External"/><Relationship Id="rId293" Type="http://schemas.openxmlformats.org/officeDocument/2006/relationships/hyperlink" Target="http://www.turnto23.com/news/local-news/suspect-dies-after-officer-involved-shooting-in-tehachapi-040615" TargetMode="External"/><Relationship Id="rId294" Type="http://schemas.openxmlformats.org/officeDocument/2006/relationships/hyperlink" Target="http://www.seattletimes.com/seattle-news/coulee-dam-man-dies-following-taser-incident/" TargetMode="External"/><Relationship Id="rId295" Type="http://schemas.openxmlformats.org/officeDocument/2006/relationships/hyperlink" Target="http://www.ocala.com/article/20150429/ARTICLES/150429614" TargetMode="External"/><Relationship Id="rId296" Type="http://schemas.openxmlformats.org/officeDocument/2006/relationships/hyperlink" Target="http://www.indystar.com/story/news/crime/2015/04/06/armed-man-shot-and-killed-by-police-on-southwestside/25348529/" TargetMode="External"/><Relationship Id="rId297" Type="http://schemas.openxmlformats.org/officeDocument/2006/relationships/hyperlink" Target="http://mugshot-record-search.com/mugshot/AZ/Maricopa-County-Sheriff-Office/2015-Mar-16/8155067/Kenneth-Cockerel" TargetMode="External"/><Relationship Id="rId298" Type="http://schemas.openxmlformats.org/officeDocument/2006/relationships/hyperlink" Target="http://www.abc15.com/news/region-phoenix-metro/north-phoenix/police-identify-ken-cockerel-as-man-who-stabbed-himself-then-threatened-officers-with-knives" TargetMode="External"/><Relationship Id="rId299" Type="http://schemas.openxmlformats.org/officeDocument/2006/relationships/hyperlink" Target="http://www.koat.com/news/state-police-officers-fatally-shoot-east-mountains-man/32197688" TargetMode="External"/><Relationship Id="rId2660" Type="http://schemas.openxmlformats.org/officeDocument/2006/relationships/hyperlink" Target="http://www.fatalencounters.org/wp-content/uploads/2013/10/Kenneth-Robledo.jpg" TargetMode="External"/><Relationship Id="rId2661" Type="http://schemas.openxmlformats.org/officeDocument/2006/relationships/hyperlink" Target="http://www.nbcphiladelphia.com/news/local/US-Marshal-Gunfire-Frontenac-406031025.html" TargetMode="External"/><Relationship Id="rId2662" Type="http://schemas.openxmlformats.org/officeDocument/2006/relationships/hyperlink" Target="http://www.fatalencounters.org/wp-content/uploads/2013/10/EarlEubanks.jpg" TargetMode="External"/><Relationship Id="rId2663" Type="http://schemas.openxmlformats.org/officeDocument/2006/relationships/hyperlink" Target="http://www.cbs46.com/story/34040709/police-man-shot-by-officer-after-refusing-to-drop-weapon" TargetMode="External"/><Relationship Id="rId2664" Type="http://schemas.openxmlformats.org/officeDocument/2006/relationships/hyperlink" Target="http://www.fatalencounters.org/wp-content/uploads/2013/10/Lavar-Montray-Douglas.jpg" TargetMode="External"/><Relationship Id="rId2665" Type="http://schemas.openxmlformats.org/officeDocument/2006/relationships/hyperlink" Target="http://baltimore.cbslocal.com/2016/12/13/police-involved-shooting-near-coppin-state/" TargetMode="External"/><Relationship Id="rId2666" Type="http://schemas.openxmlformats.org/officeDocument/2006/relationships/hyperlink" Target="http://www.sgvtribune.com/general-news/20161216/suspect-killed-in-hacienda-heights-deputy-involved-shooting" TargetMode="External"/><Relationship Id="rId2667" Type="http://schemas.openxmlformats.org/officeDocument/2006/relationships/hyperlink" Target="http://www.fatalencounters.org/wp-content/uploads/2013/10/Marlon-Lewis.jpg" TargetMode="External"/><Relationship Id="rId2668" Type="http://schemas.openxmlformats.org/officeDocument/2006/relationships/hyperlink" Target="http://www.wsoctv.com/news/local/man-dies-after-being-shocked-with-taser-in-badin-police-chief-says/476145155" TargetMode="External"/><Relationship Id="rId2669" Type="http://schemas.openxmlformats.org/officeDocument/2006/relationships/hyperlink" Target="http://www.fatalencounters.org/wp-content/uploads/2013/10/Jeremiah-N.-Anderson.jpg" TargetMode="External"/><Relationship Id="rId1960" Type="http://schemas.openxmlformats.org/officeDocument/2006/relationships/hyperlink" Target="http://www.waff.com/story/32252639/huntsville-officer-on-administrative-leave-after-shooting-investigation-ongoing" TargetMode="External"/><Relationship Id="rId1961" Type="http://schemas.openxmlformats.org/officeDocument/2006/relationships/hyperlink" Target="http://www.latimes.com/local/lanow/la-me-ln-teen-killed-by-deputies-20160620-snap-story.html" TargetMode="External"/><Relationship Id="rId1962" Type="http://schemas.openxmlformats.org/officeDocument/2006/relationships/hyperlink" Target="http://www.fatalencounters.org/wp-content/uploads/2013/10/Antwun-Shumpert.jpg" TargetMode="External"/><Relationship Id="rId1963" Type="http://schemas.openxmlformats.org/officeDocument/2006/relationships/hyperlink" Target="http://www.wtva.com/news/Traffic_Stop_Ends_in_Death_After_Suspect_Flees_From_Officer_and_K9.html" TargetMode="External"/><Relationship Id="rId1964" Type="http://schemas.openxmlformats.org/officeDocument/2006/relationships/hyperlink" Target="http://www.nwfdailynews.com/news/20160619/update-man-dies-in-fwbpd-officer-involved-shooting-early-sunday-morning" TargetMode="External"/><Relationship Id="rId1965" Type="http://schemas.openxmlformats.org/officeDocument/2006/relationships/hyperlink" Target="http://www.gannett-cdn.com/-mm-/9e088434a69a4372e184d924f02762e65e319e69/c=0-0-150-200&amp;r=183&amp;c=0-0-180-240/local/-/media/2016/06/19/Brevard/Brevard/636019653417361344-clarence.JPG" TargetMode="External"/><Relationship Id="rId1966" Type="http://schemas.openxmlformats.org/officeDocument/2006/relationships/hyperlink" Target="http://www.clickorlando.com/news/one-person-shot-by-off-duty-deputy-in-road-rage-incident-in-palm-bay" TargetMode="External"/><Relationship Id="rId1967" Type="http://schemas.openxmlformats.org/officeDocument/2006/relationships/hyperlink" Target="http://www.fatalencounters.org/wp-content/uploads/2013/10/Rashaun-Lloyd.jpg" TargetMode="External"/><Relationship Id="rId1968" Type="http://schemas.openxmlformats.org/officeDocument/2006/relationships/hyperlink" Target="http://pix11.com/2016/06/19/man-killed-in-police-involved-shooting-at-bronx-housing-complex/" TargetMode="External"/><Relationship Id="rId1969" Type="http://schemas.openxmlformats.org/officeDocument/2006/relationships/hyperlink" Target="http://www.fatalencounters.org/wp-content/uploads/2013/10/Terry-MaddoxakaGary-Porter.png" TargetMode="External"/><Relationship Id="rId2120" Type="http://schemas.openxmlformats.org/officeDocument/2006/relationships/hyperlink" Target="http://www.sfgate.com/news/bayarea/article/Update-Suspect-Dies-During-Arrest-After-Leading-8439025.php" TargetMode="External"/><Relationship Id="rId2121" Type="http://schemas.openxmlformats.org/officeDocument/2006/relationships/hyperlink" Target="http://www.rrstar.com/news/20160727/man-dies-after-struggle-with-winnebago-county-deputies" TargetMode="External"/><Relationship Id="rId2122" Type="http://schemas.openxmlformats.org/officeDocument/2006/relationships/hyperlink" Target="http://www.nola.com/crime/index.ssf/2016/07/devon_martes_jpso_shooting.html" TargetMode="External"/><Relationship Id="rId2123" Type="http://schemas.openxmlformats.org/officeDocument/2006/relationships/hyperlink" Target="https://www.artesianews.com/1338123/investigation-continues-into-officer-involved-shooting.html" TargetMode="External"/><Relationship Id="rId2124" Type="http://schemas.openxmlformats.org/officeDocument/2006/relationships/hyperlink" Target="http://www.wausaudailyherald.com/story/news/2016/07/26/police-kill-suspect-merrill-standoff/87563238/" TargetMode="External"/><Relationship Id="rId2125" Type="http://schemas.openxmlformats.org/officeDocument/2006/relationships/hyperlink" Target="http://www.fatalencounters.org/wp-content/uploads/2013/10/Dalvin-Hollins.png" TargetMode="External"/><Relationship Id="rId2126" Type="http://schemas.openxmlformats.org/officeDocument/2006/relationships/hyperlink" Target="http://www.azcentral.com/story/news/local/tempe-breaking/2016/07/27/tempe-police-active-shooter-guadalupe-rural/87616946/" TargetMode="External"/><Relationship Id="rId2127" Type="http://schemas.openxmlformats.org/officeDocument/2006/relationships/hyperlink" Target="http://www.fatalencounters.org/wp-content/uploads/2013/10/Dylan-Liberti.png" TargetMode="External"/><Relationship Id="rId2128" Type="http://schemas.openxmlformats.org/officeDocument/2006/relationships/hyperlink" Target="http://www.azcentral.com/story/news/local/scottsdale-breaking/2016/07/27/scottsdale-police-involved-shooting-sprouts-parking-lot/87642452/" TargetMode="External"/><Relationship Id="rId2129" Type="http://schemas.openxmlformats.org/officeDocument/2006/relationships/hyperlink" Target="http://static-32.sinclairstoryline.com/resources/media/55a34485-530c-4397-8d03-4f25dc714ede-large16x9_JasonEarlArmstrong.png?1469711494265" TargetMode="External"/><Relationship Id="rId3370" Type="http://schemas.openxmlformats.org/officeDocument/2006/relationships/hyperlink" Target="http://www.sandiegouniontribune.com/news/public-safety/sd-me-custody-death-20170520-story.html" TargetMode="External"/><Relationship Id="rId3371" Type="http://schemas.openxmlformats.org/officeDocument/2006/relationships/hyperlink" Target="http://abc7news.com/news/pleasanton-police-shoot-kill-armed-suspect/2017793/" TargetMode="External"/><Relationship Id="rId3372" Type="http://schemas.openxmlformats.org/officeDocument/2006/relationships/hyperlink" Target="http://www.fatalencounters.org/wp-content/uploads/2013/10/Carlos-Garcia-Petrovich.jpg" TargetMode="External"/><Relationship Id="rId3373" Type="http://schemas.openxmlformats.org/officeDocument/2006/relationships/hyperlink" Target="http://www.orlandosentinel.com/news/breaking-news/os-osceola-deputy-shoots-suspect-who-fled-20170521-story.html" TargetMode="External"/><Relationship Id="rId3374" Type="http://schemas.openxmlformats.org/officeDocument/2006/relationships/hyperlink" Target="http://www.fatalencounters.org/wp-content/uploads/2013/10/DeRicco-Holden.jpg" TargetMode="External"/><Relationship Id="rId3375" Type="http://schemas.openxmlformats.org/officeDocument/2006/relationships/hyperlink" Target="http://www.ksla.com/story/35481659/police-chief-kills-man-during-altercation-in-sabine-parish" TargetMode="External"/><Relationship Id="rId3376" Type="http://schemas.openxmlformats.org/officeDocument/2006/relationships/hyperlink" Target="http://www.wbay.com/content/news/One-person-dead-following-officer-involved-shooting-423432414.html" TargetMode="External"/><Relationship Id="rId3377" Type="http://schemas.openxmlformats.org/officeDocument/2006/relationships/hyperlink" Target="http://www.mcall.com/news/local/police/mc-allentown-police-chase-gunfire-20170521-story.html" TargetMode="External"/><Relationship Id="rId3378" Type="http://schemas.openxmlformats.org/officeDocument/2006/relationships/hyperlink" Target="http://www.fatalencounters.org/wp-content/uploads/2013/10/Kelly-Pastrana.jpg" TargetMode="External"/><Relationship Id="rId3379" Type="http://schemas.openxmlformats.org/officeDocument/2006/relationships/hyperlink" Target="http://www.fox25boston.com/news/barricaded-suspect-dead-after-firing-shots-at-officers-during-chelsea-standoff/525511708" TargetMode="External"/><Relationship Id="rId1420" Type="http://schemas.openxmlformats.org/officeDocument/2006/relationships/hyperlink" Target="http://www.waff.com/story/31019561/man-dies-after-deputy-involved-shooting" TargetMode="External"/><Relationship Id="rId1421" Type="http://schemas.openxmlformats.org/officeDocument/2006/relationships/hyperlink" Target="http://thepolicenews.net/default.aspx?act=Newsletter.aspx&amp;category=News+1-2&amp;newsletterid=58872&amp;menugroup=Home" TargetMode="External"/><Relationship Id="rId1422" Type="http://schemas.openxmlformats.org/officeDocument/2006/relationships/hyperlink" Target="http://chicago.suntimes.com/news/7/71/1273072/police-driver-killed-south-side-chase-ends-crash" TargetMode="External"/><Relationship Id="rId1423" Type="http://schemas.openxmlformats.org/officeDocument/2006/relationships/hyperlink" Target="http://nbc26.tv/2016/01/22/richmond-county-investigating-officer-involved-shooting-on-horseshoe-road/" TargetMode="External"/><Relationship Id="rId1424" Type="http://schemas.openxmlformats.org/officeDocument/2006/relationships/hyperlink" Target="http://www.al.com/news/birmingham/index.ssf/2016/01/man_fatally_shot_by_chilton_co.html" TargetMode="External"/><Relationship Id="rId1425" Type="http://schemas.openxmlformats.org/officeDocument/2006/relationships/hyperlink" Target="http://www.ktvn.com/story/31053716/reno-police-say-one-man-dead-after-officer-involved-shooting2" TargetMode="External"/><Relationship Id="rId1426" Type="http://schemas.openxmlformats.org/officeDocument/2006/relationships/hyperlink" Target="http://koin.com/2016/01/26/malheur-militia-law-enforcement-01262016/" TargetMode="External"/><Relationship Id="rId1427" Type="http://schemas.openxmlformats.org/officeDocument/2006/relationships/hyperlink" Target="http://www.brownsvilleherald.com/news/local/article_a931ce06-c4e5-11e5-a085-53905371b4e3.html" TargetMode="External"/><Relationship Id="rId1428" Type="http://schemas.openxmlformats.org/officeDocument/2006/relationships/hyperlink" Target="http://www.santafenewmexican.com/news/local_news/state-police-santa-fe-officer-shot-killed-robbery-suspect-at/article_ac3e3195-db75-5473-951c-a9c794590efc.html" TargetMode="External"/><Relationship Id="rId1429" Type="http://schemas.openxmlformats.org/officeDocument/2006/relationships/hyperlink" Target="http://www.local8now.com/news/headlines/Loudon-Co-deputies-respond-to-shooting-366757421.html" TargetMode="External"/><Relationship Id="rId2670" Type="http://schemas.openxmlformats.org/officeDocument/2006/relationships/hyperlink" Target="https://kobi5.com/news/officer-wounded-suspect-dead-in-dallas-oregon-42525/" TargetMode="External"/><Relationship Id="rId2671" Type="http://schemas.openxmlformats.org/officeDocument/2006/relationships/hyperlink" Target="http://ktla.com/2016/12/17/man-shot-in-deputy-involved-shooting-in-east-los-angeles/" TargetMode="External"/><Relationship Id="rId2672" Type="http://schemas.openxmlformats.org/officeDocument/2006/relationships/hyperlink" Target="http://www.fatalencounters.org/wp-content/uploads/2013/10/jimmy-lee-lawson.jpeg" TargetMode="External"/><Relationship Id="rId2673" Type="http://schemas.openxmlformats.org/officeDocument/2006/relationships/hyperlink" Target="http://www.commercialappeal.com/story/news/crime/2016/12/18/tbi-investigates-fatal-officer-involved-shooting/95584864/" TargetMode="External"/><Relationship Id="rId2674" Type="http://schemas.openxmlformats.org/officeDocument/2006/relationships/hyperlink" Target="http://www.heraldnet.com/news/lynnwood-officer-fatally-shoots-suspect-during-struggle/" TargetMode="External"/><Relationship Id="rId2675" Type="http://schemas.openxmlformats.org/officeDocument/2006/relationships/hyperlink" Target="http://www.fatalencounters.org/wp-content/uploads/2013/10/Ryan-Joseph.jpg" TargetMode="External"/><Relationship Id="rId2676" Type="http://schemas.openxmlformats.org/officeDocument/2006/relationships/hyperlink" Target="http://abc7.com/news/suspect-shot-killed-in-south-la-officer-involved-shooting/1662988/" TargetMode="External"/><Relationship Id="rId2677" Type="http://schemas.openxmlformats.org/officeDocument/2006/relationships/hyperlink" Target="http://www.tulsaworld.com/news/crimewatch/police-release-names-of-officer-man-fatally-shot-by-him/article_4c32a682-8acb-527d-b805-d608eb48f99e.html" TargetMode="External"/><Relationship Id="rId2678" Type="http://schemas.openxmlformats.org/officeDocument/2006/relationships/hyperlink" Target="http://www.columbian.com/news/2016/dec/18/police-trespassing-suspect-killed-in-ridgefield-area/" TargetMode="External"/><Relationship Id="rId2679" Type="http://schemas.openxmlformats.org/officeDocument/2006/relationships/hyperlink" Target="http://www.kyma.com/news/fatal-officer-involved-shooting-in-brawley/222871814" TargetMode="External"/><Relationship Id="rId1970" Type="http://schemas.openxmlformats.org/officeDocument/2006/relationships/hyperlink" Target="http://www.syracuse.com/news/index.ssf/2016/06/syracuse_shooting_victim_pregnant_fiancee_hit_by_bullets_family_seeks_answers.html" TargetMode="External"/><Relationship Id="rId1971" Type="http://schemas.openxmlformats.org/officeDocument/2006/relationships/hyperlink" Target="http://www.fatalencounters.org/wp-content/uploads/2013/10/DevinScott.png" TargetMode="External"/><Relationship Id="rId1972" Type="http://schemas.openxmlformats.org/officeDocument/2006/relationships/hyperlink" Target="http://www.havasunews.com/news/man-dies-after-being-shot-by-havasu-police-officers/article_7dcbaa20-3713-11e6-8869-ff2d439d2b75.html" TargetMode="External"/><Relationship Id="rId1973" Type="http://schemas.openxmlformats.org/officeDocument/2006/relationships/hyperlink" Target="http://wsav.com/2016/06/20/breaking-officer-involved-shooting-in-hardeeville/" TargetMode="External"/><Relationship Id="rId1974" Type="http://schemas.openxmlformats.org/officeDocument/2006/relationships/hyperlink" Target="http://www.fatalencounters.org/wp-content/uploads/2013/10/Lane-Lesko.jpg" TargetMode="External"/><Relationship Id="rId1975" Type="http://schemas.openxmlformats.org/officeDocument/2006/relationships/hyperlink" Target="http://www.fatalencounters.org/wp-content/uploads/2013/10/Pedro-Cruz-Amado.jpg" TargetMode="External"/><Relationship Id="rId1976" Type="http://schemas.openxmlformats.org/officeDocument/2006/relationships/hyperlink" Target="http://www.fatalencounters.org/wp-content/uploads/2013/10/Isaiah-Core-III.jpg" TargetMode="External"/><Relationship Id="rId1977" Type="http://schemas.openxmlformats.org/officeDocument/2006/relationships/hyperlink" Target="http://www.fatalencounters.org/wp-content/uploads/2013/10/Brown.jpg" TargetMode="External"/><Relationship Id="rId1978" Type="http://schemas.openxmlformats.org/officeDocument/2006/relationships/hyperlink" Target="http://www.fatalencounters.org/wp-content/uploads/2013/10/Deravis-Caine-Rogers.jpg" TargetMode="External"/><Relationship Id="rId1979" Type="http://schemas.openxmlformats.org/officeDocument/2006/relationships/hyperlink" Target="http://www.fatalencounters.org/wp-content/uploads/2013/10/Jay-Anderson.jpg" TargetMode="External"/><Relationship Id="rId2130" Type="http://schemas.openxmlformats.org/officeDocument/2006/relationships/hyperlink" Target="http://bakersfieldnow.com/news/nation-world/fbi-suspect-wanted-for-murder-of-soldier-wife-at-fort-bragg-found-dead-after-standoff" TargetMode="External"/><Relationship Id="rId2131" Type="http://schemas.openxmlformats.org/officeDocument/2006/relationships/hyperlink" Target="http://www.sbsun.com/general-news/20160727/man-shot-killed-by-san-bernardino-police-after-reportedly-charging-at-officer-with-knife" TargetMode="External"/><Relationship Id="rId2132" Type="http://schemas.openxmlformats.org/officeDocument/2006/relationships/hyperlink" Target="http://www.ktvq.com/story/32554588/man-shot-killed-after-stabbing-phillips-county-sheriffs-deputy" TargetMode="External"/><Relationship Id="rId2133" Type="http://schemas.openxmlformats.org/officeDocument/2006/relationships/hyperlink" Target="http://www.tennessean.com/story/news/crime/2016/07/27/armed-suspect-shot-killed-franklin-county-deputy/87643642/" TargetMode="External"/><Relationship Id="rId2134" Type="http://schemas.openxmlformats.org/officeDocument/2006/relationships/hyperlink" Target="http://www.fatalencounters.org/wp-content/uploads/2013/10/Jesus-Rael.jpg" TargetMode="External"/><Relationship Id="rId2135" Type="http://schemas.openxmlformats.org/officeDocument/2006/relationships/hyperlink" Target="http://www.kvoa.com/story/32567897/suspect-leads-officers-on-high-speed-chase-through?utm_medium=social&amp;utm_source=facebook_News_4_Tucson_-_KVOA" TargetMode="External"/><Relationship Id="rId2136" Type="http://schemas.openxmlformats.org/officeDocument/2006/relationships/hyperlink" Target="http://abc7.com/news/deputies-search-for-suspect-in-compton-after-deputy-involved-shooting/1446712/" TargetMode="External"/><Relationship Id="rId2137" Type="http://schemas.openxmlformats.org/officeDocument/2006/relationships/hyperlink" Target="http://abc7.com/news/city-terrace-police-chase-ends-in-officer-involved-shooting/1448038/" TargetMode="External"/><Relationship Id="rId2138" Type="http://schemas.openxmlformats.org/officeDocument/2006/relationships/hyperlink" Target="http://www.desertsun.com/story/news/local/la-quinta/2016/07/30/officer-involved-shooting-la-quinta/87760224/" TargetMode="External"/><Relationship Id="rId2139" Type="http://schemas.openxmlformats.org/officeDocument/2006/relationships/hyperlink" Target="http://www.chicagotribune.com/news/local/breaking/ct-police-shooting-south-shore-20160728-story.html" TargetMode="External"/><Relationship Id="rId3380" Type="http://schemas.openxmlformats.org/officeDocument/2006/relationships/hyperlink" Target="http://6abc.com/news/man-dead-in-domestic-incident-involving-off-duty-del-trooper/2021960/" TargetMode="External"/><Relationship Id="rId3381" Type="http://schemas.openxmlformats.org/officeDocument/2006/relationships/hyperlink" Target="http://www.idahostatesman.com/news/local/article152085382.html" TargetMode="External"/><Relationship Id="rId3382" Type="http://schemas.openxmlformats.org/officeDocument/2006/relationships/hyperlink" Target="http://www.local8now.com/content/news/KCSO-responding-to-an-incident-at-Woodhaven-subdivision-423945073.html" TargetMode="External"/><Relationship Id="rId3383" Type="http://schemas.openxmlformats.org/officeDocument/2006/relationships/hyperlink" Target="http://www.fatalencounters.org/wp-content/uploads/2013/10/Jorge-Alberto-Fuentes.jpg" TargetMode="External"/><Relationship Id="rId3384" Type="http://schemas.openxmlformats.org/officeDocument/2006/relationships/hyperlink" Target="http://www.abc15.com/news/region-phoenix-metro/west-phoenix/police-investigating-officer-involved-shooting-in-west-valley" TargetMode="External"/><Relationship Id="rId3385" Type="http://schemas.openxmlformats.org/officeDocument/2006/relationships/hyperlink" Target="http://www.fatalencounters.org/wp-content/uploads/2013/10/michael-anthony-bonini.jpg" TargetMode="External"/><Relationship Id="rId3386" Type="http://schemas.openxmlformats.org/officeDocument/2006/relationships/hyperlink" Target="http://news3lv.com/news/local/nye-county-investigating-fatal-officer-involved-shooting-overnight-in-pahrump" TargetMode="External"/><Relationship Id="rId3387" Type="http://schemas.openxmlformats.org/officeDocument/2006/relationships/hyperlink" Target="http://www.sacbee.com/news/local/crime/article152099487.html" TargetMode="External"/><Relationship Id="rId3388" Type="http://schemas.openxmlformats.org/officeDocument/2006/relationships/hyperlink" Target="http://www.fatalencounters.org/wp-content/uploads/2013/10/HaydenStutz.jpg" TargetMode="External"/><Relationship Id="rId3389" Type="http://schemas.openxmlformats.org/officeDocument/2006/relationships/hyperlink" Target="http://www.cantonrep.com/news/20170524/update-victim-idd-in-canton-police-involved-shooting" TargetMode="External"/><Relationship Id="rId1430" Type="http://schemas.openxmlformats.org/officeDocument/2006/relationships/hyperlink" Target="http://www.11alive.com/story/news/traffic/2016/01/27/all-lanes--75-sb-closed-delk-road/79420342/" TargetMode="External"/><Relationship Id="rId1431" Type="http://schemas.openxmlformats.org/officeDocument/2006/relationships/hyperlink" Target="http://katv.com/news/local/authorities-investigating-officer-involved-shooting-in-garland-county" TargetMode="External"/><Relationship Id="rId1432" Type="http://schemas.openxmlformats.org/officeDocument/2006/relationships/hyperlink" Target="http://www.wistv.com/story/31073065/man-killed-during-confrontation-with-dillon-county-deputy-near-latta" TargetMode="External"/><Relationship Id="rId1433" Type="http://schemas.openxmlformats.org/officeDocument/2006/relationships/hyperlink" Target="http://www.wfaa.com/story/news/crime/2016/01/27/suspect-shot-killed-johnson-co-after-chase/79426834/" TargetMode="External"/><Relationship Id="rId1434" Type="http://schemas.openxmlformats.org/officeDocument/2006/relationships/hyperlink" Target="http://www.thenewstribune.com/news/local/crime/article57246553.html" TargetMode="External"/><Relationship Id="rId1435" Type="http://schemas.openxmlformats.org/officeDocument/2006/relationships/hyperlink" Target="http://www.ketv.com/news/officerinvolved-shooting-suspect-wouldve-chose-gun-battle-before-handcuffs-family-agrees/37709926" TargetMode="External"/><Relationship Id="rId1436" Type="http://schemas.openxmlformats.org/officeDocument/2006/relationships/hyperlink" Target="http://www.ledger-enquirer.com/news/local/crime/article57379388.html" TargetMode="External"/><Relationship Id="rId1437" Type="http://schemas.openxmlformats.org/officeDocument/2006/relationships/hyperlink" Target="http://www.northwestgeorgianews.com/catwalkchatt/year-old-man-shot-killed-in-swat-standoff-in-walker/article_921cb0e4-c780-11e5-a29b-734852374ac2.html" TargetMode="External"/><Relationship Id="rId1438" Type="http://schemas.openxmlformats.org/officeDocument/2006/relationships/hyperlink" Target="http://www.nbcdfw.com/news/local/Officer-Involved-Shooting-Leaves-1-Dead-in-Saginaw-367131831.html" TargetMode="External"/><Relationship Id="rId1439" Type="http://schemas.openxmlformats.org/officeDocument/2006/relationships/hyperlink" Target="http://www.kmbc.com/news/man-killed-in-trooperinvolved-shooting-in-sugar-creek/37737926" TargetMode="External"/><Relationship Id="rId2680" Type="http://schemas.openxmlformats.org/officeDocument/2006/relationships/hyperlink" Target="http://www.fatalencounters.org/wp-content/uploads/2013/10/Roy-Lee-Minton.png" TargetMode="External"/><Relationship Id="rId2681" Type="http://schemas.openxmlformats.org/officeDocument/2006/relationships/hyperlink" Target="http://www.wcnc.com/news/investigations/sbi-investigating-officer-involved-shooting-in-caldwell-county/372984415" TargetMode="External"/><Relationship Id="rId2682" Type="http://schemas.openxmlformats.org/officeDocument/2006/relationships/hyperlink" Target="http://www.fatalencounters.org/wp-content/uploads/2013/10/Nick-Hamilton.png" TargetMode="External"/><Relationship Id="rId2683" Type="http://schemas.openxmlformats.org/officeDocument/2006/relationships/hyperlink" Target="http://www.pe.com/articles/dec-821328-police-killed.html" TargetMode="External"/><Relationship Id="rId2684" Type="http://schemas.openxmlformats.org/officeDocument/2006/relationships/hyperlink" Target="http://www.krgv.com/story/34096662/officer-involved-shooting-in-pharr-under-investigation" TargetMode="External"/><Relationship Id="rId2685" Type="http://schemas.openxmlformats.org/officeDocument/2006/relationships/hyperlink" Target="http://www.fatalencounters.org/wp-content/uploads/2013/10/Matthew-Blake-Richardson.png" TargetMode="External"/><Relationship Id="rId2686" Type="http://schemas.openxmlformats.org/officeDocument/2006/relationships/hyperlink" Target="http://wkrg.com/2016/12/21/breaking-officer-shot-in-saraland-suspect-in-custody/" TargetMode="External"/><Relationship Id="rId2687" Type="http://schemas.openxmlformats.org/officeDocument/2006/relationships/hyperlink" Target="http://www.nwahomepage.com/news/fox-24/washington-county-deputy-involved-in-shooting-on-school-ave/624619207" TargetMode="External"/><Relationship Id="rId2688" Type="http://schemas.openxmlformats.org/officeDocument/2006/relationships/hyperlink" Target="http://www.fatalencounters.org/wp-content/uploads/2013/10/Anthony-Lovell-Eddington.jpg" TargetMode="External"/><Relationship Id="rId2689" Type="http://schemas.openxmlformats.org/officeDocument/2006/relationships/hyperlink" Target="http://www.fresnobee.com/news/local/crime/article122278694.html" TargetMode="External"/><Relationship Id="rId1980" Type="http://schemas.openxmlformats.org/officeDocument/2006/relationships/hyperlink" Target="http://www.fatalencounters.org/wp-content/uploads/2013/10/Ismael-Miranda.jpg" TargetMode="External"/><Relationship Id="rId1981" Type="http://schemas.openxmlformats.org/officeDocument/2006/relationships/hyperlink" Target="http://www.fatalencounters.org/wp-content/uploads/2013/10/Dylan-Noble.jpg" TargetMode="External"/><Relationship Id="rId1982" Type="http://schemas.openxmlformats.org/officeDocument/2006/relationships/hyperlink" Target="http://www.fatalencounters.org/wp-content/uploads/2013/10/Rodrigo-Guardiola.jpg" TargetMode="External"/><Relationship Id="rId1983" Type="http://schemas.openxmlformats.org/officeDocument/2006/relationships/hyperlink" Target="http://www.fatalencounters.org/wp-content/uploads/2013/10/travis-vierra.jpg" TargetMode="External"/><Relationship Id="rId1984" Type="http://schemas.openxmlformats.org/officeDocument/2006/relationships/hyperlink" Target="http://www.fatalencounters.org/wp-content/uploads/2013/10/Hutson.jpg" TargetMode="External"/><Relationship Id="rId1985" Type="http://schemas.openxmlformats.org/officeDocument/2006/relationships/hyperlink" Target="http://www.fatalencounters.org/wp-content/uploads/2013/10/Prak.jpg" TargetMode="External"/><Relationship Id="rId1986" Type="http://schemas.openxmlformats.org/officeDocument/2006/relationships/hyperlink" Target="http://www.fatalencounters.org/wp-content/uploads/2013/10/Mills.jpg" TargetMode="External"/><Relationship Id="rId1987" Type="http://schemas.openxmlformats.org/officeDocument/2006/relationships/hyperlink" Target="http://www.fatalencounters.org/wp-content/uploads/2013/10/Reado.jpg" TargetMode="External"/><Relationship Id="rId1988" Type="http://schemas.openxmlformats.org/officeDocument/2006/relationships/hyperlink" Target="http://www.fatalencounters.org/wp-content/uploads/2013/10/TristanVilters.jpg" TargetMode="External"/><Relationship Id="rId1989" Type="http://schemas.openxmlformats.org/officeDocument/2006/relationships/hyperlink" Target="http://trib.com/news/officer-involved-shooting-in-casper-leaves-one-dead/article_1ff80134-d4fe-5e2a-bb5c-0e297e95a2ee.html" TargetMode="External"/><Relationship Id="rId2140" Type="http://schemas.openxmlformats.org/officeDocument/2006/relationships/hyperlink" Target="http://www.rgj.com/story/news/crime/2016/07/28/police-respond-incident-northeast-sparks/87667398/" TargetMode="External"/><Relationship Id="rId2141" Type="http://schemas.openxmlformats.org/officeDocument/2006/relationships/hyperlink" Target="http://www.fatalencounters.org/wp-content/uploads/2013/10/ABivens.jpg" TargetMode="External"/><Relationship Id="rId2142" Type="http://schemas.openxmlformats.org/officeDocument/2006/relationships/hyperlink" Target="http://www.al.com/news/birmingham/index.ssf/2016/08/tennessee_woman_idd_as_robber.html" TargetMode="External"/><Relationship Id="rId2143" Type="http://schemas.openxmlformats.org/officeDocument/2006/relationships/hyperlink" Target="http://www.fatalencounters.org/wp-content/uploads/2013/10/Melvin-Faison.jpg" TargetMode="External"/><Relationship Id="rId2144" Type="http://schemas.openxmlformats.org/officeDocument/2006/relationships/hyperlink" Target="http://wncn.com/2016/08/01/new-details-released-in-fatal-nc-officer-involved-shooting/" TargetMode="External"/><Relationship Id="rId2145" Type="http://schemas.openxmlformats.org/officeDocument/2006/relationships/hyperlink" Target="http://www.fatalencounters.org/wp-content/uploads/2013/10/Casey.jpg" TargetMode="External"/><Relationship Id="rId2146" Type="http://schemas.openxmlformats.org/officeDocument/2006/relationships/hyperlink" Target="http://www.wkyt.com/content/news/Man-killed-in-officer-involved-shooting-in-Pike-County-388800822.html" TargetMode="External"/><Relationship Id="rId2147" Type="http://schemas.openxmlformats.org/officeDocument/2006/relationships/hyperlink" Target="http://nj1015.com/manchester-cops-shoot-kill-suicidal-male-police-say/" TargetMode="External"/><Relationship Id="rId2148" Type="http://schemas.openxmlformats.org/officeDocument/2006/relationships/hyperlink" Target="http://kimatv.com/news/local/authorities-investigating-officer-involved-shooting-in-wapato" TargetMode="External"/><Relationship Id="rId2149" Type="http://schemas.openxmlformats.org/officeDocument/2006/relationships/hyperlink" Target="http://www.ocregister.com/articles/swihart-727579-police-homeless.html" TargetMode="External"/><Relationship Id="rId3390" Type="http://schemas.openxmlformats.org/officeDocument/2006/relationships/hyperlink" Target="http://www.nbcbayarea.com/news/local/One-Dead-After-Officer-Involved-Shooting-in-South-San-Francisco-424055604.html" TargetMode="External"/><Relationship Id="rId3391" Type="http://schemas.openxmlformats.org/officeDocument/2006/relationships/hyperlink" Target="http://ktla.com/2017/05/25/man-killed-in-compton-deputy-involved-shooting-2-deputies-wounded/" TargetMode="External"/><Relationship Id="rId3392" Type="http://schemas.openxmlformats.org/officeDocument/2006/relationships/hyperlink" Target="http://www.fatalencounters.org/wp-content/uploads/2013/10/Adam-Trammell.png" TargetMode="External"/><Relationship Id="rId3393" Type="http://schemas.openxmlformats.org/officeDocument/2006/relationships/hyperlink" Target="http://www.wisn.com/article/man-confirmed-dead-after-large-police-response-in-west-milwaukee/9932238" TargetMode="External"/><Relationship Id="rId3394" Type="http://schemas.openxmlformats.org/officeDocument/2006/relationships/hyperlink" Target="http://www.fatalencounters.org/wp-content/uploads/2013/10/ShawnBuck.jpg" TargetMode="External"/><Relationship Id="rId3395" Type="http://schemas.openxmlformats.org/officeDocument/2006/relationships/hyperlink" Target="http://www.ktuu.com/content/news/Man-dies-after-shooting-in-Fairbanks-involving-law-enforcement-424487033.html" TargetMode="External"/><Relationship Id="rId3396" Type="http://schemas.openxmlformats.org/officeDocument/2006/relationships/hyperlink" Target="http://www.fatalencounters.org/wp-content/uploads/2013/10/Darius-Smith.png" TargetMode="External"/><Relationship Id="rId3397" Type="http://schemas.openxmlformats.org/officeDocument/2006/relationships/hyperlink" Target="http://abc7.com/news/teen-suspect-dies-after-being-shot-by-customs-agent-in-arcadia/2043849/" TargetMode="External"/><Relationship Id="rId3398" Type="http://schemas.openxmlformats.org/officeDocument/2006/relationships/hyperlink" Target="http://www.fatalencounters.org/wp-content/uploads/2013/10/HectorGamboa.jpg" TargetMode="External"/><Relationship Id="rId3399" Type="http://schemas.openxmlformats.org/officeDocument/2006/relationships/hyperlink" Target="http://krqe.com/2017/05/26/state-police-investigating-officer-involved-shooting-in-san-rafael/" TargetMode="External"/><Relationship Id="rId500" Type="http://schemas.openxmlformats.org/officeDocument/2006/relationships/hyperlink" Target="http://www.wtok.com/news/headlines/Update-on-Emmanuel-Wooten-Search-256704901.html" TargetMode="External"/><Relationship Id="rId501" Type="http://schemas.openxmlformats.org/officeDocument/2006/relationships/hyperlink" Target="http://triblive.com/news/allegheny/6036085-74/zappala-officer-police" TargetMode="External"/><Relationship Id="rId502" Type="http://schemas.openxmlformats.org/officeDocument/2006/relationships/hyperlink" Target="http://www.wwaytv3.com/2014/04/14/updated-sbi-investigating-officer-involved-shooting-pender-county" TargetMode="External"/><Relationship Id="rId503" Type="http://schemas.openxmlformats.org/officeDocument/2006/relationships/hyperlink" Target="http://www.miamiherald.com/news/local/crime/article2176191.html" TargetMode="External"/><Relationship Id="rId504" Type="http://schemas.openxmlformats.org/officeDocument/2006/relationships/hyperlink" Target="http://www.kansas.com/2014/04/10/3396426/man-dead-after-officer-involved.html" TargetMode="External"/><Relationship Id="rId505" Type="http://schemas.openxmlformats.org/officeDocument/2006/relationships/hyperlink" Target="http://www.wrhi.com/2014/04/officer-involved-shooting-in-york-county-leaves-one-man-dead-91986" TargetMode="External"/><Relationship Id="rId506" Type="http://schemas.openxmlformats.org/officeDocument/2006/relationships/hyperlink" Target="http://www.charlotteobserver.com/2014/04/09/4830144_experts-weigh-in-on-york-county.html" TargetMode="External"/><Relationship Id="rId507" Type="http://schemas.openxmlformats.org/officeDocument/2006/relationships/hyperlink" Target="http://www.palmbeachpost.com/news/news/pbso-investigating-officer-involved-shooting-in-su/nfTT5/" TargetMode="External"/><Relationship Id="rId508" Type="http://schemas.openxmlformats.org/officeDocument/2006/relationships/hyperlink" Target="http://www.click2houston.com/news/man-killed-after-pulling-gun-on-deputies-serving-warrant/25349872" TargetMode="External"/><Relationship Id="rId509" Type="http://schemas.openxmlformats.org/officeDocument/2006/relationships/hyperlink" Target="http://www.washingtonpost.com/local/crime/man-killed-in-police-shooting-in-prince-georges-county/2014/04/05/114eb076-bcc3-11e3-b195-dd0c1174052c_allComments.html?ctab=all" TargetMode="External"/><Relationship Id="rId1440" Type="http://schemas.openxmlformats.org/officeDocument/2006/relationships/hyperlink" Target="http://denver.cbslocal.com/2016/01/30/police-shoot-man-holding-woman-hostage-in-larimer-county/" TargetMode="External"/><Relationship Id="rId1441" Type="http://schemas.openxmlformats.org/officeDocument/2006/relationships/hyperlink" Target="http://www.news-press.com/story/news/crime/2016/02/01/armed-immokalee-suspect-shot-killed-deputy/79630136/" TargetMode="External"/><Relationship Id="rId1442" Type="http://schemas.openxmlformats.org/officeDocument/2006/relationships/hyperlink" Target="http://www.insidebayarea.com/breaking-news/ci_29460692/newark-officer-fatally-shoots-apparently-suicidal-man" TargetMode="External"/><Relationship Id="rId1443" Type="http://schemas.openxmlformats.org/officeDocument/2006/relationships/hyperlink" Target="http://bakersfieldnow.com/news/local/chp-involved-in-an-officer-involved-shooting-on-weedpatch-hwy" TargetMode="External"/><Relationship Id="rId1444" Type="http://schemas.openxmlformats.org/officeDocument/2006/relationships/hyperlink" Target="http://thetimes-tribune.com/news/part-time-carbondale-cop-shot-and-killed-fell-twp-man-authorities-said-1.2002813" TargetMode="External"/><Relationship Id="rId1445" Type="http://schemas.openxmlformats.org/officeDocument/2006/relationships/hyperlink" Target="http://www.sacbee.com/news/local/crime/article58084653.html" TargetMode="External"/><Relationship Id="rId1446" Type="http://schemas.openxmlformats.org/officeDocument/2006/relationships/hyperlink" Target="http://www.kob.com/article/stories/s4035920.shtml" TargetMode="External"/><Relationship Id="rId1447" Type="http://schemas.openxmlformats.org/officeDocument/2006/relationships/hyperlink" Target="http://rapidcityjournal.com/news/local/one-killed-officer-injured-in-shooting-on-rosebud/article_041612ec-e475-52eb-bc7e-c0d31593d342.html" TargetMode="External"/><Relationship Id="rId1448" Type="http://schemas.openxmlformats.org/officeDocument/2006/relationships/hyperlink" Target="http://www.firstcoastnews.com/news/crime/deputy-armed-suspect-injured-in-ocala-shootout/31906258" TargetMode="External"/><Relationship Id="rId1449" Type="http://schemas.openxmlformats.org/officeDocument/2006/relationships/hyperlink" Target="http://www.kjrh.com/news/local-news/okmulgee-county-identifies-person-in-fatal-deputy-involved-shooting-as-murder-suspect" TargetMode="External"/><Relationship Id="rId2690" Type="http://schemas.openxmlformats.org/officeDocument/2006/relationships/hyperlink" Target="http://www.kcra.com/article/sheriffs-office-investigates-deputy-involved-shooting-in-stockton/8526219" TargetMode="External"/><Relationship Id="rId2691" Type="http://schemas.openxmlformats.org/officeDocument/2006/relationships/hyperlink" Target="http://wsbt.com/news/local/breaking-indiana-state-police-investigating-officer-involved-shooting-in-knox" TargetMode="External"/><Relationship Id="rId2692" Type="http://schemas.openxmlformats.org/officeDocument/2006/relationships/hyperlink" Target="http://www.fatalencounters.org/wp-content/uploads/2013/10/Ian-Shea-King.jpg" TargetMode="External"/><Relationship Id="rId2693" Type="http://schemas.openxmlformats.org/officeDocument/2006/relationships/hyperlink" Target="http://kfor.com/2016/12/21/one-man-killed-another-injured-in-ponca-city-shooting/" TargetMode="External"/><Relationship Id="rId2694" Type="http://schemas.openxmlformats.org/officeDocument/2006/relationships/hyperlink" Target="http://www.fatalencounters.org/wp-content/uploads/2013/10/Colton-Dale-Calaway.png" TargetMode="External"/><Relationship Id="rId2695" Type="http://schemas.openxmlformats.org/officeDocument/2006/relationships/hyperlink" Target="http://www.news9.com/story/34104435/officers-shoot-chase-suspect-in-burns-flat" TargetMode="External"/><Relationship Id="rId2696" Type="http://schemas.openxmlformats.org/officeDocument/2006/relationships/hyperlink" Target="http://web.tampabay.com/news/publicsafety/crime/man-wounded-in-deputy-involved-shooting-in-palm-harbor/2307242" TargetMode="External"/><Relationship Id="rId2697" Type="http://schemas.openxmlformats.org/officeDocument/2006/relationships/hyperlink" Target="http://www.fatalencounters.org/wp-content/uploads/2013/10/RaymondJamesSalaiz.jpg" TargetMode="External"/><Relationship Id="rId2698" Type="http://schemas.openxmlformats.org/officeDocument/2006/relationships/hyperlink" Target="http://mynews4.com/news/local/police-activity-outside-gold-dust-west-in-reno" TargetMode="External"/><Relationship Id="rId2699" Type="http://schemas.openxmlformats.org/officeDocument/2006/relationships/hyperlink" Target="http://www.nbclosangeles.com/news/local/Suspected-DUI-Driver-Fatally-Shot-by-El-Monte-Police-408140675.html" TargetMode="External"/><Relationship Id="rId1990" Type="http://schemas.openxmlformats.org/officeDocument/2006/relationships/hyperlink" Target="http://www.unionleader.com/public-safety/body-in-road-at-officer-involved-incident-in-peterborough-tuesday-morning-20160622" TargetMode="External"/><Relationship Id="rId1991" Type="http://schemas.openxmlformats.org/officeDocument/2006/relationships/hyperlink" Target="http://www.shelbystar.com/news/20160622/sheriffs-office-deputy-used-deadly-force-after-attacked-with-chair-345-pm-update" TargetMode="External"/><Relationship Id="rId1992" Type="http://schemas.openxmlformats.org/officeDocument/2006/relationships/hyperlink" Target="http://detroit.cbslocal.com/2016/06/22/flint-double-stabbing-suspect-dies-after-he-was-tasered-by-police/" TargetMode="External"/><Relationship Id="rId1993" Type="http://schemas.openxmlformats.org/officeDocument/2006/relationships/hyperlink" Target="http://abc3340.com/news/local/two-county-chase-leads-deputies-to-stolen-vehicle-and-stolen-weapon" TargetMode="External"/><Relationship Id="rId1994" Type="http://schemas.openxmlformats.org/officeDocument/2006/relationships/hyperlink" Target="http://gazette.com/man-killed-in-colorado-springs-officer-involved-shooting/article/1578730" TargetMode="External"/><Relationship Id="rId1995" Type="http://schemas.openxmlformats.org/officeDocument/2006/relationships/hyperlink" Target="http://www.commercialappeal.com/news/suburbs/desoto/desoto-law-enforcement-involved-in-standoff-35e24788-9a06-77ad-e053-0100007fda6a-384029591.html" TargetMode="External"/><Relationship Id="rId1996" Type="http://schemas.openxmlformats.org/officeDocument/2006/relationships/hyperlink" Target="http://www.wptv.com/news/region-c-palm-beach-county/wellington/pbso-investigates-shooting-in-wellington" TargetMode="External"/><Relationship Id="rId1997" Type="http://schemas.openxmlformats.org/officeDocument/2006/relationships/hyperlink" Target="http://www.sealynews.com/breaking_news/article_dbe1b77a-3976-11e6-a247-23279f52b84b.html" TargetMode="External"/><Relationship Id="rId1998" Type="http://schemas.openxmlformats.org/officeDocument/2006/relationships/hyperlink" Target="http://www.ksdk.com/news/local/illinois-state-police-investigate-deadly-officer-involved-shooting/255046764" TargetMode="External"/><Relationship Id="rId1999" Type="http://schemas.openxmlformats.org/officeDocument/2006/relationships/hyperlink" Target="http://www.ajc.com/news/news/crime-law/cop-shot-and-killed-man-accused-of-breaking-into-a/nrmCS/" TargetMode="External"/><Relationship Id="rId2150" Type="http://schemas.openxmlformats.org/officeDocument/2006/relationships/hyperlink" Target="http://www.fatalencounters.org/wp-content/uploads/2013/10/Korryn-Gaines.jpg" TargetMode="External"/><Relationship Id="rId2151" Type="http://schemas.openxmlformats.org/officeDocument/2006/relationships/hyperlink" Target="http://www.baltimoresun.com/news/maryland/crime/bs-md-co-police-barricade-20160801-story.html" TargetMode="External"/><Relationship Id="rId2152" Type="http://schemas.openxmlformats.org/officeDocument/2006/relationships/hyperlink" Target="http://www.abccolumbia.com/2016/08/01/lexington-county-deputy-involved-in-fatal-shooting/" TargetMode="External"/><Relationship Id="rId2153" Type="http://schemas.openxmlformats.org/officeDocument/2006/relationships/hyperlink" Target="http://www.fatalencounters.org/wp-content/uploads/2013/10/Cruz-1.jpg" TargetMode="External"/><Relationship Id="rId2154" Type="http://schemas.openxmlformats.org/officeDocument/2006/relationships/hyperlink" Target="http://www.12newsnow.com/news/local/port-arthur-family-seeks-answers-after-death-of-mentally-ill-son/292634589" TargetMode="External"/><Relationship Id="rId2155" Type="http://schemas.openxmlformats.org/officeDocument/2006/relationships/hyperlink" Target="http://www.fatalencounters.org/wp-content/uploads/2013/10/Kenneth-Eugene-Bonanno.jpg" TargetMode="External"/><Relationship Id="rId2156" Type="http://schemas.openxmlformats.org/officeDocument/2006/relationships/hyperlink" Target="http://www.fredericksburg.com/townnews/police/man-shot-and-killed-by-stafford-deputies/article_920e30fa-bfb6-59c9-b499-606df45e998c.html" TargetMode="External"/><Relationship Id="rId2157" Type="http://schemas.openxmlformats.org/officeDocument/2006/relationships/hyperlink" Target="http://www.fatalencounters.org/wp-content/uploads/2013/10/William-Bowers.jpg" TargetMode="External"/><Relationship Id="rId2158" Type="http://schemas.openxmlformats.org/officeDocument/2006/relationships/hyperlink" Target="http://losangeles.cbslocal.com/2016/08/02/suspect-dies-following-deputy-involved-shooting-in-castaic/" TargetMode="External"/><Relationship Id="rId2159" Type="http://schemas.openxmlformats.org/officeDocument/2006/relationships/hyperlink" Target="http://www.fatalencounters.org/wp-content/uploads/2013/10/Demarco-Newman.jpg" TargetMode="External"/><Relationship Id="rId510" Type="http://schemas.openxmlformats.org/officeDocument/2006/relationships/hyperlink" Target="http://whnt.com/2014/04/04/breaking-huntsville-police-confirm-officer-shot-residents-being-evacuated/" TargetMode="External"/><Relationship Id="rId511" Type="http://schemas.openxmlformats.org/officeDocument/2006/relationships/hyperlink" Target="http://www.wsbtv.com/news/news/local/officer-injured-suspect-killed-lawrenceville-apart/nfQTQ/" TargetMode="External"/><Relationship Id="rId512" Type="http://schemas.openxmlformats.org/officeDocument/2006/relationships/hyperlink" Target="http://www.washingtonpost.com/national/police-officer-fatally-shot-in-upstate-new-york/2014/03/31/ad349cc6-b8f4-11e3-80de-2ff8801f27af_story.html" TargetMode="External"/><Relationship Id="rId513" Type="http://schemas.openxmlformats.org/officeDocument/2006/relationships/hyperlink" Target="http://www.myfoxchicago.com/story/25108986/raason-shaw-man-shot-to-death-by-police-in-woodlawn" TargetMode="External"/><Relationship Id="rId514" Type="http://schemas.openxmlformats.org/officeDocument/2006/relationships/hyperlink" Target="http://www.wcti12.com/news/city-official-two-officers-injured-one-suspect-dead-in-shooting/25226556" TargetMode="External"/><Relationship Id="rId515" Type="http://schemas.openxmlformats.org/officeDocument/2006/relationships/hyperlink" Target="http://fox13now.com/2014/03/28/2-police-officers-hurt-1-man-dead-after-salt-lake-city-shooting/" TargetMode="External"/><Relationship Id="rId516"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517" Type="http://schemas.openxmlformats.org/officeDocument/2006/relationships/hyperlink" Target="http://www.tennessean.com/story/news/crime/2014/03/21/dozens-officers-scene-elliston-place-shooting/6716709/" TargetMode="External"/><Relationship Id="rId518" Type="http://schemas.openxmlformats.org/officeDocument/2006/relationships/hyperlink" Target="http://blogs.ocweekly.com/navelgazing/2014/03/police_shooting_in_anaheim_lea.php?page=2" TargetMode="External"/><Relationship Id="rId519" Type="http://schemas.openxmlformats.org/officeDocument/2006/relationships/hyperlink" Target="http://www.ketv.com/news/police-id-man-killed-in-officer-involved-shooting/25060968" TargetMode="External"/><Relationship Id="rId1450" Type="http://schemas.openxmlformats.org/officeDocument/2006/relationships/hyperlink" Target="http://www.nydailynews.com/news/national/transgender-man-shot-dead-police-hoping-transition-article-1.2522193" TargetMode="External"/><Relationship Id="rId1451" Type="http://schemas.openxmlformats.org/officeDocument/2006/relationships/hyperlink" Target="http://www.kansascity.com/news/local/crime/article58853333.html" TargetMode="External"/><Relationship Id="rId1452" Type="http://schemas.openxmlformats.org/officeDocument/2006/relationships/hyperlink" Target="http://fox8.com/2016/02/05/police-to-release-more-details-after-stabbing-suspect-shot-killed-by-deputy/" TargetMode="External"/><Relationship Id="rId1453" Type="http://schemas.openxmlformats.org/officeDocument/2006/relationships/hyperlink" Target="http://www.kfoxtv.com/news/features/top-stories/stories/Two-dead-after-downtown-El-Paso-shooting-involving-Border-Patrol-252745.shtml" TargetMode="External"/><Relationship Id="rId1454" Type="http://schemas.openxmlformats.org/officeDocument/2006/relationships/hyperlink" Target="http://www.kgwn.tv/home/headlines/Hostage-situation-at-Cheyenne-motel-DEVELOPING-STORY-367902861.html" TargetMode="External"/><Relationship Id="rId1455" Type="http://schemas.openxmlformats.org/officeDocument/2006/relationships/hyperlink" Target="http://www.wbtv.com/story/31155772/bank-robbery-suspect-shot-killed-in-iredell-county" TargetMode="External"/><Relationship Id="rId1456" Type="http://schemas.openxmlformats.org/officeDocument/2006/relationships/hyperlink" Target="http://theadvocate.com/news/police/14799518-123/state-police-identify-addis-reserve-officer-involved-in-wifes-fatal-shooting" TargetMode="External"/><Relationship Id="rId1457" Type="http://schemas.openxmlformats.org/officeDocument/2006/relationships/hyperlink" Target="http://www.cnn.com/2016/02/06/us/oregon-police-shooting/index.html?sr=fbnewday0206oregoncopkilled" TargetMode="External"/><Relationship Id="rId1458" Type="http://schemas.openxmlformats.org/officeDocument/2006/relationships/hyperlink" Target="http://www.foxnews.com/us/2016/02/05/massive-search-underway-for-missouri-couple-wanted-in-four-state-crime-spree.html" TargetMode="External"/><Relationship Id="rId1459" Type="http://schemas.openxmlformats.org/officeDocument/2006/relationships/hyperlink" Target="http://bigislandnow.com/2016/02/05/hpd-identifies-wanted-man-killed-in-officer-involved-shooting/" TargetMode="External"/><Relationship Id="rId2160" Type="http://schemas.openxmlformats.org/officeDocument/2006/relationships/hyperlink" Target="http://www.floridatoday.com/story/news/crime/2016/08/02/police-investigating-palm-bay-double-shooting/87986298/" TargetMode="External"/><Relationship Id="rId2161" Type="http://schemas.openxmlformats.org/officeDocument/2006/relationships/hyperlink" Target="http://www.fatalencounters.org/wp-content/uploads/2013/10/Matthew-David-Conrad.jpg" TargetMode="External"/><Relationship Id="rId2162" Type="http://schemas.openxmlformats.org/officeDocument/2006/relationships/hyperlink" Target="http://magicvalley.com/news/local/crime-and-courts/officer-involved-shooting-closes-i--west-of-glenns-ferry/article_f3e35a73-a4bf-510c-acc4-bf0f04952468.html" TargetMode="External"/><Relationship Id="rId2163" Type="http://schemas.openxmlformats.org/officeDocument/2006/relationships/hyperlink" Target="http://www.fatalencounters.org/wp-content/uploads/2013/10/Adam-Jo-Klimek.png" TargetMode="External"/><Relationship Id="rId2164" Type="http://schemas.openxmlformats.org/officeDocument/2006/relationships/hyperlink" Target="http://www.echopress.com/news/4086423-update-one-dead-after-officer-involved-shooting-alexandria-wvideo" TargetMode="External"/><Relationship Id="rId2165" Type="http://schemas.openxmlformats.org/officeDocument/2006/relationships/hyperlink" Target="http://www.fatalencounters.org/wp-content/uploads/2013/10/Richard-Lance-London.jpg" TargetMode="External"/><Relationship Id="rId2166" Type="http://schemas.openxmlformats.org/officeDocument/2006/relationships/hyperlink" Target="http://www.live5news.com/story/32595164/coroner-identifies-wanted-virginia-suspect-shot-and-killed-by-lake-city-police" TargetMode="External"/><Relationship Id="rId2167" Type="http://schemas.openxmlformats.org/officeDocument/2006/relationships/hyperlink" Target="http://www.fatalencounters.org/wp-content/uploads/2013/10/Bradley-Carey.jpg" TargetMode="External"/><Relationship Id="rId2168" Type="http://schemas.openxmlformats.org/officeDocument/2006/relationships/hyperlink" Target="http://www.clickondetroit.com/news/bank-robbery-suspect-shot-killed-by-police-in-detroit" TargetMode="External"/><Relationship Id="rId2169" Type="http://schemas.openxmlformats.org/officeDocument/2006/relationships/hyperlink" Target="http://www.fatalencounters.org/wp-content/uploads/2013/10/Benjamin-William-Heaton.jpg" TargetMode="External"/><Relationship Id="rId520" Type="http://schemas.openxmlformats.org/officeDocument/2006/relationships/hyperlink" Target="http://www.washingtonpost.com/local/crime/police-involved-in-shooting-person-in-nw/2014/03/18/7f80b924-ae8e-11e3-96dc-d6ea14c099f9_story.html" TargetMode="External"/><Relationship Id="rId521" Type="http://schemas.openxmlformats.org/officeDocument/2006/relationships/hyperlink" Target="http://www.peacefulalternatives.com/fh/obituaries/obituary.cfm?o_id=2458194&amp;fh_id=14153" TargetMode="External"/><Relationship Id="rId522" Type="http://schemas.openxmlformats.org/officeDocument/2006/relationships/hyperlink" Target="http://www.ajc.com/news/news/local/man-shot-and-killed-by-forsyth-county-deputies/nfFC8/" TargetMode="External"/><Relationship Id="rId523" Type="http://schemas.openxmlformats.org/officeDocument/2006/relationships/hyperlink" Target="http://www.firstcoastnews.com/story/news/crime/2014/03/15/lake-city-killed-police/6457449/" TargetMode="External"/><Relationship Id="rId524" Type="http://schemas.openxmlformats.org/officeDocument/2006/relationships/hyperlink" Target="http://www.reviewjournal.com/news/las-vegas/north-las-vegas-police-face-lawsuit-deadly-shooting-homeless-man" TargetMode="External"/><Relationship Id="rId525" Type="http://schemas.openxmlformats.org/officeDocument/2006/relationships/hyperlink" Target="http://www.newssun.com/news/article_513fe971-a208-543b-8a5c-71ff2376804d.html" TargetMode="External"/><Relationship Id="rId526" Type="http://schemas.openxmlformats.org/officeDocument/2006/relationships/hyperlink" Target="http://collegian.csufresno.edu/2014/03/07/woman-shot-twice-killed-by-fresno-police-officer-in-apartment-complex-west-of-campus/" TargetMode="External"/><Relationship Id="rId527" Type="http://schemas.openxmlformats.org/officeDocument/2006/relationships/hyperlink" Target="http://www.indystar.com/story/news/crime/2014/03/05/4-indianapolis-swat-officers-shot-suspect-is-killed/6097619/" TargetMode="External"/><Relationship Id="rId528" Type="http://schemas.openxmlformats.org/officeDocument/2006/relationships/hyperlink" Target="http://www.utsandiego.com/news/2014/feb/26/suicidal-man-rifle-downtown-san-diego/" TargetMode="External"/><Relationship Id="rId529" Type="http://schemas.openxmlformats.org/officeDocument/2006/relationships/hyperlink" Target="http://www.news-gazette.com/news/local/2014-02-26/state-police-investigate-fatal-shooting-after-chase-danville.html" TargetMode="External"/><Relationship Id="rId1460" Type="http://schemas.openxmlformats.org/officeDocument/2006/relationships/hyperlink" Target="http://sanfrancisco.cbslocal.com/2016/02/06/police-chase-ends-in-fiery-fatal-crash-in-sf/" TargetMode="External"/><Relationship Id="rId1461" Type="http://schemas.openxmlformats.org/officeDocument/2006/relationships/hyperlink" Target="http://nbc4i.com/2016/02/06/officer-shot-suspect-killed-in-kenton-shooting/" TargetMode="External"/><Relationship Id="rId1462" Type="http://schemas.openxmlformats.org/officeDocument/2006/relationships/hyperlink" Target="http://patch.com/new-jersey/manchester-nj/breaking-police-involved-fatal-shooting-nj-authorities" TargetMode="External"/><Relationship Id="rId1463" Type="http://schemas.openxmlformats.org/officeDocument/2006/relationships/hyperlink" Target="http://katv.com/news/local/lonoke-county-deputy-involved-in-fatal-shooting-overnight" TargetMode="External"/><Relationship Id="rId1464" Type="http://schemas.openxmlformats.org/officeDocument/2006/relationships/hyperlink" Target="http://news10.com/2016/02/11/police-neighbors-still-asking-why-in-colonie-officer-murder-suicide/" TargetMode="External"/><Relationship Id="rId1465" Type="http://schemas.openxmlformats.org/officeDocument/2006/relationships/hyperlink" Target="http://news10.com/2016/02/11/police-neighbors-still-asking-why-in-colonie-officer-murder-suicide/" TargetMode="External"/><Relationship Id="rId1466" Type="http://schemas.openxmlformats.org/officeDocument/2006/relationships/hyperlink" Target="http://westhawaiitoday.com/news/local-news/police-investigate-2nd-fatal-officer-involved-shooting-less-week" TargetMode="External"/><Relationship Id="rId1467" Type="http://schemas.openxmlformats.org/officeDocument/2006/relationships/hyperlink" Target="http://ktla.com/2016/02/09/man-22-killed-in-officer-involved-shooting-in-anaheims-sage-park/" TargetMode="External"/><Relationship Id="rId1468" Type="http://schemas.openxmlformats.org/officeDocument/2006/relationships/hyperlink" Target="http://www.startribune.com/suspect-shot-dead-by-police-after-k-9-stabbed-in-roseville-altercation/368441451/" TargetMode="External"/><Relationship Id="rId1469" Type="http://schemas.openxmlformats.org/officeDocument/2006/relationships/hyperlink" Target="http://www.ktuu.com/news/news/fatal-officerinvolved-shooting-reported-in-barrow-says-borough-spokesman/37925150" TargetMode="External"/><Relationship Id="rId2170" Type="http://schemas.openxmlformats.org/officeDocument/2006/relationships/hyperlink" Target="http://kutv.com/news/local/1-dead-after-clearfield-officer-involved-shooting" TargetMode="External"/><Relationship Id="rId2171" Type="http://schemas.openxmlformats.org/officeDocument/2006/relationships/hyperlink" Target="http://www.fatalencounters.org/wp-content/uploads/2013/10/Marcus-Sexton.jpg" TargetMode="External"/><Relationship Id="rId2172" Type="http://schemas.openxmlformats.org/officeDocument/2006/relationships/hyperlink" Target="http://www.arkansasonline.com/news/2016/aug/05/suspect-dies-custody-little-rock-police/?f=crime" TargetMode="External"/><Relationship Id="rId2173" Type="http://schemas.openxmlformats.org/officeDocument/2006/relationships/hyperlink" Target="http://www.fatalencounters.org/wp-content/uploads/2013/10/Joel-Huerta.jpg" TargetMode="External"/><Relationship Id="rId2174" Type="http://schemas.openxmlformats.org/officeDocument/2006/relationships/hyperlink" Target="https://www.noozhawk.com/article/man_dies_in_sheriff_custody_at_santa_barbara_county_jail" TargetMode="External"/><Relationship Id="rId2175" Type="http://schemas.openxmlformats.org/officeDocument/2006/relationships/hyperlink" Target="http://wjhl.com/2016/08/05/breaking-hawkins-county-deputies-shoot-kill-suspect-following-pursuit-into-virginia/" TargetMode="External"/><Relationship Id="rId2176" Type="http://schemas.openxmlformats.org/officeDocument/2006/relationships/hyperlink" Target="http://www.cbs8.com/story/32697727/santee-man-found-dead-inside-home-after-prompting-swat-standoff" TargetMode="External"/><Relationship Id="rId2177" Type="http://schemas.openxmlformats.org/officeDocument/2006/relationships/hyperlink" Target="http://www.fatalencounters.org/wp-content/uploads/2013/10/Ronald-Robbibaro.jpg" TargetMode="External"/><Relationship Id="rId2178" Type="http://schemas.openxmlformats.org/officeDocument/2006/relationships/hyperlink" Target="http://wfla.com/2016/08/05/us-41-closed-for-pasco-sheriffs-office-investigation/" TargetMode="External"/><Relationship Id="rId2179" Type="http://schemas.openxmlformats.org/officeDocument/2006/relationships/hyperlink" Target="http://www.fatalencounters.org/wp-content/uploads/2013/10/Jamarion-Rashad-Robinson.jpg" TargetMode="External"/><Relationship Id="rId3600" Type="http://schemas.openxmlformats.org/officeDocument/2006/relationships/hyperlink" Target="http://www.coloradoan.com/story/news/2017/06/09/1-dead-loveland-police-involved-shooting/383405001/" TargetMode="External"/><Relationship Id="rId3601" Type="http://schemas.openxmlformats.org/officeDocument/2006/relationships/hyperlink" Target="http://www.fatalencounters.org/wp-content/uploads/2013/10/Paul-E-Mashburn.jpg" TargetMode="External"/><Relationship Id="rId3602" Type="http://schemas.openxmlformats.org/officeDocument/2006/relationships/hyperlink" Target="http://5newsonline.com/2017/06/09/man-shot-killed-in-sequoyah-county-standoff/" TargetMode="External"/><Relationship Id="rId3603" Type="http://schemas.openxmlformats.org/officeDocument/2006/relationships/hyperlink" Target="http://www.fatalencounters.org/wp-content/uploads/2013/10/David-Thomas-Jones.png" TargetMode="External"/><Relationship Id="rId3604" Type="http://schemas.openxmlformats.org/officeDocument/2006/relationships/hyperlink" Target="http://philadelphia.cbslocal.com/2017/06/08/police-involved-shooting-philly/" TargetMode="External"/><Relationship Id="rId3605" Type="http://schemas.openxmlformats.org/officeDocument/2006/relationships/hyperlink" Target="http://www.fatalencounters.org/wp-content/uploads/2013/10/MiguelGarci.jpg" TargetMode="External"/><Relationship Id="rId3606" Type="http://schemas.openxmlformats.org/officeDocument/2006/relationships/hyperlink" Target="http://www.brownsvilleherald.com/news/local/article_8c423916-4c7a-11e7-a022-87a61d650af2.html" TargetMode="External"/><Relationship Id="rId3607" Type="http://schemas.openxmlformats.org/officeDocument/2006/relationships/hyperlink" Target="http://abc7chicago.com/news/state-police-investigating-officer-involved-shooting-in-lyons/2078484/" TargetMode="External"/><Relationship Id="rId3608" Type="http://schemas.openxmlformats.org/officeDocument/2006/relationships/hyperlink" Target="http://www.fatalencounters.org/wp-content/uploads/2013/10/Joshua-Anthony-Barre.png" TargetMode="External"/><Relationship Id="rId3609" Type="http://schemas.openxmlformats.org/officeDocument/2006/relationships/hyperlink" Target="http://www.tulsaworld.com/news/crimewatch/update-man-carrying-knives-shot-dead-as-deputies-tulsa-police/article_aff3fcde-393b-5e87-a429-1b6ddeeec66d.html" TargetMode="External"/><Relationship Id="rId530" Type="http://schemas.openxmlformats.org/officeDocument/2006/relationships/hyperlink" Target="http://thenewsherald.com/articles/2014/02/28/news/doc5310a54ba9b5b176742526.txt" TargetMode="External"/><Relationship Id="rId531" Type="http://schemas.openxmlformats.org/officeDocument/2006/relationships/hyperlink" Target="http://rollingout.com/wp-content/uploads/2014/02/Kenneth-Lucas-and-Family.jpg?f66a58" TargetMode="External"/><Relationship Id="rId532" Type="http://schemas.openxmlformats.org/officeDocument/2006/relationships/hyperlink" Target="http://rollingout.com/news/why-did-kenneth-lucas-jailed-in-texas-die-after-guards-left-cell/" TargetMode="External"/><Relationship Id="rId533" Type="http://schemas.openxmlformats.org/officeDocument/2006/relationships/hyperlink" Target="http://www.abc15.com/dpp/news/region_phoenix_metro/central_phoenix/phoenix-police-investigating-officer-involved-shooting-near-19th-avenue-and-culver-street" TargetMode="External"/><Relationship Id="rId534" Type="http://schemas.openxmlformats.org/officeDocument/2006/relationships/hyperlink" Target="http://www.chronline.com/article_b54aecd0-94b9-11e3-8b34-001a4bcf887a.html" TargetMode="External"/><Relationship Id="rId535" Type="http://schemas.openxmlformats.org/officeDocument/2006/relationships/hyperlink" Target="http://chippewa.com/dunnconnect/news/local/suspect-shot-during-search-warrant-in-town-of-red-cedar/article_c7a4ae88-2f57-59fd-a566-2ee0bef8573b.html" TargetMode="External"/><Relationship Id="rId536" Type="http://schemas.openxmlformats.org/officeDocument/2006/relationships/hyperlink" Target="http://www.spokesman.com/stories/2014/feb/11/possible-officer-involved-shooting-spokane-valley/" TargetMode="External"/><Relationship Id="rId537" Type="http://schemas.openxmlformats.org/officeDocument/2006/relationships/hyperlink" Target="http://www.washingtonpost.com/news/morning-mix/wp/2015/04/08/south-carolina-cop-now-faces-felony-charge-for-fatally-shooting-a-black-man-in-his-driveway/" TargetMode="External"/><Relationship Id="rId538" Type="http://schemas.openxmlformats.org/officeDocument/2006/relationships/hyperlink" Target="http://kollegekidd.com/news/friends-family-remember-slain-robbery-suspect-deonta-mackey/" TargetMode="External"/><Relationship Id="rId539" Type="http://schemas.openxmlformats.org/officeDocument/2006/relationships/hyperlink" Target="http://www.ktbs.com/story/24667057/officer-involved-shooting-in-ruston-leaves-one-dead" TargetMode="External"/><Relationship Id="rId1470" Type="http://schemas.openxmlformats.org/officeDocument/2006/relationships/hyperlink" Target="http://baltimore.cbslocal.com/2016/02/10/deputies-involved-in-abingdon-shooting/" TargetMode="External"/><Relationship Id="rId1471" Type="http://schemas.openxmlformats.org/officeDocument/2006/relationships/hyperlink" Target="http://www.lex18.com/story/31189421/us-marshal-involved-shooting-in-louisville" TargetMode="External"/><Relationship Id="rId1472" Type="http://schemas.openxmlformats.org/officeDocument/2006/relationships/hyperlink" Target="http://www.wfaa.com/news/crime/swat-at-scene-where-man-barricaded-in-kaufman-county/39266940" TargetMode="External"/><Relationship Id="rId1473" Type="http://schemas.openxmlformats.org/officeDocument/2006/relationships/hyperlink" Target="http://www.wcnc.com/story/news/crime/2016/02/12/authorities-investigating-deadly-officer-involved-shooting-maiden/80275644/" TargetMode="External"/><Relationship Id="rId1474" Type="http://schemas.openxmlformats.org/officeDocument/2006/relationships/hyperlink" Target="http://www.santacruzsentinel.com/general-news/20160212/man-allegedly-wielding-ax-shot-in-north-los-angeles-county" TargetMode="External"/><Relationship Id="rId1475" Type="http://schemas.openxmlformats.org/officeDocument/2006/relationships/hyperlink" Target="http://www.nbcdfw.com/news/local/Shooting-Involving-US-Marshals-in-Fort-Worth-Police-368676191.html" TargetMode="External"/><Relationship Id="rId1476" Type="http://schemas.openxmlformats.org/officeDocument/2006/relationships/hyperlink" Target="http://www.bradenton.com/news/local/crime/article60461361.html" TargetMode="External"/><Relationship Id="rId1477" Type="http://schemas.openxmlformats.org/officeDocument/2006/relationships/hyperlink" Target="http://www.latimes.com/local/lanow/la-me-ln-deputy-shooting-20160214-story.html" TargetMode="External"/><Relationship Id="rId1478" Type="http://schemas.openxmlformats.org/officeDocument/2006/relationships/hyperlink" Target="http://ktla.com/2016/02/14/los-angeles-police-open-fire-during-incident-in-van-nuys-1-person-hospitalized-in-unknown-condition-officials/" TargetMode="External"/><Relationship Id="rId1479" Type="http://schemas.openxmlformats.org/officeDocument/2006/relationships/hyperlink" Target="http://www.ocregister.com/articles/sheriff-704312-shot-female.html" TargetMode="External"/><Relationship Id="rId2900" Type="http://schemas.openxmlformats.org/officeDocument/2006/relationships/hyperlink" Target="http://www.fatalencounters.org/wp-content/uploads/2013/10/Wardel-Davis.png" TargetMode="External"/><Relationship Id="rId2901" Type="http://schemas.openxmlformats.org/officeDocument/2006/relationships/hyperlink" Target="https://buffalonews.com/2017/02/08/man-dies-overnight-buffalo-police-custody/" TargetMode="External"/><Relationship Id="rId2902" Type="http://schemas.openxmlformats.org/officeDocument/2006/relationships/hyperlink" Target="http://www.fatalencounters.org/wp-content/uploads/2013/10/Richard-Latimer.png" TargetMode="External"/><Relationship Id="rId2903" Type="http://schemas.openxmlformats.org/officeDocument/2006/relationships/hyperlink" Target="http://wkbn.com/2017/02/08/officer-shoots-person-at-giant-eagle/" TargetMode="External"/><Relationship Id="rId2904" Type="http://schemas.openxmlformats.org/officeDocument/2006/relationships/hyperlink" Target="http://www.knoxnews.com/story/news/crime/2017/02/07/tbi-officer-involved-shooting-reported-rockwood/97608088/" TargetMode="External"/><Relationship Id="rId2905" Type="http://schemas.openxmlformats.org/officeDocument/2006/relationships/hyperlink" Target="http://www.wmcactionnews5.com/story/34451720/tbi-officer-involved-shooting-reported-in-mt-pleasant" TargetMode="External"/><Relationship Id="rId2906" Type="http://schemas.openxmlformats.org/officeDocument/2006/relationships/hyperlink" Target="http://www.fatalencounters.org/wp-content/uploads/2013/10/Michael-Anthony-Barrera.png" TargetMode="External"/><Relationship Id="rId2907" Type="http://schemas.openxmlformats.org/officeDocument/2006/relationships/hyperlink" Target="http://www.sacbee.com/news/local/crime/article131619224.html" TargetMode="External"/><Relationship Id="rId2908" Type="http://schemas.openxmlformats.org/officeDocument/2006/relationships/hyperlink" Target="http://www.fatalencounters.org/wp-content/uploads/2013/10/donald-parker-02082017.jpg" TargetMode="External"/><Relationship Id="rId2909" Type="http://schemas.openxmlformats.org/officeDocument/2006/relationships/hyperlink" Target="http://www.wcpo.com/news/crime/indiana-state-police-suspect-shot-by-police-taken-to-hospital" TargetMode="External"/><Relationship Id="rId2180" Type="http://schemas.openxmlformats.org/officeDocument/2006/relationships/hyperlink" Target="http://www.wsbtv.com/news/local/south-fulton-county/police-shooting-suspect-killed-in-shootout-with-us-marshals/417909111" TargetMode="External"/><Relationship Id="rId2181" Type="http://schemas.openxmlformats.org/officeDocument/2006/relationships/hyperlink" Target="http://www.loudountimes.com/news/article/developing_loudoun_county_deputy_fatally_shoots_man_with_a_knife_in_aldie43" TargetMode="External"/><Relationship Id="rId2182" Type="http://schemas.openxmlformats.org/officeDocument/2006/relationships/hyperlink" Target="http://www.wiscnews.com/bdc/news/local/article_fc679203-6725-58f8-81f9-b7d94cb136c1.html" TargetMode="External"/><Relationship Id="rId2183" Type="http://schemas.openxmlformats.org/officeDocument/2006/relationships/hyperlink" Target="http://www.fatalencounters.org/wp-content/uploads/2013/10/Jawari-Porter.jpg" TargetMode="External"/><Relationship Id="rId2184" Type="http://schemas.openxmlformats.org/officeDocument/2006/relationships/hyperlink" Target="http://www.cincinnati.com/story/news/2016/08/07/police-shoot-kill-downtown-robbery-suspect/88361704/" TargetMode="External"/><Relationship Id="rId2185" Type="http://schemas.openxmlformats.org/officeDocument/2006/relationships/hyperlink" Target="http://www.fatalencounters.org/wp-content/uploads/2013/10/Earl-Pinckney.jpg" TargetMode="External"/><Relationship Id="rId2186" Type="http://schemas.openxmlformats.org/officeDocument/2006/relationships/hyperlink" Target="http://abc27.com/2016/08/07/man-is-dead-following-officer-involved-shooting-in-uptown-harrisburg/" TargetMode="External"/><Relationship Id="rId2187" Type="http://schemas.openxmlformats.org/officeDocument/2006/relationships/hyperlink" Target="http://www.sacbee.com/news/local/crime/article94537432.html" TargetMode="External"/><Relationship Id="rId2188" Type="http://schemas.openxmlformats.org/officeDocument/2006/relationships/hyperlink" Target="http://www.wkyt.com/content/news/KSP-Pursuit-ends-with-officer-involved-shooting-in-Scott-County-389532492.html" TargetMode="External"/><Relationship Id="rId2189" Type="http://schemas.openxmlformats.org/officeDocument/2006/relationships/hyperlink" Target="http://www.fatalencounters.org/wp-content/uploads/2013/10/Darnell-Wicker.jpg" TargetMode="External"/><Relationship Id="rId3610" Type="http://schemas.openxmlformats.org/officeDocument/2006/relationships/hyperlink" Target="http://www.miamiherald.com/news/local/crime/article155472114.html" TargetMode="External"/><Relationship Id="rId3611" Type="http://schemas.openxmlformats.org/officeDocument/2006/relationships/hyperlink" Target="http://www.kcrg.com/content/news/Authorities-on-the-scene-of-possible-shooting-in-north-Englisgh-427734113.html" TargetMode="External"/><Relationship Id="rId3612" Type="http://schemas.openxmlformats.org/officeDocument/2006/relationships/hyperlink" Target="http://komonews.com/news/local/person-killed-on-officer-involved-shooting-in-aurbun" TargetMode="External"/><Relationship Id="rId3613" Type="http://schemas.openxmlformats.org/officeDocument/2006/relationships/hyperlink" Target="http://www.bigcountryhomepage.com/news/main-news/texas-rangers-release-statement-on-officer-involved-shooting-in-abilene/739191775" TargetMode="External"/><Relationship Id="rId3614" Type="http://schemas.openxmlformats.org/officeDocument/2006/relationships/hyperlink" Target="http://www.yourcentralvalley.com/news/man-dead-after-officer-involved-shooting/739382015" TargetMode="External"/><Relationship Id="rId3615" Type="http://schemas.openxmlformats.org/officeDocument/2006/relationships/hyperlink" Target="http://www.kentucky.com/news/state/article155701339.html" TargetMode="External"/><Relationship Id="rId3616" Type="http://schemas.openxmlformats.org/officeDocument/2006/relationships/hyperlink" Target="http://www.wfaa.com/news/local/collin-county/plano-policewoman-shoots-kills-man-at-gas-station/448136711" TargetMode="External"/><Relationship Id="rId3617" Type="http://schemas.openxmlformats.org/officeDocument/2006/relationships/hyperlink" Target="http://www.fatalencounters.org/wp-content/uploads/2013/10/Avery-D.-Metrejean.png" TargetMode="External"/><Relationship Id="rId3618" Type="http://schemas.openxmlformats.org/officeDocument/2006/relationships/hyperlink" Target="http://www.theadvocate.com/acadiana/news/article_a5814ed6-507f-11e7-82cf-ff00eebb24df.html" TargetMode="External"/><Relationship Id="rId3619" Type="http://schemas.openxmlformats.org/officeDocument/2006/relationships/hyperlink" Target="http://www.fatalencounters.org/wp-content/uploads/2013/10/AustinDurham.jpg" TargetMode="External"/><Relationship Id="rId540" Type="http://schemas.openxmlformats.org/officeDocument/2006/relationships/hyperlink" Target="http://www.delmarvanow.com/article/20140205/NEWS/302050037" TargetMode="External"/><Relationship Id="rId541" Type="http://schemas.openxmlformats.org/officeDocument/2006/relationships/hyperlink" Target="http://www.wtxl.com/news/update-officer-involved-shooting-at-taylor-county-car-dealership/article_a27a9ab0-8e83-11e3-8e81-0017a43b2370.html" TargetMode="External"/><Relationship Id="rId542" Type="http://schemas.openxmlformats.org/officeDocument/2006/relationships/hyperlink" Target="http://www.sfgate.com/crime/article/Hayward-police-shoot-and-kill-armed-woman-5205798.php" TargetMode="External"/><Relationship Id="rId543" Type="http://schemas.openxmlformats.org/officeDocument/2006/relationships/hyperlink" Target="http://thumbs.mugshots.com/gallery/images/8d/63/Kevin-Dejon-Grissett-mugshot-24130338.400x800.jpg" TargetMode="External"/><Relationship Id="rId544" Type="http://schemas.openxmlformats.org/officeDocument/2006/relationships/hyperlink" Target="http://bloximages.newyork1.vip.townnews.com/scnow.com/content/tncms/assets/v3/editorial/9/af/9af467d9-6895-55d0-a65f-5d532b203c84/52f5bad3778ea.preview-300.jpg" TargetMode="External"/><Relationship Id="rId545" Type="http://schemas.openxmlformats.org/officeDocument/2006/relationships/hyperlink" Target="http://www.ivpressonline.com/news/local/one-suspect-dead-in-el-centro-shooting/article_8fb45b2a-8a44-11e3-8222-001a4bcf6878.html" TargetMode="External"/><Relationship Id="rId546" Type="http://schemas.openxmlformats.org/officeDocument/2006/relationships/hyperlink" Target="http://www.goupstate.com/article/20140124/ARTICLES/140129757?p=1&amp;tc=pg" TargetMode="External"/><Relationship Id="rId547" Type="http://schemas.openxmlformats.org/officeDocument/2006/relationships/hyperlink" Target="http://www.wdef.com/news/story/Sequatchie-Community-Mourns-Loss-Of-Josh-Layne/r6DlJk-F4kOv8aqGvHyA1g.cspx" TargetMode="External"/><Relationship Id="rId548" Type="http://schemas.openxmlformats.org/officeDocument/2006/relationships/hyperlink" Target="http://www.wptv.com/news/state/gregory-vaughn-hill-jr-fort-pierce-man-ided-in-fatal-deputy-involved-shooting" TargetMode="External"/><Relationship Id="rId549" Type="http://schemas.openxmlformats.org/officeDocument/2006/relationships/hyperlink" Target="http://www.wyliefh.com/printguestbook.php?id=2166&amp;rid=15392" TargetMode="External"/><Relationship Id="rId1480" Type="http://schemas.openxmlformats.org/officeDocument/2006/relationships/hyperlink" Target="http://www.abqjournal.com/725696/news/state-police-investigating-fatal-officer-involved-shooting-near-jal.html" TargetMode="External"/><Relationship Id="rId1481" Type="http://schemas.openxmlformats.org/officeDocument/2006/relationships/hyperlink" Target="http://www.nydailynews.com/news/national/officer-involved-shooting-fairfield-conn-article-1.2533111" TargetMode="External"/><Relationship Id="rId1482" Type="http://schemas.openxmlformats.org/officeDocument/2006/relationships/hyperlink" Target="http://katv.com/news/local/authorities-investigating-officer-involved-shooting-in-mena" TargetMode="External"/><Relationship Id="rId1483" Type="http://schemas.openxmlformats.org/officeDocument/2006/relationships/hyperlink" Target="http://www.news-leader.com/story/news/crime/2016/02/16/car-crashes-into-republic-home-neighbors-hear-gunshots/80455040/" TargetMode="External"/><Relationship Id="rId1484" Type="http://schemas.openxmlformats.org/officeDocument/2006/relationships/hyperlink" Target="http://www.11alive.com/story/news/local/2016/02/18/gbi-investigating-fatal-commerce-officer-involved-shooting/80562868/" TargetMode="External"/><Relationship Id="rId1485" Type="http://schemas.openxmlformats.org/officeDocument/2006/relationships/hyperlink" Target="http://www.latimes.com/local/lanow/la-me-ln-police-shooting-santa-ana-two-dead-20160218-story.html" TargetMode="External"/><Relationship Id="rId1486" Type="http://schemas.openxmlformats.org/officeDocument/2006/relationships/hyperlink" Target="http://www.latimes.com/local/lanow/la-me-ln-police-shooting-santa-ana-two-dead-20160218-story.html" TargetMode="External"/><Relationship Id="rId1487" Type="http://schemas.openxmlformats.org/officeDocument/2006/relationships/hyperlink" Target="http://dfw.cbslocal.com/2016/02/19/reno-standoff-ends-with-police-killing-armed-suspect/" TargetMode="External"/><Relationship Id="rId1488" Type="http://schemas.openxmlformats.org/officeDocument/2006/relationships/hyperlink" Target="http://www.sltrib.com/news/3560467-155/ogden-police-identify-man-officer-shot" TargetMode="External"/><Relationship Id="rId1489" Type="http://schemas.openxmlformats.org/officeDocument/2006/relationships/hyperlink" Target="http://wjhl.com/2016/02/19/shooting-reported-in-elizabethton-multiple-agencies-responding/" TargetMode="External"/><Relationship Id="rId2910" Type="http://schemas.openxmlformats.org/officeDocument/2006/relationships/hyperlink" Target="http://www.fatalencounters.org/wp-content/uploads/2013/10/Vincent-D.-Palma.png" TargetMode="External"/><Relationship Id="rId2911" Type="http://schemas.openxmlformats.org/officeDocument/2006/relationships/hyperlink" Target="http://www.wkyc.com/news/local/ashtabula-county/officer-involved-shooting-in-geneva-township/404679110" TargetMode="External"/><Relationship Id="rId2912" Type="http://schemas.openxmlformats.org/officeDocument/2006/relationships/hyperlink" Target="http://www.fatalencounters.org/wp-content/uploads/2013/10/Henry-James-Hunter.jpg" TargetMode="External"/><Relationship Id="rId2913" Type="http://schemas.openxmlformats.org/officeDocument/2006/relationships/hyperlink" Target="http://www.news9.com/story/34460423/investigation-underway-after-officer-involved-shooting-in-anadarko" TargetMode="External"/><Relationship Id="rId2914" Type="http://schemas.openxmlformats.org/officeDocument/2006/relationships/hyperlink" Target="http://www.daily-times.com/story/news/crime/2017/02/10/fbi-investigating-officer-involved-shooting/97744996/" TargetMode="External"/><Relationship Id="rId2915" Type="http://schemas.openxmlformats.org/officeDocument/2006/relationships/hyperlink" Target="http://www.fatalencounters.org/wp-content/uploads/2013/10/Quanice-Derrick-Hayes.jpg" TargetMode="External"/><Relationship Id="rId2916" Type="http://schemas.openxmlformats.org/officeDocument/2006/relationships/hyperlink" Target="http://koin.com/2017/02/09/portland-police-kill-armed-robbery-suspect/" TargetMode="External"/><Relationship Id="rId2917" Type="http://schemas.openxmlformats.org/officeDocument/2006/relationships/hyperlink" Target="http://www.heraldnet.com/news/man-dies-after-lake-stevens-officer-involved-shooting/" TargetMode="External"/><Relationship Id="rId2918" Type="http://schemas.openxmlformats.org/officeDocument/2006/relationships/hyperlink" Target="http://www.fatalencounters.org/wp-content/uploads/2013/10/Michelle-Robey.jpg" TargetMode="External"/><Relationship Id="rId2919" Type="http://schemas.openxmlformats.org/officeDocument/2006/relationships/hyperlink" Target="http://wgntv.com/2017/02/10/police-on-scene-of-reported-shooting-in-north-center/" TargetMode="External"/><Relationship Id="rId2190" Type="http://schemas.openxmlformats.org/officeDocument/2006/relationships/hyperlink" Target="http://www.wlky.com/news/1-person-killed-in-officerinvolved-shooting-on-broadleaf-drive/41096792" TargetMode="External"/><Relationship Id="rId2191" Type="http://schemas.openxmlformats.org/officeDocument/2006/relationships/hyperlink" Target="http://www.wxii12.com/news/deputy-involved-in-shooting-in-wilkes-county/41113068" TargetMode="External"/><Relationship Id="rId2192" Type="http://schemas.openxmlformats.org/officeDocument/2006/relationships/hyperlink" Target="http://www.thestate.com/news/local/article94505672.html" TargetMode="External"/><Relationship Id="rId2193" Type="http://schemas.openxmlformats.org/officeDocument/2006/relationships/hyperlink" Target="http://www.thereporter.com/general-news/20160812/fairfield-man-dies-after-struggle-in-solano-county-jail" TargetMode="External"/><Relationship Id="rId2194" Type="http://schemas.openxmlformats.org/officeDocument/2006/relationships/hyperlink" Target="http://www.fatalencounters.org/wp-content/uploads/2013/10/JesseRomero.jpg" TargetMode="External"/><Relationship Id="rId2195" Type="http://schemas.openxmlformats.org/officeDocument/2006/relationships/hyperlink" Target="http://www.latimes.com/local/lanow/la-me-ln-shooting-boyle-heights-20160810-snap-story.html" TargetMode="External"/><Relationship Id="rId2196" Type="http://schemas.openxmlformats.org/officeDocument/2006/relationships/hyperlink" Target="http://www.fatalencounters.org/wp-content/uploads/2013/10/MaryKnowlton.jpg" TargetMode="External"/><Relationship Id="rId2197" Type="http://schemas.openxmlformats.org/officeDocument/2006/relationships/hyperlink" Target="http://www.cbsnews.com/news/mary-knowlton-death-husband-speaks-about-shooting/" TargetMode="External"/><Relationship Id="rId2198" Type="http://schemas.openxmlformats.org/officeDocument/2006/relationships/hyperlink" Target="https://mgtvwcmh.files.wordpress.com/2016/08/vet1.jpg" TargetMode="External"/><Relationship Id="rId2199" Type="http://schemas.openxmlformats.org/officeDocument/2006/relationships/hyperlink" Target="http://nbc4i.com/2016/08/09/man-shot-and-killed-while-deputies-check-on-suicidal-veteran/" TargetMode="External"/><Relationship Id="rId3620" Type="http://schemas.openxmlformats.org/officeDocument/2006/relationships/hyperlink" Target="http://www.ksdk.com/news/crime/breaking-overnight-jerseyville-il-officer-shot-by-robbery-suspect/448231600" TargetMode="External"/><Relationship Id="rId3621" Type="http://schemas.openxmlformats.org/officeDocument/2006/relationships/hyperlink" Target="http://www.fatalencounters.org/wp-content/uploads/2013/10/Chazz-Brown.jpg" TargetMode="External"/><Relationship Id="rId3622" Type="http://schemas.openxmlformats.org/officeDocument/2006/relationships/hyperlink" Target="http://www.stltoday.com/news/local/crime-and-courts/st-louis-police-officer-fatally-shoots-would-be-robber-at/article_cb867fb1-196a-515c-9262-c10a54f4bf30.html" TargetMode="External"/><Relationship Id="rId3623" Type="http://schemas.openxmlformats.org/officeDocument/2006/relationships/hyperlink" Target="http://www.fatalencounters.org/wp-content/uploads/2013/10/Barry-Jones.png" TargetMode="External"/><Relationship Id="rId3624" Type="http://schemas.openxmlformats.org/officeDocument/2006/relationships/hyperlink" Target="http://www.necn.com/news/new-england/Police-Involved-Shooting-Under-Investigation-in-NH-428226253.html" TargetMode="External"/><Relationship Id="rId3625" Type="http://schemas.openxmlformats.org/officeDocument/2006/relationships/hyperlink" Target="http://www.seattlepi.com/local/crime/article/Sheriff-s-Office-Deputy-fatally-shot-11219678.php" TargetMode="External"/><Relationship Id="rId3626" Type="http://schemas.openxmlformats.org/officeDocument/2006/relationships/hyperlink" Target="http://www.fatalencounters.org/wp-content/uploads/2013/10/Michael-Hiram-Morris.jpg" TargetMode="External"/><Relationship Id="rId3627" Type="http://schemas.openxmlformats.org/officeDocument/2006/relationships/hyperlink" Target="http://wreg.com/2017/06/14/tbi-investigating-officer-involved-shooting-in-somerville/" TargetMode="External"/><Relationship Id="rId3628" Type="http://schemas.openxmlformats.org/officeDocument/2006/relationships/hyperlink" Target="http://www.fatalencounters.org/wp-content/uploads/2013/10/James-T.-Hodgkinson.png" TargetMode="External"/><Relationship Id="rId3629" Type="http://schemas.openxmlformats.org/officeDocument/2006/relationships/hyperlink" Target="http://www.cbsnews.com/news/james-t-hodgkinson-identified-as-suspect-in-alexandria-shooting/" TargetMode="External"/><Relationship Id="rId1" Type="http://schemas.openxmlformats.org/officeDocument/2006/relationships/hyperlink" Target="http://www.killedbypolice.net/victims/150917.jpg" TargetMode="External"/><Relationship Id="rId2" Type="http://schemas.openxmlformats.org/officeDocument/2006/relationships/hyperlink" Target="http://www.killedbypolice.net/victims/150912.jpg" TargetMode="External"/><Relationship Id="rId3" Type="http://schemas.openxmlformats.org/officeDocument/2006/relationships/hyperlink" Target="http://www.killedbypolice.net/victims/150910.jpg" TargetMode="External"/><Relationship Id="rId4" Type="http://schemas.openxmlformats.org/officeDocument/2006/relationships/hyperlink" Target="http://www.killedbypolice.net/victims/150911.jpg" TargetMode="External"/><Relationship Id="rId5" Type="http://schemas.openxmlformats.org/officeDocument/2006/relationships/hyperlink" Target="http://www.killedbypolice.net/victims/150907.jpg" TargetMode="External"/><Relationship Id="rId6" Type="http://schemas.openxmlformats.org/officeDocument/2006/relationships/hyperlink" Target="http://www.killedbypolice.net/victims/150905.jpg" TargetMode="External"/><Relationship Id="rId7" Type="http://schemas.openxmlformats.org/officeDocument/2006/relationships/hyperlink" Target="http://www.pe.com/articles/officers-782334-domestic-involved.html" TargetMode="External"/><Relationship Id="rId8" Type="http://schemas.openxmlformats.org/officeDocument/2006/relationships/hyperlink" Target="http://www.killedbypolice.net/victims/150901.jpg" TargetMode="External"/><Relationship Id="rId9" Type="http://schemas.openxmlformats.org/officeDocument/2006/relationships/hyperlink" Target="http://www.killedbypolice.net/victims/150897.jpg" TargetMode="External"/><Relationship Id="rId550" Type="http://schemas.openxmlformats.org/officeDocument/2006/relationships/hyperlink" Target="http://www.baltimoresun.com/news/maryland/crime/blog/bal-police-investigating-officerinvolved-shooting-in-east-baltimore-20140113,0,4169034.story" TargetMode="External"/><Relationship Id="rId551" Type="http://schemas.openxmlformats.org/officeDocument/2006/relationships/hyperlink" Target="http://newsok.com/police-release-name-of-man-killed-in-officer-involved-shooting/article/3920773" TargetMode="External"/><Relationship Id="rId552" Type="http://schemas.openxmlformats.org/officeDocument/2006/relationships/hyperlink" Target="http://www.nwfdailynews.com/local/suspect-killed-officers-shot-in-crestview-incident-1.257150" TargetMode="External"/><Relationship Id="rId553" Type="http://schemas.openxmlformats.org/officeDocument/2006/relationships/hyperlink" Target="http://www.wilsontimes.com/News/Feature/Story/28048226---Deputies--Man-fatally-shot-after-killing-2" TargetMode="External"/><Relationship Id="rId554" Type="http://schemas.openxmlformats.org/officeDocument/2006/relationships/hyperlink" Target="http://newsok.com/man-shot-by-oklahoma-highway-patrol-trooper-was-correction-center-escapee/article/3919183" TargetMode="External"/><Relationship Id="rId555" Type="http://schemas.openxmlformats.org/officeDocument/2006/relationships/hyperlink" Target="http://newsok.com/oklahoma-parents-say-son-needed-help-instead-custer-county-sheriffs-deputies-shot-him/article/3929841" TargetMode="External"/><Relationship Id="rId556" Type="http://schemas.openxmlformats.org/officeDocument/2006/relationships/hyperlink" Target="http://www.kens5.com/story/local/2014/09/26/10621720/" TargetMode="External"/><Relationship Id="rId557" Type="http://schemas.openxmlformats.org/officeDocument/2006/relationships/hyperlink" Target="http://blog.al.com/montgomery/2013/12/phenix_city_police_fatally_sho.html" TargetMode="External"/><Relationship Id="rId558" Type="http://schemas.openxmlformats.org/officeDocument/2006/relationships/hyperlink" Target="http://www.indystar.com/story/news/crime/2013/12/18/impd-officer-fatally-shoots-man-on-southeastside/4110911/" TargetMode="External"/><Relationship Id="rId559" Type="http://schemas.openxmlformats.org/officeDocument/2006/relationships/hyperlink" Target="http://web.tampabay.com/news/publicsafety/crime/new-port-richey-man-dies-after-being-stunned-in-confrontation-with-police/2158068" TargetMode="External"/><Relationship Id="rId1490" Type="http://schemas.openxmlformats.org/officeDocument/2006/relationships/hyperlink" Target="http://www.msnewsnow.com/story/31268746/law-enforcement-at-standoff-in-tishomingo-county" TargetMode="External"/><Relationship Id="rId1491" Type="http://schemas.openxmlformats.org/officeDocument/2006/relationships/hyperlink" Target="http://abc7.com/news/armed-suspect-dies-in-officer-involved-shooting-in-anaheim/1210131/" TargetMode="External"/><Relationship Id="rId1492" Type="http://schemas.openxmlformats.org/officeDocument/2006/relationships/hyperlink" Target="http://www.abqjournal.com/727690/news/state-police-confirm-name-of-man-killed-during-u-s-marshals-operation.html" TargetMode="External"/><Relationship Id="rId1493" Type="http://schemas.openxmlformats.org/officeDocument/2006/relationships/hyperlink" Target="http://www.azcentral.com/story/news/local/phoenix/breaking/2016/02/21/police-officer-involved-shooting-phoenix/80721910/" TargetMode="External"/><Relationship Id="rId1494" Type="http://schemas.openxmlformats.org/officeDocument/2006/relationships/hyperlink" Target="http://www.adn.com/article/20160222/trooper-shoots-kills-woman-during-standoff-mat-su" TargetMode="External"/><Relationship Id="rId1495" Type="http://schemas.openxmlformats.org/officeDocument/2006/relationships/hyperlink" Target="http://www.turnto23.com/news/breaking-news/reports-of-officer-involved-shooting-at-amtrak-station" TargetMode="External"/><Relationship Id="rId1496" Type="http://schemas.openxmlformats.org/officeDocument/2006/relationships/hyperlink" Target="http://www.daytondailynews.com/news/news/crime-law/police-on-scene-of-apparent-standoff-in-fairborn/nqWHt/" TargetMode="External"/><Relationship Id="rId1497" Type="http://schemas.openxmlformats.org/officeDocument/2006/relationships/hyperlink" Target="http://www.krgv.com/story/31284012/1-dead-in-officer-involved-shooting" TargetMode="External"/><Relationship Id="rId1498" Type="http://schemas.openxmlformats.org/officeDocument/2006/relationships/hyperlink" Target="http://www.denverpost.com/news/ci_29550970/denver-cop-shot-burglary-once-called-her-job" TargetMode="External"/><Relationship Id="rId1499" Type="http://schemas.openxmlformats.org/officeDocument/2006/relationships/hyperlink" Target="http://www.12news.com/news/local/valley/5-dead-including-suspect-in-shootings-house-fire/52208576" TargetMode="External"/><Relationship Id="rId2920" Type="http://schemas.openxmlformats.org/officeDocument/2006/relationships/hyperlink" Target="http://www.fatalencounters.org/wp-content/uploads/2013/10/Kadhar-Bailey.png" TargetMode="External"/><Relationship Id="rId2921" Type="http://schemas.openxmlformats.org/officeDocument/2006/relationships/hyperlink" Target="http://www.pressherald.com/2017/02/10/report-police-involved-shooting-leaves-1-dead-1-wounded-in-vassalboro/" TargetMode="External"/><Relationship Id="rId2922" Type="http://schemas.openxmlformats.org/officeDocument/2006/relationships/hyperlink" Target="http://www.fatalencounters.org/wp-content/uploads/2013/10/Ambroshia-Fagre.png" TargetMode="External"/><Relationship Id="rId2923" Type="http://schemas.openxmlformats.org/officeDocument/2006/relationships/hyperlink" Target="http://www.pressherald.com/2017/02/11/man-shot-dead-after-vassalboro-burglary/" TargetMode="External"/><Relationship Id="rId2924" Type="http://schemas.openxmlformats.org/officeDocument/2006/relationships/hyperlink" Target="http://www.greensboro.com/news/suspect-who-shot-greensboro-police-officer-during-traffic-stop-dies/article_243c5e7a-435b-5309-97d4-3d40da2860f4.html" TargetMode="External"/><Relationship Id="rId2925" Type="http://schemas.openxmlformats.org/officeDocument/2006/relationships/hyperlink" Target="http://www.fatalencounters.org/wp-content/uploads/2013/10/Darryl-L.-Fuqua.png" TargetMode="External"/><Relationship Id="rId2926" Type="http://schemas.openxmlformats.org/officeDocument/2006/relationships/hyperlink" Target="http://www.nj.com/cumberland/index.ssf/2017/02/man_dies_in_police-involved_shooting_authorities_s.html" TargetMode="External"/><Relationship Id="rId2927" Type="http://schemas.openxmlformats.org/officeDocument/2006/relationships/hyperlink" Target="http://www.news9.com/story/34477126/one-injured-after-officer-involved-shooting-in-bethany" TargetMode="External"/><Relationship Id="rId2928" Type="http://schemas.openxmlformats.org/officeDocument/2006/relationships/hyperlink" Target="http://www.fatalencounters.org/wp-content/uploads/2013/10/Jocques-Scott-Clemmons.png" TargetMode="External"/><Relationship Id="rId2929" Type="http://schemas.openxmlformats.org/officeDocument/2006/relationships/hyperlink" Target="http://wkrn.com/2017/02/10/person-shot-while-fleeing-police-in-east-nashville/" TargetMode="External"/><Relationship Id="rId3630" Type="http://schemas.openxmlformats.org/officeDocument/2006/relationships/hyperlink" Target="http://www.fatalencounters.org/wp-content/uploads/2013/10/Michael-Brown.jpg" TargetMode="External"/><Relationship Id="rId3631" Type="http://schemas.openxmlformats.org/officeDocument/2006/relationships/hyperlink" Target="http://bangordailynews.com/2017/06/16/news/aroostook/maine-man-shot-at-officers-during-chase-in-mass-and-n-h-police-say/" TargetMode="External"/><Relationship Id="rId3632" Type="http://schemas.openxmlformats.org/officeDocument/2006/relationships/hyperlink" Target="http://www.al.com/news/birmingham/index.ssf/2017/06/combative_suspect_dies_1_day_a.html" TargetMode="External"/><Relationship Id="rId3633" Type="http://schemas.openxmlformats.org/officeDocument/2006/relationships/hyperlink" Target="http://www.fatalencounters.org/wp-content/uploads/2013/10/HectorSoria.jpg" TargetMode="External"/><Relationship Id="rId3634" Type="http://schemas.openxmlformats.org/officeDocument/2006/relationships/hyperlink" Target="http://ktla.com/2017/06/16/1-killed-in-rialto-officer-involved-shooting-police/" TargetMode="External"/><Relationship Id="rId3635" Type="http://schemas.openxmlformats.org/officeDocument/2006/relationships/hyperlink" Target="http://www.fatalencounters.org/wp-content/uploads/2013/10/Nathan-Banks.png" TargetMode="External"/><Relationship Id="rId3636" Type="http://schemas.openxmlformats.org/officeDocument/2006/relationships/hyperlink" Target="http://kron4.com/2017/06/17/antioch-man-killed-in-officer-involved-shooting/" TargetMode="External"/><Relationship Id="rId3637" Type="http://schemas.openxmlformats.org/officeDocument/2006/relationships/hyperlink" Target="http://www.fatalencounters.org/wp-content/uploads/2013/10/Sergio-Valdovinos.png" TargetMode="External"/><Relationship Id="rId3638" Type="http://schemas.openxmlformats.org/officeDocument/2006/relationships/hyperlink" Target="http://abc30.com/news/authorities-investigating-deadly-officer-involved-shooting-in-madera/2110112/" TargetMode="External"/><Relationship Id="rId3639" Type="http://schemas.openxmlformats.org/officeDocument/2006/relationships/hyperlink" Target="http://www.fatalencounters.org/wp-content/uploads/2013/10/Jamie-Dougan.jpg" TargetMode="External"/><Relationship Id="rId560" Type="http://schemas.openxmlformats.org/officeDocument/2006/relationships/hyperlink" Target="http://www.local10.com/news/man-dead-after-shootout-with-swat/23386254" TargetMode="External"/><Relationship Id="rId561" Type="http://schemas.openxmlformats.org/officeDocument/2006/relationships/hyperlink" Target="http://www.today.com/news/unjustified-family-student-killed-campus-police-speaks-out-2D11723684" TargetMode="External"/><Relationship Id="rId562" Type="http://schemas.openxmlformats.org/officeDocument/2006/relationships/hyperlink" Target="http://whnt.com/2013/12/02/grand-jury-to-review-shooting-involving-corrections-officer/" TargetMode="External"/><Relationship Id="rId563" Type="http://schemas.openxmlformats.org/officeDocument/2006/relationships/hyperlink" Target="http://www.presstelegram.com/general-news/20131120/man-shot-killed-by-long-beach-police-identified-as-from-rialto" TargetMode="External"/><Relationship Id="rId564" Type="http://schemas.openxmlformats.org/officeDocument/2006/relationships/hyperlink" Target="http://www.startribune.com/local/west/232358621.html" TargetMode="External"/><Relationship Id="rId565" Type="http://schemas.openxmlformats.org/officeDocument/2006/relationships/hyperlink" Target="http://www.jsonline.com/news/crime/shots-fired-in-downtown-milwaukee-b99139596z1-231430101.html" TargetMode="External"/><Relationship Id="rId566" Type="http://schemas.openxmlformats.org/officeDocument/2006/relationships/hyperlink" Target="http://crimeblog.dallasnews.com/2013/10/duncanville-police-fatally-shoot-suspect-monday-morning.html/" TargetMode="External"/><Relationship Id="rId567" Type="http://schemas.openxmlformats.org/officeDocument/2006/relationships/hyperlink" Target="http://sfappeal.com/2013/10/sf-man-shot-to-death-by-san-mateo-police/" TargetMode="External"/><Relationship Id="rId568" Type="http://schemas.openxmlformats.org/officeDocument/2006/relationships/hyperlink" Target="http://www.koat.com/news/fatal-roswell-shootout-caught-on-camera/22577824" TargetMode="External"/><Relationship Id="rId569" Type="http://schemas.openxmlformats.org/officeDocument/2006/relationships/hyperlink" Target="http://www.myfoxmemphis.com/story/24329596/medical-examiner-rules-cause-of-death-aaron-dumas" TargetMode="External"/><Relationship Id="rId2930" Type="http://schemas.openxmlformats.org/officeDocument/2006/relationships/hyperlink" Target="http://www.columbian.com/news/2017/feb/10/officer-involved-shooting-clark-vancouver-sheriff-mall/" TargetMode="External"/><Relationship Id="rId2931" Type="http://schemas.openxmlformats.org/officeDocument/2006/relationships/hyperlink" Target="http://www.fatalencounters.org/wp-content/uploads/2013/10/Pekelo-Sanchez.png" TargetMode="External"/><Relationship Id="rId2932" Type="http://schemas.openxmlformats.org/officeDocument/2006/relationships/hyperlink" Target="http://www.hawaiinewsnow.com/story/34482112/police-investigating-officer-involved-shooting-across-pearlridge" TargetMode="External"/><Relationship Id="rId2933" Type="http://schemas.openxmlformats.org/officeDocument/2006/relationships/hyperlink" Target="http://www.fatalencounters.org/wp-content/uploads/2013/10/William-Young-Jr.png" TargetMode="External"/><Relationship Id="rId2934" Type="http://schemas.openxmlformats.org/officeDocument/2006/relationships/hyperlink" Target="http://www.wlky.com/article/lmpd-investigating-shooting-near-churchill-downs/8733626" TargetMode="External"/><Relationship Id="rId2935" Type="http://schemas.openxmlformats.org/officeDocument/2006/relationships/hyperlink" Target="http://www.kshb.com/news/local-news/man-killed-in-officer-involved-shooting-after-firing-rifle-off-porch" TargetMode="External"/><Relationship Id="rId2936" Type="http://schemas.openxmlformats.org/officeDocument/2006/relationships/hyperlink" Target="http://www.fatalencounters.org/wp-content/uploads/2013/10/Jason-Robert-Mendez.jpg" TargetMode="External"/><Relationship Id="rId2937" Type="http://schemas.openxmlformats.org/officeDocument/2006/relationships/hyperlink" Target="http://wspa.com/2017/02/11/suspect-dead-after-officer-involved-shooting-in-greenville-co/" TargetMode="External"/><Relationship Id="rId2938" Type="http://schemas.openxmlformats.org/officeDocument/2006/relationships/hyperlink" Target="http://www.fatalencounters.org/wp-content/uploads/2013/10/Bryan-Carreno.png" TargetMode="External"/><Relationship Id="rId2939" Type="http://schemas.openxmlformats.org/officeDocument/2006/relationships/hyperlink" Target="http://www.keyt.com/news/man-killed-by-sheriffs-deputies-in-santa-barbara-identified/331171899" TargetMode="External"/><Relationship Id="rId3640" Type="http://schemas.openxmlformats.org/officeDocument/2006/relationships/hyperlink" Target="http://www.msnewsnow.com/story/35682977/one-dead-deputy-wounded-in-officer-involved-shooting-in-yalobusha-co" TargetMode="External"/><Relationship Id="rId3641" Type="http://schemas.openxmlformats.org/officeDocument/2006/relationships/hyperlink" Target="http://www.fatalencounters.org/wp-content/uploads/2013/10/robert-berube-3233c.jpg" TargetMode="External"/><Relationship Id="rId3642" Type="http://schemas.openxmlformats.org/officeDocument/2006/relationships/hyperlink" Target="http://www.msnewsnow.com/story/35682977/one-dead-deputy-wounded-in-officer-involved-shooting-in-yalobusha-co" TargetMode="External"/><Relationship Id="rId3643" Type="http://schemas.openxmlformats.org/officeDocument/2006/relationships/hyperlink" Target="http://www.latimes.com/local/lanow/la-me-montebello-police-shooting-20170617-story.html" TargetMode="External"/><Relationship Id="rId3644" Type="http://schemas.openxmlformats.org/officeDocument/2006/relationships/hyperlink" Target="http://rapidcityjournal.com/news/local/crime-and-courts/suspect-shot-killed-by-rapid-city-police-after-firing-at/article_07548c08-c39d-5aeb-be9c-ccc37de599d7.html" TargetMode="External"/><Relationship Id="rId3645" Type="http://schemas.openxmlformats.org/officeDocument/2006/relationships/hyperlink" Target="http://www.fatalencounters.org/wp-content/uploads/2013/10/ChristopherReyes.jpg" TargetMode="External"/><Relationship Id="rId3646" Type="http://schemas.openxmlformats.org/officeDocument/2006/relationships/hyperlink" Target="http://www.krgv.com/story/35691883/man-dies-in-edinburg-police-custody" TargetMode="External"/><Relationship Id="rId3647" Type="http://schemas.openxmlformats.org/officeDocument/2006/relationships/hyperlink" Target="http://www.wisn.com/article/waukesha-police-shoot-kill-armed-man/10041037" TargetMode="External"/><Relationship Id="rId3648" Type="http://schemas.openxmlformats.org/officeDocument/2006/relationships/hyperlink" Target="https://www.adn.com/alaska-news/crime-courts/2017/06/19/armed-man-who-confronted-fairbanks-officers-shot-dead-police-say/" TargetMode="External"/><Relationship Id="rId3649" Type="http://schemas.openxmlformats.org/officeDocument/2006/relationships/hyperlink" Target="http://www.nbcdfw.com/news/local/Dallas-Police-Investigating-Officer-Involved-Shooting-429520973.html" TargetMode="External"/><Relationship Id="rId570" Type="http://schemas.openxmlformats.org/officeDocument/2006/relationships/hyperlink" Target="http://bangordailynews.com/2013/10/10/news/bangor/police-identify-2-dead-in-old-town-stabbing-standoff/" TargetMode="External"/><Relationship Id="rId571" Type="http://schemas.openxmlformats.org/officeDocument/2006/relationships/hyperlink" Target="http://www.chicagotribune.com/news/local/breaking/chi-at-least-1-wounded-in-policeinvolved-shooting-in-posen-20131004,0,7140004.story" TargetMode="External"/><Relationship Id="rId572" Type="http://schemas.openxmlformats.org/officeDocument/2006/relationships/hyperlink" Target="http://pgpolice.blogspot.com/2013/10/pgpd-investigates-police-involved.html" TargetMode="External"/><Relationship Id="rId573" Type="http://schemas.openxmlformats.org/officeDocument/2006/relationships/hyperlink" Target="http://abc13.com/archive/9270067/" TargetMode="External"/><Relationship Id="rId574" Type="http://schemas.openxmlformats.org/officeDocument/2006/relationships/hyperlink" Target="http://www.presstelegram.com/general-news/20130926/long-beach-police-kill-man-in-departments-third-ois-in-past-week" TargetMode="External"/><Relationship Id="rId575" Type="http://schemas.openxmlformats.org/officeDocument/2006/relationships/hyperlink" Target="http://www.dps.state.ia.us/commis/pib/Releases/2013/12-14-2013_Northwood_Results.htm" TargetMode="External"/><Relationship Id="rId576" Type="http://schemas.openxmlformats.org/officeDocument/2006/relationships/hyperlink" Target="http://www.denverpost.com/breakingnews/ci_24147149/police-fatally-shoot-denver-bank-robbery-suspect" TargetMode="External"/><Relationship Id="rId577" Type="http://schemas.openxmlformats.org/officeDocument/2006/relationships/hyperlink" Target="http://www.culvercityobserver.com/story/2013/10/10/news/man-shot-at-ccpd-hq-identified/3089.html" TargetMode="External"/><Relationship Id="rId578" Type="http://schemas.openxmlformats.org/officeDocument/2006/relationships/hyperlink" Target="http://homicide.latimes.com/post/ruben-ramos-escobedo/" TargetMode="External"/><Relationship Id="rId579" Type="http://schemas.openxmlformats.org/officeDocument/2006/relationships/hyperlink" Target="http://articles.orlandosentinel.com/2013-09-18/news/os-winter-garden-officer-involved-shooting-20130918_1_winter-garden-man-unarmed-man-roommate" TargetMode="External"/><Relationship Id="rId2940" Type="http://schemas.openxmlformats.org/officeDocument/2006/relationships/hyperlink" Target="http://www.fatalencounters.org/wp-content/uploads/2013/10/Willard-Eugene-Scott-Jr..png" TargetMode="External"/><Relationship Id="rId2941" Type="http://schemas.openxmlformats.org/officeDocument/2006/relationships/hyperlink" Target="http://www.wral.com/trooper-involved-in-fatal-shooting-in-durham/16524074/" TargetMode="External"/><Relationship Id="rId2942" Type="http://schemas.openxmlformats.org/officeDocument/2006/relationships/hyperlink" Target="http://inforney.com/crime/item/5268-police-shoot-kill-alleged-burglary-suspect-another-at-large" TargetMode="External"/><Relationship Id="rId2943" Type="http://schemas.openxmlformats.org/officeDocument/2006/relationships/hyperlink" Target="http://www.reviewjournal.com/crime/shootings/man-dies-after-exchanging-gunfire-deputies-northwest-arizona" TargetMode="External"/><Relationship Id="rId2944" Type="http://schemas.openxmlformats.org/officeDocument/2006/relationships/hyperlink" Target="http://www.fatalencounters.org/wp-content/uploads/2013/10/RaynardBurton.jpg" TargetMode="External"/><Relationship Id="rId2945" Type="http://schemas.openxmlformats.org/officeDocument/2006/relationships/hyperlink" Target="http://www.detroitnews.com/story/news/local/detroit-city/2017/02/14/coalition-demands-answers-fatal-police-shooting/97900586/" TargetMode="External"/><Relationship Id="rId2946" Type="http://schemas.openxmlformats.org/officeDocument/2006/relationships/hyperlink" Target="http://www.fatalencounters.org/wp-content/uploads/2013/10/BrandonLambert.jpg" TargetMode="External"/><Relationship Id="rId2947" Type="http://schemas.openxmlformats.org/officeDocument/2006/relationships/hyperlink" Target="http://www.wbir.com/news/local/knox-co-officials-responding-to-shooting-at-turkey-creek/408098412" TargetMode="External"/><Relationship Id="rId2948" Type="http://schemas.openxmlformats.org/officeDocument/2006/relationships/hyperlink" Target="http://cbs4indy.com/2017/02/16/autopsy-confirms-bullet-that-killed-shelbyville-man-came-from-officer/" TargetMode="External"/><Relationship Id="rId2949" Type="http://schemas.openxmlformats.org/officeDocument/2006/relationships/hyperlink" Target="http://www.tristatehomepage.com/news/local-news/suspect-hurt-in-shootout-with-isp-in-vincennes/656138153" TargetMode="External"/><Relationship Id="rId3100" Type="http://schemas.openxmlformats.org/officeDocument/2006/relationships/hyperlink" Target="http://www.11alive.com/news/crime/two-officer-involved-shootings-early-saturday-morning-in-south-fulton-county/423583254" TargetMode="External"/><Relationship Id="rId3101" Type="http://schemas.openxmlformats.org/officeDocument/2006/relationships/hyperlink" Target="http://www.fatalencounters.org/wp-content/uploads/2013/10/Benjamin-C.-Barnes.jpg" TargetMode="External"/><Relationship Id="rId3102" Type="http://schemas.openxmlformats.org/officeDocument/2006/relationships/hyperlink" Target="http://www.kivitv.com/news/boise-foothills-officer-involved-shooting" TargetMode="External"/><Relationship Id="rId3103" Type="http://schemas.openxmlformats.org/officeDocument/2006/relationships/hyperlink" Target="http://www.kwch.com/content/news/Wichita-Police-canine-injured-in-shooting-416528903.html" TargetMode="External"/><Relationship Id="rId3104" Type="http://schemas.openxmlformats.org/officeDocument/2006/relationships/hyperlink" Target="http://www.fatalencounters.org/wp-content/uploads/2013/10/Madison-Sueann-Dickson.png" TargetMode="External"/><Relationship Id="rId3105" Type="http://schemas.openxmlformats.org/officeDocument/2006/relationships/hyperlink" Target="http://www.tulsaworld.com/homepagelatest/most-wanted-suspect-dies-after-police-car-runs-her-over/article_99c70fd2-c58c-5379-bd96-e8f20cd7a8c1.html" TargetMode="External"/><Relationship Id="rId3106" Type="http://schemas.openxmlformats.org/officeDocument/2006/relationships/hyperlink" Target="http://www.fatalencounters.org/wp-content/uploads/2013/10/Brandon-Wiley.jpg" TargetMode="External"/><Relationship Id="rId3107" Type="http://schemas.openxmlformats.org/officeDocument/2006/relationships/hyperlink" Target="http://klfy.com/2017/03/21/man-accused-of-shooting-killing-ebrso-deputy-dies-in-hospital/" TargetMode="External"/><Relationship Id="rId3108" Type="http://schemas.openxmlformats.org/officeDocument/2006/relationships/hyperlink" Target="http://www.krcrtv.com/news/local/shasta/neighbor-recounts-deadly-shooting-involving-an-off-duty-officer/404217203" TargetMode="External"/><Relationship Id="rId3109" Type="http://schemas.openxmlformats.org/officeDocument/2006/relationships/hyperlink" Target="http://www.kesq.com/news/officer-involved-shooting-in-desert-hot-springs/404165473" TargetMode="External"/><Relationship Id="rId2400" Type="http://schemas.openxmlformats.org/officeDocument/2006/relationships/hyperlink" Target="http://www.fatalencounters.org/wp-content/uploads/2013/10/Shawn-Pappe.jpg" TargetMode="External"/><Relationship Id="rId2401" Type="http://schemas.openxmlformats.org/officeDocument/2006/relationships/hyperlink" Target="http://www.oregonlive.com/pacific-northwest-news/index.ssf/2016/10/post_244.html" TargetMode="External"/><Relationship Id="rId2402" Type="http://schemas.openxmlformats.org/officeDocument/2006/relationships/hyperlink" Target="http://www.fatalencounters.org/wp-content/uploads/2013/10/Chaz-York.jpg" TargetMode="External"/><Relationship Id="rId2403" Type="http://schemas.openxmlformats.org/officeDocument/2006/relationships/hyperlink" Target="http://www.12newsnow.com/news/local/one-person-shot-dead-following-disturbance-in-parking-lot-outside-of-madisons-bar-and-grill/335953492" TargetMode="External"/><Relationship Id="rId2404" Type="http://schemas.openxmlformats.org/officeDocument/2006/relationships/hyperlink" Target="http://www.nbcdfw.com/news/local/Multiple-People-Injured-in-Oak-Cliff-Shooting-DFR-397157751.html" TargetMode="External"/><Relationship Id="rId2405" Type="http://schemas.openxmlformats.org/officeDocument/2006/relationships/hyperlink" Target="http://www.latimes.com/local/lanow/la-me-ln-san-francisco-police-shooting-suspect-dies-20161017-snap-story.html" TargetMode="External"/><Relationship Id="rId2406" Type="http://schemas.openxmlformats.org/officeDocument/2006/relationships/hyperlink" Target="http://www.fatalencounters.org/wp-content/uploads/2013/10/Dennis-Hunt.jpg" TargetMode="External"/><Relationship Id="rId2407" Type="http://schemas.openxmlformats.org/officeDocument/2006/relationships/hyperlink" Target="http://wrbl.com/2016/10/15/woman-shot-and-killed-at-home-in-lee-county-multiple-law-enforcement-agencies-investigating-murder/" TargetMode="External"/><Relationship Id="rId2408" Type="http://schemas.openxmlformats.org/officeDocument/2006/relationships/hyperlink" Target="http://www.fatalencounters.org/wp-content/uploads/2013/10/Talancon-1.jpg" TargetMode="External"/><Relationship Id="rId2409" Type="http://schemas.openxmlformats.org/officeDocument/2006/relationships/hyperlink" Target="http://www.kolotv.com/content/news/Man-dies-after-struggle-with-Sparks-police-397238031.html" TargetMode="External"/><Relationship Id="rId3650" Type="http://schemas.openxmlformats.org/officeDocument/2006/relationships/hyperlink" Target="http://abc7.com/news/car-theft-suspect-shot-dead-by-police-after-chase-in-south-gate/2122782/" TargetMode="External"/><Relationship Id="rId3651" Type="http://schemas.openxmlformats.org/officeDocument/2006/relationships/hyperlink" Target="http://www.kwch.com/content/news/Officer-involved-in-shooting-in-Marion-County-429785383.html" TargetMode="External"/><Relationship Id="rId3652" Type="http://schemas.openxmlformats.org/officeDocument/2006/relationships/hyperlink" Target="https://lasvegassun.com/news/2017/jun/20/metro-police-shots-kills-suspect-on-domestic-viole/" TargetMode="External"/><Relationship Id="rId3653" Type="http://schemas.openxmlformats.org/officeDocument/2006/relationships/hyperlink" Target="http://www.wlwt.com/article/officer-involved-shooting-reported-in-butler-county/10199029" TargetMode="External"/><Relationship Id="rId3654" Type="http://schemas.openxmlformats.org/officeDocument/2006/relationships/hyperlink" Target="http://www.tennessean.com/story/news/local/williamson/2017/06/20/peytonsville-road-bridge-closed-over-interstate-65-police-activity/412513001/" TargetMode="External"/><Relationship Id="rId3655" Type="http://schemas.openxmlformats.org/officeDocument/2006/relationships/hyperlink" Target="http://www.nevadadailymail.com/story/2422652.html" TargetMode="External"/><Relationship Id="rId3656" Type="http://schemas.openxmlformats.org/officeDocument/2006/relationships/hyperlink" Target="http://www.tulsaworld.com/homepagelatest/state-investigators-probe-officer-involved-shooting-in-mccurtain-county/article_c64618ce-3e67-5ea4-9f7d-d878459b1e2a.html" TargetMode="External"/><Relationship Id="rId3657" Type="http://schemas.openxmlformats.org/officeDocument/2006/relationships/hyperlink" Target="http://www.fatalencounters.org/wp-content/uploads/2013/10/ArmandoGarcia.png" TargetMode="External"/><Relationship Id="rId3658" Type="http://schemas.openxmlformats.org/officeDocument/2006/relationships/hyperlink" Target="http://www.latimes.com/local/lanow/la-me-ln-palmdale-deputy-shooting-20170622-story.html" TargetMode="External"/><Relationship Id="rId3659" Type="http://schemas.openxmlformats.org/officeDocument/2006/relationships/hyperlink" Target="http://www.fatalencounters.org/wp-content/uploads/2013/10/Santino-Trevino.jpg" TargetMode="External"/><Relationship Id="rId1700" Type="http://schemas.openxmlformats.org/officeDocument/2006/relationships/hyperlink" Target="http://www.koat.com/news/man-armed-with-shotgun-fatally-shot-by-roswell-police-officer/38718482" TargetMode="External"/><Relationship Id="rId1701" Type="http://schemas.openxmlformats.org/officeDocument/2006/relationships/hyperlink" Target="https://www.bostonglobe.com/metro/2016/03/24/man-fatally-shot-braintree-police/nQ6E1tIPMCHIzHKlx4n6aM/story.html" TargetMode="External"/><Relationship Id="rId1702" Type="http://schemas.openxmlformats.org/officeDocument/2006/relationships/hyperlink" Target="http://www.kktv.com/home/headlines/1-Injured-In-Officer-Involved-Shooting-373341071.html" TargetMode="External"/><Relationship Id="rId580" Type="http://schemas.openxmlformats.org/officeDocument/2006/relationships/hyperlink" Target="http://triblive.com/news/allegheny/4669466-74/officer-police-victim" TargetMode="External"/><Relationship Id="rId581" Type="http://schemas.openxmlformats.org/officeDocument/2006/relationships/hyperlink" Target="http://www.wtva.com/news/national/story/Grand-jury-no-indictments-in-officer-involved/EE5Am7KlmUmIECC8X0k4Wg.cspx" TargetMode="External"/><Relationship Id="rId582" Type="http://schemas.openxmlformats.org/officeDocument/2006/relationships/hyperlink" Target="http://www.washingtonpost.com/blogs/local/wp/2014/07/08/ten-months-of-silence-in-the-fairfax-police-shooting-death-of-john-geer/" TargetMode="External"/><Relationship Id="rId583" Type="http://schemas.openxmlformats.org/officeDocument/2006/relationships/hyperlink" Target="http://homicide.latimes.com/post/dennis-hakeen-vasquez/" TargetMode="External"/><Relationship Id="rId584" Type="http://schemas.openxmlformats.org/officeDocument/2006/relationships/hyperlink" Target="http://www.pe.com/articles/palmer-674426-deputies-phillips.html" TargetMode="External"/><Relationship Id="rId585" Type="http://schemas.openxmlformats.org/officeDocument/2006/relationships/hyperlink" Target="http://www.khq.com/story/23228789/officer-involved-shooting-in-n-spokane" TargetMode="External"/><Relationship Id="rId586" Type="http://schemas.openxmlformats.org/officeDocument/2006/relationships/hyperlink" Target="http://blog.gulflive.com/mississippi-press-news/2013/10/gloster_police_offer_reinstate.html" TargetMode="External"/><Relationship Id="rId587" Type="http://schemas.openxmlformats.org/officeDocument/2006/relationships/hyperlink" Target="http://www.huffingtonpost.com/2013/08/08/james-lee-dimaggio_n_3724734.html" TargetMode="External"/><Relationship Id="rId588" Type="http://schemas.openxmlformats.org/officeDocument/2006/relationships/hyperlink" Target="http://hamptonroads.com/2013/08/man-killed-deputyinvolved-isle-wight-shooting" TargetMode="External"/><Relationship Id="rId589" Type="http://schemas.openxmlformats.org/officeDocument/2006/relationships/hyperlink" Target="http://www.theindychannel.com/news/local-news/impd-suspect-dies-while-being-arrested" TargetMode="External"/><Relationship Id="rId1703" Type="http://schemas.openxmlformats.org/officeDocument/2006/relationships/hyperlink" Target="http://www.nbclosangeles.com/news/local/Gunman-Holds-Ex-Girlfriend-Hostage-Redlands-Shooting-373430791.html?_osource=SocialFlowFB_LABrand" TargetMode="External"/><Relationship Id="rId1704" Type="http://schemas.openxmlformats.org/officeDocument/2006/relationships/hyperlink" Target="http://www.abqjournal.com/745380/news/1-person-dead-1-officer-injured-after-shooting-near-route-66-casino.html" TargetMode="External"/><Relationship Id="rId1705" Type="http://schemas.openxmlformats.org/officeDocument/2006/relationships/hyperlink" Target="http://www.thedenverchannel.com/news/front-range/thornton/man-who-shot-thornton-officer-killed-by-police" TargetMode="External"/><Relationship Id="rId1706" Type="http://schemas.openxmlformats.org/officeDocument/2006/relationships/hyperlink" Target="http://www.fresnobee.com/news/local/crime/article68036527.html" TargetMode="External"/><Relationship Id="rId1707" Type="http://schemas.openxmlformats.org/officeDocument/2006/relationships/hyperlink" Target="http://wjla.com/news/crime/police-officer-involved-shooting-reported-in-fredericksburg" TargetMode="External"/><Relationship Id="rId1708" Type="http://schemas.openxmlformats.org/officeDocument/2006/relationships/hyperlink" Target="http://www.miamiherald.com/news/local/crime/article67721542.html" TargetMode="External"/><Relationship Id="rId1709" Type="http://schemas.openxmlformats.org/officeDocument/2006/relationships/hyperlink" Target="http://www.wtae.com/news/sources-state-police-shoot-kill-man-in-south-greensburg/38627246" TargetMode="External"/><Relationship Id="rId2950" Type="http://schemas.openxmlformats.org/officeDocument/2006/relationships/hyperlink" Target="http://nbc4i.com/2017/02/15/one-person-in-critical-condition-after-officer-involved-shooting-on-s-powell-avenue/" TargetMode="External"/><Relationship Id="rId2951" Type="http://schemas.openxmlformats.org/officeDocument/2006/relationships/hyperlink" Target="http://www.fatalencounters.org/wp-content/uploads/2013/10/Andrew-Ryan-McLendon.png" TargetMode="External"/><Relationship Id="rId2952" Type="http://schemas.openxmlformats.org/officeDocument/2006/relationships/hyperlink" Target="http://www.wpsdlocal6.com/story/34518287/deadly-shooting-in-cape-under-investigation" TargetMode="External"/><Relationship Id="rId2953" Type="http://schemas.openxmlformats.org/officeDocument/2006/relationships/hyperlink" Target="http://www.fatalencounters.org/wp-content/uploads/2013/10/Kenneth-Lee-Bailey-Jr.png" TargetMode="External"/><Relationship Id="rId2954" Type="http://schemas.openxmlformats.org/officeDocument/2006/relationships/hyperlink" Target="http://www.wral.com/man-killed-in-officer-involved-shooting-in-durham/16531383/" TargetMode="External"/><Relationship Id="rId2955" Type="http://schemas.openxmlformats.org/officeDocument/2006/relationships/hyperlink" Target="http://www.dailybreeze.com/general-news/20170217/man-fatally-wounded-during-confrontation-with-gardena-police-officer" TargetMode="External"/><Relationship Id="rId2956" Type="http://schemas.openxmlformats.org/officeDocument/2006/relationships/hyperlink" Target="http://www.fatalencounters.org/wp-content/uploads/2013/10/Kadeem-Torres.jpg" TargetMode="External"/><Relationship Id="rId2957" Type="http://schemas.openxmlformats.org/officeDocument/2006/relationships/hyperlink" Target="http://abc7ny.com/news/suspect-dead-officer-hurt-in-police-involved-shooting-in-brooklyn/1758358/" TargetMode="External"/><Relationship Id="rId2958" Type="http://schemas.openxmlformats.org/officeDocument/2006/relationships/hyperlink" Target="http://www.mysanantonio.com/news/local/article/SAPD-responding-to-officer-involved-shooting-on-10937555.php" TargetMode="External"/><Relationship Id="rId2959" Type="http://schemas.openxmlformats.org/officeDocument/2006/relationships/hyperlink" Target="http://www.fatalencounters.org/wp-content/uploads/2013/10/Jean-R.-Valescot.png" TargetMode="External"/><Relationship Id="rId3110" Type="http://schemas.openxmlformats.org/officeDocument/2006/relationships/hyperlink" Target="http://www.fatalencounters.org/wp-content/uploads/2013/10/Alteria-Woods.jpg" TargetMode="External"/><Relationship Id="rId3111" Type="http://schemas.openxmlformats.org/officeDocument/2006/relationships/hyperlink" Target="http://www.wptv.com/news/region-indian-river-county/person-killed-deputy-injured-in-gifford-as-swat-team-attempts-to-serve-warrant" TargetMode="External"/><Relationship Id="rId3112" Type="http://schemas.openxmlformats.org/officeDocument/2006/relationships/hyperlink" Target="http://www.fatalencounters.org/wp-content/uploads/2013/10/Trevor-Allen-Brice-Gingras.jpg" TargetMode="External"/><Relationship Id="rId3113" Type="http://schemas.openxmlformats.org/officeDocument/2006/relationships/hyperlink" Target="http://www.floridatoday.com/story/news/2017/03/19/deputy-involved-shooting-reported-cape-canaveral/99396440/" TargetMode="External"/><Relationship Id="rId3114" Type="http://schemas.openxmlformats.org/officeDocument/2006/relationships/hyperlink" Target="http://www.fatalencounters.org/wp-content/uploads/2013/10/MarioBSimoes-1.jpg" TargetMode="External"/><Relationship Id="rId3115" Type="http://schemas.openxmlformats.org/officeDocument/2006/relationships/hyperlink" Target="http://www.news-journalonline.com/news/20170319/police-1-man-killed-in-deland-in-officer-involved-shooting" TargetMode="External"/><Relationship Id="rId3116" Type="http://schemas.openxmlformats.org/officeDocument/2006/relationships/hyperlink" Target="http://www.fatalencounters.org/wp-content/uploads/2013/10/Clifton-Knickmeyer.jpg" TargetMode="External"/><Relationship Id="rId3117" Type="http://schemas.openxmlformats.org/officeDocument/2006/relationships/hyperlink" Target="http://www.ksdk.com/news/local/officer-involved-shooting-leaves-1-man-dead/423730926" TargetMode="External"/><Relationship Id="rId3118" Type="http://schemas.openxmlformats.org/officeDocument/2006/relationships/hyperlink" Target="http://abc7.com/news/shots-fired-at-lasd-sheriffs-station-in-temple-city/1809172/" TargetMode="External"/><Relationship Id="rId3119" Type="http://schemas.openxmlformats.org/officeDocument/2006/relationships/hyperlink" Target="http://www.crookstontimes.com/news/20170321/rural-tabor-man-dies-after-shooting-at-mail-carrier-exchanging-fire-with-deputy" TargetMode="External"/><Relationship Id="rId2410" Type="http://schemas.openxmlformats.org/officeDocument/2006/relationships/hyperlink" Target="http://kxan.com/2016/10/16/officer-involved-shooting-at-apartment-complex/" TargetMode="External"/><Relationship Id="rId2411" Type="http://schemas.openxmlformats.org/officeDocument/2006/relationships/hyperlink" Target="http://www.abcactionnews.com/news/region-pasco/man-killed-by-pasco-deputies-wanted-suicide-by-cop-charged-at-deputies-with-knife" TargetMode="External"/><Relationship Id="rId2412" Type="http://schemas.openxmlformats.org/officeDocument/2006/relationships/hyperlink" Target="http://www.mercurynews.com/2016/10/17/rake-wielding-man-shot-and-killed-by-santa-cruz-cop/" TargetMode="External"/><Relationship Id="rId2413" Type="http://schemas.openxmlformats.org/officeDocument/2006/relationships/hyperlink" Target="http://www.fatalencounters.org/wp-content/uploads/2013/10/Keagan-Schweikle.jpg" TargetMode="External"/><Relationship Id="rId2414" Type="http://schemas.openxmlformats.org/officeDocument/2006/relationships/hyperlink" Target="http://katv.com/news/local/officer-involved-shooting-results-in-death-of-17-year-old-in-benton" TargetMode="External"/><Relationship Id="rId2415" Type="http://schemas.openxmlformats.org/officeDocument/2006/relationships/hyperlink" Target="http://www.miamiherald.com/news/local/community/miami-dade/article108752377.html" TargetMode="External"/><Relationship Id="rId2416" Type="http://schemas.openxmlformats.org/officeDocument/2006/relationships/hyperlink" Target="http://www.fatalencounters.org/wp-content/uploads/2013/10/Charles-Stidham.jpg" TargetMode="External"/><Relationship Id="rId2417" Type="http://schemas.openxmlformats.org/officeDocument/2006/relationships/hyperlink" Target="http://www.wtvq.com/2016/10/19/paris-police-officer-shot-vest-suspect-barricaded-home/" TargetMode="External"/><Relationship Id="rId2418" Type="http://schemas.openxmlformats.org/officeDocument/2006/relationships/hyperlink" Target="http://www.fatalencounters.org/wp-content/uploads/2013/10/Salvador-Reyes-Sanchez.jpg" TargetMode="External"/><Relationship Id="rId2419" Type="http://schemas.openxmlformats.org/officeDocument/2006/relationships/hyperlink" Target="http://www.tulsaworld.com/news/crimewatch/tulsa-police-sniper-reportedly-shoots-kills-armed-man-holding-/article_23ce9eda-4e86-5543-bc9d-7a335020a8b2.html" TargetMode="External"/><Relationship Id="rId3660" Type="http://schemas.openxmlformats.org/officeDocument/2006/relationships/hyperlink" Target="http://losangeles.cbslocal.com/2017/06/24/hollywood-man-fatally-wounded-in-officer-involved-shooting-identified/" TargetMode="External"/><Relationship Id="rId3661" Type="http://schemas.openxmlformats.org/officeDocument/2006/relationships/hyperlink" Target="http://www.azcentral.com/story/news/local/phoenix/2017/06/24/phoenix-police-involved-shooting/425907001/" TargetMode="External"/><Relationship Id="rId3662" Type="http://schemas.openxmlformats.org/officeDocument/2006/relationships/hyperlink" Target="http://www.al.com/news/index.ssf/2017/06/sbi_investigating_fatal_office.html" TargetMode="External"/><Relationship Id="rId3663" Type="http://schemas.openxmlformats.org/officeDocument/2006/relationships/hyperlink" Target="http://www.tulsaworld.com/homepagelatest/tulsa-police-officer-fires-weapon-during-altercation-in-east-tulsa/article_b72aa9d0-7273-55d6-8bfb-0eca35d7cc05.html" TargetMode="External"/><Relationship Id="rId3664" Type="http://schemas.openxmlformats.org/officeDocument/2006/relationships/hyperlink" Target="http://kval.com/news/local/police-presence-in-florence" TargetMode="External"/><Relationship Id="rId3665" Type="http://schemas.openxmlformats.org/officeDocument/2006/relationships/hyperlink" Target="https://www.auburn-reporter.com/news/auburn-man-shot-killed-after-vehicle-pursuit/" TargetMode="External"/><Relationship Id="rId3666" Type="http://schemas.openxmlformats.org/officeDocument/2006/relationships/hyperlink" Target="http://www.fatalencounters.org/wp-content/uploads/2013/10/NicholasJohnston.jpg" TargetMode="External"/><Relationship Id="rId3667" Type="http://schemas.openxmlformats.org/officeDocument/2006/relationships/hyperlink" Target="http://www.abc15.com/news/region-phoenix-metro/north-phoenix/police-working-officer-involved-shooting-in-north-phoenix-residences-being-evacuated" TargetMode="External"/><Relationship Id="rId3668" Type="http://schemas.openxmlformats.org/officeDocument/2006/relationships/hyperlink" Target="http://www.nwitimes.com/news/local/crime-and-courts/man-killed-in-collision-with-kouts-police-officer/article_709119f0-de68-5997-84b0-9c366e13da96.html" TargetMode="External"/><Relationship Id="rId3669" Type="http://schemas.openxmlformats.org/officeDocument/2006/relationships/hyperlink" Target="http://krqe.com/2017/06/26/state-police-investigate-fatal-officer-involved-shooting-near-pecos/" TargetMode="External"/><Relationship Id="rId1710" Type="http://schemas.openxmlformats.org/officeDocument/2006/relationships/hyperlink" Target="http://www.stamfordadvocate.com/policereports/article/Officers-in-fatal-shooting-in-Stamford-identified-6998011.php" TargetMode="External"/><Relationship Id="rId1711" Type="http://schemas.openxmlformats.org/officeDocument/2006/relationships/hyperlink" Target="http://www.burlingtonfreepress.com/story/news/2016/03/22/officer-involved-shooting-update/82126210/" TargetMode="External"/><Relationship Id="rId1712" Type="http://schemas.openxmlformats.org/officeDocument/2006/relationships/hyperlink" Target="http://www.21alive.com/news/local/Shooting-on-East-Rudisill-leaves-one-dead-one-injured-372889371.html" TargetMode="External"/><Relationship Id="rId590" Type="http://schemas.openxmlformats.org/officeDocument/2006/relationships/hyperlink" Target="http://www.huffingtonpost.com/2013/08/05/shaaliver-douse-shooting_n_3705623.html" TargetMode="External"/><Relationship Id="rId591" Type="http://schemas.openxmlformats.org/officeDocument/2006/relationships/hyperlink" Target="http://kfor.com/2013/08/02/warr-acres-police-involved-in-chase-shooting-reported/" TargetMode="External"/><Relationship Id="rId592" Type="http://schemas.openxmlformats.org/officeDocument/2006/relationships/hyperlink" Target="http://www.nola.com/crime/index.ssf/2014/04/report_doj_drops_probe_of_fbi-.html" TargetMode="External"/><Relationship Id="rId593" Type="http://schemas.openxmlformats.org/officeDocument/2006/relationships/hyperlink" Target="http://pjmedia.com/tatler/2013/07/30/the-strange-killing-of-larry-eugene-jackson-jr-by-an-austin-police-detective/" TargetMode="External"/><Relationship Id="rId594" Type="http://schemas.openxmlformats.org/officeDocument/2006/relationships/hyperlink" Target="http://www.wral.com/suspect-killed-in-officer-involved-shooting-identified/12688890/" TargetMode="External"/><Relationship Id="rId595" Type="http://schemas.openxmlformats.org/officeDocument/2006/relationships/hyperlink" Target="http://crimeblog.dallasnews.com/2013/07/police-shoot-burglary-suspect-in-confrontation-in-southeast-dallas.html/" TargetMode="External"/><Relationship Id="rId596" Type="http://schemas.openxmlformats.org/officeDocument/2006/relationships/hyperlink" Target="http://explorevenango.com/vigil-rally-held-for-oil-city-woman-fatally-shot-by-police/" TargetMode="External"/><Relationship Id="rId597" Type="http://schemas.openxmlformats.org/officeDocument/2006/relationships/hyperlink" Target="http://hiphopwired.com/2013/07/17/arkansas-cop-kills-wrongfully-suspected-in-car-thief-claims-self-defense/" TargetMode="External"/><Relationship Id="rId598" Type="http://schemas.openxmlformats.org/officeDocument/2006/relationships/hyperlink" Target="http://newsok.com/family-member-identifies-man-shot-by-oklahoma-city-police/article/3861642" TargetMode="External"/><Relationship Id="rId599" Type="http://schemas.openxmlformats.org/officeDocument/2006/relationships/hyperlink" Target="http://www.nj.com/essex/index.ssf/2013/09/woman_files_multi-million_dollar_suit_against_belleville_after_police_shot_husband_24_times.html" TargetMode="External"/><Relationship Id="rId1713" Type="http://schemas.openxmlformats.org/officeDocument/2006/relationships/hyperlink" Target="http://www.nbc12.com/story/31521884/hopewell-police-identify-man-killed-in-officer-involved-shooting" TargetMode="External"/><Relationship Id="rId171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1715" Type="http://schemas.openxmlformats.org/officeDocument/2006/relationships/hyperlink" Target="http://www.wbko.com/content/news/KSP-Trooper-involved-in-a-shooting-in-Hopkins-County-372752062.html" TargetMode="External"/><Relationship Id="rId1716" Type="http://schemas.openxmlformats.org/officeDocument/2006/relationships/hyperlink" Target="http://www.nola.com/crime/index.ssf/2016/03/st_tammany_coroner_identifies_2.html" TargetMode="External"/><Relationship Id="rId1717" Type="http://schemas.openxmlformats.org/officeDocument/2006/relationships/hyperlink" Target="http://www.sfgate.com/crime/article/Police-shooting-in-Byron-after-warrant-standoff-6922401.php" TargetMode="External"/><Relationship Id="rId1718" Type="http://schemas.openxmlformats.org/officeDocument/2006/relationships/hyperlink" Target="http://www.wpxi.com/news/news/local/shots-fired-police-during-standoff-beaver-co/nqndk/" TargetMode="External"/><Relationship Id="rId1719" Type="http://schemas.openxmlformats.org/officeDocument/2006/relationships/hyperlink" Target="http://www.baynews9.com/content/news/baynews9/news/article.html/content/news/articles/bn9/2016/3/17/police_officers_were.html" TargetMode="External"/><Relationship Id="rId2960" Type="http://schemas.openxmlformats.org/officeDocument/2006/relationships/hyperlink" Target="http://www.ktva.com/troopers-kill-big-lake-man-allegedly-threatening-kill-small-child-760/" TargetMode="External"/><Relationship Id="rId2961" Type="http://schemas.openxmlformats.org/officeDocument/2006/relationships/hyperlink" Target="http://www.fatalencounters.org/wp-content/uploads/2013/10/Jesse-Enjaian.jpg" TargetMode="External"/><Relationship Id="rId2962" Type="http://schemas.openxmlformats.org/officeDocument/2006/relationships/hyperlink" Target="http://abc7news.com/news/oakland-shooter-detained-by-cops-dies/1759833/" TargetMode="External"/><Relationship Id="rId2963" Type="http://schemas.openxmlformats.org/officeDocument/2006/relationships/hyperlink" Target="http://www.ocregister.com/articles/beach-744322-officers-suspect.html" TargetMode="External"/><Relationship Id="rId2964" Type="http://schemas.openxmlformats.org/officeDocument/2006/relationships/hyperlink" Target="http://www.tulsaworld.com/homepagelatest/update-man-dies-after-being-shot-by-police-in-southeast/article_26955af6-976a-58a7-a9dd-6dcab3c3e00c.html" TargetMode="External"/><Relationship Id="rId2965" Type="http://schemas.openxmlformats.org/officeDocument/2006/relationships/hyperlink" Target="http://www.fatalencounters.org/wp-content/uploads/2013/10/joshua_henry.jpg" TargetMode="External"/><Relationship Id="rId2966" Type="http://schemas.openxmlformats.org/officeDocument/2006/relationships/hyperlink" Target="http://www.star-telegram.com/news/local/community/arlington/article133582044.html" TargetMode="External"/><Relationship Id="rId2967" Type="http://schemas.openxmlformats.org/officeDocument/2006/relationships/hyperlink" Target="http://www.hawaiinewsnow.com/story/34538443/hnl-airport-incident-leaves-one-man-dead" TargetMode="External"/><Relationship Id="rId2968" Type="http://schemas.openxmlformats.org/officeDocument/2006/relationships/hyperlink" Target="http://www.fatalencounters.org/wp-content/uploads/2013/10/Chance-David-Baker.png" TargetMode="External"/><Relationship Id="rId2969" Type="http://schemas.openxmlformats.org/officeDocument/2006/relationships/hyperlink" Target="http://www.pressherald.com/2017/02/18/shooting-reported-at-portland-strip-mall/" TargetMode="External"/><Relationship Id="rId3120" Type="http://schemas.openxmlformats.org/officeDocument/2006/relationships/hyperlink" Target="http://www.fatalencounters.org/wp-content/uploads/2013/10/Phillip-Jerriel-Moore.jpg" TargetMode="External"/><Relationship Id="rId3121" Type="http://schemas.openxmlformats.org/officeDocument/2006/relationships/hyperlink" Target="http://www.arkansasonline.com/news/2017/mar/22/arkansas-authorities-launch-investigation-after-ma/" TargetMode="External"/><Relationship Id="rId3122" Type="http://schemas.openxmlformats.org/officeDocument/2006/relationships/hyperlink" Target="http://www.mercurynews.com/2017/03/22/redwood-city-man-who-was-killed-after-threatening-estranged-wife-at-workplace-identified/" TargetMode="External"/><Relationship Id="rId3123" Type="http://schemas.openxmlformats.org/officeDocument/2006/relationships/hyperlink" Target="http://www.fatalencounters.org/wp-content/uploads/2013/10/Alex-Dold.jpg" TargetMode="External"/><Relationship Id="rId3124" Type="http://schemas.openxmlformats.org/officeDocument/2006/relationships/hyperlink" Target="http://www.king5.com/news/local/suspect-dies-during-domestic-violence-altercation-with-police/424540340" TargetMode="External"/><Relationship Id="rId3125" Type="http://schemas.openxmlformats.org/officeDocument/2006/relationships/hyperlink" Target="http://www.thv11.com/news/local/nlr-police-chase-ends-in-officer-involved-shooting-suspect-dead/424989517" TargetMode="External"/><Relationship Id="rId3126" Type="http://schemas.openxmlformats.org/officeDocument/2006/relationships/hyperlink" Target="http://www.abc15.com/news/region-phoenix-metro/central-phoenix/phoenix-police-officer-involved-shooting-in-west-phoenix" TargetMode="External"/><Relationship Id="rId3127" Type="http://schemas.openxmlformats.org/officeDocument/2006/relationships/hyperlink" Target="http://www.lex18.com/story/34978955/deadly-officer-involved-shooting-in-owsley-co" TargetMode="External"/><Relationship Id="rId3128" Type="http://schemas.openxmlformats.org/officeDocument/2006/relationships/hyperlink" Target="http://www.ksla.com/story/34979123/officer-injured-two-others-killed-in-southwest-louisiana" TargetMode="External"/><Relationship Id="rId3129" Type="http://schemas.openxmlformats.org/officeDocument/2006/relationships/hyperlink" Target="http://www.king5.com/news/local/police-shoot-machete-wielding-man-in-des-moines/424872463" TargetMode="External"/><Relationship Id="rId2420" Type="http://schemas.openxmlformats.org/officeDocument/2006/relationships/hyperlink" Target="http://www.fatalencounters.org/wp-content/uploads/2013/10/Anthony-Garcia.jpg" TargetMode="External"/><Relationship Id="rId2421" Type="http://schemas.openxmlformats.org/officeDocument/2006/relationships/hyperlink" Target="http://www.dallasnews.com/news/oak-cliff/2016/10/19/authorities-respond-officer-involved-shooting-west-oak-cliff" TargetMode="External"/><Relationship Id="rId2422" Type="http://schemas.openxmlformats.org/officeDocument/2006/relationships/hyperlink" Target="http://www.reviewjournal.com/crime/shootings/man-shot-nhp-trooper-henderson-has-died" TargetMode="External"/><Relationship Id="rId2423" Type="http://schemas.openxmlformats.org/officeDocument/2006/relationships/hyperlink" Target="http://www.cleveland19.com/story/33428820/officer-involved-shooting-in-lowes-parking-lot-in-willoughby" TargetMode="External"/><Relationship Id="rId2424" Type="http://schemas.openxmlformats.org/officeDocument/2006/relationships/hyperlink" Target="http://www.fatalencounters.org/wp-content/uploads/2013/10/Jacob-DePetris.jpg" TargetMode="External"/><Relationship Id="rId2425" Type="http://schemas.openxmlformats.org/officeDocument/2006/relationships/hyperlink" Target="http://jacksonville.com/news/2016-10-20/jacksonville-sheriff-s-office-suspect-dead-police-involved-shooting" TargetMode="External"/><Relationship Id="rId2426" Type="http://schemas.openxmlformats.org/officeDocument/2006/relationships/hyperlink" Target="http://www.fatalencounters.org/wp-content/uploads/2013/10/Renee-Davis.jpg" TargetMode="External"/><Relationship Id="rId2427" Type="http://schemas.openxmlformats.org/officeDocument/2006/relationships/hyperlink" Target="http://www.seattletimes.com/news/woman-fatally-shot-by-deputies-was-pregnant-relative-says/" TargetMode="External"/><Relationship Id="rId2428" Type="http://schemas.openxmlformats.org/officeDocument/2006/relationships/hyperlink" Target="http://www.fatalencounters.org/wp-content/uploads/2013/10/William-H.-Frost-Jr..jpg" TargetMode="External"/><Relationship Id="rId2429" Type="http://schemas.openxmlformats.org/officeDocument/2006/relationships/hyperlink" Target="http://www.tulsaworld.com/news/crimewatch/man-dies-after-officer-involved-shooting-near-admiral-and-utica/article_a5cfc101-3c2f-5119-8fb2-97c5a6ac765b.html" TargetMode="External"/><Relationship Id="rId3670" Type="http://schemas.openxmlformats.org/officeDocument/2006/relationships/hyperlink" Target="http://news3lv.com/news/local/domestic-dispute-turned-barricade-becomes-fatal-officer-involved-shooting" TargetMode="External"/><Relationship Id="rId3671" Type="http://schemas.openxmlformats.org/officeDocument/2006/relationships/hyperlink" Target="http://www.news9.com/story/35745457/officer-involved-shooting-reported-in-sw-okc" TargetMode="External"/><Relationship Id="rId3672" Type="http://schemas.openxmlformats.org/officeDocument/2006/relationships/hyperlink" Target="http://www.fatalencounters.org/wp-content/uploads/2013/10/Lawrence-Heyward-Jr.png" TargetMode="External"/><Relationship Id="rId3673" Type="http://schemas.openxmlformats.org/officeDocument/2006/relationships/hyperlink" Target="http://www.postandcourier.com/news/updated-man-shot-by-north-charleston-police-sunday-night-has/article_4d7e1f06-5a5d-11e7-a14e-cbbada610957.html" TargetMode="External"/><Relationship Id="rId3674" Type="http://schemas.openxmlformats.org/officeDocument/2006/relationships/hyperlink" Target="http://wspa.com/2017/06/26/man-dies-following-wellford-arrest-sled-investigating/" TargetMode="External"/><Relationship Id="rId3675" Type="http://schemas.openxmlformats.org/officeDocument/2006/relationships/hyperlink" Target="http://www.fatalencounters.org/wp-content/uploads/2013/10/Chequita-Adams.jpg" TargetMode="External"/><Relationship Id="rId3676" Type="http://schemas.openxmlformats.org/officeDocument/2006/relationships/hyperlink" Target="http://abc7chicago.com/news/police-chased-off-duty-cpd-officer-prior-to-crash-that-killed-2/2153455/" TargetMode="External"/><Relationship Id="rId3677" Type="http://schemas.openxmlformats.org/officeDocument/2006/relationships/hyperlink" Target="http://www.nbcwashington.com/news/local/Police-Man-Carjacked-Woman-at-Gunpoint-Got-Into-Fatal-Crash-431178853.html" TargetMode="External"/><Relationship Id="rId3678" Type="http://schemas.openxmlformats.org/officeDocument/2006/relationships/hyperlink" Target="http://www.fatalencounters.org/wp-content/uploads/2013/10/HERRERA-JASON-MAGANA.jpg" TargetMode="External"/><Relationship Id="rId3679" Type="http://schemas.openxmlformats.org/officeDocument/2006/relationships/hyperlink" Target="http://amarillo.com/news/local-news/2017-06-27/update-police-release-name-man-killed-officer-involved-shooting" TargetMode="External"/><Relationship Id="rId1720" Type="http://schemas.openxmlformats.org/officeDocument/2006/relationships/hyperlink" Target="http://www.startribune.com/five-officers-named-in-shooting-at-burnsville-mcdonald-s/372581691/" TargetMode="External"/><Relationship Id="rId1721" Type="http://schemas.openxmlformats.org/officeDocument/2006/relationships/hyperlink" Target="http://homicide.latimes.com/post/cristian-rene-medina/" TargetMode="External"/><Relationship Id="rId1722" Type="http://schemas.openxmlformats.org/officeDocument/2006/relationships/hyperlink" Target="http://www.ksat.com/news/sapd-responds-to-shooting-on-south-side" TargetMode="External"/><Relationship Id="rId1723" Type="http://schemas.openxmlformats.org/officeDocument/2006/relationships/hyperlink" Target="http://ansonrecord.com/top-stories/2255/anson-deputies-shoot-kill-suspect-in-blewett-falls-gunfight" TargetMode="External"/><Relationship Id="rId1724" Type="http://schemas.openxmlformats.org/officeDocument/2006/relationships/hyperlink" Target="http://www.courierpress.com/news/crime/coroners-office-called-to-hospital-after-police-chase-on-morgan-ave-2e2094d7-fd5e-625a-e053-0100007f-372184521.html" TargetMode="External"/><Relationship Id="rId1725" Type="http://schemas.openxmlformats.org/officeDocument/2006/relationships/hyperlink" Target="http://www.wsmv.com/story/31475336/1-killed-3-shot-in-officer-involved-shooting-in-russellville-ky" TargetMode="External"/><Relationship Id="rId1726" Type="http://schemas.openxmlformats.org/officeDocument/2006/relationships/hyperlink" Target="http://dfw.cbslocal.com/2016/03/15/deceased-suspect-idd-as-father-of-other-suspect/" TargetMode="External"/><Relationship Id="rId1727" Type="http://schemas.openxmlformats.org/officeDocument/2006/relationships/hyperlink" Target="http://www.nbclosangeles.com/news/local/police-Pursue-Vehicle-in-West-Covina-Area-371943382.html" TargetMode="External"/><Relationship Id="rId172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729" Type="http://schemas.openxmlformats.org/officeDocument/2006/relationships/hyperlink" Target="http://wate.com/2016/03/13/deadly-officer-involved-shooting-in-lenoir-city/" TargetMode="External"/><Relationship Id="rId2970" Type="http://schemas.openxmlformats.org/officeDocument/2006/relationships/hyperlink" Target="http://abc11.com/news/orange-county-deputies-shoot-and-kill-robbery-suspect-near-efland/1762281/" TargetMode="External"/><Relationship Id="rId2971" Type="http://schemas.openxmlformats.org/officeDocument/2006/relationships/hyperlink" Target="http://www.fatalencounters.org/wp-content/uploads/2013/10/Kyle-Riggs.png" TargetMode="External"/><Relationship Id="rId2972" Type="http://schemas.openxmlformats.org/officeDocument/2006/relationships/hyperlink" Target="http://www.arkansasonline.com/news/2017/feb/19/state-police-investigate-officer-involved-shooting/" TargetMode="External"/><Relationship Id="rId2973" Type="http://schemas.openxmlformats.org/officeDocument/2006/relationships/hyperlink" Target="http://www.fatalencounters.org/wp-content/uploads/2013/10/Manuel-Encinas.png" TargetMode="External"/><Relationship Id="rId2974" Type="http://schemas.openxmlformats.org/officeDocument/2006/relationships/hyperlink" Target="http://www.abc15.com/news/region-central-southern-az/tucson/sheriff-deputies-shoot-kill-armed-robber-in-tucson" TargetMode="External"/><Relationship Id="rId2975" Type="http://schemas.openxmlformats.org/officeDocument/2006/relationships/hyperlink" Target="http://www.fatalencounters.org/wp-content/uploads/2013/10/Sergio-Reyes.png" TargetMode="External"/><Relationship Id="rId2976" Type="http://schemas.openxmlformats.org/officeDocument/2006/relationships/hyperlink" Target="http://www.nydailynews.com/new-york/brooklyn/cops-fire-shots-brooklyn-deli-wounded-article-1.2976505" TargetMode="External"/><Relationship Id="rId2977" Type="http://schemas.openxmlformats.org/officeDocument/2006/relationships/hyperlink" Target="http://www.kentwired.com/latest_updates/article_99d5a8d0-f728-11e6-9b63-9f9037395213.html" TargetMode="External"/><Relationship Id="rId2978" Type="http://schemas.openxmlformats.org/officeDocument/2006/relationships/hyperlink" Target="http://www.wtsp.com/news/deputy-involved-shooting-reported-in-hernando/410103018" TargetMode="External"/><Relationship Id="rId2979" Type="http://schemas.openxmlformats.org/officeDocument/2006/relationships/hyperlink" Target="http://www.fatalencounters.org/wp-content/uploads/2013/10/Jason-Fanning.jpg" TargetMode="External"/><Relationship Id="rId3130" Type="http://schemas.openxmlformats.org/officeDocument/2006/relationships/hyperlink" Target="http://ktla.com/2017/03/25/1-killed-in-boyle-heights-officer-involved-shooting-lapd/" TargetMode="External"/><Relationship Id="rId3131" Type="http://schemas.openxmlformats.org/officeDocument/2006/relationships/hyperlink" Target="http://www.fatalencounters.org/wp-content/uploads/2013/10/Reno-Joseph-Owens-Jr..jpg" TargetMode="External"/><Relationship Id="rId3132" Type="http://schemas.openxmlformats.org/officeDocument/2006/relationships/hyperlink" Target="http://www.baltimoresun.com/news/maryland/crime/bs-md-ci-police-shooting-20170324-story.html" TargetMode="External"/><Relationship Id="rId3133" Type="http://schemas.openxmlformats.org/officeDocument/2006/relationships/hyperlink" Target="http://www.fatalencounters.org/wp-content/uploads/2013/10/Matthew-Gambaro.png" TargetMode="External"/><Relationship Id="rId3134" Type="http://schemas.openxmlformats.org/officeDocument/2006/relationships/hyperlink" Target="http://www.ktxs.com/news/dps-officer-involved-shooting-reported-on-i-20-near-cisco/414524974" TargetMode="External"/><Relationship Id="rId3135" Type="http://schemas.openxmlformats.org/officeDocument/2006/relationships/hyperlink" Target="http://www.fatalencounters.org/wp-content/uploads/2013/10/Austin-Macon.jpg" TargetMode="External"/><Relationship Id="rId3136" Type="http://schemas.openxmlformats.org/officeDocument/2006/relationships/hyperlink" Target="http://www.redding.com/story/news/local/2017/03/25/chp-officer-injured-shooting--5-cottonwood/99620702/" TargetMode="External"/><Relationship Id="rId3137" Type="http://schemas.openxmlformats.org/officeDocument/2006/relationships/hyperlink" Target="http://www.mcall.com/news/local/police/mc-allentown-fatal-shooting-20170325-story.html" TargetMode="External"/><Relationship Id="rId3138" Type="http://schemas.openxmlformats.org/officeDocument/2006/relationships/hyperlink" Target="https://www.adn.com/alaska-news/crime-courts/2017/03/26/troopers-shoot-kill-wasilla-man-who-fatally-wounded-k-9/" TargetMode="External"/><Relationship Id="rId3139" Type="http://schemas.openxmlformats.org/officeDocument/2006/relationships/hyperlink" Target="http://www.fatalencounters.org/wp-content/uploads/2013/10/Michael-Hornibrook.jpg" TargetMode="External"/><Relationship Id="rId2430" Type="http://schemas.openxmlformats.org/officeDocument/2006/relationships/hyperlink" Target="http://www.pe.com/articles/fatally-816599-sustained-officer.html" TargetMode="External"/><Relationship Id="rId2431" Type="http://schemas.openxmlformats.org/officeDocument/2006/relationships/hyperlink" Target="http://www.fatalencounters.org/wp-content/uploads/2013/10/Nathaniel-B.-Dorough.jpg" TargetMode="External"/><Relationship Id="rId2432" Type="http://schemas.openxmlformats.org/officeDocument/2006/relationships/hyperlink" Target="http://abc3340.com/news/local/deputy-involved-shooting-in-shelby-county-leaves-1-dead" TargetMode="External"/><Relationship Id="rId2433" Type="http://schemas.openxmlformats.org/officeDocument/2006/relationships/hyperlink" Target="http://www.wsfa.com/story/33452471/1-killed-in-wreck-involving-wetumpka-pd-vehicle-on-us-231" TargetMode="External"/><Relationship Id="rId2434" Type="http://schemas.openxmlformats.org/officeDocument/2006/relationships/hyperlink" Target="http://www.fatalencounters.org/wp-content/uploads/2013/10/Demetrious-Mac-Moore.jpg" TargetMode="External"/><Relationship Id="rId2435" Type="http://schemas.openxmlformats.org/officeDocument/2006/relationships/hyperlink" Target="http://www.koaa.com/story/33454346/search-for-murder-suspects-leads-to-deadly-officer-involved-shooting" TargetMode="External"/><Relationship Id="rId2436" Type="http://schemas.openxmlformats.org/officeDocument/2006/relationships/hyperlink" Target="http://www.fatalencounters.org/wp-content/uploads/2013/10/Kenny-Tomblin.jpg" TargetMode="External"/><Relationship Id="rId2437" Type="http://schemas.openxmlformats.org/officeDocument/2006/relationships/hyperlink" Target="http://www.wbko.com/content/news/A-Metcalfe-County-man-is-dead-following-an-officer-involved-shooting-398094441.html" TargetMode="External"/><Relationship Id="rId2438" Type="http://schemas.openxmlformats.org/officeDocument/2006/relationships/hyperlink" Target="http://www.kaaltv.com/news/fillmore-county-police-situation/4299498/" TargetMode="External"/><Relationship Id="rId2439" Type="http://schemas.openxmlformats.org/officeDocument/2006/relationships/hyperlink" Target="http://www.kmov.com/story/33469438/officers-injured-in-crash-chasing-carjacking-suspect-in-north-city" TargetMode="External"/><Relationship Id="rId3680" Type="http://schemas.openxmlformats.org/officeDocument/2006/relationships/hyperlink" Target="http://www.wafb.com/story/35763644/man-dies-after-getting-hit-by-unmarked-police-car" TargetMode="External"/><Relationship Id="rId3681" Type="http://schemas.openxmlformats.org/officeDocument/2006/relationships/hyperlink" Target="http://abc7.com/news/fatal-officer-involved-shooting-reported-in-westlake-district/2161807/" TargetMode="External"/><Relationship Id="rId3682" Type="http://schemas.openxmlformats.org/officeDocument/2006/relationships/hyperlink" Target="http://www.tennessean.com/story/news/2017/06/28/shooting-reported-vanderbilt-100-oaks-campus-nashville/436537001/" TargetMode="External"/><Relationship Id="rId3683" Type="http://schemas.openxmlformats.org/officeDocument/2006/relationships/hyperlink" Target="http://www.fatalencounters.org/wp-content/uploads/2013/10/Aaron-Bailey2.jpg" TargetMode="External"/><Relationship Id="rId3684" Type="http://schemas.openxmlformats.org/officeDocument/2006/relationships/hyperlink" Target="http://www.theindychannel.com/news/crime/police-shoot-kill-person-on-indianapolis-west-side" TargetMode="External"/><Relationship Id="rId3685" Type="http://schemas.openxmlformats.org/officeDocument/2006/relationships/hyperlink" Target="http://www.11alive.com/news/gbi-called-in-to-investigate-cobb-county-shooting/453182303" TargetMode="External"/><Relationship Id="rId3686" Type="http://schemas.openxmlformats.org/officeDocument/2006/relationships/hyperlink" Target="http://www.fatalencounters.org/wp-content/uploads/2013/10/Jose-Guillermo-Flores-Colon.png" TargetMode="External"/><Relationship Id="rId3687" Type="http://schemas.openxmlformats.org/officeDocument/2006/relationships/hyperlink" Target="http://www.wftv.com/news/local/officials-identify-deputy-who-fatally-shot-man-who-grabbed-taser-at-deltona-gas-station/544925309?ecmp=wftv_social_twitter_sfp" TargetMode="External"/><Relationship Id="rId3688" Type="http://schemas.openxmlformats.org/officeDocument/2006/relationships/hyperlink" Target="http://losangeles.cbslocal.com/2017/06/29/officer-involved-shooting-burbank/" TargetMode="External"/><Relationship Id="rId3689" Type="http://schemas.openxmlformats.org/officeDocument/2006/relationships/hyperlink" Target="http://www.fatalencounters.org/wp-content/uploads/2013/10/BrettRodriguez.jpg" TargetMode="External"/><Relationship Id="rId1730" Type="http://schemas.openxmlformats.org/officeDocument/2006/relationships/hyperlink" Target="http://www.wbrc.com/story/31460532/man-dead-following-alabama-police-chase-shooting" TargetMode="External"/><Relationship Id="rId1731" Type="http://schemas.openxmlformats.org/officeDocument/2006/relationships/hyperlink" Target="http://www.fatalencounters.org/wp-content/uploads/2013/10/Earl-Ashby.jpg" TargetMode="External"/><Relationship Id="rId1732" Type="http://schemas.openxmlformats.org/officeDocument/2006/relationships/hyperlink" Target="http://nativenewsonline.net/wp-content/uploads/2016/03/Loreal-Tsingine-1.jpg" TargetMode="External"/><Relationship Id="rId1733" Type="http://schemas.openxmlformats.org/officeDocument/2006/relationships/hyperlink" Target="http://www.fatalencounters.org/wp-content/uploads/2013/10/Lanahan.png" TargetMode="External"/><Relationship Id="rId1734" Type="http://schemas.openxmlformats.org/officeDocument/2006/relationships/hyperlink" Target="http://www.fatalencounters.org/wp-content/uploads/2013/10/Blackburn.jpg" TargetMode="External"/><Relationship Id="rId1735" Type="http://schemas.openxmlformats.org/officeDocument/2006/relationships/hyperlink" Target="http://www.fatalencounters.org/wp-content/uploads/2013/10/MCMANAMON-159654.jpg" TargetMode="External"/><Relationship Id="rId1736" Type="http://schemas.openxmlformats.org/officeDocument/2006/relationships/hyperlink" Target="http://www.fatalencounters.org/wp-content/uploads/2013/10/Gueren.png" TargetMode="External"/><Relationship Id="rId1737" Type="http://schemas.openxmlformats.org/officeDocument/2006/relationships/hyperlink" Target="http://www.fatalencounters.org/wp-content/uploads/2013/10/mario-sandoval.jpeg" TargetMode="External"/><Relationship Id="rId1738" Type="http://schemas.openxmlformats.org/officeDocument/2006/relationships/hyperlink" Target="http://bloximages.chicago2.vip.townnews.com/fredericksburg.com/content/tncms/assets/v3/editorial/b/05/b0548fbc-f11c-11e5-903f-ff53c26c8289/56f2d275892cc.image.png?crop=239%2C353%2C39%2C10" TargetMode="External"/><Relationship Id="rId1739" Type="http://schemas.openxmlformats.org/officeDocument/2006/relationships/hyperlink" Target="http://assets.nydailynews.com/polopoly_fs/1.2575134.1458763114!/img/httpImage/image.jpg_gen/derivatives/article_635/axe24n-4-web.jpg" TargetMode="External"/><Relationship Id="rId2980" Type="http://schemas.openxmlformats.org/officeDocument/2006/relationships/hyperlink" Target="http://www.newspressnow.com/news/local_news/one-person-dead-in-officer-involved-incident/article_d9444b07-b849-53f7-a8f2-24700c8775ae.html" TargetMode="External"/><Relationship Id="rId2981" Type="http://schemas.openxmlformats.org/officeDocument/2006/relationships/hyperlink" Target="http://www.fatalencounters.org/wp-content/uploads/2013/10/Misael-Macias-Cano.png" TargetMode="External"/><Relationship Id="rId2982" Type="http://schemas.openxmlformats.org/officeDocument/2006/relationships/hyperlink" Target="http://gazette.com/suspect-shot-and-killed-in-colorado-springs/article/1597375" TargetMode="External"/><Relationship Id="rId2983" Type="http://schemas.openxmlformats.org/officeDocument/2006/relationships/hyperlink" Target="http://www.fatalencounters.org/wp-content/uploads/2013/10/Don-Clark.jpg" TargetMode="External"/><Relationship Id="rId2984" Type="http://schemas.openxmlformats.org/officeDocument/2006/relationships/hyperlink" Target="http://www.stltoday.com/news/local/crime-and-courts/st-louis-police-serving-search-warrant-come-under-fire-fatally/article_9f1522b2-cd29-56eb-a7eb-d2e80496b538.html" TargetMode="External"/><Relationship Id="rId2985" Type="http://schemas.openxmlformats.org/officeDocument/2006/relationships/hyperlink" Target="http://www.fatalencounters.org/wp-content/uploads/2013/10/douglas-smith-2009.jpg" TargetMode="External"/><Relationship Id="rId2986" Type="http://schemas.openxmlformats.org/officeDocument/2006/relationships/hyperlink" Target="http://koin.com/2017/02/21/police-responding-to-active-situation-in-beaverton/" TargetMode="External"/><Relationship Id="rId2987" Type="http://schemas.openxmlformats.org/officeDocument/2006/relationships/hyperlink" Target="http://www.fatalencounters.org/wp-content/uploads/2013/10/Bartolo-Justice-Sambrano.jpg" TargetMode="External"/><Relationship Id="rId2988" Type="http://schemas.openxmlformats.org/officeDocument/2006/relationships/hyperlink" Target="http://www.standard.net/Police-Fire/2017/02/22/Ogden-police-shoot-kill-man-in-Junction-parking-garage.html" TargetMode="External"/><Relationship Id="rId2989" Type="http://schemas.openxmlformats.org/officeDocument/2006/relationships/hyperlink" Target="http://www.fatalencounters.org/wp-content/uploads/2013/10/Nicolas-Sanchez.png" TargetMode="External"/><Relationship Id="rId3140" Type="http://schemas.openxmlformats.org/officeDocument/2006/relationships/hyperlink" Target="http://www.arkansasonline.com/news/2017/mar/26/police-investigate-officer-involved-shooting-downt/" TargetMode="External"/><Relationship Id="rId3141" Type="http://schemas.openxmlformats.org/officeDocument/2006/relationships/hyperlink" Target="http://www.krcrtv.com/news/breaking-news/one-dead-after-an-incident-at-motel-in-anderson/418133633" TargetMode="External"/><Relationship Id="rId3142" Type="http://schemas.openxmlformats.org/officeDocument/2006/relationships/hyperlink" Target="http://www.wusa9.com/news/local/police-investigate-fatal-officer-involved-shooting-in-montgomery-village/426068530" TargetMode="External"/><Relationship Id="rId3143" Type="http://schemas.openxmlformats.org/officeDocument/2006/relationships/hyperlink" Target="http://www.fatalencounters.org/wp-content/uploads/2013/10/pryor-spencer-bailey-iv.jpg" TargetMode="External"/><Relationship Id="rId3144" Type="http://schemas.openxmlformats.org/officeDocument/2006/relationships/hyperlink" Target="http://www.clarionledger.com/story/news/local/2017/03/27/high-speed-chase-reported-officer-down-lowndes-county/99688540/" TargetMode="External"/><Relationship Id="rId3145" Type="http://schemas.openxmlformats.org/officeDocument/2006/relationships/hyperlink" Target="http://www.fatalencounters.org/wp-content/uploads/2013/10/Steven-Hopwood.png" TargetMode="External"/><Relationship Id="rId3146" Type="http://schemas.openxmlformats.org/officeDocument/2006/relationships/hyperlink" Target="http://www.tennessean.com/story/news/crime/2017/03/27/active-shooter-reported-lewisburg-business/99689606/" TargetMode="External"/><Relationship Id="rId3147" Type="http://schemas.openxmlformats.org/officeDocument/2006/relationships/hyperlink" Target="http://www.fatalencounters.org/wp-content/uploads/2013/10/Nengmy-Vang.png" TargetMode="External"/><Relationship Id="rId3148" Type="http://schemas.openxmlformats.org/officeDocument/2006/relationships/hyperlink" Target="http://www.wbay.com/content/news/Wausau-shooting-suspect-dies-417859083.html" TargetMode="External"/><Relationship Id="rId3149" Type="http://schemas.openxmlformats.org/officeDocument/2006/relationships/hyperlink" Target="http://www.jconline.com/story/news/crime/2017/03/28/suspect-down-early-morning-shooting/99721350/" TargetMode="External"/><Relationship Id="rId2440" Type="http://schemas.openxmlformats.org/officeDocument/2006/relationships/hyperlink" Target="http://www.fatalencounters.org/wp-content/uploads/2013/10/Chelsea-M.-Porter.jpg" TargetMode="External"/><Relationship Id="rId2441" Type="http://schemas.openxmlformats.org/officeDocument/2006/relationships/hyperlink" Target="http://www.cecildaily.com/spotlight/article_037af5f7-dd09-5eb9-a7f9-f7b9247159fe.html" TargetMode="External"/><Relationship Id="rId2442" Type="http://schemas.openxmlformats.org/officeDocument/2006/relationships/hyperlink" Target="http://www.cecildaily.com/spotlight/article_037af5f7-dd09-5eb9-a7f9-f7b9247159fe.html" TargetMode="External"/><Relationship Id="rId2443" Type="http://schemas.openxmlformats.org/officeDocument/2006/relationships/hyperlink" Target="http://www.fatalencounters.org/wp-content/uploads/2013/10/Brandon-Wayne-Millard.jpg" TargetMode="External"/><Relationship Id="rId2444" Type="http://schemas.openxmlformats.org/officeDocument/2006/relationships/hyperlink" Target="http://www.kcra.com/article/police-investigate-deadly-incident-in-lincoln/7209811" TargetMode="External"/><Relationship Id="rId2445" Type="http://schemas.openxmlformats.org/officeDocument/2006/relationships/hyperlink" Target="http://katv.com/news/local/little-rock-police-investigate-deadly-officer-involved-shooting" TargetMode="External"/><Relationship Id="rId2446" Type="http://schemas.openxmlformats.org/officeDocument/2006/relationships/hyperlink" Target="http://www.newson6.com/story/33498943/osbi-identifies-man-shot-and-killed-by-bartlesville-police" TargetMode="External"/><Relationship Id="rId2447" Type="http://schemas.openxmlformats.org/officeDocument/2006/relationships/hyperlink" Target="http://www.nbcdfw.com/news/local/Carrollton-Police-Officer-Involved-in-Fatal-Shooting-398687691.html" TargetMode="External"/><Relationship Id="rId2448" Type="http://schemas.openxmlformats.org/officeDocument/2006/relationships/hyperlink" Target="http://www.fatalencounters.org/wp-content/uploads/2013/10/Kyle-W.-Killough.jpg" TargetMode="External"/><Relationship Id="rId2449" Type="http://schemas.openxmlformats.org/officeDocument/2006/relationships/hyperlink" Target="http://billingsgazette.com/news/crime/wyoming-man-killed-in-officer-involved-shooting-at-days-inn/article_42785cff-a52f-587a-ae34-a52b0c6abd11.html" TargetMode="External"/><Relationship Id="rId3690" Type="http://schemas.openxmlformats.org/officeDocument/2006/relationships/hyperlink" Target="http://www.9news.com/news/crime/man-shot-killed-by-police-had-lengthy-criminal-history/454111891" TargetMode="External"/><Relationship Id="rId3691" Type="http://schemas.openxmlformats.org/officeDocument/2006/relationships/hyperlink" Target="http://www.9news.com/news/local/deputies-in-larimer-county-shoot-suspect-during-foot-chase/453505078" TargetMode="External"/><Relationship Id="rId3692" Type="http://schemas.openxmlformats.org/officeDocument/2006/relationships/hyperlink" Target="http://www.fatalencounters.org/wp-content/uploads/2013/10/RichardSparks.jpg" TargetMode="External"/><Relationship Id="rId3693" Type="http://schemas.openxmlformats.org/officeDocument/2006/relationships/hyperlink" Target="http://wkrn.com/2017/06/30/tbi-investigates-after-man-died-during-arrest-by-cookeville-police/" TargetMode="External"/><Relationship Id="rId3694" Type="http://schemas.openxmlformats.org/officeDocument/2006/relationships/hyperlink" Target="http://www.fatalencounters.org/wp-content/uploads/2013/10/Stephanie-Lopez.jpg" TargetMode="External"/><Relationship Id="rId3695" Type="http://schemas.openxmlformats.org/officeDocument/2006/relationships/hyperlink" Target="http://www.denverpost.com/2017/06/30/officer-involved-shooting-denver-police/" TargetMode="External"/><Relationship Id="rId3696" Type="http://schemas.openxmlformats.org/officeDocument/2006/relationships/hyperlink" Target="http://denver.cbslocal.com/2017/07/02/colorado-state-university-officer-shooting/" TargetMode="External"/><Relationship Id="rId3697" Type="http://schemas.openxmlformats.org/officeDocument/2006/relationships/hyperlink" Target="http://www.miamiherald.com/news/local/community/broward/article156759524.html" TargetMode="External"/><Relationship Id="rId3698" Type="http://schemas.openxmlformats.org/officeDocument/2006/relationships/hyperlink" Target="http://skyvalleychronicle.com/BREAKING-NEWS/Man-Who-Claims-He-Ingested-Too-Much-Meth-Goes-Berserk-In-McLeary-WA-br-i-Ends-up-dying-i-2895792" TargetMode="External"/><Relationship Id="rId3699" Type="http://schemas.openxmlformats.org/officeDocument/2006/relationships/hyperlink" Target="http://www.12news.com/news/local/valley/suspect-dead-officers-ok-after-glendale-officer-involved-shooting/453632288" TargetMode="External"/><Relationship Id="rId800" Type="http://schemas.openxmlformats.org/officeDocument/2006/relationships/hyperlink" Target="http://funds.gfmcdn.com/5696790_1439869229.992.jpg" TargetMode="External"/><Relationship Id="rId801" Type="http://schemas.openxmlformats.org/officeDocument/2006/relationships/hyperlink" Target="http://whns.images.worldnow.com/images/8617596_G.jpg" TargetMode="External"/><Relationship Id="rId802" Type="http://schemas.openxmlformats.org/officeDocument/2006/relationships/hyperlink" Target="http://bloximages.chicago2.vip.townnews.com/fredericksburg.com/content/tncms/assets/v3/editorial/c/6a/c6a518a6-4a8f-11e5-9867-e704cb5d9455/55db6586f3aca.image.jpg" TargetMode="External"/><Relationship Id="rId803" Type="http://schemas.openxmlformats.org/officeDocument/2006/relationships/hyperlink" Target="https://localtvwhnt.files.wordpress.com/2015/08/christopher-tompkins.jpg?w=770" TargetMode="External"/><Relationship Id="rId804"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805" Type="http://schemas.openxmlformats.org/officeDocument/2006/relationships/hyperlink" Target="http://www.killedbypolice.net/victims/150696.jpg" TargetMode="External"/><Relationship Id="rId806" Type="http://schemas.openxmlformats.org/officeDocument/2006/relationships/hyperlink" Target="http://s3.reutersmedia.net/resources/r/?m=02&amp;d=20150806&amp;t=2&amp;i=1069792663&amp;w=976&amp;fh=&amp;fw=&amp;ll=&amp;pl=&amp;sq=&amp;r=LYNXNPEB75047" TargetMode="External"/><Relationship Id="rId807" Type="http://schemas.openxmlformats.org/officeDocument/2006/relationships/hyperlink" Target="https://blackopswiki.s3.amazonaws.com/uploads/article/avatar/351/large_avatar_gustavvo_ponce-galon.jpg" TargetMode="External"/><Relationship Id="rId808" Type="http://schemas.openxmlformats.org/officeDocument/2006/relationships/hyperlink" Target="http://www.fresnobee.com/news/local/crime/e474cp/picture30449874/ALTERNATES/FREE_960/080715%20Aaron%20Allen%20Marchese" TargetMode="External"/><Relationship Id="rId809" Type="http://schemas.openxmlformats.org/officeDocument/2006/relationships/hyperlink" Target="http://www.reviewjournal.com/sites/default/files/styles/large/public/field/media/1003395444%20OISBRIEFING_0815.jpg?itok=K0Dq-QFt" TargetMode="External"/><Relationship Id="rId1740" Type="http://schemas.openxmlformats.org/officeDocument/2006/relationships/hyperlink" Target="http://www.fatalencounters.org/wp-content/uploads/2013/10/edward-gorinski.jpg" TargetMode="External"/><Relationship Id="rId1741" Type="http://schemas.openxmlformats.org/officeDocument/2006/relationships/hyperlink" Target="http://www.fatalencounters.org/wp-content/uploads/2013/10/DylanPape.jpg" TargetMode="External"/><Relationship Id="rId174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43" Type="http://schemas.openxmlformats.org/officeDocument/2006/relationships/hyperlink" Target="http://www.fatalencounters.org/wp-content/uploads/2013/10/Biggs.png" TargetMode="External"/><Relationship Id="rId1744" Type="http://schemas.openxmlformats.org/officeDocument/2006/relationships/hyperlink" Target="http://www.fatalencounters.org/wp-content/uploads/2013/10/DylanWhitaker.jpg" TargetMode="External"/><Relationship Id="rId1745" Type="http://schemas.openxmlformats.org/officeDocument/2006/relationships/hyperlink" Target="http://media.cmgdigital.com/shared/img/photos/2016/03/18/51/40/suspect.jpg" TargetMode="External"/><Relationship Id="rId1746" Type="http://schemas.openxmlformats.org/officeDocument/2006/relationships/hyperlink" Target="http://www.fatalencounters.org/wp-content/uploads/2013/10/Chin.png" TargetMode="External"/><Relationship Id="rId1747" Type="http://schemas.openxmlformats.org/officeDocument/2006/relationships/hyperlink" Target="http://www.fatalencounters.org/wp-content/uploads/2013/10/MapKong.png" TargetMode="External"/><Relationship Id="rId1748" Type="http://schemas.openxmlformats.org/officeDocument/2006/relationships/hyperlink" Target="http://www.fatalencounters.org/wp-content/uploads/2013/10/Wooters.png" TargetMode="External"/><Relationship Id="rId1749" Type="http://schemas.openxmlformats.org/officeDocument/2006/relationships/hyperlink" Target="https://cbsdallas.files.wordpress.com/2016/03/dad-mciver.jpg?w=640&amp;h=360&amp;crop=1" TargetMode="External"/><Relationship Id="rId2990" Type="http://schemas.openxmlformats.org/officeDocument/2006/relationships/hyperlink" Target="http://kutv.com/news/local/one-dead-after-shooting-involving-roy-police" TargetMode="External"/><Relationship Id="rId2991" Type="http://schemas.openxmlformats.org/officeDocument/2006/relationships/hyperlink" Target="http://www.fatalencounters.org/wp-content/uploads/2013/10/Kevin-Johnson.jpg" TargetMode="External"/><Relationship Id="rId2992" Type="http://schemas.openxmlformats.org/officeDocument/2006/relationships/hyperlink" Target="http://www.abcactionnews.com/news/local-news/barricaded-man-exchanges-gunfire-with-deputies-in-lake-alfred" TargetMode="External"/><Relationship Id="rId2993" Type="http://schemas.openxmlformats.org/officeDocument/2006/relationships/hyperlink" Target="http://www.fatalencounters.org/wp-content/uploads/2013/10/Medger-Blake.jpg" TargetMode="External"/><Relationship Id="rId2994" Type="http://schemas.openxmlformats.org/officeDocument/2006/relationships/hyperlink" Target="http://www.mysanantonio.com/news/article/One-woman-one-suspect-dead-in-officer-involved-10950338.php" TargetMode="External"/><Relationship Id="rId2995" Type="http://schemas.openxmlformats.org/officeDocument/2006/relationships/hyperlink" Target="http://www.statesman.com/news/local/woman-killed-reported-officer-involved-shooting-south-austin-officials-say/Gnoqlah2YhhYZd85J6QnPK/" TargetMode="External"/><Relationship Id="rId2996" Type="http://schemas.openxmlformats.org/officeDocument/2006/relationships/hyperlink" Target="http://www.bdtonline.com/news/officer-involved-shooting-reported-in-princeton/article_17f0f48c-f949-11e6-8da0-5b45da6153c7.html" TargetMode="External"/><Relationship Id="rId2997" Type="http://schemas.openxmlformats.org/officeDocument/2006/relationships/hyperlink" Target="http://wjla.com/news/local/police-at-least-one-officer-shot-in-northeast-dc" TargetMode="External"/><Relationship Id="rId2998" Type="http://schemas.openxmlformats.org/officeDocument/2006/relationships/hyperlink" Target="http://www.fatalencounters.org/wp-content/uploads/2013/10/David-Montaro-960.jpg" TargetMode="External"/><Relationship Id="rId2999" Type="http://schemas.openxmlformats.org/officeDocument/2006/relationships/hyperlink" Target="http://www.wibw.com/content/news/Four-dead-including-suspect-in-Newton-officer-involved-shooting-414582423.html" TargetMode="External"/><Relationship Id="rId3150" Type="http://schemas.openxmlformats.org/officeDocument/2006/relationships/hyperlink" Target="http://www.mlive.com/news/grand-rapids/index.ssf/2017/03/man_shot_by_police_in_west_mic.html" TargetMode="External"/><Relationship Id="rId3151" Type="http://schemas.openxmlformats.org/officeDocument/2006/relationships/hyperlink" Target="http://www.wkyt.com/content/news/Officer-involved-shooting-in-Anderson-County-417515923.html" TargetMode="External"/><Relationship Id="rId3152" Type="http://schemas.openxmlformats.org/officeDocument/2006/relationships/hyperlink" Target="http://www.fatalencounters.org/wp-content/uploads/2013/10/Daniel-Hendrix.png" TargetMode="External"/><Relationship Id="rId3153" Type="http://schemas.openxmlformats.org/officeDocument/2006/relationships/hyperlink" Target="http://www.tennessean.com/story/news/2017/03/29/hamilton-sheriffs-office-employee-killed-chattanooga-officer-involved-shooting/99770138/" TargetMode="External"/><Relationship Id="rId3154" Type="http://schemas.openxmlformats.org/officeDocument/2006/relationships/hyperlink" Target="http://www.news9.com/story/35026010/suspect-killed-following-officer-involved-shooting-in-mcclain-county" TargetMode="External"/><Relationship Id="rId3155" Type="http://schemas.openxmlformats.org/officeDocument/2006/relationships/hyperlink" Target="http://www.delawareonline.com/story/news/crime/2017/03/29/police-investigate-apparent-shooting-near-new-castle/99806750/" TargetMode="External"/><Relationship Id="rId3156" Type="http://schemas.openxmlformats.org/officeDocument/2006/relationships/hyperlink" Target="http://www.fatalencounters.org/wp-content/uploads/2013/10/Troy-Boyle.png" TargetMode="External"/><Relationship Id="rId3157" Type="http://schemas.openxmlformats.org/officeDocument/2006/relationships/hyperlink" Target="http://www.mystateline.com/news/shooting-reported-in-stockton/682497014" TargetMode="External"/><Relationship Id="rId3158" Type="http://schemas.openxmlformats.org/officeDocument/2006/relationships/hyperlink" Target="http://www.nbcdfw.com/news/local/Chase-Ends-With-Officer-Involved-Shooting-in-Fannin-County-417599723.html" TargetMode="External"/><Relationship Id="rId3159" Type="http://schemas.openxmlformats.org/officeDocument/2006/relationships/hyperlink" Target="http://www.fatalencounters.org/wp-content/uploads/2013/10/Christopher-Angelo-Pizzichetta.png" TargetMode="External"/><Relationship Id="rId1200" Type="http://schemas.openxmlformats.org/officeDocument/2006/relationships/hyperlink" Target="http://www.miamiherald.com/news/local/community/miami-dade/article45170145.html" TargetMode="External"/><Relationship Id="rId1201" Type="http://schemas.openxmlformats.org/officeDocument/2006/relationships/hyperlink" Target="https://www.washingtonpost.com/local/family-asks-for-federal-review-of-sons-death-after-tasering/2015/12/01/0ce7834e-9856-11e5-b499-76cbec161973_story.html" TargetMode="External"/><Relationship Id="rId1202" Type="http://schemas.openxmlformats.org/officeDocument/2006/relationships/hyperlink" Target="http://www.killedbypolice.net/victims/151072.jpg" TargetMode="External"/><Relationship Id="rId1203" Type="http://schemas.openxmlformats.org/officeDocument/2006/relationships/hyperlink" Target="http://www.ajc.com/news/news/crime-law/officer-involved-shooting-reported-near-downtown-a/npY4J/" TargetMode="External"/><Relationship Id="rId1204" Type="http://schemas.openxmlformats.org/officeDocument/2006/relationships/hyperlink" Target="http://philadelphia.cbslocal.com/2015/11/24/camden-county-prosecutor-investigating-fatal-shooting-involving-two-police-officers/" TargetMode="External"/><Relationship Id="rId1205" Type="http://schemas.openxmlformats.org/officeDocument/2006/relationships/hyperlink" Target="http://6abc.com/news/police-off-duty-pha-officer-shot-killed-robbery-suspect-/1085987/" TargetMode="External"/><Relationship Id="rId1206" Type="http://schemas.openxmlformats.org/officeDocument/2006/relationships/hyperlink" Target="http://www.wftv.com/news/news/local/crash-heavy-law-enforcement-presence-causes-delays/npJ6S/" TargetMode="External"/><Relationship Id="rId1207" Type="http://schemas.openxmlformats.org/officeDocument/2006/relationships/hyperlink" Target="http://www.killedbypolice.net/victims/151084.jpg" TargetMode="External"/><Relationship Id="rId1208" Type="http://schemas.openxmlformats.org/officeDocument/2006/relationships/hyperlink" Target="http://www.wtok.com/home/headlines/New-Details-in-Stonewall-Death-Investigation-313047501.html" TargetMode="External"/><Relationship Id="rId1209" Type="http://schemas.openxmlformats.org/officeDocument/2006/relationships/hyperlink" Target="http://www.nbclosangeles.com/news/local/Fatal-Deputy-Involved-Shooting-in-Moreno-Valley-315985111.html" TargetMode="External"/><Relationship Id="rId2450" Type="http://schemas.openxmlformats.org/officeDocument/2006/relationships/hyperlink" Target="http://www.fatalencounters.org/wp-content/uploads/2013/10/Edwin-Amaya-Maldonado.jpg" TargetMode="External"/><Relationship Id="rId2451" Type="http://schemas.openxmlformats.org/officeDocument/2006/relationships/hyperlink" Target="http://www.walb.com/story/33503283/gbi-man-dead-in-elberton-officer-involved-shooting" TargetMode="External"/><Relationship Id="rId2452" Type="http://schemas.openxmlformats.org/officeDocument/2006/relationships/hyperlink" Target="http://www.ksat.com/news/man-killed-in-officer-involved-shooting-on-ne-side" TargetMode="External"/><Relationship Id="rId2453" Type="http://schemas.openxmlformats.org/officeDocument/2006/relationships/hyperlink" Target="http://www.fatalencounters.org/wp-content/uploads/2013/10/Lamont-Perry.jpg" TargetMode="External"/><Relationship Id="rId2454" Type="http://schemas.openxmlformats.org/officeDocument/2006/relationships/hyperlink" Target="http://www.wbtv.com/story/33506639/probation-officer-idd-after-person-dies-while-being-arrested-in-anson-co" TargetMode="External"/><Relationship Id="rId2455" Type="http://schemas.openxmlformats.org/officeDocument/2006/relationships/hyperlink" Target="http://www.kare11.com/news/man-shot-and-killed-by-police-in-western-minn/344029754" TargetMode="External"/><Relationship Id="rId2456" Type="http://schemas.openxmlformats.org/officeDocument/2006/relationships/hyperlink" Target="http://www.fatalencounters.org/wp-content/uploads/2013/10/Yun.jpg" TargetMode="External"/><Relationship Id="rId2457" Type="http://schemas.openxmlformats.org/officeDocument/2006/relationships/hyperlink" Target="http://www.cleveland.com/north-royalton/index.ssf/2016/10/north_royalton_man_fatally_sho.html" TargetMode="External"/><Relationship Id="rId2458" Type="http://schemas.openxmlformats.org/officeDocument/2006/relationships/hyperlink" Target="http://www.fatalencounters.org/wp-content/uploads/2013/10/Jason-King.jpg" TargetMode="External"/><Relationship Id="rId2459" Type="http://schemas.openxmlformats.org/officeDocument/2006/relationships/hyperlink" Target="http://www.sacbee.com/news/local/crime/article111315152.html" TargetMode="External"/><Relationship Id="rId810" Type="http://schemas.openxmlformats.org/officeDocument/2006/relationships/hyperlink" Target="http://ak-cache.legacy.net/legacy/images/Cobrands/Ledger-Enquirer/Photos/LE0040243-1_20150901.jpg" TargetMode="External"/><Relationship Id="rId811" Type="http://schemas.openxmlformats.org/officeDocument/2006/relationships/hyperlink" Target="http://images1.westword.com/imager/u/745xauto/7095329/william.rippley.facebook.4.jpg" TargetMode="External"/><Relationship Id="rId812" Type="http://schemas.openxmlformats.org/officeDocument/2006/relationships/hyperlink" Target="http://ww3.hdnux.com/photos/40/54/31/8570490/3/920x920.jpg" TargetMode="External"/><Relationship Id="rId813" Type="http://schemas.openxmlformats.org/officeDocument/2006/relationships/hyperlink" Target="http://media.ksat.com/photo/2015/09/02/Roger-Albrecht-shot-by-SAPD_1441236920219_158947_ver1.0_1280_720.jpg" TargetMode="External"/><Relationship Id="rId814" Type="http://schemas.openxmlformats.org/officeDocument/2006/relationships/hyperlink" Target="http://img.deseretnews.com/images/article/midres/1589560/1589560.jpg" TargetMode="External"/><Relationship Id="rId815" Type="http://schemas.openxmlformats.org/officeDocument/2006/relationships/hyperlink" Target="http://www.chattanoogan.com/photos/2015/8/article.307038.large.jpg" TargetMode="External"/><Relationship Id="rId816" Type="http://schemas.openxmlformats.org/officeDocument/2006/relationships/hyperlink" Target="http://img01.funeralnet.com/obit_photo.php?fullsize=1&amp;id=1540231&amp;clientid=jenkins-soffe&amp;iid=889565" TargetMode="External"/><Relationship Id="rId817" Type="http://schemas.openxmlformats.org/officeDocument/2006/relationships/hyperlink" Target="http://www.gannett-cdn.com/-mm-/ba9b0cd1ff1977f0469200d5bdba66aed4208811/c=0-37-720-578&amp;r=x404&amp;c=534x401/local/-/media/2015/08/27/Nashville/Nashville/635762774997799576-SteveDoddBDay.JPG" TargetMode="External"/><Relationship Id="rId818" Type="http://schemas.openxmlformats.org/officeDocument/2006/relationships/hyperlink" Target="https://lintvkrqe.files.wordpress.com/2015/08/marvin.png?w=351" TargetMode="External"/><Relationship Id="rId819" Type="http://schemas.openxmlformats.org/officeDocument/2006/relationships/hyperlink" Target="http://www.news3lv.com/media/lib/166/1/2/5/1253516c-7ddf-4dd7-8c51-c93e9f588679/Original.jpg" TargetMode="External"/><Relationship Id="rId1750" Type="http://schemas.openxmlformats.org/officeDocument/2006/relationships/hyperlink" Target="https://mgtvwate.files.wordpress.com/2016/03/vlcsnap-2016-03-14-15h35m19s208-e1457984178225.jpg?w=300&amp;h=452" TargetMode="External"/><Relationship Id="rId1751" Type="http://schemas.openxmlformats.org/officeDocument/2006/relationships/hyperlink" Target="http://www.fatalencounters.org/wp-content/uploads/2013/10/jose-raul-cruz.jpg" TargetMode="External"/><Relationship Id="rId1752" Type="http://schemas.openxmlformats.org/officeDocument/2006/relationships/hyperlink" Target="http://i.dailymail.co.uk/i/pix/2016/03/14/14/322E742500000578-3491555-image-m-28_1457964318089.jpg" TargetMode="External"/><Relationship Id="rId1753" Type="http://schemas.openxmlformats.org/officeDocument/2006/relationships/hyperlink" Target="http://www.wftv.com/news/local/man-armed-with-gun-killed-by-orlando-police/251456157" TargetMode="External"/><Relationship Id="rId1754" Type="http://schemas.openxmlformats.org/officeDocument/2006/relationships/hyperlink" Target="http://www.fatalencounters.org/wp-content/uploads/2013/10/Clinkscales.jpg" TargetMode="External"/><Relationship Id="rId1755" Type="http://schemas.openxmlformats.org/officeDocument/2006/relationships/hyperlink" Target="http://www.independentmail.com/news/state-investigating-death-of-man-in-anderson-police-custody-31cbe416-5ee0-5824-e053-0100007ff462-377746431.html" TargetMode="External"/><Relationship Id="rId1756" Type="http://schemas.openxmlformats.org/officeDocument/2006/relationships/hyperlink" Target="http://www.jacksonsun.com/story/news/local/2016/05/01/one-dies-officer-involved-shooting-crockett-co/83802870/" TargetMode="External"/><Relationship Id="rId1757" Type="http://schemas.openxmlformats.org/officeDocument/2006/relationships/hyperlink" Target="http://www.gannett-cdn.com/-mm-/91881958fc89c744d3eb0a5929ac8ff7a051810e/c=19-0-595-768&amp;r=537&amp;c=0-0-534-712/local/-/media/2016/05/18/CarolinaGroup/Greenville/635992085351034190-Dogan.jpg" TargetMode="External"/><Relationship Id="rId1758" Type="http://schemas.openxmlformats.org/officeDocument/2006/relationships/hyperlink" Target="http://www.wyff4.com/news/dispatch-crews-on-scene-of-reported-shooting-in-greenville-county/39346400" TargetMode="External"/><Relationship Id="rId1759" Type="http://schemas.openxmlformats.org/officeDocument/2006/relationships/hyperlink" Target="http://www.visaliatimesdelta.com/story/news/2016/05/03/least-one-shot-officer-involved-shooting/83869488/" TargetMode="External"/><Relationship Id="rId3160" Type="http://schemas.openxmlformats.org/officeDocument/2006/relationships/hyperlink" Target="http://6abc.com/news/deadly-police-involved-shooting-at-nj-turnpike-service-area-/1826497/" TargetMode="External"/><Relationship Id="rId3161" Type="http://schemas.openxmlformats.org/officeDocument/2006/relationships/hyperlink" Target="http://www.northescambia.com/2017/04/suspect-shot-and-killed-by-escambia-deputy-in-cantonment" TargetMode="External"/><Relationship Id="rId3162" Type="http://schemas.openxmlformats.org/officeDocument/2006/relationships/hyperlink" Target="http://www.iberianet.com/breaking_news/officer-involved-shooting-on-spencer-loop/article_e5b596ae-1724-11e7-9ae5-0320449111ea.html" TargetMode="External"/><Relationship Id="rId3163" Type="http://schemas.openxmlformats.org/officeDocument/2006/relationships/hyperlink" Target="http://www.waaytv.com/appnews/update-man-killed-in-wreck-during-police-chase-identified/article_f9601ab6-1815-11e7-8644-bf3e3d096720.html" TargetMode="External"/><Relationship Id="rId3164" Type="http://schemas.openxmlformats.org/officeDocument/2006/relationships/hyperlink" Target="http://www.pressdemocrat.com/news/6850484-181/motorcyclist-killed-in-crash-involving" TargetMode="External"/><Relationship Id="rId3165" Type="http://schemas.openxmlformats.org/officeDocument/2006/relationships/hyperlink" Target="http://www.chicagotribune.com/news/local/breaking/ct-man-dies-following-crash-involving-officers-on-far-south-side-20170404-story.html" TargetMode="External"/><Relationship Id="rId3166" Type="http://schemas.openxmlformats.org/officeDocument/2006/relationships/hyperlink" Target="http://www.fatalencounters.org/wp-content/uploads/2013/10/Shakur.jpg" TargetMode="External"/><Relationship Id="rId3167" Type="http://schemas.openxmlformats.org/officeDocument/2006/relationships/hyperlink" Target="http://www.nj.com/essex/index.ssf/2017/04/man_killed_in_fiery_wreck_during_police_chase_auth.html" TargetMode="External"/><Relationship Id="rId3168" Type="http://schemas.openxmlformats.org/officeDocument/2006/relationships/hyperlink" Target="http://wspa.com/2017/04/03/officer-involved-shooting-in-pendleton-sled-responding/" TargetMode="External"/><Relationship Id="rId3169" Type="http://schemas.openxmlformats.org/officeDocument/2006/relationships/hyperlink" Target="http://www.fatalencounters.org/wp-content/uploads/2013/10/Clarence-Leon-Davis.jpg" TargetMode="External"/><Relationship Id="rId1210" Type="http://schemas.openxmlformats.org/officeDocument/2006/relationships/hyperlink" Target="http://www.kansascity.com/news/local/crime/article27006070.html" TargetMode="External"/><Relationship Id="rId1211"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212" Type="http://schemas.openxmlformats.org/officeDocument/2006/relationships/hyperlink" Target="http://extras.mnginteractive.com/live/media/site568/2015/0807/20150807__ois~1.JPG" TargetMode="External"/><Relationship Id="rId1213" Type="http://schemas.openxmlformats.org/officeDocument/2006/relationships/hyperlink" Target="https://img.washingtonpost.com/wp-apps/imrs.php?src=https://img.washingtonpost.com/rf/image_908w/2010-2019/Wires/Images/2015-08-08/AP/Killings_by_Police-Football_Player-01655.jpg&amp;w=1484" TargetMode="External"/><Relationship Id="rId1214" Type="http://schemas.openxmlformats.org/officeDocument/2006/relationships/hyperlink" Target="https://cbsla.files.wordpress.com/2015/08/derrick_hunt.jpg?w=1280" TargetMode="External"/><Relationship Id="rId1215" Type="http://schemas.openxmlformats.org/officeDocument/2006/relationships/hyperlink" Target="http://www.postandcourier.com/storyimage/CP/20150810/PC16/150819946/EP/1/1/EP-150819946.jpg&amp;MaxW=520&amp;q=85" TargetMode="External"/><Relationship Id="rId1216" Type="http://schemas.openxmlformats.org/officeDocument/2006/relationships/hyperlink" Target="https://mgtvwnct.files.wordpress.com/2015/08/tsombe-clark.jpg" TargetMode="External"/><Relationship Id="rId1217"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218" Type="http://schemas.openxmlformats.org/officeDocument/2006/relationships/hyperlink" Target="http://assets.dnainfo.com/generated/photo/2015/08/garland-tyree-1439558833.jpg/extralarge.jpg" TargetMode="External"/><Relationship Id="rId1219" Type="http://schemas.openxmlformats.org/officeDocument/2006/relationships/hyperlink" Target="http://www.fresnobee.com/news/local/crime/h2le4i/picture31453181/ALTERNATES/FREE_640/Allen%20Matthew%20Baker%20III" TargetMode="External"/><Relationship Id="rId2460" Type="http://schemas.openxmlformats.org/officeDocument/2006/relationships/hyperlink" Target="http://www.fatalencounters.org/wp-content/uploads/2013/10/Rene-Burrola.jpg" TargetMode="External"/><Relationship Id="rId2461" Type="http://schemas.openxmlformats.org/officeDocument/2006/relationships/hyperlink" Target="http://www.expressnews.com/news/news_columnists/brian_chasnoff/article/Chase-by-deputy-constable-causes-fatal-crash-10426104.php" TargetMode="External"/><Relationship Id="rId2462" Type="http://schemas.openxmlformats.org/officeDocument/2006/relationships/hyperlink" Target="http://www.azfamily.com/story/33512738/mohave-county-deputy-shoots-kills-man" TargetMode="External"/><Relationship Id="rId2463" Type="http://schemas.openxmlformats.org/officeDocument/2006/relationships/hyperlink" Target="http://www.cbs7.com/content/news/399194741.html" TargetMode="External"/><Relationship Id="rId2464" Type="http://schemas.openxmlformats.org/officeDocument/2006/relationships/hyperlink" Target="http://www.wmur.com/article/officer-involved-shooting-in-bostons-south-end/8032928" TargetMode="External"/><Relationship Id="rId2465" Type="http://schemas.openxmlformats.org/officeDocument/2006/relationships/hyperlink" Target="http://www.fatalencounters.org/wp-content/uploads/2013/10/Michael-Dale-Vance-Jr..jpg" TargetMode="External"/><Relationship Id="rId2466" Type="http://schemas.openxmlformats.org/officeDocument/2006/relationships/hyperlink" Target="http://www.tulsaworld.com/news/state/fugitive-michael-vance-shot-killed-in-western-oklahoma/article_772da50f-ed01-5652-9795-d7adf0e1362d.html" TargetMode="External"/><Relationship Id="rId2467" Type="http://schemas.openxmlformats.org/officeDocument/2006/relationships/hyperlink" Target="http://www.kristv.com/story/33515883/suspect-shot-and-killed-by-police-during-standoff-at-shoreline" TargetMode="External"/><Relationship Id="rId2468" Type="http://schemas.openxmlformats.org/officeDocument/2006/relationships/hyperlink" Target="http://sfvmedia.com/sfv/man-fatally-shot-police-stabbing-estranged-wife-chatsworth-courthouse-identified/" TargetMode="External"/><Relationship Id="rId2469" Type="http://schemas.openxmlformats.org/officeDocument/2006/relationships/hyperlink" Target="http://ktla.com/2016/10/31/man-shot-by-police-during-confrontation-in-torrance/" TargetMode="External"/><Relationship Id="rId820" Type="http://schemas.openxmlformats.org/officeDocument/2006/relationships/hyperlink" Target="http://bloximages.chicago2.vip.townnews.com/grandrapidsmn.com/content/tncms/assets/v3/editorial/8/3b/83b1ca04-4ffc-11e5-ad77-6f83536a09fe/55e47f70cd36f.image.jpg?resize=300%2C213" TargetMode="External"/><Relationship Id="rId821" Type="http://schemas.openxmlformats.org/officeDocument/2006/relationships/hyperlink" Target="https://localtvwghp.files.wordpress.com/2015/08/untitled-213.jpg?w=770" TargetMode="External"/><Relationship Id="rId822" Type="http://schemas.openxmlformats.org/officeDocument/2006/relationships/hyperlink" Target="http://cdn.abclocal.go.com/content/kabc/images/cms/automation/vod/951884_630x354.jpg" TargetMode="External"/><Relationship Id="rId823" Type="http://schemas.openxmlformats.org/officeDocument/2006/relationships/hyperlink" Target="http://www.trbimg.com/img-55d4fdaf/turbine/la-me-inmate-killed-by-guards-in-third-prison--002/550/309x550" TargetMode="External"/><Relationship Id="rId824" Type="http://schemas.openxmlformats.org/officeDocument/2006/relationships/hyperlink" Target="http://tucson.com/news/blogs/police-beat/man-killed-in-tucson-police-shooting-linked-to-slaying/article_760fd780-3bd7-11e5-9927-0f42f589a5ea.html" TargetMode="External"/><Relationship Id="rId825" Type="http://schemas.openxmlformats.org/officeDocument/2006/relationships/hyperlink" Target="http://timesleader.com/news/local/376876/disabled-man-waving-gun-killed-by-police-in-pittston" TargetMode="External"/><Relationship Id="rId826" Type="http://schemas.openxmlformats.org/officeDocument/2006/relationships/hyperlink" Target="http://www.kansas.com/news/local/crime/article32105529.html" TargetMode="External"/><Relationship Id="rId827" Type="http://schemas.openxmlformats.org/officeDocument/2006/relationships/hyperlink" Target="http://www.click2houston.com/news/driver-shot-killed-after-leading-police-on-chase-across-sw-houston/34492804" TargetMode="External"/><Relationship Id="rId828" Type="http://schemas.openxmlformats.org/officeDocument/2006/relationships/hyperlink" Target="http://wric.com/2015/08/04/state-police-armed-man-killed-after-officer-involved-shooting-in-powhatan-county/" TargetMode="External"/><Relationship Id="rId829" Type="http://schemas.openxmlformats.org/officeDocument/2006/relationships/hyperlink" Target="http://missoulian.com/news/local/mineral-county-releases-names-of-deputy-victim-in-fatal-shooting/article_b5fd7dbd-f901-5fba-b7d9-5260acaac37c.html" TargetMode="External"/><Relationship Id="rId1760" Type="http://schemas.openxmlformats.org/officeDocument/2006/relationships/hyperlink" Target="http://myvalleynews.com/local/temecula-officer-involved-shooting-leaves-one-man-dead/" TargetMode="External"/><Relationship Id="rId1761" Type="http://schemas.openxmlformats.org/officeDocument/2006/relationships/hyperlink" Target="http://b-townblog.com/2016/05/04/followup-burien-man-shot-by-police-wed-morning-identified-as-cayce-ditullio/" TargetMode="External"/><Relationship Id="rId1762" Type="http://schemas.openxmlformats.org/officeDocument/2006/relationships/hyperlink" Target="http://www.ozarksfirst.com/news/trooper-shoots-kills-suspected-armed-man-after-altercation" TargetMode="External"/><Relationship Id="rId1763" Type="http://schemas.openxmlformats.org/officeDocument/2006/relationships/hyperlink" Target="http://6abc.com/traffic/driver-killed-in-police-involved-shooting-in-overbrook/1322605/" TargetMode="External"/><Relationship Id="rId1764" Type="http://schemas.openxmlformats.org/officeDocument/2006/relationships/hyperlink" Target="http://www.fatalencounters.org/wp-content/uploads/2013/10/Deresha.png" TargetMode="External"/><Relationship Id="rId1765" Type="http://schemas.openxmlformats.org/officeDocument/2006/relationships/hyperlink" Target="http://www.orlandosentinel.com/news/breaking-news/os-deputy-involved-shooting-delhi-street-20160505-story.html" TargetMode="External"/><Relationship Id="rId1766" Type="http://schemas.openxmlformats.org/officeDocument/2006/relationships/hyperlink" Target="http://image.nola.com/home/nola-media/width620/img/crime_impact/photo/20281679-mmmain.jpg" TargetMode="External"/><Relationship Id="rId1767" Type="http://schemas.openxmlformats.org/officeDocument/2006/relationships/hyperlink" Target="http://www.nola.com/crime/index.ssf/2016/05/gretna_officer-involved_shooti.html" TargetMode="External"/><Relationship Id="rId1768" Type="http://schemas.openxmlformats.org/officeDocument/2006/relationships/hyperlink" Target="http://www.cbs58.com/story/31905841/officer-shot-and-suspect-killed-near-73rd-and-mill-road" TargetMode="External"/><Relationship Id="rId1769" Type="http://schemas.openxmlformats.org/officeDocument/2006/relationships/hyperlink" Target="http://wtov9.com/news/local/police-release-name-of-man-killed-in-weirton-shooting" TargetMode="External"/><Relationship Id="rId3170" Type="http://schemas.openxmlformats.org/officeDocument/2006/relationships/hyperlink" Target="http://www.wral.com/person-killed-during-police-chase-on-highway-501/16623219/" TargetMode="External"/><Relationship Id="rId3171" Type="http://schemas.openxmlformats.org/officeDocument/2006/relationships/hyperlink" Target="http://bakersfieldnow.com/news/local/police-involved-in-south-bakersfield-shooting" TargetMode="External"/><Relationship Id="rId3172" Type="http://schemas.openxmlformats.org/officeDocument/2006/relationships/hyperlink" Target="http://www.fatalencounters.org/wp-content/uploads/2013/10/MichaelMaldonado.png" TargetMode="External"/><Relationship Id="rId3173" Type="http://schemas.openxmlformats.org/officeDocument/2006/relationships/hyperlink" Target="http://www.chron.com/news/houston-texas/article/Officer-involved-shooting-under-investigating-in-11049915.php" TargetMode="External"/><Relationship Id="rId3174" Type="http://schemas.openxmlformats.org/officeDocument/2006/relationships/hyperlink" Target="http://baltimore.cbslocal.com/2017/04/04/suspect-dead-another-injured-after-crashing-during-police-chase/" TargetMode="External"/><Relationship Id="rId3175" Type="http://schemas.openxmlformats.org/officeDocument/2006/relationships/hyperlink" Target="http://www.fatalencounters.org/wp-content/uploads/2013/10/Stephen-Connard-Ferry.png" TargetMode="External"/><Relationship Id="rId3176" Type="http://schemas.openxmlformats.org/officeDocument/2006/relationships/hyperlink" Target="http://napavalleyregister.com/news/local/shooting-suspect-killed-in-gunfire-with-napa-police/article_5be534e3-d956-50ea-a916-c9db8a4b1ff3.html" TargetMode="External"/><Relationship Id="rId3177" Type="http://schemas.openxmlformats.org/officeDocument/2006/relationships/hyperlink" Target="http://fox40.com/2017/04/05/two-teens-identified-as-suspects-killed-in-stockton-police-pursuit/" TargetMode="External"/><Relationship Id="rId3178" Type="http://schemas.openxmlformats.org/officeDocument/2006/relationships/hyperlink" Target="http://www.fatalencounters.org/wp-content/uploads/2013/10/Michael-Alcaraz.jpg" TargetMode="External"/><Relationship Id="rId3179" Type="http://schemas.openxmlformats.org/officeDocument/2006/relationships/hyperlink" Target="http://www.goshennews.com/news/police_news/police-on-the-scene-of-alleged-shooting-at-double-d/article_1cb122f8-1a0a-11e7-a044-bf96a250b7b7.html" TargetMode="External"/><Relationship Id="rId1220" Type="http://schemas.openxmlformats.org/officeDocument/2006/relationships/hyperlink" Target="https://blackopswiki.s3.amazonaws.com/uploads/article/avatar/367/large_avatar_frederick_roy.jpg" TargetMode="External"/><Relationship Id="rId1221" Type="http://schemas.openxmlformats.org/officeDocument/2006/relationships/hyperlink" Target="http://i.dailymail.co.uk/i/pix/2015/08/20/08/2B838CE700000578-3203849-image-a-8_1440056342444.jpg" TargetMode="External"/><Relationship Id="rId1222" Type="http://schemas.openxmlformats.org/officeDocument/2006/relationships/hyperlink" Target="https://lintvwivb.files.wordpress.com/2015/08/thaddeus-faison.jpg" TargetMode="External"/><Relationship Id="rId1223" Type="http://schemas.openxmlformats.org/officeDocument/2006/relationships/hyperlink" Target="https://localtvwtvr.files.wordpress.com/2015/08/shooter.jpg?w=770&amp;h=433" TargetMode="External"/><Relationship Id="rId1224" Type="http://schemas.openxmlformats.org/officeDocument/2006/relationships/hyperlink" Target="http://img.huffingtonpost.com/asset/scalefit_630_noupscale/55cd530e1d00002f00144c8d.jpeg?cache=aG1Q941U8e" TargetMode="External"/><Relationship Id="rId1225" Type="http://schemas.openxmlformats.org/officeDocument/2006/relationships/hyperlink" Target="http://extras.mnginteractive.com/live/media/site525/2015/0814/20150814_040907_unnamed.jpg" TargetMode="External"/><Relationship Id="rId1226" Type="http://schemas.openxmlformats.org/officeDocument/2006/relationships/hyperlink" Target="https://ioneadwnews.files.wordpress.com/2015/08/troy.jpg?w=221&amp;h=228" TargetMode="External"/><Relationship Id="rId1227" Type="http://schemas.openxmlformats.org/officeDocument/2006/relationships/hyperlink" Target="http://www.wlwt.com/image/view/-/35034924/highRes/2/-/maxh/630/maxw/1200/-/wo4taiz/-/James-Carney-III-jpg.jpg" TargetMode="External"/><Relationship Id="rId1228" Type="http://schemas.openxmlformats.org/officeDocument/2006/relationships/hyperlink" Target="http://1.bp.blogspot.com/-xOS3t4XLRDc/VegsAfvOjmI/AAAAAAABEY4/q1TEtNlCyyQ/s1600/jamesbrownIII.jpg" TargetMode="External"/><Relationship Id="rId1229" Type="http://schemas.openxmlformats.org/officeDocument/2006/relationships/hyperlink" Target="http://crimeblog.dallasnews.com/files/2015/08/Bertrand.jpg" TargetMode="External"/><Relationship Id="rId2470" Type="http://schemas.openxmlformats.org/officeDocument/2006/relationships/hyperlink" Target="http://www.rgj.com/story/news/crime/2016/11/01/one-dead-after-nhp-trooper-involved-shooting/93123520/" TargetMode="External"/><Relationship Id="rId2471" Type="http://schemas.openxmlformats.org/officeDocument/2006/relationships/hyperlink" Target="http://www.enidnews.com/news/new-suspect-in-early-morning-shooting-now-in-custody/article_3a879272-a05b-11e6-81b1-e38d7bf882c9.html" TargetMode="External"/><Relationship Id="rId2472" Type="http://schemas.openxmlformats.org/officeDocument/2006/relationships/hyperlink" Target="http://www.fatalencounters.org/wp-content/uploads/2013/10/Bradley.jpg" TargetMode="External"/><Relationship Id="rId2473" Type="http://schemas.openxmlformats.org/officeDocument/2006/relationships/hyperlink" Target="http://www.recordnet.com/news/20161102/masked-man-killed-by-off-duty-sj-deputy" TargetMode="External"/><Relationship Id="rId2474" Type="http://schemas.openxmlformats.org/officeDocument/2006/relationships/hyperlink" Target="http://www.fatalencounters.org/wp-content/uploads/2013/10/Ariel-Galarza.jpg" TargetMode="External"/><Relationship Id="rId2475" Type="http://schemas.openxmlformats.org/officeDocument/2006/relationships/hyperlink" Target="http://www.nydailynews.com/new-york/bronx/man-critical-condition-cops-taser-bronx-clash-article-1.2855934" TargetMode="External"/><Relationship Id="rId2476" Type="http://schemas.openxmlformats.org/officeDocument/2006/relationships/hyperlink" Target="http://www.fatalencounters.org/wp-content/uploads/2013/10/WiltonHenry.jpg" TargetMode="External"/><Relationship Id="rId2477" Type="http://schemas.openxmlformats.org/officeDocument/2006/relationships/hyperlink" Target="http://www.houmatoday.com/news/20161102/terrebonne-deputy-kills-man-who-shot-himself-then-pointed-gun-at-officer" TargetMode="External"/><Relationship Id="rId2478" Type="http://schemas.openxmlformats.org/officeDocument/2006/relationships/hyperlink" Target="http://www.sltrib.com/home/4537376-155/shooting-reported-in-west-jordan" TargetMode="External"/><Relationship Id="rId2479" Type="http://schemas.openxmlformats.org/officeDocument/2006/relationships/hyperlink" Target="http://fox43.com/2016/11/07/police-id-man-killed-in-officer-involved-shooting-at-chambersburg-hospital/" TargetMode="External"/><Relationship Id="rId830" Type="http://schemas.openxmlformats.org/officeDocument/2006/relationships/hyperlink" Target="http://foxct.com/2015/08/08/combative-man-hit-by-taser-in-hartford-dies/" TargetMode="External"/><Relationship Id="rId831" Type="http://schemas.openxmlformats.org/officeDocument/2006/relationships/hyperlink" Target="http://www.charlotteobserver.com/news/local/crime/article30532512.html" TargetMode="External"/><Relationship Id="rId832" Type="http://schemas.openxmlformats.org/officeDocument/2006/relationships/hyperlink" Target="http://www.khq.com/story/29771812/man-killed-in-officer-involved-shooting-identified" TargetMode="External"/><Relationship Id="rId833" Type="http://schemas.openxmlformats.org/officeDocument/2006/relationships/hyperlink" Target="http://www.khou.com/story/news/local/2015/08/09/man-killed-in-officer-involved-shooting-in-waller-county/31363535/" TargetMode="External"/><Relationship Id="rId834" Type="http://schemas.openxmlformats.org/officeDocument/2006/relationships/hyperlink" Target="http://www.pe.com/articles/vallejo-776889-convicted-shot.html" TargetMode="External"/><Relationship Id="rId835" Type="http://schemas.openxmlformats.org/officeDocument/2006/relationships/hyperlink" Target="http://www.sfgate.com/crime/article/San-Jose-police-shoot-and-kill-stabbing-suspect-6434653.php" TargetMode="External"/><Relationship Id="rId836" Type="http://schemas.openxmlformats.org/officeDocument/2006/relationships/hyperlink" Target="http://www.kxii.com/home/headlines/Suspect-in-Ardmore-officer-involved-shooting-dies-321179871.html" TargetMode="External"/><Relationship Id="rId837" Type="http://schemas.openxmlformats.org/officeDocument/2006/relationships/hyperlink" Target="http://www.azcentral.com/story/news/local/gilbert/breaking/2015/08/10/officer-involved-shooting-scene--gilbert-abrk/31414861/" TargetMode="External"/><Relationship Id="rId838" Type="http://schemas.openxmlformats.org/officeDocument/2006/relationships/hyperlink" Target="http://www.spokesman.com/stories/2015/aug/11/man-dies-after-police-shooting-sandpoint/" TargetMode="External"/><Relationship Id="rId839" Type="http://schemas.openxmlformats.org/officeDocument/2006/relationships/hyperlink" Target="http://www.kwtx.com/home/headlines/Shooting-Reported-At-Local-H-E-B-Store-321470271.html" TargetMode="External"/><Relationship Id="rId1770" Type="http://schemas.openxmlformats.org/officeDocument/2006/relationships/hyperlink" Target="http://www.fatalencounters.org/wp-content/uploads/2013/10/Lionel-Gibson.jpg" TargetMode="External"/><Relationship Id="rId1771" Type="http://schemas.openxmlformats.org/officeDocument/2006/relationships/hyperlink" Target="http://www.presstelegram.com/general-news/20160507/fatal-officer-involved-shooting-investigated-in-south-wrigley-area-of-long-beach" TargetMode="External"/><Relationship Id="rId1772" Type="http://schemas.openxmlformats.org/officeDocument/2006/relationships/hyperlink" Target="http://www.fatalencounters.org/wp-content/uploads/2013/10/Alton-Witchard.jpg" TargetMode="External"/><Relationship Id="rId1773" Type="http://schemas.openxmlformats.org/officeDocument/2006/relationships/hyperlink" Target="http://www.baynews9.com/content/news/baynews9/news/article.html/content/news/articles/bn9/2016/5/7/deputy_involved_shoo.html" TargetMode="External"/><Relationship Id="rId1774" Type="http://schemas.openxmlformats.org/officeDocument/2006/relationships/hyperlink" Target="http://www.fatalencounters.org/wp-content/uploads/2013/10/DerekSam.png" TargetMode="External"/><Relationship Id="rId1775" Type="http://schemas.openxmlformats.org/officeDocument/2006/relationships/hyperlink" Target="http://bangordailynews.com/2016/05/10/news/aroostook/man-shot-by-officer-in-presque-isle-dies-at-hospital/" TargetMode="External"/><Relationship Id="rId1776" Type="http://schemas.openxmlformats.org/officeDocument/2006/relationships/hyperlink" Target="http://komonews.com/news/local/man-dead-after-officer-involved-shooting-in-lake-stevens" TargetMode="External"/><Relationship Id="rId1777" Type="http://schemas.openxmlformats.org/officeDocument/2006/relationships/hyperlink" Target="http://www.fatalencounters.org/wp-content/uploads/2013/10/Robert-E.-Crittsinger-Jr..jpg" TargetMode="External"/><Relationship Id="rId1778" Type="http://schemas.openxmlformats.org/officeDocument/2006/relationships/hyperlink" Target="http://wavy.com/2016/05/07/fatal-wreck-involving-police-cruiser-in-norfolk/" TargetMode="External"/><Relationship Id="rId1779" Type="http://schemas.openxmlformats.org/officeDocument/2006/relationships/hyperlink" Target="http://www.fatalencounters.org/wp-content/uploads/2013/10/KellyWilson.jpg" TargetMode="External"/><Relationship Id="rId3180" Type="http://schemas.openxmlformats.org/officeDocument/2006/relationships/hyperlink" Target="http://www.click2houston.com/news/driver-killed-in-rollover-crash-during-chase-on-beltway-8" TargetMode="External"/><Relationship Id="rId3181" Type="http://schemas.openxmlformats.org/officeDocument/2006/relationships/hyperlink" Target="http://www.fatalencounters.org/wp-content/uploads/2013/10/Austin-Snyder.jpg" TargetMode="External"/><Relationship Id="rId3182" Type="http://schemas.openxmlformats.org/officeDocument/2006/relationships/hyperlink" Target="http://www.arkansasonline.com/news/2017/apr/05/one-dead-officer-involved-shooting-west-little-roc/" TargetMode="External"/><Relationship Id="rId3183" Type="http://schemas.openxmlformats.org/officeDocument/2006/relationships/hyperlink" Target="http://nbc4i.com/2017/04/06/columbus-police-involved-in-reported-shooting-at-mt-carmel-st-anns/" TargetMode="External"/><Relationship Id="rId3184" Type="http://schemas.openxmlformats.org/officeDocument/2006/relationships/hyperlink" Target="http://www.fatalencounters.org/wp-content/uploads/2013/10/Benjamin-Ailstock.jpg" TargetMode="External"/><Relationship Id="rId3185" Type="http://schemas.openxmlformats.org/officeDocument/2006/relationships/hyperlink" Target="http://www.cleveland.com/metro/index.ssf/2017/04/swat_officers_fatally_shoot_ar.html" TargetMode="External"/><Relationship Id="rId3186" Type="http://schemas.openxmlformats.org/officeDocument/2006/relationships/hyperlink" Target="http://www.fatalencounters.org/wp-content/uploads/2013/10/Glenn-Watenpool.png" TargetMode="External"/><Relationship Id="rId3187" Type="http://schemas.openxmlformats.org/officeDocument/2006/relationships/hyperlink" Target="http://www.bradenton.com/news/local/crime/article143153954.html" TargetMode="External"/><Relationship Id="rId3188" Type="http://schemas.openxmlformats.org/officeDocument/2006/relationships/hyperlink" Target="http://pix11.com/2017/04/06/man-with-shotgun-wounded-during-newark-police-involved-shooting/" TargetMode="External"/><Relationship Id="rId3189" Type="http://schemas.openxmlformats.org/officeDocument/2006/relationships/hyperlink" Target="http://www.fatalencounters.org/wp-content/uploads/2013/10/richard-xavier-summers.jpg" TargetMode="External"/><Relationship Id="rId1230" Type="http://schemas.openxmlformats.org/officeDocument/2006/relationships/hyperlink" Target="http://media.philly.com/images/180*200/20150826_inq_sshooting26z-f.JPG" TargetMode="External"/><Relationship Id="rId1231"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232" Type="http://schemas.openxmlformats.org/officeDocument/2006/relationships/hyperlink" Target="https://cbssanfran.files.wordpress.com/2015/08/nathaniel_wilks_081415.jpg" TargetMode="External"/><Relationship Id="rId1233" Type="http://schemas.openxmlformats.org/officeDocument/2006/relationships/hyperlink" Target="http://woio.images.worldnow.com/images/7942214_G.jpg" TargetMode="External"/><Relationship Id="rId1234" Type="http://schemas.openxmlformats.org/officeDocument/2006/relationships/hyperlink" Target="http://abc7.com/news/armed-woman-shot-by-police-in-crenshaw-district/925223/" TargetMode="External"/><Relationship Id="rId1235" Type="http://schemas.openxmlformats.org/officeDocument/2006/relationships/hyperlink" Target="http://www.washingtonpost.com/news/morning-mix/wp/2015/08/12/christian-taylors-father-feels-for-fired-cop-there-isnt-a-winner-in-this-we-are-both-losers/" TargetMode="External"/><Relationship Id="rId1236" Type="http://schemas.openxmlformats.org/officeDocument/2006/relationships/hyperlink" Target="http://homicide.latimes.com/post/derrick-lee-hunt/" TargetMode="External"/><Relationship Id="rId1237" Type="http://schemas.openxmlformats.org/officeDocument/2006/relationships/hyperlink" Target="http://www.postandcourier.com/article/20150810/PC16/150819946" TargetMode="External"/><Relationship Id="rId1238" Type="http://schemas.openxmlformats.org/officeDocument/2006/relationships/hyperlink" Target="http://wnct.com/2015/08/08/officer-involved-shooting-at-buffalo-wild-wings/" TargetMode="External"/><Relationship Id="rId1239" Type="http://schemas.openxmlformats.org/officeDocument/2006/relationships/hyperlink" Target="http://www.indystar.com/story/news/crime/2015/08/10/carjacking-suspect-dead-officer-involved-shooting/31398827/" TargetMode="External"/><Relationship Id="rId2480" Type="http://schemas.openxmlformats.org/officeDocument/2006/relationships/hyperlink" Target="http://www.waltontribune.com/article_0b26a9f6-a1d6-11e6-8613-eb8d373e2d97.html" TargetMode="External"/><Relationship Id="rId2481" Type="http://schemas.openxmlformats.org/officeDocument/2006/relationships/hyperlink" Target="http://www.fatalencounters.org/wp-content/uploads/2013/10/Ferguson-Claude-Laurent-Jr..jpg" TargetMode="External"/><Relationship Id="rId2482" Type="http://schemas.openxmlformats.org/officeDocument/2006/relationships/hyperlink" Target="http://www.charlotteobserver.com/news/local/article112267557.html" TargetMode="External"/><Relationship Id="rId2483" Type="http://schemas.openxmlformats.org/officeDocument/2006/relationships/hyperlink" Target="http://www.peninsuladailynews.com/news/beaver-area-man-killed-in-police-standoff-at-trailer/" TargetMode="External"/><Relationship Id="rId2484" Type="http://schemas.openxmlformats.org/officeDocument/2006/relationships/hyperlink" Target="http://www.nydailynews.com/new-york/nyc-crime/nypd-sergeant-shot-dead-wounded-bronx-gunman-ambush-article-1.2858556" TargetMode="External"/><Relationship Id="rId2485" Type="http://schemas.openxmlformats.org/officeDocument/2006/relationships/hyperlink" Target="http://www.fatalencounters.org/wp-content/uploads/2013/10/Abraham-Ortiz.jpg" TargetMode="External"/><Relationship Id="rId2486" Type="http://schemas.openxmlformats.org/officeDocument/2006/relationships/hyperlink" Target="http://www.desertsun.com/story/news/crime_courts/2016/11/04/palm-springs-police-shooting/93304396/" TargetMode="External"/><Relationship Id="rId2487" Type="http://schemas.openxmlformats.org/officeDocument/2006/relationships/hyperlink" Target="http://www.fatalencounters.org/wp-content/uploads/2013/10/Joshua-Beal.jpg" TargetMode="External"/><Relationship Id="rId2488" Type="http://schemas.openxmlformats.org/officeDocument/2006/relationships/hyperlink" Target="http://wgntv.com/2016/11/05/man-killed-in-police-involved-shooting-in-mount-greenwood-family-says/" TargetMode="External"/><Relationship Id="rId2489" Type="http://schemas.openxmlformats.org/officeDocument/2006/relationships/hyperlink" Target="http://www.fatalencounters.org/wp-content/uploads/2013/10/Russell-Elswick.jpg" TargetMode="External"/><Relationship Id="rId840" Type="http://schemas.openxmlformats.org/officeDocument/2006/relationships/hyperlink" Target="http://www.oaoa.com/news/crime_justice/article_0d1cc546-4094-11e5-b2c0-67fa1d7ef932.html" TargetMode="External"/><Relationship Id="rId841" Type="http://schemas.openxmlformats.org/officeDocument/2006/relationships/hyperlink" Target="http://www.kob.com/article/stories/s3879034.shtml" TargetMode="External"/><Relationship Id="rId842" Type="http://schemas.openxmlformats.org/officeDocument/2006/relationships/hyperlink" Target="http://www.courant.com/breaking-news/hc-bolton-chase-update-0818-20150817-story.html" TargetMode="External"/><Relationship Id="rId843" Type="http://schemas.openxmlformats.org/officeDocument/2006/relationships/hyperlink" Target="http://www.mysanantonio.com/news/local/article/Man-brandishes-gun-at-Boerne-police-is-shot-and-6446247.php" TargetMode="External"/><Relationship Id="rId844" Type="http://schemas.openxmlformats.org/officeDocument/2006/relationships/hyperlink" Target="http://www.latimes.com/local/lanow/la-me-ln-kern-county-shooting-20150815-story.html" TargetMode="External"/><Relationship Id="rId845" Type="http://schemas.openxmlformats.org/officeDocument/2006/relationships/hyperlink" Target="http://www.madisoncourier.com/Content/News/News/Article/Hanover-man-dead-in-officer-involved-shooting/178/961/92193" TargetMode="External"/><Relationship Id="rId846" Type="http://schemas.openxmlformats.org/officeDocument/2006/relationships/hyperlink" Target="http://www.nevadaappeal.com/news/17729220-113/several-popping-noises-right-consecutive" TargetMode="External"/><Relationship Id="rId847" Type="http://schemas.openxmlformats.org/officeDocument/2006/relationships/hyperlink" Target="http://www.sgvtribune.com/general-news/20150816/suspect-dies-after-being-shot-with-taser-by-police" TargetMode="External"/><Relationship Id="rId848" Type="http://schemas.openxmlformats.org/officeDocument/2006/relationships/hyperlink" Target="http://www.nbcbayarea.com/news/local/Officer-Involved-Shooting-in-San-Jose-322019022.html?utm_source=dlvr.it&amp;utm_medium=twitter" TargetMode="External"/><Relationship Id="rId849" Type="http://schemas.openxmlformats.org/officeDocument/2006/relationships/hyperlink" Target="http://www.mysanantonio.com/news/local/article/Kerrville-police-shoot-kill-man-who-fired-rifle-6448471.php" TargetMode="External"/><Relationship Id="rId1780" Type="http://schemas.openxmlformats.org/officeDocument/2006/relationships/hyperlink" Target="http://www.wandtv.com/story/31919828/developing-isp-releases-more-details-on-oakland-ave-deadly-crash" TargetMode="External"/><Relationship Id="rId1781" Type="http://schemas.openxmlformats.org/officeDocument/2006/relationships/hyperlink" Target="http://www.mynews13.com/content/news/cfnews13/news/article.html/content/news/articles/cfn/2016/5/9/man_dead_in_deputy_i.html" TargetMode="External"/><Relationship Id="rId1782" Type="http://schemas.openxmlformats.org/officeDocument/2006/relationships/hyperlink" Target="http://www.fatalencounters.org/wp-content/uploads/2013/10/Norman-Eric-Stauber.jpg" TargetMode="External"/><Relationship Id="rId1783" Type="http://schemas.openxmlformats.org/officeDocument/2006/relationships/hyperlink" Target="http://www.palmbeachpost.com/news/news/breaking-news/fhp-port-st-lucie-cop-hits-kills-cyclist/nrKjs/" TargetMode="External"/><Relationship Id="rId1784" Type="http://schemas.openxmlformats.org/officeDocument/2006/relationships/hyperlink" Target="http://www.startribune.com/large-police-presense-in-st-paul-neighborhood-where-shots-rang-out-early-monday/378615361/" TargetMode="External"/><Relationship Id="rId1785" Type="http://schemas.openxmlformats.org/officeDocument/2006/relationships/hyperlink" Target="http://www.fatalencounters.org/wp-content/uploads/2013/10/Christian-Bowman.jpg" TargetMode="External"/><Relationship Id="rId1786" Type="http://schemas.openxmlformats.org/officeDocument/2006/relationships/hyperlink" Target="http://www.clarionledger.com/story/news/2016/05/09/mississippi-fatal-police-shooting/84137108/" TargetMode="External"/><Relationship Id="rId1787" Type="http://schemas.openxmlformats.org/officeDocument/2006/relationships/hyperlink" Target="http://www.chicagotribune.com/news/local/breaking/ct-chicago-police-shoot-robbery-suspect-on-southwest-side-20160509-story.html" TargetMode="External"/><Relationship Id="rId1788" Type="http://schemas.openxmlformats.org/officeDocument/2006/relationships/hyperlink" Target="http://www.fatalencounters.org/wp-content/uploads/2013/10/ArthurWilliams.jpg" TargetMode="External"/><Relationship Id="rId1789" Type="http://schemas.openxmlformats.org/officeDocument/2006/relationships/hyperlink" Target="http://www.kvia.com/news/suspect-in-officerinvolved-shooting-dies-police-release-idenity/39471430" TargetMode="External"/><Relationship Id="rId3190" Type="http://schemas.openxmlformats.org/officeDocument/2006/relationships/hyperlink" Target="http://www.baynews9.com/content/news/baynews9/news/article.html/content/news/articles/bn9/2017/4/6/pinellas_deputies_de.html" TargetMode="External"/><Relationship Id="rId3191" Type="http://schemas.openxmlformats.org/officeDocument/2006/relationships/hyperlink" Target="http://www.fatalencounters.org/wp-content/uploads/2013/10/Jeffrey-Lynn-Curry-Jr.png" TargetMode="External"/><Relationship Id="rId3192" Type="http://schemas.openxmlformats.org/officeDocument/2006/relationships/hyperlink" Target="http://www.kotatv.com/content/news/Man-shot-and-killed-by-Oglala-Sioux-tribal-police-419209844.html" TargetMode="External"/><Relationship Id="rId3193" Type="http://schemas.openxmlformats.org/officeDocument/2006/relationships/hyperlink" Target="http://wncn.com/2017/04/08/hillsborough-man-dies-in-crash-during-police-chase-officials-say/" TargetMode="External"/><Relationship Id="rId3194" Type="http://schemas.openxmlformats.org/officeDocument/2006/relationships/hyperlink" Target="http://www.weau.com/content/news/Eau-Claire-Police-on-scene-of-death-investigation-418726703.html" TargetMode="External"/><Relationship Id="rId3195" Type="http://schemas.openxmlformats.org/officeDocument/2006/relationships/hyperlink" Target="http://kron4.com/2017/04/10/police-investigating-officer-involved-shooting-in-fremont/" TargetMode="External"/><Relationship Id="rId3196" Type="http://schemas.openxmlformats.org/officeDocument/2006/relationships/hyperlink" Target="http://losangeles.cbslocal.com/2017/04/10/ontario-deadly-officer-involved-shooting/" TargetMode="External"/><Relationship Id="rId3197" Type="http://schemas.openxmlformats.org/officeDocument/2006/relationships/hyperlink" Target="http://abc7.com/news/1-person-killed-in-santa-paula-officer-involved-shooting-police-say/1853189/" TargetMode="External"/><Relationship Id="rId3198" Type="http://schemas.openxmlformats.org/officeDocument/2006/relationships/hyperlink" Target="http://www.fatalencounters.org/wp-content/uploads/2013/10/Jeffrey-James-Findlay.jpg" TargetMode="External"/><Relationship Id="rId3199" Type="http://schemas.openxmlformats.org/officeDocument/2006/relationships/hyperlink" Target="http://www.cleveland19.com/story/35108934/officer-involved-shooting-suspect-critical-condition" TargetMode="External"/><Relationship Id="rId300" Type="http://schemas.openxmlformats.org/officeDocument/2006/relationships/hyperlink" Target="http://www.newson6.com/story/28722322/sheriff-man-who-died-after-being-tasered-broke-warner-officers-eye-bone-first" TargetMode="External"/><Relationship Id="rId301" Type="http://schemas.openxmlformats.org/officeDocument/2006/relationships/hyperlink" Target="http://www.winchesterstar.com/article/040615br" TargetMode="External"/><Relationship Id="rId302" Type="http://schemas.openxmlformats.org/officeDocument/2006/relationships/hyperlink" Target="http://www.kfvs12.com/story/28708976/man-identified-following-officer-involved-shooting-in-metropolis" TargetMode="External"/><Relationship Id="rId303" Type="http://schemas.openxmlformats.org/officeDocument/2006/relationships/hyperlink" Target="http://www.thetowntalk.com/story/news/local/2015/04/04/pineville-man-killed-deputy-idd-la-guardsman/25296693/" TargetMode="External"/><Relationship Id="rId304" Type="http://schemas.openxmlformats.org/officeDocument/2006/relationships/hyperlink" Target="http://www.click2houston.com/news/pd-man-with-pellet-gun-shot-dead-by-baytown-police-officer/32108156" TargetMode="External"/><Relationship Id="rId305" Type="http://schemas.openxmlformats.org/officeDocument/2006/relationships/hyperlink" Target="http://www.nwitimes.com/news/local/lake/hobart-man-dies-while-in-police-custody/article_8c40ecd0-25ee-537c-a247-168e9f79d438.html" TargetMode="External"/><Relationship Id="rId306" Type="http://schemas.openxmlformats.org/officeDocument/2006/relationships/hyperlink" Target="http://www.10tv.com/content/stories/2015/03/29/pike-county-ohio--officer-involved-shooting-leaves-one-dead.html" TargetMode="External"/><Relationship Id="rId307" Type="http://schemas.openxmlformats.org/officeDocument/2006/relationships/hyperlink" Target="http://www.oregonlive.com/clark-county/index.ssf/2015/03/clark_county_jail_inmate_dies_1.html" TargetMode="External"/><Relationship Id="rId308" Type="http://schemas.openxmlformats.org/officeDocument/2006/relationships/hyperlink" Target="http://www.ksstradio.com/2015/03/09/texas-rangers-investigate-death-of-inmate/" TargetMode="External"/><Relationship Id="rId309" Type="http://schemas.openxmlformats.org/officeDocument/2006/relationships/hyperlink" Target="http://www.tristatehomepage.com/story/d/story/isp-investigating-officer-involved-shooting-in-ter/40703/pV4yrq5qR0S3uTbJYNfJsQ" TargetMode="External"/><Relationship Id="rId1240" Type="http://schemas.openxmlformats.org/officeDocument/2006/relationships/hyperlink" Target="http://www.silive.com/news/index.ssf/2015/08/im_coming_out_now_mama_suspect.html" TargetMode="External"/><Relationship Id="rId1241" Type="http://schemas.openxmlformats.org/officeDocument/2006/relationships/hyperlink" Target="http://www.sfgate.com/crime/article/Prostitution-call-preceded-fatal-Sunnyvale-police-6448999.php" TargetMode="External"/><Relationship Id="rId1242" Type="http://schemas.openxmlformats.org/officeDocument/2006/relationships/hyperlink" Target="http://www.chron.com/houston/article/Officer-involved-shooting-in-Northeast-Houston-6449062.php" TargetMode="External"/><Relationship Id="rId1243" Type="http://schemas.openxmlformats.org/officeDocument/2006/relationships/hyperlink" Target="http://www.stltoday.com/news/local/crime-and-courts/fires-set-off-police-confront-crowds-hours-after-st-louis/article_9eae9155-9f8e-5296-b836-45326918fda3.html" TargetMode="External"/><Relationship Id="rId1244" Type="http://schemas.openxmlformats.org/officeDocument/2006/relationships/hyperlink" Target="http://wivb.com/2015/08/23/troy-officers-hospitalized-after-shootout-gunman-dead/" TargetMode="External"/><Relationship Id="rId1245" Type="http://schemas.openxmlformats.org/officeDocument/2006/relationships/hyperlink" Target="http://bigstory.ap.org/article/591758407e704e56a35001a00033f9cd/white-officer-recovering-after-shootout-black-suspect" TargetMode="External"/><Relationship Id="rId1246" Type="http://schemas.openxmlformats.org/officeDocument/2006/relationships/hyperlink" Target="http://mauinow.com/2015/08/10/man-killed-in-keopuolani-shootout-identified/" TargetMode="External"/><Relationship Id="rId1247" Type="http://schemas.openxmlformats.org/officeDocument/2006/relationships/hyperlink" Target="http://www.elpasotimes.com/news/ci_28636541/el-paso-police-id-man-killed-officer-involved" TargetMode="External"/><Relationship Id="rId1248" Type="http://schemas.openxmlformats.org/officeDocument/2006/relationships/hyperlink" Target="http://atlantadailyworld.com/2015/08/21/rally-to-protest-taser-death-of-troy-robinson-by-police-at-dekalb-courthouse/" TargetMode="External"/><Relationship Id="rId1249" Type="http://schemas.openxmlformats.org/officeDocument/2006/relationships/hyperlink" Target="http://www.wlwt.com/news/police-id-robbery-suspect-who-died-after-taser-shock/35034920" TargetMode="External"/><Relationship Id="rId2490" Type="http://schemas.openxmlformats.org/officeDocument/2006/relationships/hyperlink" Target="http://wvmetronews.com/2016/11/06/clendenin-man-killed-following-officer-involved-shooting/" TargetMode="External"/><Relationship Id="rId2491" Type="http://schemas.openxmlformats.org/officeDocument/2006/relationships/hyperlink" Target="https://www.news-journal.com/news/2016/nov/05/one-dead-officer-involved-shooting-gladewater/" TargetMode="External"/><Relationship Id="rId2492" Type="http://schemas.openxmlformats.org/officeDocument/2006/relationships/hyperlink" Target="http://www.fatalencounters.org/wp-content/uploads/2013/10/james-carl-coale.jpeg" TargetMode="External"/><Relationship Id="rId2493" Type="http://schemas.openxmlformats.org/officeDocument/2006/relationships/hyperlink" Target="http://www.newson6.com/story/33641271/deputy-shoots-kills-okemah-man-during-traffic-stop" TargetMode="External"/><Relationship Id="rId2494" Type="http://schemas.openxmlformats.org/officeDocument/2006/relationships/hyperlink" Target="http://wfla.com/2016/11/06/deputy-involved-shooting-in-pinellas/" TargetMode="External"/><Relationship Id="rId2495" Type="http://schemas.openxmlformats.org/officeDocument/2006/relationships/hyperlink" Target="http://www.fatalencounters.org/wp-content/uploads/2013/10/JoelBurtKeenan.jpg" TargetMode="External"/><Relationship Id="rId2496" Type="http://schemas.openxmlformats.org/officeDocument/2006/relationships/hyperlink" Target="http://www.aikenstandard.com/news/sled-investigating-fatal-officer-involved-shooting-in-aiken-county/article_ad7a638e-a4d6-11e6-9d07-f3296867cb7a.html" TargetMode="External"/><Relationship Id="rId2497" Type="http://schemas.openxmlformats.org/officeDocument/2006/relationships/hyperlink" Target="http://www.bdtonline.com/news/man-shot-in-mcdowell-threatened-troopers-with-hammer/article_65c1756c-a50f-11e6-8303-cf97a3e7c2d1.html" TargetMode="External"/><Relationship Id="rId2498" Type="http://schemas.openxmlformats.org/officeDocument/2006/relationships/hyperlink" Target="http://www.fatalencounters.org/wp-content/uploads/2013/10/Jimmy-L.-Testa.jpg" TargetMode="External"/><Relationship Id="rId2499" Type="http://schemas.openxmlformats.org/officeDocument/2006/relationships/hyperlink" Target="http://www.thedailyjournal.com/story/news/crime/2016/11/06/police-involved-shooting-probed-maurice-river/93394178/" TargetMode="External"/><Relationship Id="rId850" Type="http://schemas.openxmlformats.org/officeDocument/2006/relationships/hyperlink" Target="https://spokane-news.com/2015/08/26/sirr-team-update-stevens-county-deputys-officer-involved-shooting-in-hunters-wa/" TargetMode="External"/><Relationship Id="rId851" Type="http://schemas.openxmlformats.org/officeDocument/2006/relationships/hyperlink" Target="http://www.startribune.com/man-shot-in-gunfire-exchange-with-officers-in-north-carolina/322391871/" TargetMode="External"/><Relationship Id="rId852" Type="http://schemas.openxmlformats.org/officeDocument/2006/relationships/hyperlink" Target="http://www.fredericksburg.com/news/crime_courts/king-george-sheriff-deputy-gave-man-every-opportunity-to-surrender/article_5b6e9432-4a75-11e5-8dd2-cb62e7e351c0.html" TargetMode="External"/><Relationship Id="rId853" Type="http://schemas.openxmlformats.org/officeDocument/2006/relationships/hyperlink" Target="http://www.wfmynews2.com/story/news/local/2015/08/24/one-dead-archdale-officer-involved-shooting/32252479/" TargetMode="External"/><Relationship Id="rId854" Type="http://schemas.openxmlformats.org/officeDocument/2006/relationships/hyperlink" Target="http://www.wvtm13.com/news/cullman-county-authorities-identify-man-shot-by-arab-police/34883830" TargetMode="External"/><Relationship Id="rId855" Type="http://schemas.openxmlformats.org/officeDocument/2006/relationships/hyperlink" Target="http://www.nj.com/ocean/index.ssf/2015/08/family_says_emotional_goodbye_to_brick_man_shot_by.html" TargetMode="External"/><Relationship Id="rId856" Type="http://schemas.openxmlformats.org/officeDocument/2006/relationships/hyperlink" Target="http://www.firstcoastnews.com/story/news/crime/2015/08/23/jso-officer-involved-incident-reported-west-jacksonville/32231241/" TargetMode="External"/><Relationship Id="rId857" Type="http://schemas.openxmlformats.org/officeDocument/2006/relationships/hyperlink" Target="http://www.whas11.com/story/news/crime/2015/08/06/man-fatally-shot-after-attacking-officers--knife/31203233/" TargetMode="External"/><Relationship Id="rId858" Type="http://schemas.openxmlformats.org/officeDocument/2006/relationships/hyperlink" Target="http://www.tennessean.com/story/news/2015/08/06/police-describe-scene-inside-antioch-theater/31202637/" TargetMode="External"/><Relationship Id="rId859" Type="http://schemas.openxmlformats.org/officeDocument/2006/relationships/hyperlink" Target="http://www.cincinnati.com/story/news/2015/08/07/ksp-investigating-officer-involved-elsmere-shooting/31273817/" TargetMode="External"/><Relationship Id="rId1790" Type="http://schemas.openxmlformats.org/officeDocument/2006/relationships/hyperlink" Target="http://ktre.images.worldnow.com/images/10524302_G.jpg" TargetMode="External"/><Relationship Id="rId1791" Type="http://schemas.openxmlformats.org/officeDocument/2006/relationships/hyperlink" Target="http://www.kltv.com/story/31936746/authorities-investigate-officer-involved-shooting-in-nacogdoches-county" TargetMode="External"/><Relationship Id="rId1792" Type="http://schemas.openxmlformats.org/officeDocument/2006/relationships/hyperlink" Target="http://www.fatalencounters.org/wp-content/uploads/2013/10/DaRosa.jpg" TargetMode="External"/><Relationship Id="rId1793" Type="http://schemas.openxmlformats.org/officeDocument/2006/relationships/hyperlink" Target="http://boston.cbslocal.com/2016/05/10/taunton-police-silver-city-galleria-shooting/" TargetMode="External"/><Relationship Id="rId1794" Type="http://schemas.openxmlformats.org/officeDocument/2006/relationships/hyperlink" Target="http://crimeblog.dallasnews.com/2016/05/kennedale-woman-with-history-of-mental-illness-drug-abuse-dies-after-being-tased-by-constable.html/" TargetMode="External"/><Relationship Id="rId1795" Type="http://schemas.openxmlformats.org/officeDocument/2006/relationships/hyperlink" Target="http://www.fatalencounters.org/wp-content/uploads/2013/10/Thongsoune-Vilaysane.jpg" TargetMode="External"/><Relationship Id="rId1796" Type="http://schemas.openxmlformats.org/officeDocument/2006/relationships/hyperlink" Target="http://www.nbcsandiego.com/news/local/Shooting-in-Encanto-Shuts-down--379093111.html" TargetMode="External"/><Relationship Id="rId1797" Type="http://schemas.openxmlformats.org/officeDocument/2006/relationships/hyperlink" Target="http://www.denverpost.com/news/ci_29877532/aurora-police-officer-shot-and-killed-carjacking-suspect" TargetMode="External"/><Relationship Id="rId1798" Type="http://schemas.openxmlformats.org/officeDocument/2006/relationships/hyperlink" Target="http://www.fatalencounters.org/wp-content/uploads/2013/10/Mondragon.jpg" TargetMode="External"/><Relationship Id="rId1799" Type="http://schemas.openxmlformats.org/officeDocument/2006/relationships/hyperlink" Target="http://www.greeleytribune.com/news/21985903-113/breaking-news-greeley-police-shoot-kill-robbery-suspect" TargetMode="External"/><Relationship Id="rId310" Type="http://schemas.openxmlformats.org/officeDocument/2006/relationships/hyperlink" Target="http://www.theindychannel.com/news/local-news/suspect-fatally-shot-by-impd-officer-on-east-side" TargetMode="External"/><Relationship Id="rId311" Type="http://schemas.openxmlformats.org/officeDocument/2006/relationships/hyperlink" Target="http://touch.mcall.com/" TargetMode="External"/><Relationship Id="rId312" Type="http://schemas.openxmlformats.org/officeDocument/2006/relationships/hyperlink" Target="http://www.starfl.com/news/local-news/officer-involved-shooting-under-investigation-1.440104" TargetMode="External"/><Relationship Id="rId313" Type="http://schemas.openxmlformats.org/officeDocument/2006/relationships/hyperlink" Target="http://www.cbsnews.com/news/texas-officer-responding-to-home-fatally-shoots-off-duty-deputy/" TargetMode="External"/><Relationship Id="rId314" Type="http://schemas.openxmlformats.org/officeDocument/2006/relationships/hyperlink" Target="http://woodtv.com/2015/02/07/suspect-in-officer-shooting-to-be-taken-off-life-support/" TargetMode="External"/><Relationship Id="rId315" Type="http://schemas.openxmlformats.org/officeDocument/2006/relationships/hyperlink" Target="http://www.killedbypolice.net/victims/150102.jpg" TargetMode="External"/><Relationship Id="rId316" Type="http://schemas.openxmlformats.org/officeDocument/2006/relationships/hyperlink" Target="http://losangeles.cbslocal.com/2015/02/04/police-fatally-shoot-bank-robbery-suspect-in-chino-following-high-speed-chase/" TargetMode="External"/><Relationship Id="rId317" Type="http://schemas.openxmlformats.org/officeDocument/2006/relationships/hyperlink" Target="http://newsok.com/new-details-released-in-stillwater-homicide-officer-shooting/article/5389230" TargetMode="External"/><Relationship Id="rId318" Type="http://schemas.openxmlformats.org/officeDocument/2006/relationships/hyperlink" Target="http://alaska-native-news.com/inmate-dies-intake-anchorage-correctional-complex-15705" TargetMode="External"/><Relationship Id="rId319" Type="http://schemas.openxmlformats.org/officeDocument/2006/relationships/hyperlink" Target="http://www.statesman.com/news/news/local/officer-involved-shooting-being-investigated/njtpW/" TargetMode="External"/><Relationship Id="rId1250" Type="http://schemas.openxmlformats.org/officeDocument/2006/relationships/hyperlink" Target="http://www.reviewjournal.com/news/las-vegas/man-dies-after-metro-involved-shooting-north-las-vegas" TargetMode="External"/><Relationship Id="rId1251" Type="http://schemas.openxmlformats.org/officeDocument/2006/relationships/hyperlink" Target="http://www.nydailynews.com/new-york/bystander-dies-hit-nypd-bullets-article-1.2341345" TargetMode="External"/><Relationship Id="rId1252" Type="http://schemas.openxmlformats.org/officeDocument/2006/relationships/hyperlink" Target="http://www.dallasnews.com/news/metro/20150903-dallas-police-man-killed-by-officer-had-pellet-gun.ece" TargetMode="External"/><Relationship Id="rId1253" Type="http://schemas.openxmlformats.org/officeDocument/2006/relationships/hyperlink" Target="http://www.mercurynews.com/crime-courts/ci_28734820/oakland-police-release-name-suspect-officer-fatal-shooting" TargetMode="External"/><Relationship Id="rId1254" Type="http://schemas.openxmlformats.org/officeDocument/2006/relationships/hyperlink" Target="http://articles.philly.com/2015-08-27/news/65891377_1_county-courthouse-smith-deputy-sheriff-shot" TargetMode="External"/><Relationship Id="rId1255" Type="http://schemas.openxmlformats.org/officeDocument/2006/relationships/hyperlink" Target="http://www.freep.com/story/news/local/michigan/oakland/2015/08/20/police-chase-troy-bloomfield-hills-warren-absconder-shooting/32056645/" TargetMode="External"/><Relationship Id="rId1256" Type="http://schemas.openxmlformats.org/officeDocument/2006/relationships/hyperlink" Target="http://www.wusa9.com/story/news/local/maryland/2015/08/15/suspect-shot-police-after-struggle-over-officers-gun/31772861/" TargetMode="External"/><Relationship Id="rId1257" Type="http://schemas.openxmlformats.org/officeDocument/2006/relationships/hyperlink" Target="http://www.sfgate.com/bayarea/article/Calls-for-justice-at-vigil-for-man-killed-by-6445927.php" TargetMode="External"/><Relationship Id="rId1258" Type="http://schemas.openxmlformats.org/officeDocument/2006/relationships/hyperlink" Target="http://www.cleveland19.com/story/29210147/cleveland-fugitive-reginald-marshall-killed-in-toledo-standoff" TargetMode="External"/><Relationship Id="rId1259" Type="http://schemas.openxmlformats.org/officeDocument/2006/relationships/hyperlink" Target="http://www.kansascity.com/news/local/crime/article34741230.html" TargetMode="External"/><Relationship Id="rId860" Type="http://schemas.openxmlformats.org/officeDocument/2006/relationships/hyperlink" Target="http://abc30.com/news/fresno-county-officer-involved-shooting-leaves-suspect-dead/910392/" TargetMode="External"/><Relationship Id="rId861" Type="http://schemas.openxmlformats.org/officeDocument/2006/relationships/hyperlink" Target="http://www.reviewjournal.com/news/las-vegas/police-shoot-kill-man-holding-sharp-object" TargetMode="External"/><Relationship Id="rId862" Type="http://schemas.openxmlformats.org/officeDocument/2006/relationships/hyperlink" Target="http://www.wtvm.com/story/29926838/teen-dies-after-police-tasing-incident" TargetMode="External"/><Relationship Id="rId863" Type="http://schemas.openxmlformats.org/officeDocument/2006/relationships/hyperlink" Target="http://www.westword.com/news/william-rippley-before-cop-killed-him-theres-going-to-be-a-human-sacrifice-7091421" TargetMode="External"/><Relationship Id="rId864" Type="http://schemas.openxmlformats.org/officeDocument/2006/relationships/hyperlink" Target="http://www.kvoa.com/story/29916976/officer-involved-shooting-near-park-and-drexel" TargetMode="External"/><Relationship Id="rId865" Type="http://schemas.openxmlformats.org/officeDocument/2006/relationships/hyperlink" Target="http://www.tulsaworld.com/homepagelatest/cushing-police-officer-cleared-in-fatal-shooting/article_1bc89125-2051-5cb1-9dde-62c9791231cd.html" TargetMode="External"/><Relationship Id="rId866" Type="http://schemas.openxmlformats.org/officeDocument/2006/relationships/hyperlink" Target="http://www.nbcnews.com/news/us-news/gilbert-flores-shooting-bexar-county-deputies-near-san-antonio-sparks-n420061" TargetMode="External"/><Relationship Id="rId867" Type="http://schemas.openxmlformats.org/officeDocument/2006/relationships/hyperlink" Target="http://www.nbcsandiego.com/news/local/Robert-Hober-Eric-Oberndorfer-Fatal-Officer-Involved-Shooting-IDd-323528221.html" TargetMode="External"/><Relationship Id="rId868" Type="http://schemas.openxmlformats.org/officeDocument/2006/relationships/hyperlink" Target="http://www.mysanantonio.com/news/local/article/Officer-involved-shooting-leaves-one-dead-on-6473238.php" TargetMode="External"/><Relationship Id="rId869" Type="http://schemas.openxmlformats.org/officeDocument/2006/relationships/hyperlink" Target="http://www.deseretnews.com/article/865635615/Man-shot-killed-by-Spanish-Fork-police-officer-in-church-parking-lot.html?pg=all" TargetMode="External"/><Relationship Id="rId320" Type="http://schemas.openxmlformats.org/officeDocument/2006/relationships/hyperlink" Target="http://theadvocate.com/news/11346884-123/evangeline-parish-man-shot-killed" TargetMode="External"/><Relationship Id="rId321" Type="http://schemas.openxmlformats.org/officeDocument/2006/relationships/hyperlink" Target="http://www.washingtonpost.com/news/the-watch/wp/2015/01/09/iowa-cop-reportedly-tries-to-shoot-dog-kills-woman-instead/" TargetMode="External"/><Relationship Id="rId322" Type="http://schemas.openxmlformats.org/officeDocument/2006/relationships/hyperlink" Target="http://www.miamiherald.com/news/local/community/florida-keys/tfsh2c/picture5621952/ALTERNATES/FREE_960/Roberto.jpg" TargetMode="External"/><Relationship Id="rId323" Type="http://schemas.openxmlformats.org/officeDocument/2006/relationships/hyperlink" Target="http://www.miamiherald.com/news/local/community/florida-keys/article5621958.html" TargetMode="External"/><Relationship Id="rId324" Type="http://schemas.openxmlformats.org/officeDocument/2006/relationships/hyperlink" Target="http://i.guim.co.uk/static/w-620/h--/q-95/sys-images/Guardian/Pix/pictures/2015/2/12/1423748301468/7245d83a-eba5-4117-8f2b-584fc9f566e8-bestSizeAvailable.jpeg" TargetMode="External"/><Relationship Id="rId325" Type="http://schemas.openxmlformats.org/officeDocument/2006/relationships/hyperlink" Target="http://www.alternet.org/news-amp-politics/kevin-davis-called-cops-help-out-friend-trouble-and-was-shot-death-police-his" TargetMode="External"/><Relationship Id="rId326" Type="http://schemas.openxmlformats.org/officeDocument/2006/relationships/hyperlink" Target="http://www.miamiherald.com/news/local/crime/2xyin4/picture5303859/ALTERNATES/FREE_960/Eric%20Tyrone%20Forbes.jpg" TargetMode="External"/><Relationship Id="rId327" Type="http://schemas.openxmlformats.org/officeDocument/2006/relationships/hyperlink" Target="http://www.local10.com/news/1-dead-in-new-years-eve-policeinvolved-shooting-in-miami/30477214" TargetMode="External"/><Relationship Id="rId328" Type="http://schemas.openxmlformats.org/officeDocument/2006/relationships/hyperlink" Target="http://www.presstelegram.com/general-news/20150101/armed-woman-killed-in-compton-deputy-involved-shooting" TargetMode="External"/><Relationship Id="rId329" Type="http://schemas.openxmlformats.org/officeDocument/2006/relationships/hyperlink" Target="http://6abc.com/news/sources-suspect-shot-killed-by-police-in-drexel-hill/455767/" TargetMode="External"/><Relationship Id="rId1260" Type="http://schemas.openxmlformats.org/officeDocument/2006/relationships/hyperlink" Target="http://www.miamiherald.com/news/local/crime/article36802032.html" TargetMode="External"/><Relationship Id="rId1261" Type="http://schemas.openxmlformats.org/officeDocument/2006/relationships/hyperlink" Target="http://theadvocate.com/news/acadiana/13551773-123/east-baton-rouge-deputies-investigating" TargetMode="External"/><Relationship Id="rId1262" Type="http://schemas.openxmlformats.org/officeDocument/2006/relationships/hyperlink" Target="http://wgntv.com/2015/09/26/man-killed-in-officer-involved-shooting-on-west-side/" TargetMode="External"/><Relationship Id="rId1263" Type="http://schemas.openxmlformats.org/officeDocument/2006/relationships/hyperlink" Target="http://fox59.com/2015/09/10/officer-shot-in-hand-on-northwest-side/" TargetMode="External"/><Relationship Id="rId1264" Type="http://schemas.openxmlformats.org/officeDocument/2006/relationships/hyperlink" Target="http://www.wxyz.com/news/region/detroit/lathrup-village-police-officer-allegedly-kills-man-during-fight-on-detroits-west-side" TargetMode="External"/><Relationship Id="rId1265" Type="http://schemas.openxmlformats.org/officeDocument/2006/relationships/hyperlink" Target="https://www.washingtonpost.com/local/with-6-month-old-baby-in-car-both-parents-killed-by-virginia-beach-police/2015/09/08/2e64a83c-565a-11e5-8bb1-b488d231bba2_story.html" TargetMode="External"/><Relationship Id="rId1266" Type="http://schemas.openxmlformats.org/officeDocument/2006/relationships/hyperlink" Target="https://www.washingtonpost.com/local/with-6-month-old-baby-in-car-both-parents-killed-by-virginia-beach-police/2015/09/08/2e64a83c-565a-11e5-8bb1-b488d231bba2_story.html" TargetMode="External"/><Relationship Id="rId1267" Type="http://schemas.openxmlformats.org/officeDocument/2006/relationships/hyperlink" Target="http://abc11.com/news/armed-man-killed-after-police-standoff-in-durham/971330/" TargetMode="External"/><Relationship Id="rId1268" Type="http://schemas.openxmlformats.org/officeDocument/2006/relationships/hyperlink" Target="http://www.wvva.com/story/29931732/2015/09/01/police-engage-active-shooter-in-bluefield" TargetMode="External"/><Relationship Id="rId1269" Type="http://schemas.openxmlformats.org/officeDocument/2006/relationships/hyperlink" Target="http://www.wowktv.com/story/30144266/wv-turnpike-shut-down-following-shots-fired-near-north-beckley" TargetMode="External"/><Relationship Id="rId870" Type="http://schemas.openxmlformats.org/officeDocument/2006/relationships/hyperlink" Target="http://www.dailynews.com/general-news/20150901/man-fatally-shot-by-police-in-van-nuys-was-homeless-coroner-says" TargetMode="External"/><Relationship Id="rId871" Type="http://schemas.openxmlformats.org/officeDocument/2006/relationships/hyperlink" Target="http://www.timesfreepress.com/news/local/story/2015/aug/27/police-highway-153-blocked-after-fatal-shooting-hixson/322021/" TargetMode="External"/><Relationship Id="rId872" Type="http://schemas.openxmlformats.org/officeDocument/2006/relationships/hyperlink" Target="http://www.sltrib.com/home/2880568-155/police-west-jordan-man-dead-after" TargetMode="External"/><Relationship Id="rId873" Type="http://schemas.openxmlformats.org/officeDocument/2006/relationships/hyperlink" Target="http://www.tennessean.com/story/news/local/hendersonville/2015/08/26/hendersonville-police-investigating-incident/32386959/" TargetMode="External"/><Relationship Id="rId874" Type="http://schemas.openxmlformats.org/officeDocument/2006/relationships/hyperlink" Target="http://www.miamiherald.com/news/local/crime/article32465772.html" TargetMode="External"/><Relationship Id="rId875" Type="http://schemas.openxmlformats.org/officeDocument/2006/relationships/hyperlink" Target="http://www.santafenewmexican.com/news/high-speed-chase-ends-in-fatal-officer-involved-shooting/article_4c2bd7f0-4b29-11e5-bb0e-cbe70da6c311.html" TargetMode="External"/><Relationship Id="rId876" Type="http://schemas.openxmlformats.org/officeDocument/2006/relationships/hyperlink" Target="http://www.azcentral.com/story/news/local/phoenix/breaking/2015/08/25/phoenix-pd-working-active-shooting-scene/32360753/" TargetMode="External"/><Relationship Id="rId877" Type="http://schemas.openxmlformats.org/officeDocument/2006/relationships/hyperlink" Target="http://www.tampabay.com/news/publicsafety/crime/hillsborough-deputy-involved-in-shooting-one-suspect-wounded-deputy/2242748" TargetMode="External"/><Relationship Id="rId878" Type="http://schemas.openxmlformats.org/officeDocument/2006/relationships/hyperlink" Target="http://www.scrippsmedia.com/ktnv/news/Man-shot-by-Las-Vegas-police-following-barricade-near-Buffalo-Alta-drives-322625862.html" TargetMode="External"/><Relationship Id="rId879" Type="http://schemas.openxmlformats.org/officeDocument/2006/relationships/hyperlink" Target="http://www.bakersfieldnow.com/news/local/Family-demands-investigation-after-police-shooting-322761581.html" TargetMode="External"/><Relationship Id="rId3400" Type="http://schemas.openxmlformats.org/officeDocument/2006/relationships/hyperlink" Target="http://www.kmov.com/story/35530337/standoff-near-south-city-county-line-closes-several-streets" TargetMode="External"/><Relationship Id="rId3401" Type="http://schemas.openxmlformats.org/officeDocument/2006/relationships/hyperlink" Target="http://www.tucsonnewsnow.com/story/35530465/officer-involved-shooting-near-park-and-drexel" TargetMode="External"/><Relationship Id="rId3402" Type="http://schemas.openxmlformats.org/officeDocument/2006/relationships/hyperlink" Target="http://www.fatalencounters.org/wp-content/uploads/2013/10/Ron-Harlan-Lewallen.jpg" TargetMode="External"/><Relationship Id="rId3403" Type="http://schemas.openxmlformats.org/officeDocument/2006/relationships/hyperlink" Target="http://wkrn.com/2017/05/27/1-killed-in-east-tennessee-officer-involved-shooting/" TargetMode="External"/><Relationship Id="rId3404" Type="http://schemas.openxmlformats.org/officeDocument/2006/relationships/hyperlink" Target="http://wgme.com/news/local/belfast-man-dies-after-confrontation-with-police" TargetMode="External"/><Relationship Id="rId3405" Type="http://schemas.openxmlformats.org/officeDocument/2006/relationships/hyperlink" Target="http://www.wsbtv.com/news/local/cobb-county/fight-at-sweet-16-birthday-party-sparks-officer-involved-shooting/527142936" TargetMode="External"/><Relationship Id="rId3406" Type="http://schemas.openxmlformats.org/officeDocument/2006/relationships/hyperlink" Target="http://www.fatalencounters.org/wp-content/uploads/2013/10/Shaquian-Tyrone-Johnson.jpg" TargetMode="External"/><Relationship Id="rId3407" Type="http://schemas.openxmlformats.org/officeDocument/2006/relationships/hyperlink" Target="http://www.wral.com/after-burglary-call-man-killed-in-officer-involved-shooting-in-cary/16728709/" TargetMode="External"/><Relationship Id="rId3408" Type="http://schemas.openxmlformats.org/officeDocument/2006/relationships/hyperlink" Target="http://www.fatalencounters.org/wp-content/uploads/2013/10/Donald-Sneed-III.jpg" TargetMode="External"/><Relationship Id="rId3409" Type="http://schemas.openxmlformats.org/officeDocument/2006/relationships/hyperlink" Target="http://www.kansascity.com/news/local/article153204509.html" TargetMode="External"/><Relationship Id="rId330" Type="http://schemas.openxmlformats.org/officeDocument/2006/relationships/hyperlink" Target="http://www.firstcoastnews.com/story/news/local/2014/12/29/st-johns-county-armed-suspect-killed/21031459/" TargetMode="External"/><Relationship Id="rId331" Type="http://schemas.openxmlformats.org/officeDocument/2006/relationships/hyperlink" Target="http://www.chicoer.com/general-news/20141229/man-shot-killed-by-sheriffs-deputy-in-paradise" TargetMode="External"/><Relationship Id="rId332"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333" Type="http://schemas.openxmlformats.org/officeDocument/2006/relationships/hyperlink" Target="http://www.actionnewsjax.com/news/news/local/swat-called-out-fort-caroline-area/njbtC/" TargetMode="External"/><Relationship Id="rId334" Type="http://schemas.openxmlformats.org/officeDocument/2006/relationships/hyperlink" Target="http://www.al.com/news/birmingham/index.ssf/2014/12/51-year-old_man_shot_to_death.html" TargetMode="External"/><Relationship Id="rId335" Type="http://schemas.openxmlformats.org/officeDocument/2006/relationships/hyperlink" Target="http://www.wesh.com/image/view/-/30418970/medRes/2/-/maxh/220/maxw/220/-/o2mpgg/-/Quinten-Jamal-Smith-jpg.jpg" TargetMode="External"/><Relationship Id="rId336" Type="http://schemas.openxmlformats.org/officeDocument/2006/relationships/hyperlink" Target="http://www.wesh.com/news/sheriff-brevard-deputy-fatally-shoots-armed-wanted-man/30415088" TargetMode="External"/><Relationship Id="rId337" Type="http://schemas.openxmlformats.org/officeDocument/2006/relationships/hyperlink" Target="http://ww3.hdnux.com/photos/33/73/31/7321166/3/622x350.jpg" TargetMode="External"/><Relationship Id="rId338" Type="http://schemas.openxmlformats.org/officeDocument/2006/relationships/hyperlink" Target="http://www.kvue.com/story/news/state/2014/12/26/police-shoot-kill-man-firing-gun-in-texas-city-parking-lot/20907475/" TargetMode="External"/><Relationship Id="rId339" Type="http://schemas.openxmlformats.org/officeDocument/2006/relationships/hyperlink" Target="http://www.19actionnews.com/story/27709268/bedford-resident-shot-and-killed-during-confrontation-with-police" TargetMode="External"/><Relationship Id="rId1270" Type="http://schemas.openxmlformats.org/officeDocument/2006/relationships/hyperlink" Target="http://www.theneworleansadvocate.com/news/13509012-75/man-was-shot-by-st" TargetMode="External"/><Relationship Id="rId1271" Type="http://schemas.openxmlformats.org/officeDocument/2006/relationships/hyperlink" Target="http://www.cenlanow.com/news/local-news/apd-releases-statement-about-officer-involved-shooting" TargetMode="External"/><Relationship Id="rId2700" Type="http://schemas.openxmlformats.org/officeDocument/2006/relationships/hyperlink" Target="http://www.sbsun.com/general-news/20161225/san-bernardino-county-sheriffs-department-investigating-trona-mans-in-custody-death" TargetMode="External"/><Relationship Id="rId2701" Type="http://schemas.openxmlformats.org/officeDocument/2006/relationships/hyperlink" Target="http://jacksonville.com/news/2016-12-24/jacksonville-man-dies-following-early-christmas-eve-police-confrontation-golfair" TargetMode="External"/><Relationship Id="rId2702" Type="http://schemas.openxmlformats.org/officeDocument/2006/relationships/hyperlink" Target="http://www.ktvz.com/news/bend-police-shoot-kill-driver-in-downtown-traffic-stop/230221202" TargetMode="External"/><Relationship Id="rId2703" Type="http://schemas.openxmlformats.org/officeDocument/2006/relationships/hyperlink" Target="http://www.knoxnews.com/story/news/crime/2016/12/24/knoxville-burglary-suspect-dies-after-being-arrested/95822014/" TargetMode="External"/><Relationship Id="rId2704" Type="http://schemas.openxmlformats.org/officeDocument/2006/relationships/hyperlink" Target="http://www.al.com/news/anniston-gadsden/index.ssf/2016/12/woman_dead_man_shot_by_police.html" TargetMode="External"/><Relationship Id="rId2705" Type="http://schemas.openxmlformats.org/officeDocument/2006/relationships/hyperlink" Target="http://www.nbclosangeles.com/news/local/Man-Killed-in-Deputy-Shooting-in-Pico-Rivera-408187075.html" TargetMode="External"/><Relationship Id="rId2706" Type="http://schemas.openxmlformats.org/officeDocument/2006/relationships/hyperlink" Target="http://www.fatalencounters.org/wp-content/uploads/2013/10/Miriam-Ann-Savino.jpg" TargetMode="External"/><Relationship Id="rId2707" Type="http://schemas.openxmlformats.org/officeDocument/2006/relationships/hyperlink" Target="http://www.orlandosentinel.com/news/breaking-news/os-polk-deputies-kill-woman-20161224-story.html" TargetMode="External"/><Relationship Id="rId2708" Type="http://schemas.openxmlformats.org/officeDocument/2006/relationships/hyperlink" Target="http://5newsonline.com/2016/12/25/one-man-dead-after-officer-involved-shooting-in-independence-county/" TargetMode="External"/><Relationship Id="rId2709" Type="http://schemas.openxmlformats.org/officeDocument/2006/relationships/hyperlink" Target="http://www.fatalencounters.org/wp-content/uploads/2013/10/Gerald-Javon-Hall.jpg" TargetMode="External"/><Relationship Id="rId1272" Type="http://schemas.openxmlformats.org/officeDocument/2006/relationships/hyperlink" Target="http://www.sfgate.com/news/article/Man-shot-dead-by-deputies-in-San-Leandro-gun-6527763.php" TargetMode="External"/><Relationship Id="rId1273" Type="http://schemas.openxmlformats.org/officeDocument/2006/relationships/hyperlink" Target="http://www.local10.com/news/policeinvolved-shooting-in-miami/35454894" TargetMode="External"/><Relationship Id="rId1274" Type="http://schemas.openxmlformats.org/officeDocument/2006/relationships/hyperlink" Target="http://www.delawareonline.com/story/news/local/2015/09/24/justice-dept-investigates-police-involved-shooting/72737332/" TargetMode="External"/><Relationship Id="rId1275" Type="http://schemas.openxmlformats.org/officeDocument/2006/relationships/hyperlink" Target="http://www.baltimoresun.com/news/maryland/baltimore-county/bs-md-police-man-shot-reisterstown-20150923-story.html" TargetMode="External"/><Relationship Id="rId1276" Type="http://schemas.openxmlformats.org/officeDocument/2006/relationships/hyperlink" Target="http://fox13now.com/2015/09/23/officer-kills-burglary-suspect-found-stabbing-woman-in-salt-lake-break-in/" TargetMode="External"/><Relationship Id="rId1277" Type="http://schemas.openxmlformats.org/officeDocument/2006/relationships/hyperlink" Target="http://chicago.suntimes.com/crime/7/71/1011093/fire-official-1-dead-1-hurt-north-lawndale-shooting" TargetMode="External"/><Relationship Id="rId1278" Type="http://schemas.openxmlformats.org/officeDocument/2006/relationships/hyperlink" Target="http://www.greenvilleonline.com/story/news/2015/10/11/one-dead-taylors-police-shooting/73772180/" TargetMode="External"/><Relationship Id="rId1279" Type="http://schemas.openxmlformats.org/officeDocument/2006/relationships/hyperlink" Target="http://homicide.latimes.com/post/dion-lamont-ramirez/" TargetMode="External"/><Relationship Id="rId880" Type="http://schemas.openxmlformats.org/officeDocument/2006/relationships/hyperlink" Target="http://www.startribune.com/man-fatally-shot-by-itasca-county-deputy-is-id-d/322626551/" TargetMode="External"/><Relationship Id="rId881" Type="http://schemas.openxmlformats.org/officeDocument/2006/relationships/hyperlink" Target="http://www.wral.com/police-wake-forest-man-charged-officers-with-knife-before-being-shot/14847812/" TargetMode="External"/><Relationship Id="rId882" Type="http://schemas.openxmlformats.org/officeDocument/2006/relationships/hyperlink" Target="http://www.baltimoresun.com/news/maryland/bs-md-police-shooting-north-east-20150822-story.html" TargetMode="External"/><Relationship Id="rId883" Type="http://schemas.openxmlformats.org/officeDocument/2006/relationships/hyperlink" Target="http://www.ifiberone.com/news/masoncounty/man-fatally-shot-by-mason-county-sheriff-s-deputy/article_3efae09e-4db8-11e5-a8f9-ff9b94dd2298.html" TargetMode="External"/><Relationship Id="rId884" Type="http://schemas.openxmlformats.org/officeDocument/2006/relationships/hyperlink" Target="http://www.al.com/news/birmingham/index.ssf/2015/08/man_fatally_shot_by_tuscaloosa.html" TargetMode="External"/><Relationship Id="rId885" Type="http://schemas.openxmlformats.org/officeDocument/2006/relationships/hyperlink" Target="http://www.dailybulletin.com/general-news/20150821/ontario-police-identify-teen-killed-in-officer-involved-shooting" TargetMode="External"/><Relationship Id="rId886" Type="http://schemas.openxmlformats.org/officeDocument/2006/relationships/hyperlink" Target="http://www.thenewscenter.tv/home/headlines/new-details.html" TargetMode="External"/><Relationship Id="rId887" Type="http://schemas.openxmlformats.org/officeDocument/2006/relationships/hyperlink" Target="http://www.latimes.com/local/crime/la-me-san-jose-police-20150822-story.html" TargetMode="External"/><Relationship Id="rId888" Type="http://schemas.openxmlformats.org/officeDocument/2006/relationships/hyperlink" Target="http://www.chicagotribune.com/news/local/breaking/ct-chicago-police-involved-shooting-20150829-story.html" TargetMode="External"/><Relationship Id="rId889" Type="http://schemas.openxmlformats.org/officeDocument/2006/relationships/hyperlink" Target="http://www.latimes.com/local/lanow/la-me-ln-san-diego-police-fatal-shooting-20150928-story.html" TargetMode="External"/><Relationship Id="rId3410" Type="http://schemas.openxmlformats.org/officeDocument/2006/relationships/hyperlink" Target="http://www.kansascity.com/news/local/article153156434.html" TargetMode="External"/><Relationship Id="rId3411" Type="http://schemas.openxmlformats.org/officeDocument/2006/relationships/hyperlink" Target="http://www.mercurynews.com/2017/05/28/downtown-officer-involves-shooting-leaves-one-dead/" TargetMode="External"/><Relationship Id="rId3412" Type="http://schemas.openxmlformats.org/officeDocument/2006/relationships/hyperlink" Target="http://www.nbcmiami.com/news/local/Miami-Beach-Police-Investigating-Officer-Involved-Shooting-425028794.html" TargetMode="External"/><Relationship Id="rId3413" Type="http://schemas.openxmlformats.org/officeDocument/2006/relationships/hyperlink" Target="https://www.bostonglobe.com/metro/2017/05/28/pedestrian-dies-after-being-struck-police-cruiser-cape-cod/uYUQT6wQbKMUHEo6vNxVTK/story.html" TargetMode="External"/><Relationship Id="rId3414" Type="http://schemas.openxmlformats.org/officeDocument/2006/relationships/hyperlink" Target="http://bangordailynews.com/2017/05/29/news/york/arundel-man-dies-after-exchanging-gunfire-with-deputies/" TargetMode="External"/><Relationship Id="rId3415" Type="http://schemas.openxmlformats.org/officeDocument/2006/relationships/hyperlink" Target="http://kron4.com/2017/05/29/man-killed-in-officer-involved-shooting-in-vacaville/" TargetMode="External"/><Relationship Id="rId3416" Type="http://schemas.openxmlformats.org/officeDocument/2006/relationships/hyperlink" Target="https://usgunviolence.files.wordpress.com/2013/09/charles-eugene-porter-ii.jpg?w=625" TargetMode="External"/><Relationship Id="rId3417" Type="http://schemas.openxmlformats.org/officeDocument/2006/relationships/hyperlink" Target="https://docs.google.com/document/d/1fkduqEJcScHfb4-cNvDSiXYEsTCBh8cD2_Qpo3FoBGo/edit?usp=sharing" TargetMode="External"/><Relationship Id="rId3418" Type="http://schemas.openxmlformats.org/officeDocument/2006/relationships/hyperlink" Target="http://www.kentucky.com/news/local/crime/article44428908.html" TargetMode="External"/><Relationship Id="rId3419" Type="http://schemas.openxmlformats.org/officeDocument/2006/relationships/hyperlink" Target="http://www.aikenstandard.com/news/suspect-killed-in-chase-with-lexington-deputies/article_7873eb5a-0db8-5f31-9bf2-e31cc423279e.html" TargetMode="External"/><Relationship Id="rId340" Type="http://schemas.openxmlformats.org/officeDocument/2006/relationships/hyperlink" Target="http://www.oregonlive.com/portland/index.ssf/2014/12/man_dies_after_officer-involve.html" TargetMode="External"/><Relationship Id="rId341" Type="http://schemas.openxmlformats.org/officeDocument/2006/relationships/hyperlink" Target="http://pickens.fetchyournews.com/archives/5043-UPDATED-Authorities-Confirm-Suspect-Has-Died,-Domestic-Call-Ends-in-Gun-Fire.html" TargetMode="External"/><Relationship Id="rId342" Type="http://schemas.openxmlformats.org/officeDocument/2006/relationships/hyperlink" Target="http://www.huffingtonpost.com/2014/12/24/antonio-martin-police-shooting_n_6376210.html" TargetMode="External"/><Relationship Id="rId343" Type="http://schemas.openxmlformats.org/officeDocument/2006/relationships/hyperlink" Target="http://www.valleynewslive.com/home/headlines/Man-Dead-in-Otter-Tail-Police-Chase-286635971.html" TargetMode="External"/><Relationship Id="rId344" Type="http://schemas.openxmlformats.org/officeDocument/2006/relationships/hyperlink" Target="http://www.doverpost.com/article/20141221/NEWS/141229971/13421/NEWS" TargetMode="External"/><Relationship Id="rId345" Type="http://schemas.openxmlformats.org/officeDocument/2006/relationships/hyperlink" Target="http://www.sacbee.com/news/local/crime/article4774815.html" TargetMode="External"/><Relationship Id="rId346" Type="http://schemas.openxmlformats.org/officeDocument/2006/relationships/hyperlink" Target="http://www.kpho.com/story/27660383/pd-phoenix-officer-involved-in-shooting" TargetMode="External"/><Relationship Id="rId347" Type="http://schemas.openxmlformats.org/officeDocument/2006/relationships/hyperlink" Target="http://www.wthr.com/story/27658447/police-pursuit-standoff-shuts-down-state-road-67-at-owen-morgan-county-line" TargetMode="External"/><Relationship Id="rId348" Type="http://schemas.openxmlformats.org/officeDocument/2006/relationships/hyperlink" Target="http://www.kirotv.com/news/news/deputy-involved-shooting-tacoma/njTnD/" TargetMode="External"/><Relationship Id="rId349" Type="http://schemas.openxmlformats.org/officeDocument/2006/relationships/hyperlink" Target="http://www.pnj.com/story/news/crime/2014/12/17/man-dies-two-weeks-tased/20545199/" TargetMode="External"/><Relationship Id="rId1280" Type="http://schemas.openxmlformats.org/officeDocument/2006/relationships/hyperlink" Target="http://www.swoknews.com/local/man-waving-gun-sheridan-lee-shot-killed-police" TargetMode="External"/><Relationship Id="rId1281" Type="http://schemas.openxmlformats.org/officeDocument/2006/relationships/hyperlink" Target="http://www.dispatch.com/content/stories/local/2015/10/15/officer-kills-suspect-during-far-east-side-robbery.html" TargetMode="External"/><Relationship Id="rId2710" Type="http://schemas.openxmlformats.org/officeDocument/2006/relationships/hyperlink" Target="http://www.wusa9.com/news/local/dc/man-seriously-injured-in-dc-officer-involved-shooting/377904065" TargetMode="External"/><Relationship Id="rId2711" Type="http://schemas.openxmlformats.org/officeDocument/2006/relationships/hyperlink" Target="http://www.firstcoastnews.com/news/local/investigation-underway-after-officer-involved-shooting-in-middleburg/377893189" TargetMode="External"/><Relationship Id="rId2712" Type="http://schemas.openxmlformats.org/officeDocument/2006/relationships/hyperlink" Target="http://www.fatalencounters.org/wp-content/uploads/2013/10/James-Tylka.png" TargetMode="External"/><Relationship Id="rId2713" Type="http://schemas.openxmlformats.org/officeDocument/2006/relationships/hyperlink" Target="http://koin.com/2016/12/26/osp-trooper-shot-in-washington-county/" TargetMode="External"/><Relationship Id="rId2714" Type="http://schemas.openxmlformats.org/officeDocument/2006/relationships/hyperlink" Target="http://sacramento.cbslocal.com/2016/12/27/grass-valley-man-35-shot-and-killed-by-deputies/" TargetMode="External"/><Relationship Id="rId2715" Type="http://schemas.openxmlformats.org/officeDocument/2006/relationships/hyperlink" Target="http://www.ajc.com/news/crime--law/cherokee-county-police-chase-ends-with-driver-fatally-shot-officer-wounded/ccnNLcAXEfvvkIicNUslYL/" TargetMode="External"/><Relationship Id="rId2716" Type="http://schemas.openxmlformats.org/officeDocument/2006/relationships/hyperlink" Target="http://www.fatalencounters.org/wp-content/uploads/2013/10/James-E.-Lewis.png" TargetMode="External"/><Relationship Id="rId2717" Type="http://schemas.openxmlformats.org/officeDocument/2006/relationships/hyperlink" Target="http://www.news-leader.com/story/news/crime/2017/01/01/police-investigate-officer-involved-shooting-north-springfield/96055626/" TargetMode="External"/><Relationship Id="rId2718" Type="http://schemas.openxmlformats.org/officeDocument/2006/relationships/hyperlink" Target="http://www.wlwt.com/article/police-1-injured-in-springfield-twp-officer-involved-shooting/8553603" TargetMode="External"/><Relationship Id="rId2719" Type="http://schemas.openxmlformats.org/officeDocument/2006/relationships/hyperlink" Target="http://www.fatalencounters.org/wp-content/uploads/2013/10/Mark-Guirguis.png" TargetMode="External"/><Relationship Id="rId1282" Type="http://schemas.openxmlformats.org/officeDocument/2006/relationships/hyperlink" Target="http://www.cdispatch.com/news/article.asp?aid=45542" TargetMode="External"/><Relationship Id="rId1283" Type="http://schemas.openxmlformats.org/officeDocument/2006/relationships/hyperlink" Target="http://www.al.com/news/index.ssf/2015/10/alabama_state_troopers_shoot_a.html" TargetMode="External"/><Relationship Id="rId1284" Type="http://schemas.openxmlformats.org/officeDocument/2006/relationships/hyperlink" Target="http://archive.ydr.com/local/ci_28983263/police-respond-saturday-afternoon-shooting-york" TargetMode="External"/><Relationship Id="rId1285" Type="http://schemas.openxmlformats.org/officeDocument/2006/relationships/hyperlink" Target="http://www.richmond.com/news/local/chesterfield/article_c725c915-9977-5246-be48-5a2b51f13953.html" TargetMode="External"/><Relationship Id="rId1286" Type="http://schemas.openxmlformats.org/officeDocument/2006/relationships/hyperlink" Target="http://www.sun-sentinel.com/local/palm-beach/fl-palm-beach-gardens-officer-shooting-20151019-story.html" TargetMode="External"/><Relationship Id="rId1287" Type="http://schemas.openxmlformats.org/officeDocument/2006/relationships/hyperlink" Target="http://www.sandiegouniontribune.com/news/2015/oct/20/officer-involved-shooting-downtown-san-diego/" TargetMode="External"/><Relationship Id="rId1288" Type="http://schemas.openxmlformats.org/officeDocument/2006/relationships/hyperlink" Target="http://www.sacbee.com/news/local/crime/article41204820.html" TargetMode="External"/><Relationship Id="rId1289" Type="http://schemas.openxmlformats.org/officeDocument/2006/relationships/hyperlink" Target="http://www.shreveporttimes.com/story/news/2015/10/22/police-man-knife-shot-officer/74382544/" TargetMode="External"/><Relationship Id="rId890" Type="http://schemas.openxmlformats.org/officeDocument/2006/relationships/hyperlink" Target="http://www.wrcbtv.com/story/30127734/suspect-dead-in-officer-involved-shooting-in-walker-county" TargetMode="External"/><Relationship Id="rId891" Type="http://schemas.openxmlformats.org/officeDocument/2006/relationships/hyperlink" Target="http://abc7.com/news/woman-fatally-shot-by-lapd-in-south-los-angeles-identified/1006621/" TargetMode="External"/><Relationship Id="rId892" Type="http://schemas.openxmlformats.org/officeDocument/2006/relationships/hyperlink" Target="http://www.dentonrc.com/local-news/local-news-headlines/20150928-ponder-officer-kills-man.ece" TargetMode="External"/><Relationship Id="rId893" Type="http://schemas.openxmlformats.org/officeDocument/2006/relationships/hyperlink" Target="http://www.kob.com/article/stories/s3923423.shtml" TargetMode="External"/><Relationship Id="rId894" Type="http://schemas.openxmlformats.org/officeDocument/2006/relationships/hyperlink" Target="http://www.wkyc.com/story/news/local/akron/2015/09/25/akron-police-shoot-kill-robbery-suspect/72829710/" TargetMode="External"/><Relationship Id="rId895" Type="http://schemas.openxmlformats.org/officeDocument/2006/relationships/hyperlink" Target="http://www.wbir.com/story/news/2015/09/12/armed-suspect-shot-and-killed--kcso-swat-team/72174344/" TargetMode="External"/><Relationship Id="rId896" Type="http://schemas.openxmlformats.org/officeDocument/2006/relationships/hyperlink" Target="http://www.denverpost.com/news/ci_28818708/robbery-suspect-shot-friday-by-broomfield-pd-died" TargetMode="External"/><Relationship Id="rId897" Type="http://schemas.openxmlformats.org/officeDocument/2006/relationships/hyperlink" Target="http://www.recordnet.com/article/20150910/NEWS/150919974" TargetMode="External"/><Relationship Id="rId898" Type="http://schemas.openxmlformats.org/officeDocument/2006/relationships/hyperlink" Target="http://ktla.com/2015/09/11/suspected-carjacker-fatally-shot-by-deputies-after-taking-hostages-at-downey-restaurant-authorities/" TargetMode="External"/><Relationship Id="rId899" Type="http://schemas.openxmlformats.org/officeDocument/2006/relationships/hyperlink" Target="http://www.syracuse.com/state/index.ssf/2015/09/police_id_clarkson_students_who_died_in_stabbing_officer-involved_shooting.html?hootPostID=0d0dfea04a7259e481e5dcbb19168d52" TargetMode="External"/><Relationship Id="rId3420" Type="http://schemas.openxmlformats.org/officeDocument/2006/relationships/hyperlink" Target="http://www.news4jax.com/news/local/3-officers-shoot-kill-man-in-suicide-by-cop" TargetMode="External"/><Relationship Id="rId3421" Type="http://schemas.openxmlformats.org/officeDocument/2006/relationships/hyperlink" Target="http://www.tampabay.com/projects/2017/investigations/florida-police-shootings/database/968/" TargetMode="External"/><Relationship Id="rId3422" Type="http://schemas.openxmlformats.org/officeDocument/2006/relationships/hyperlink" Target="https://docs.google.com/document/d/1PhAB_QITz0e9YtZRRV4mv4al-yiKQY9eMXnBKhnPnHU/edit?usp=sharing" TargetMode="External"/><Relationship Id="rId3423" Type="http://schemas.openxmlformats.org/officeDocument/2006/relationships/hyperlink" Target="http://www.pbcommercial.com/article/20140204/NEWS/302049872" TargetMode="External"/><Relationship Id="rId3424" Type="http://schemas.openxmlformats.org/officeDocument/2006/relationships/hyperlink" Target="http://www.tampabay.com/projects/2017/investigations/florida-police-shootings/database/48/" TargetMode="External"/><Relationship Id="rId3425" Type="http://schemas.openxmlformats.org/officeDocument/2006/relationships/hyperlink" Target="http://www.fatalencounters.org/wp-content/uploads/2013/10/Adrain-Ramero-Taylor.jpg" TargetMode="External"/><Relationship Id="rId3426" Type="http://schemas.openxmlformats.org/officeDocument/2006/relationships/hyperlink" Target="http://archive.jsonline.com/news/traffic/brfbeloit17-b99226611z1-250529771.html" TargetMode="External"/><Relationship Id="rId3427" Type="http://schemas.openxmlformats.org/officeDocument/2006/relationships/hyperlink" Target="https://docs.google.com/document/d/1vbfNiZI36TDj7KuZfE_6McUiISO3jeqMFy9ddYSeUj8/edit?usp=sharing" TargetMode="External"/><Relationship Id="rId3428" Type="http://schemas.openxmlformats.org/officeDocument/2006/relationships/hyperlink" Target="http://www.tampabay.com/projects/2017/investigations/florida-police-shootings/database/1043/" TargetMode="External"/><Relationship Id="rId3429" Type="http://schemas.openxmlformats.org/officeDocument/2006/relationships/hyperlink" Target="http://www.westkentuckystar.com/News/Local-Regional/Western-Kentucky/Police-Pursuit-Ends-in-Fatal-Wreck.aspx" TargetMode="External"/><Relationship Id="rId350" Type="http://schemas.openxmlformats.org/officeDocument/2006/relationships/hyperlink" Target="http://www.azcentral.com/story/news/local/phoenix/2014/12/17/phoenix-officer-shooting-teen-dies-abrk/20530475/" TargetMode="External"/><Relationship Id="rId351" Type="http://schemas.openxmlformats.org/officeDocument/2006/relationships/hyperlink" Target="http://www.muellersfuneralhomes.com/obituaries/Johnathon-Jd-Mar/Print/Wall" TargetMode="External"/><Relationship Id="rId352" Type="http://schemas.openxmlformats.org/officeDocument/2006/relationships/hyperlink" Target="http://www.ocregister.com/articles/mesa-645510-costa-warrants.html" TargetMode="External"/><Relationship Id="rId353" Type="http://schemas.openxmlformats.org/officeDocument/2006/relationships/hyperlink" Target="http://whotv.com/2014/12/17/marshalltown-police-critically-wound-armed-suspect-overnight/" TargetMode="External"/><Relationship Id="rId354" Type="http://schemas.openxmlformats.org/officeDocument/2006/relationships/hyperlink" Target="http://www.nbcphiladelphia.com/news/local/Mayfair-Police-Shooting-285796911.html" TargetMode="External"/><Relationship Id="rId355" Type="http://schemas.openxmlformats.org/officeDocument/2006/relationships/hyperlink" Target="http://www.tennessean.com/story/news/crime/2014/12/14/suspect-killed-officer-injured-south-nashville/20418519/" TargetMode="External"/><Relationship Id="rId356" Type="http://schemas.openxmlformats.org/officeDocument/2006/relationships/hyperlink" Target="http://www.arklatexhomepage.com/media/lib/186/8/4/d/84d8a85a-cc51-4371-b6d1-6a6fb81977f1/Story.jpg" TargetMode="External"/><Relationship Id="rId357" Type="http://schemas.openxmlformats.org/officeDocument/2006/relationships/hyperlink" Target="http://www.everythinglubbock.com/media/lib/197/b/e/9/be97488a-220f-42d4-a656-82afae53b037/Story.jpg" TargetMode="External"/><Relationship Id="rId358" Type="http://schemas.openxmlformats.org/officeDocument/2006/relationships/hyperlink" Target="http://www.newswest9.com/story/27643563/midland-police-identify-officer-killed-in-murder-suicide" TargetMode="External"/><Relationship Id="rId359" Type="http://schemas.openxmlformats.org/officeDocument/2006/relationships/hyperlink" Target="http://www.msnewsnow.com/story/27625936/madison-coroner-called-to-hwy-51-for-officer-involved-shooting" TargetMode="External"/><Relationship Id="rId1290" Type="http://schemas.openxmlformats.org/officeDocument/2006/relationships/hyperlink" Target="http://www.desertsun.com/story/news/crime_courts/2015/10/25/cathedral-city-officer-shooting/74582286/" TargetMode="External"/><Relationship Id="rId1291" Type="http://schemas.openxmlformats.org/officeDocument/2006/relationships/hyperlink" Target="http://www.winknews.com/2015/10/26/cape-pd-identifies-suspect-in-deadly-weekend-shooting/" TargetMode="External"/><Relationship Id="rId2720" Type="http://schemas.openxmlformats.org/officeDocument/2006/relationships/hyperlink" Target="http://dfw.cbslocal.com/2017/01/03/one-dead-one-injured-after-officer-involved-shooting-in-allen/" TargetMode="External"/><Relationship Id="rId2721" Type="http://schemas.openxmlformats.org/officeDocument/2006/relationships/hyperlink" Target="http://www.click2houston.com/news/officer-involved-in-shooting-in-sw-harris-county" TargetMode="External"/><Relationship Id="rId2722" Type="http://schemas.openxmlformats.org/officeDocument/2006/relationships/hyperlink" Target="http://www.foxnews.com/us/2017/01/02/suspected-carjackers-killed-after-crashing-into-synagogue-during-police-chase.html" TargetMode="External"/><Relationship Id="rId2723" Type="http://schemas.openxmlformats.org/officeDocument/2006/relationships/hyperlink" Target="http://www.chicagotribune.com/news/local/breaking/ct-dupage-fatal-police-shooting-20170102-story.html" TargetMode="External"/><Relationship Id="rId2724" Type="http://schemas.openxmlformats.org/officeDocument/2006/relationships/hyperlink" Target="http://www.fatalencounters.org/wp-content/uploads/2013/10/Jose-Nieves.png" TargetMode="External"/><Relationship Id="rId2725" Type="http://schemas.openxmlformats.org/officeDocument/2006/relationships/hyperlink" Target="http://abc7chicago.com/news/person-fatally-shot-by-off-duty-chicago-police-officer-in-hermosa/1682497/" TargetMode="External"/><Relationship Id="rId2726" Type="http://schemas.openxmlformats.org/officeDocument/2006/relationships/hyperlink" Target="http://www.nydailynews.com/new-york/brooklyn/knife-wielding-man-shot-wounded-brooklyn-article-1.2933589" TargetMode="External"/><Relationship Id="rId2727" Type="http://schemas.openxmlformats.org/officeDocument/2006/relationships/hyperlink" Target="https://www.news-journal.com/news/2017/jan/03/officer-involved-shooting-reported-upshur-county/" TargetMode="External"/><Relationship Id="rId2728" Type="http://schemas.openxmlformats.org/officeDocument/2006/relationships/hyperlink" Target="http://www.fatalencounters.org/wp-content/uploads/2013/10/Muhammad-Abdul-Muhaymin.png" TargetMode="External"/><Relationship Id="rId2729" Type="http://schemas.openxmlformats.org/officeDocument/2006/relationships/hyperlink" Target="http://www.12news.com/news/local/valley/assault-suspect-dies-in-phoenix-police-custody-after-fight-with-officers/382135005" TargetMode="External"/><Relationship Id="rId1292"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293" Type="http://schemas.openxmlformats.org/officeDocument/2006/relationships/hyperlink" Target="http://www.wtoc.com/story/30372168/gbi-releases-new-details-on-officer-involved-shooting-in-savannah" TargetMode="External"/><Relationship Id="rId1294" Type="http://schemas.openxmlformats.org/officeDocument/2006/relationships/hyperlink" Target="http://www.dispatch.com/content/stories/local/2015/10/29/Officer-involved-shooting.html" TargetMode="External"/><Relationship Id="rId1295" Type="http://schemas.openxmlformats.org/officeDocument/2006/relationships/hyperlink" Target="http://www.presleyflukerfunerals.com/storage/Dukes-Gerald.jpg?__SQUARESPACE_CACHEVERSION=1434663870356" TargetMode="External"/><Relationship Id="rId1296" Type="http://schemas.openxmlformats.org/officeDocument/2006/relationships/hyperlink" Target="http://whnt.com/2015/06/04/man-dies-in-crash-during-chase-with-falkville-police-officer/" TargetMode="External"/><Relationship Id="rId1297" Type="http://schemas.openxmlformats.org/officeDocument/2006/relationships/hyperlink" Target="http://wlbt.images.worldnow.com/images/7660774_G.jpg" TargetMode="External"/><Relationship Id="rId1298" Type="http://schemas.openxmlformats.org/officeDocument/2006/relationships/hyperlink" Target="http://www.wapt.com/news/family-seeks-answers-after-loved-one-dies-in-crash/32806478" TargetMode="External"/><Relationship Id="rId1299" Type="http://schemas.openxmlformats.org/officeDocument/2006/relationships/hyperlink" Target="http://www.wftv.com/news/news/local/crash-heavy-law-enforcement-presence-causes-delays/npJ6S/" TargetMode="External"/><Relationship Id="rId3430" Type="http://schemas.openxmlformats.org/officeDocument/2006/relationships/hyperlink" Target="http://www.fatalencounters.org/wp-content/uploads/2013/10/JeremiahHerrold.jpg" TargetMode="External"/><Relationship Id="rId3431" Type="http://schemas.openxmlformats.org/officeDocument/2006/relationships/hyperlink" Target="http://www.pennlive.com/midstate/index.ssf/2015/03/snyder_county_man_fatally_hurt.html" TargetMode="External"/><Relationship Id="rId3432" Type="http://schemas.openxmlformats.org/officeDocument/2006/relationships/hyperlink" Target="http://fox6now.com/2015/04/20/15-year-old-marco-hilson-teen-gang-member-who-caused-five-vehicle-crash-at-60th-capitol-has-died/" TargetMode="External"/><Relationship Id="rId3433" Type="http://schemas.openxmlformats.org/officeDocument/2006/relationships/hyperlink" Target="http://www.wtae.com/article/1-dead-4-hurt-after-parkway-east-chase-1/7472399" TargetMode="External"/><Relationship Id="rId3434" Type="http://schemas.openxmlformats.org/officeDocument/2006/relationships/hyperlink" Target="http://www.fatalencounters.org/wp-content/uploads/2013/10/AndreSmith.jpg" TargetMode="External"/><Relationship Id="rId3435" Type="http://schemas.openxmlformats.org/officeDocument/2006/relationships/hyperlink" Target="http://triblive.com/news/westmoreland/9408018-74/smith-family-brownsville" TargetMode="External"/><Relationship Id="rId3436" Type="http://schemas.openxmlformats.org/officeDocument/2006/relationships/hyperlink" Target="http://media.graytvinc.com/images/810*456/Pfc.-Stacy-Jordan-Hardy.jpg" TargetMode="External"/><Relationship Id="rId3437" Type="http://schemas.openxmlformats.org/officeDocument/2006/relationships/hyperlink" Target="http://www.kwtx.com/content/news/Fort-Hood-soldier-dies-after-motorcycle-crash-393012441.html" TargetMode="External"/><Relationship Id="rId3438" Type="http://schemas.openxmlformats.org/officeDocument/2006/relationships/hyperlink" Target="http://media.graytvinc.com/images/810*454/Trey+Shorts+Cropped.jpg" TargetMode="External"/><Relationship Id="rId3439" Type="http://schemas.openxmlformats.org/officeDocument/2006/relationships/hyperlink" Target="http://www.kwtx.com/content/news/Twin-Peaks-biker-killed-in-crash-during-police-chase-396536341.html" TargetMode="External"/><Relationship Id="rId360" Type="http://schemas.openxmlformats.org/officeDocument/2006/relationships/hyperlink" Target="http://www.wbir.com/story/news/local/sevierville-sevier/2014/12/13/spd-officer-shoots-kills-man-standoff/20349589/" TargetMode="External"/><Relationship Id="rId361" Type="http://schemas.openxmlformats.org/officeDocument/2006/relationships/hyperlink" Target="http://www.kktv.com/home/headlines/One-Man-Hospialized-After-Officer-Involved-Shooting-285508201.html" TargetMode="External"/><Relationship Id="rId362" Type="http://schemas.openxmlformats.org/officeDocument/2006/relationships/hyperlink" Target="http://wvtm.membercenter.worldnow.com/story/27598792/1-dead-in-sanford-officer-involved-shooting" TargetMode="External"/><Relationship Id="rId363" Type="http://schemas.openxmlformats.org/officeDocument/2006/relationships/hyperlink" Target="http://abc7chicago.com/news/armed-man-84-fatally-shot-by-police-in-lake-station-ind/428887/" TargetMode="External"/><Relationship Id="rId364" Type="http://schemas.openxmlformats.org/officeDocument/2006/relationships/hyperlink" Target="http://www.lansingstatejournal.com/story/news/local/2014/12/08/shooting-lansing-township/20101031/" TargetMode="External"/><Relationship Id="rId365" Type="http://schemas.openxmlformats.org/officeDocument/2006/relationships/hyperlink" Target="http://www.mynews3.com/content/specials/crimetracker/story/One-dead-in-shooting-inside-Rio-casino-early-today/cN46O5Q68ky6b5gwzcAquQ.cspx" TargetMode="External"/><Relationship Id="rId366" Type="http://schemas.openxmlformats.org/officeDocument/2006/relationships/hyperlink" Target="http://ktla.com/2014/12/05/armed-man-shot-by-officers-near-hollywood-and-highland-lapd/" TargetMode="External"/><Relationship Id="rId367" Type="http://schemas.openxmlformats.org/officeDocument/2006/relationships/hyperlink" Target="http://wistv.images.worldnow.com/images/6145354_G.jpg" TargetMode="External"/><Relationship Id="rId368" Type="http://schemas.openxmlformats.org/officeDocument/2006/relationships/hyperlink" Target="http://www.wltx.com/story/news/local/2014/12/05/sled-investigating-officer-involved-shooting/19980013/" TargetMode="External"/><Relationship Id="rId369" Type="http://schemas.openxmlformats.org/officeDocument/2006/relationships/hyperlink" Target="http://www.thenewsstar.com/story/news/local/2014/12/23/officer-involved-shooting-named-separate-case/20814039/" TargetMode="External"/><Relationship Id="rId2730" Type="http://schemas.openxmlformats.org/officeDocument/2006/relationships/hyperlink" Target="http://ktla.com/2017/01/04/man-killed-in-pomona-officer-involved-shooting/" TargetMode="External"/><Relationship Id="rId2731" Type="http://schemas.openxmlformats.org/officeDocument/2006/relationships/hyperlink" Target="http://www.tampabay.com/news/publicsafety/police-man-dies-during-arrest-in-st-petersburg/2308363" TargetMode="External"/><Relationship Id="rId2732" Type="http://schemas.openxmlformats.org/officeDocument/2006/relationships/hyperlink" Target="http://www.wlky.com/article/isp-investigate-officer-involved-shooting-in-crawford-county/8564108" TargetMode="External"/><Relationship Id="rId2733" Type="http://schemas.openxmlformats.org/officeDocument/2006/relationships/hyperlink" Target="http://www.amnews.com/2017/01/04/reported-shooting-involving-law-enforcement-officer-in-garrard-county/" TargetMode="External"/><Relationship Id="rId2734" Type="http://schemas.openxmlformats.org/officeDocument/2006/relationships/hyperlink" Target="http://www.fatalencounters.org/wp-content/uploads/2013/10/Joshua-Martino.png" TargetMode="External"/><Relationship Id="rId2735" Type="http://schemas.openxmlformats.org/officeDocument/2006/relationships/hyperlink" Target="http://www.nbcnewyork.com/news/local/NYC-Police-Involved-Shooting-Prospect-Heights-Man-Critical-Gun-Recovered-409623155.html" TargetMode="External"/><Relationship Id="rId2736" Type="http://schemas.openxmlformats.org/officeDocument/2006/relationships/hyperlink" Target="http://www.fatalencounters.org/wp-content/uploads/2013/10/15977862_1823918757866424_1347063177173696933_n.jpg" TargetMode="External"/><Relationship Id="rId2737" Type="http://schemas.openxmlformats.org/officeDocument/2006/relationships/hyperlink" Target="http://chicago.cbslocal.com/2017/01/06/girl-17-killed-in-crash-during-high-speed-chase-in-yorkville/" TargetMode="External"/><Relationship Id="rId2738" Type="http://schemas.openxmlformats.org/officeDocument/2006/relationships/hyperlink" Target="http://wkrn.com/2017/01/05/tbi-investigating-officer-involved-shooting-in-sewanee/" TargetMode="External"/><Relationship Id="rId2739" Type="http://schemas.openxmlformats.org/officeDocument/2006/relationships/hyperlink" Target="http://www.fatalencounters.org/wp-content/uploads/2013/10/Sean-Hake.jpg" TargetMode="External"/><Relationship Id="rId3440" Type="http://schemas.openxmlformats.org/officeDocument/2006/relationships/hyperlink" Target="http://www.pe.com/articles/camacho-780442-anda-police.html" TargetMode="External"/><Relationship Id="rId3441" Type="http://schemas.openxmlformats.org/officeDocument/2006/relationships/hyperlink" Target="http://www.killedbypolice.net/victims/2664.jpg" TargetMode="External"/><Relationship Id="rId3442" Type="http://schemas.openxmlformats.org/officeDocument/2006/relationships/hyperlink" Target="http://www.wesh.com/news/bicyclist-struck-by-police-cruiser-has-died/34321568" TargetMode="External"/><Relationship Id="rId3443" Type="http://schemas.openxmlformats.org/officeDocument/2006/relationships/hyperlink" Target="http://www.killedbypolice.net/victims/150651.jpg" TargetMode="External"/><Relationship Id="rId3444" Type="http://schemas.openxmlformats.org/officeDocument/2006/relationships/hyperlink" Target="http://www.dispatch.com/content/graphics/2015/07/13/nyal-brown.jpg" TargetMode="External"/><Relationship Id="rId3445" Type="http://schemas.openxmlformats.org/officeDocument/2006/relationships/hyperlink" Target="http://www.dispatch.com/content/stories/local/2015/07/13/fatal-crash-on-hilltop.html" TargetMode="External"/><Relationship Id="rId3446" Type="http://schemas.openxmlformats.org/officeDocument/2006/relationships/hyperlink" Target="http://wfla.com/2015/07/09/tampa-hit-and-run-investigation-focuses-on-tpd-officer/" TargetMode="External"/><Relationship Id="rId3447" Type="http://schemas.openxmlformats.org/officeDocument/2006/relationships/hyperlink" Target="http://media.cmgdigital.com/shared/img/photos/2015/07/01/63/fb/jimmy_payne_alteredREV2.jpg" TargetMode="External"/><Relationship Id="rId3448" Type="http://schemas.openxmlformats.org/officeDocument/2006/relationships/hyperlink" Target="http://www.whio.com/news/news/officer-on-leave-during-crash-investigation/nmjmX/" TargetMode="External"/><Relationship Id="rId3449" Type="http://schemas.openxmlformats.org/officeDocument/2006/relationships/hyperlink" Target="http://www.killedbypolice.net/victims/150488.jpg" TargetMode="External"/><Relationship Id="rId370" Type="http://schemas.openxmlformats.org/officeDocument/2006/relationships/hyperlink" Target="http://www.star-telegram.com/2014/12/03/6335890/fort-worth-police-fatally-shoot.html?rh=1" TargetMode="External"/><Relationship Id="rId371" Type="http://schemas.openxmlformats.org/officeDocument/2006/relationships/hyperlink" Target="https://encrypted-tbn1.gstatic.com/images?q=tbn:ANd9GcReseSA89ykdECqZfgRZGCtXTy03nbwQN7mgVVimHD6HxveTuXMkCVC4Q" TargetMode="External"/><Relationship Id="rId372" Type="http://schemas.openxmlformats.org/officeDocument/2006/relationships/hyperlink" Target="http://newsok.com/officer-involved-shooting-reported-in-northwest-oklahoma-city/article/5372084" TargetMode="External"/><Relationship Id="rId373" Type="http://schemas.openxmlformats.org/officeDocument/2006/relationships/hyperlink" Target="http://www.chron.com/news/houston-texas/article/1-dead-in-officer-involved-shooting-in-NW-Harris-5928188.php" TargetMode="External"/><Relationship Id="rId374" Type="http://schemas.openxmlformats.org/officeDocument/2006/relationships/hyperlink" Target="http://crimeblog.dallasnews.com/2014/11/balch-springs-police-say-man-died-in-custody-tuesday-after-he-fought-arresting-officers.html/" TargetMode="External"/><Relationship Id="rId375" Type="http://schemas.openxmlformats.org/officeDocument/2006/relationships/hyperlink" Target="http://www.firstcoastnews.com/story/news/local/2014/11/24/jso-involved-incident-gate-gas-station/70068030/" TargetMode="External"/><Relationship Id="rId376" Type="http://schemas.openxmlformats.org/officeDocument/2006/relationships/hyperlink" Target="http://www.kutv.com/news/features/top-stories/stories/South-Jordan-police-give-more-details-in-shooting-death-of-1-man-59617.shtml" TargetMode="External"/><Relationship Id="rId377" Type="http://schemas.openxmlformats.org/officeDocument/2006/relationships/hyperlink" Target="http://sacramento.cbslocal.com/2014/11/23/suspect-dead-after-shootout-in-downtown-sonora-officer-bystander-hurt/" TargetMode="External"/><Relationship Id="rId378" Type="http://schemas.openxmlformats.org/officeDocument/2006/relationships/hyperlink" Target="http://www.wral.com/family-man-who-shot-fayetteville-officer-suffered-from-mental-illness/14200793/" TargetMode="External"/><Relationship Id="rId379" Type="http://schemas.openxmlformats.org/officeDocument/2006/relationships/hyperlink" Target="http://www.revelsfh.com/obituaries/uploads/OI1223286732_FullSizeRender.jpg" TargetMode="External"/><Relationship Id="rId2740" Type="http://schemas.openxmlformats.org/officeDocument/2006/relationships/hyperlink" Target="http://wkbn.com/2017/01/07/23-year-old-killed-in-officer-involved-shooting-in-sharon/" TargetMode="External"/><Relationship Id="rId2741" Type="http://schemas.openxmlformats.org/officeDocument/2006/relationships/hyperlink" Target="http://d1t3gia0in9tdj.cloudfront.net/photo/tributes/t/8/r/207x207/4123094/Hector-Navarrete-1484150163.png" TargetMode="External"/><Relationship Id="rId2742" Type="http://schemas.openxmlformats.org/officeDocument/2006/relationships/hyperlink" Target="http://www.denverpost.com/2017/01/07/northglenn-police-shoot-kidnapping-suspect/" TargetMode="External"/><Relationship Id="rId2743" Type="http://schemas.openxmlformats.org/officeDocument/2006/relationships/hyperlink" Target="http://www.wusa9.com/news/local/man-dies-after-police-involved-shooting-in-howard-county/383409128" TargetMode="External"/><Relationship Id="rId2744" Type="http://schemas.openxmlformats.org/officeDocument/2006/relationships/hyperlink" Target="http://www.kshb.com/news/local-news/police-shoot-kill-armed-suicidal-man" TargetMode="External"/><Relationship Id="rId2745" Type="http://schemas.openxmlformats.org/officeDocument/2006/relationships/hyperlink" Target="http://www.fatalencounters.org/wp-content/uploads/2013/10/Gilbert-Lovato-500x333.jpg" TargetMode="External"/><Relationship Id="rId2746" Type="http://schemas.openxmlformats.org/officeDocument/2006/relationships/hyperlink" Target="https://www.abqjournal.com/923172/albuquerque-police-shoot-kill-armed-robbery-suspect.html" TargetMode="External"/><Relationship Id="rId2747" Type="http://schemas.openxmlformats.org/officeDocument/2006/relationships/hyperlink" Target="http://www.fatalencounters.org/wp-content/uploads/2013/10/Travis-Edward-Baker.png" TargetMode="External"/><Relationship Id="rId2748" Type="http://schemas.openxmlformats.org/officeDocument/2006/relationships/hyperlink" Target="http://www.tulsaworld.com/homepagelatest/man-killed-in-ottawa-county-deputy-involved-shooting/article_3fcdf2a8-dbbf-557e-9383-df308e24f22f.html" TargetMode="External"/><Relationship Id="rId2749" Type="http://schemas.openxmlformats.org/officeDocument/2006/relationships/hyperlink" Target="http://www.fatalencounters.org/wp-content/uploads/2013/10/Daniel-Scott-Giberson.png" TargetMode="External"/><Relationship Id="rId2200" Type="http://schemas.openxmlformats.org/officeDocument/2006/relationships/hyperlink" Target="http://www.fatalencounters.org/wp-content/uploads/2013/10/Jeffrey-Allen-Morris.jpg" TargetMode="External"/><Relationship Id="rId2201" Type="http://schemas.openxmlformats.org/officeDocument/2006/relationships/hyperlink" Target="http://www.wyff4.com/news/man-in-standoff-with-deputies-officials-say/41121980" TargetMode="External"/><Relationship Id="rId2202" Type="http://schemas.openxmlformats.org/officeDocument/2006/relationships/hyperlink" Target="http://www.fatalencounters.org/wp-content/uploads/2013/10/Sergio.jpg" TargetMode="External"/><Relationship Id="rId2203" Type="http://schemas.openxmlformats.org/officeDocument/2006/relationships/hyperlink" Target="http://www.sandiegouniontribune.com/news/2016/aug/15/felon-shot-vista-deputies-dies/" TargetMode="External"/><Relationship Id="rId2204" Type="http://schemas.openxmlformats.org/officeDocument/2006/relationships/hyperlink" Target="http://www.fatalencounters.org/wp-content/uploads/2013/10/Sawaf.jpg" TargetMode="External"/><Relationship Id="rId2205" Type="http://schemas.openxmlformats.org/officeDocument/2006/relationships/hyperlink" Target="http://www.wtvq.com/2016/08/14/father-harlan-co-man-shot-fire-investigator-reacts-sons-death/" TargetMode="External"/><Relationship Id="rId2206" Type="http://schemas.openxmlformats.org/officeDocument/2006/relationships/hyperlink" Target="http://www.seattletimes.com/seattle-news/police-officer-has-shot-someone-in-tukwila/" TargetMode="External"/><Relationship Id="rId2207" Type="http://schemas.openxmlformats.org/officeDocument/2006/relationships/hyperlink" Target="http://www.azcentral.com/story/news/local/mesa-breaking/2016/08/13/breaking-mesa-police-involved-shooting/88658092/" TargetMode="External"/><Relationship Id="rId2208" Type="http://schemas.openxmlformats.org/officeDocument/2006/relationships/hyperlink" Target="http://www.fatalencounters.org/wp-content/uploads/2013/10/Mistie.jpg" TargetMode="External"/><Relationship Id="rId2209" Type="http://schemas.openxmlformats.org/officeDocument/2006/relationships/hyperlink" Target="http://www.wftv.com/news/local/deputies-seminole-deputy-fatally-shoots-girlfriend-self-behind-gas-station/422336899" TargetMode="External"/><Relationship Id="rId3450" Type="http://schemas.openxmlformats.org/officeDocument/2006/relationships/hyperlink" Target="http://sanfrancisco.cbslocal.com/2015/06/05/bicyclist-fatally-struck-san-francisco-police-car-mclaren-park/" TargetMode="External"/><Relationship Id="rId3451" Type="http://schemas.openxmlformats.org/officeDocument/2006/relationships/hyperlink" Target="http://www.thenewscenter.tv/home/headlines/One-Person-Dead-in-Marietta-Crash-281400271.html" TargetMode="External"/><Relationship Id="rId3452" Type="http://schemas.openxmlformats.org/officeDocument/2006/relationships/hyperlink" Target="http://homicides.suntimes.com/victims/wally-flex/" TargetMode="External"/><Relationship Id="rId3453" Type="http://schemas.openxmlformats.org/officeDocument/2006/relationships/hyperlink" Target="http://homicides.suntimes.com/2014/08/18/gabriel-johnson-charged-with-reckless-homicide-in-crash-that-killed-wally-flex/" TargetMode="External"/><Relationship Id="rId3454" Type="http://schemas.openxmlformats.org/officeDocument/2006/relationships/hyperlink" Target="https://www.facebook.com/remembershia" TargetMode="External"/><Relationship Id="rId3455" Type="http://schemas.openxmlformats.org/officeDocument/2006/relationships/hyperlink" Target="http://www.killedbypolice.net/victims/150967.jpg" TargetMode="External"/><Relationship Id="rId3456" Type="http://schemas.openxmlformats.org/officeDocument/2006/relationships/hyperlink" Target="http://www.wesh.com/news/fhp-investigating-fatal-crash-in-casselberry/36003338" TargetMode="External"/><Relationship Id="rId3457" Type="http://schemas.openxmlformats.org/officeDocument/2006/relationships/hyperlink" Target="http://www.killedbypolice.net/victims/150938.jpg" TargetMode="External"/><Relationship Id="rId3458" Type="http://schemas.openxmlformats.org/officeDocument/2006/relationships/hyperlink" Target="http://ktla.com/2015/10/16/1-dead-3-injured-in-deputy-involved-crash-in-west-hollywood/" TargetMode="External"/><Relationship Id="rId3459" Type="http://schemas.openxmlformats.org/officeDocument/2006/relationships/hyperlink" Target="http://www.killedbypolice.net/victims/151000.jpg" TargetMode="External"/><Relationship Id="rId1500" Type="http://schemas.openxmlformats.org/officeDocument/2006/relationships/hyperlink" Target="http://www.kcra.com/news/local-news/news-stockton/chp-vehicle-chase-ends-in-ripon-crash/38152896" TargetMode="External"/><Relationship Id="rId1501" Type="http://schemas.openxmlformats.org/officeDocument/2006/relationships/hyperlink" Target="http://www.khou.com/story/news/crime/2016/02/23/hpd-precinct-6-deputy-shoots-kills-suspect-bus-station/80806638/" TargetMode="External"/><Relationship Id="rId1502" Type="http://schemas.openxmlformats.org/officeDocument/2006/relationships/hyperlink" Target="http://www.azcentral.com/story/news/local/phoenix/breaking/2016/02/24/officer-involved-shooting-investigation-underway-west-phoenix/80876092/" TargetMode="External"/><Relationship Id="rId1503" Type="http://schemas.openxmlformats.org/officeDocument/2006/relationships/hyperlink" Target="http://www.9news.com/news/crime/3-deputies-shot-1-killed-in-bailey/54667695" TargetMode="External"/><Relationship Id="rId1504" Type="http://schemas.openxmlformats.org/officeDocument/2006/relationships/hyperlink" Target="http://www.kctv5.com/story/31301061/troopers-teen-shot-killed-by-blue-springs-police-was-on-suicide-mission" TargetMode="External"/><Relationship Id="rId1505" Type="http://schemas.openxmlformats.org/officeDocument/2006/relationships/hyperlink" Target="http://www.presstelegram.com/general-news/20160229/norwalk-man-killed-in-deputy-involved-shooting-in-cerritos-is-identified" TargetMode="External"/><Relationship Id="rId1506" Type="http://schemas.openxmlformats.org/officeDocument/2006/relationships/hyperlink" Target="http://www.rgj.com/story/news/crime/2016/02/26/deputy-shot-2-suspects-hurt-silver-springs-shooting/80985964/" TargetMode="External"/><Relationship Id="rId1507" Type="http://schemas.openxmlformats.org/officeDocument/2006/relationships/hyperlink" Target="http://denver.cbslocal.com/2016/02/25/suspect-shot-killed-during-chase-in-evans/" TargetMode="External"/><Relationship Id="rId1508" Type="http://schemas.openxmlformats.org/officeDocument/2006/relationships/hyperlink" Target="http://www.argusleader.com/story/news/2016/02/27/rapid-city-traffic-stop-results-fatal-shooting/81031010/" TargetMode="External"/><Relationship Id="rId1509" Type="http://schemas.openxmlformats.org/officeDocument/2006/relationships/hyperlink" Target="http://www.ksat.com/news/man-critically-wounded-in-shootout-with-wilson-county-deputies" TargetMode="External"/><Relationship Id="rId380" Type="http://schemas.openxmlformats.org/officeDocument/2006/relationships/hyperlink" Target="http://www.mcall.com/news/breaking/mc-d-phillipsburg-officer-involved-shooting-suspect-dies-20141118-story.html" TargetMode="External"/><Relationship Id="rId381" Type="http://schemas.openxmlformats.org/officeDocument/2006/relationships/hyperlink" Target="http://www.weau.com/home/headlines/Female-suspect-killed-in-Boyceville-officer-involved-shooting-282832071.html" TargetMode="External"/><Relationship Id="rId382" Type="http://schemas.openxmlformats.org/officeDocument/2006/relationships/hyperlink" Target="http://www.local8now.com/home/headlines/Shooting-investigation-in-South-Knox-County-282637501.html" TargetMode="External"/><Relationship Id="rId383" Type="http://schemas.openxmlformats.org/officeDocument/2006/relationships/hyperlink" Target="http://www.news-record.com/news/guilford-county-sheriff-s-deputies-involved-in-chase-that-ends/article_79451250-6a25-11e4-bb91-87f8f4995f40.html" TargetMode="External"/><Relationship Id="rId384" Type="http://schemas.openxmlformats.org/officeDocument/2006/relationships/hyperlink" Target="http://imgick.nj.com/home/njo-media/width620/img/middlesex_impact/photo/16419415-mmmain.png" TargetMode="External"/><Relationship Id="rId385" Type="http://schemas.openxmlformats.org/officeDocument/2006/relationships/hyperlink" Target="http://www.nj.com/middlesex/index.ssf/2014/11/middlesex_county_death_jail_inmate_family_wait_for_answers.html" TargetMode="External"/><Relationship Id="rId386" Type="http://schemas.openxmlformats.org/officeDocument/2006/relationships/hyperlink" Target="http://www.jacksonsun.com/story/news/local/2014/11/11/parents-man-shot-officer-speak-tbi-investigate/18836355/" TargetMode="External"/><Relationship Id="rId387" Type="http://schemas.openxmlformats.org/officeDocument/2006/relationships/hyperlink" Target="http://magicvalley.com/news/local/crime-and-courts/update-man-fatally-shot-by-jerome-county-deputies-identified/article_4355b3bd-44b7-5e74-8937-16ad1d7d96cc.html" TargetMode="External"/><Relationship Id="rId388" Type="http://schemas.openxmlformats.org/officeDocument/2006/relationships/hyperlink" Target="http://www.rgj.com/story/news/crime/2014/11/05/police-officer-involved-shooting-near-unr/18563353/" TargetMode="External"/><Relationship Id="rId389" Type="http://schemas.openxmlformats.org/officeDocument/2006/relationships/hyperlink" Target="https://www.facebook.com/groups/387178151407408/" TargetMode="External"/><Relationship Id="rId2750" Type="http://schemas.openxmlformats.org/officeDocument/2006/relationships/hyperlink" Target="http://wvmetronews.com/2017/01/08/bluefield-man-dead-in-officer-involved-shooting/" TargetMode="External"/><Relationship Id="rId2751" Type="http://schemas.openxmlformats.org/officeDocument/2006/relationships/hyperlink" Target="http://www.azcentral.com/story/news/local/phoenix-breaking/2017/01/09/phoenix-police-shooting-35th-avenue-dunlap/96369682/" TargetMode="External"/><Relationship Id="rId2752" Type="http://schemas.openxmlformats.org/officeDocument/2006/relationships/hyperlink" Target="http://www.cbs46.com/story/34212929/officer-shoots-person-in-cumming" TargetMode="External"/><Relationship Id="rId2753" Type="http://schemas.openxmlformats.org/officeDocument/2006/relationships/hyperlink" Target="http://www.stltoday.com/news/local/crime-and-courts/man-fatally-shot-by-st-louis-officer-after-pointing-gun/article_5fd638b7-df3f-5298-8587-540a6e3a3952.html" TargetMode="External"/><Relationship Id="rId2754" Type="http://schemas.openxmlformats.org/officeDocument/2006/relationships/hyperlink" Target="http://ktla.com/2017/01/10/lapd-officials-investigate-officer-involved-shooting-in-downtown/" TargetMode="External"/><Relationship Id="rId2755" Type="http://schemas.openxmlformats.org/officeDocument/2006/relationships/hyperlink" Target="http://www.fatalencounters.org/wp-content/uploads/2013/10/Hector-Arreola.png" TargetMode="External"/><Relationship Id="rId2756" Type="http://schemas.openxmlformats.org/officeDocument/2006/relationships/hyperlink" Target="http://www.wtoc.com/story/34229642/man-dies-after-arrest-by-columbus-pd-family-considers-lawsuit" TargetMode="External"/><Relationship Id="rId2757" Type="http://schemas.openxmlformats.org/officeDocument/2006/relationships/hyperlink" Target="http://www.fatalencounters.org/wp-content/uploads/2013/10/Darrion-M.-Barnhill.png" TargetMode="External"/><Relationship Id="rId2758" Type="http://schemas.openxmlformats.org/officeDocument/2006/relationships/hyperlink" Target="http://www.jacksonsun.com/story/news/crime/2017/01/11/tbi-investigates-fatal-officer-involved-shooting-henderson-county/96436130/" TargetMode="External"/><Relationship Id="rId2759" Type="http://schemas.openxmlformats.org/officeDocument/2006/relationships/hyperlink" Target="http://ktla.com/2017/01/12/deputies-fatally-shoot-suspected-dui-driver-following-erratic-pursuit-in-lake-elsinore-area/" TargetMode="External"/><Relationship Id="rId2210" Type="http://schemas.openxmlformats.org/officeDocument/2006/relationships/hyperlink" Target="http://www.fatalencounters.org/wp-content/uploads/2013/10/Ruben.jpg" TargetMode="External"/><Relationship Id="rId2211" Type="http://schemas.openxmlformats.org/officeDocument/2006/relationships/hyperlink" Target="http://www.tulsaworld.com/homepagelatest/update-tahlequah-officers-fatally-shoot-man-reportedly-wielding-a-hammer/article_fc4e0c8f-9278-51bd-8ea2-57fece4cda1f.html" TargetMode="External"/><Relationship Id="rId2212" Type="http://schemas.openxmlformats.org/officeDocument/2006/relationships/hyperlink" Target="http://www.swtimes.com/news/20160816/man-dies-after-monticello-police-officer-subdues-him-with-taser" TargetMode="External"/><Relationship Id="rId2213" Type="http://schemas.openxmlformats.org/officeDocument/2006/relationships/hyperlink" Target="http://www.azcentral.com/story/news/local/phoenix-breaking/2016/08/13/phoenix-investigating-fatal-officer-involved-shooting/88669022/" TargetMode="External"/><Relationship Id="rId2214" Type="http://schemas.openxmlformats.org/officeDocument/2006/relationships/hyperlink" Target="http://www.nbcbayarea.com/news/local/Suspect-Dies-Days-After-Hayward--390640981.html" TargetMode="External"/><Relationship Id="rId2215" Type="http://schemas.openxmlformats.org/officeDocument/2006/relationships/hyperlink" Target="http://www.denverpost.com/2016/08/15/man-killed-confrontation-lakewood-police-identified/" TargetMode="External"/><Relationship Id="rId2216" Type="http://schemas.openxmlformats.org/officeDocument/2006/relationships/hyperlink" Target="http://www.trentonian.com/article/TT/20160813/NEWS/160819876" TargetMode="External"/><Relationship Id="rId2217" Type="http://schemas.openxmlformats.org/officeDocument/2006/relationships/hyperlink" Target="http://www.fatalencounters.org/wp-content/uploads/2013/10/Sylville_Smith.jpg" TargetMode="External"/><Relationship Id="rId2218" Type="http://schemas.openxmlformats.org/officeDocument/2006/relationships/hyperlink" Target="http://www.dailymail.co.uk/news/article-3743470/Sister-cop-shooting-victim-Sylville-Smith-tells-rioters-burn-suburbs-reveals-brother-went-high-school-shooter.html" TargetMode="External"/><Relationship Id="rId2219" Type="http://schemas.openxmlformats.org/officeDocument/2006/relationships/hyperlink" Target="http://www.fatalencounters.org/wp-content/uploads/2013/10/Danny-Pirtle.jpg" TargetMode="External"/><Relationship Id="rId3460" Type="http://schemas.openxmlformats.org/officeDocument/2006/relationships/hyperlink" Target="http://www.oregonlive.com/pacific-northwest-news/index.ssf/2015/11/klamath_county_officials_ident.html" TargetMode="External"/><Relationship Id="rId3461" Type="http://schemas.openxmlformats.org/officeDocument/2006/relationships/hyperlink" Target="http://eugenedailynews.com/2015/11/lane-county-sheriffs-deputy-hits-kills-bicyclist/" TargetMode="External"/><Relationship Id="rId3462" Type="http://schemas.openxmlformats.org/officeDocument/2006/relationships/hyperlink" Target="http://www.mlive.com/news/detroit/index.ssf/2015/07/st_clair_shores_police_car_tur.html" TargetMode="External"/><Relationship Id="rId3463" Type="http://schemas.openxmlformats.org/officeDocument/2006/relationships/hyperlink" Target="http://patch.com/new-jersey/lacey/toms-river-man-struck-killed-lacey-police-cruiser-0?" TargetMode="External"/><Relationship Id="rId3464" Type="http://schemas.openxmlformats.org/officeDocument/2006/relationships/hyperlink" Target="http://wishtv.com/2015/09/25/police-possibly-impaired-officer-hits-kills-pedestrian/" TargetMode="External"/><Relationship Id="rId3465" Type="http://schemas.openxmlformats.org/officeDocument/2006/relationships/hyperlink" Target="http://www.al.com/news/index.ssf/2015/10/georgia_state_trooper_fired_fo.html" TargetMode="External"/><Relationship Id="rId3466" Type="http://schemas.openxmlformats.org/officeDocument/2006/relationships/hyperlink" Target="http://www.wsbt.com/news/local/police-benton-charter-twp-officer-strikes-kills-pedestrian/35391048" TargetMode="External"/><Relationship Id="rId3467" Type="http://schemas.openxmlformats.org/officeDocument/2006/relationships/hyperlink" Target="http://www.al.com/news/index.ssf/2015/10/georgia_state_trooper_fired_fo.html" TargetMode="External"/><Relationship Id="rId3468" Type="http://schemas.openxmlformats.org/officeDocument/2006/relationships/hyperlink" Target="http://www.clickondetroit.com/news/9yearold-critically-injured-after-brother-flees-police/30246604" TargetMode="External"/><Relationship Id="rId3469" Type="http://schemas.openxmlformats.org/officeDocument/2006/relationships/hyperlink" Target="http://www.kmov.com/story/28421811/victim-of-fatal-officer-involved-accident-identified" TargetMode="External"/><Relationship Id="rId1510" Type="http://schemas.openxmlformats.org/officeDocument/2006/relationships/hyperlink" Target="http://www.wbrc.com/story/31341469/authorities-id-man-killed-in-ashville-officer-involved-shooting" TargetMode="External"/><Relationship Id="rId1511" Type="http://schemas.openxmlformats.org/officeDocument/2006/relationships/hyperlink" Target="http://www.kotatv.com/news/south-dakota-news/Rapid-City-man-identified-as-shooting-suspect/38253364" TargetMode="External"/><Relationship Id="rId1512" Type="http://schemas.openxmlformats.org/officeDocument/2006/relationships/hyperlink" Target="http://blog.gulflive.com/mississippi-press-news/2016/03/suspect_shot_dead_by_gautier_p.html" TargetMode="External"/><Relationship Id="rId1513" Type="http://schemas.openxmlformats.org/officeDocument/2006/relationships/hyperlink" Target="http://www.clickorlando.com/news/palm-bay-police-investigate-officer-involved-shooting" TargetMode="External"/><Relationship Id="rId1514" Type="http://schemas.openxmlformats.org/officeDocument/2006/relationships/hyperlink" Target="http://www.star-telegram.com/news/local/community/northeast-tarrant/article63564422.html" TargetMode="External"/><Relationship Id="rId1515" Type="http://schemas.openxmlformats.org/officeDocument/2006/relationships/hyperlink" Target="http://www.valdostadailytimes.com/news/national_international/man-killed-by-deputies-after-he-fired-a-gun/article_01a3ae1f-5b0a-50f4-bab7-07e101267c3e.html" TargetMode="External"/><Relationship Id="rId1516" Type="http://schemas.openxmlformats.org/officeDocument/2006/relationships/hyperlink" Target="http://wjactv.com/news/local/state-police-man-shot-and-killed-by-johnstown-police" TargetMode="External"/><Relationship Id="rId1517" Type="http://schemas.openxmlformats.org/officeDocument/2006/relationships/hyperlink" Target="http://www.tucsonnewsnow.com/story/31383490/suspect-dies-after-officer-involved-shooting-in-gilbert" TargetMode="External"/><Relationship Id="rId1518" Type="http://schemas.openxmlformats.org/officeDocument/2006/relationships/hyperlink" Target="http://www.bgdailynews.com/news/state/man-dies-after-being-shot-by-constable-in-laurel-county/article_fb43de48-bcc9-53eb-a526-7cdf3a51de7f.html" TargetMode="External"/><Relationship Id="rId1519" Type="http://schemas.openxmlformats.org/officeDocument/2006/relationships/hyperlink" Target="http://www.arkansasmatters.com/news/local-news/officer-involved-shooting-leaves-one-dead-in-montgomery-county" TargetMode="External"/><Relationship Id="rId390" Type="http://schemas.openxmlformats.org/officeDocument/2006/relationships/hyperlink" Target="http://www.yakimaherald.com/news/latestlocalnews/2632541-8/man-fatally-shot-by-yakima-county-deputy" TargetMode="External"/><Relationship Id="rId391" Type="http://schemas.openxmlformats.org/officeDocument/2006/relationships/hyperlink" Target="http://www.wsaz.com/home/headlines/Officers-Shoot-and-Kill-Suspect-During-Drug-Raid-in-Lawrence-County-Ohiog---281476761.html" TargetMode="External"/><Relationship Id="rId392" Type="http://schemas.openxmlformats.org/officeDocument/2006/relationships/hyperlink" Target="http://www.kshb.com/news/crime/deputy-fatally-shot-in-cedar-county" TargetMode="External"/><Relationship Id="rId393" Type="http://schemas.openxmlformats.org/officeDocument/2006/relationships/hyperlink" Target="http://www.tucsonnewsnow.com/story/27187359/bicyclist-fatally-struck-by-police-officer-in-unmarked-vehicle" TargetMode="External"/><Relationship Id="rId394" Type="http://schemas.openxmlformats.org/officeDocument/2006/relationships/hyperlink" Target="http://www.wdbj7.com/news/local/lynchburg-bedford/deputy-involved-in-bedford-county-shooting/29390802" TargetMode="External"/><Relationship Id="rId395" Type="http://schemas.openxmlformats.org/officeDocument/2006/relationships/hyperlink" Target="http://www.wsvn.com/story/27025232/1-dead-in-hialeah-police-involved-shooting" TargetMode="External"/><Relationship Id="rId396" Type="http://schemas.openxmlformats.org/officeDocument/2006/relationships/hyperlink" Target="http://www.fayobserver.com/news/local/man-shot-killed-when-cumberland-county-deputies-try-to-serve/article_f253b5ae-7298-5362-8caf-84520ea48f26.html" TargetMode="External"/><Relationship Id="rId397" Type="http://schemas.openxmlformats.org/officeDocument/2006/relationships/hyperlink" Target="http://www.tucsonsentinel.com/local/report/102914_bp_shooting/update-man-fatally-shot-by-border-patrol-identified/" TargetMode="External"/><Relationship Id="rId398" Type="http://schemas.openxmlformats.org/officeDocument/2006/relationships/hyperlink" Target="http://www.nydailynews.com/new-york/nyc-crime/police-shoots-kills-man-ax-queens-article-1.1984914" TargetMode="External"/><Relationship Id="rId399" Type="http://schemas.openxmlformats.org/officeDocument/2006/relationships/hyperlink" Target="http://www.al.com/news/huntsville/index.ssf/2014/10/officer-involved_shooting_at_m.html" TargetMode="External"/><Relationship Id="rId2760" Type="http://schemas.openxmlformats.org/officeDocument/2006/relationships/hyperlink" Target="http://www.kare11.com/news/local/officer-involved-shooting-leaves-1-dead-in-austin/385475423" TargetMode="External"/><Relationship Id="rId2761" Type="http://schemas.openxmlformats.org/officeDocument/2006/relationships/hyperlink" Target="http://www.fatalencounters.org/wp-content/uploads/2013/10/Jose-Antonio-Fernandez-Ventura.png" TargetMode="External"/><Relationship Id="rId2762" Type="http://schemas.openxmlformats.org/officeDocument/2006/relationships/hyperlink" Target="http://www.courierpostonline.com/story/news/crime/2017/01/11/camden-police-shooting-fernandez-ventura/96461236/" TargetMode="External"/><Relationship Id="rId2763" Type="http://schemas.openxmlformats.org/officeDocument/2006/relationships/hyperlink" Target="http://www.fatalencounters.org/wp-content/uploads/2013/10/Kevin-Ernest-Tree.png" TargetMode="External"/><Relationship Id="rId2764" Type="http://schemas.openxmlformats.org/officeDocument/2006/relationships/hyperlink" Target="http://www.ocala.com/news/20170112/man-fatally-shot-in-confrontation-with-police-at-ocala-hotel" TargetMode="External"/><Relationship Id="rId2765" Type="http://schemas.openxmlformats.org/officeDocument/2006/relationships/hyperlink" Target="http://www.fatalencounters.org/wp-content/uploads/2013/10/Jamison-Christopher-Anderson.png" TargetMode="External"/><Relationship Id="rId2766" Type="http://schemas.openxmlformats.org/officeDocument/2006/relationships/hyperlink" Target="http://www.inforum.com/news/4198746-suspect-home-invasion-shot-killed-mille-lacs-deputy" TargetMode="External"/><Relationship Id="rId2767" Type="http://schemas.openxmlformats.org/officeDocument/2006/relationships/hyperlink" Target="http://www.fatalencounters.org/wp-content/uploads/2013/10/Rodney-L.-Hoback-Jr.png" TargetMode="External"/><Relationship Id="rId2768" Type="http://schemas.openxmlformats.org/officeDocument/2006/relationships/hyperlink" Target="http://wset.com/news/local/man-shot-by-giles-county-deputy-dies-from-his-injuries" TargetMode="External"/><Relationship Id="rId2769" Type="http://schemas.openxmlformats.org/officeDocument/2006/relationships/hyperlink" Target="http://khon2.com/2017/01/13/suspect-in-custody-following-shooting-at-kahuku-campground/" TargetMode="External"/><Relationship Id="rId2220" Type="http://schemas.openxmlformats.org/officeDocument/2006/relationships/hyperlink" Target="http://www.jacksonsun.com/story/news/crime/2016/08/16/suspect-officer-invovled-shooting-dies/88835702/" TargetMode="External"/><Relationship Id="rId2221" Type="http://schemas.openxmlformats.org/officeDocument/2006/relationships/hyperlink" Target="http://www.nbcwashington.com/news/local/Deputy-Involved-Shooting-Reported-at-Inova-Fairfax-Hospital-390275431.html" TargetMode="External"/><Relationship Id="rId2222" Type="http://schemas.openxmlformats.org/officeDocument/2006/relationships/hyperlink" Target="http://www.abc15.com/news/region-southeast-valley/apache-junction/1-person-injured-during-officer-involved-shooting-in-apache-junction" TargetMode="External"/><Relationship Id="rId2223" Type="http://schemas.openxmlformats.org/officeDocument/2006/relationships/hyperlink" Target="http://www.tucsonnewsnow.com/story/32776153/pima-co-sheriff-deputy-involved-shooting-on-the-southwest-side" TargetMode="External"/><Relationship Id="rId2224" Type="http://schemas.openxmlformats.org/officeDocument/2006/relationships/hyperlink" Target="http://www.fatalencounters.org/wp-content/uploads/2013/10/Colby-Friday.jpg" TargetMode="External"/><Relationship Id="rId2225" Type="http://schemas.openxmlformats.org/officeDocument/2006/relationships/hyperlink" Target="http://www.recordnet.com/news/20160816/man-fatally-shot-by-stockton-police" TargetMode="External"/><Relationship Id="rId2226" Type="http://schemas.openxmlformats.org/officeDocument/2006/relationships/hyperlink" Target="http://www.latimes.com/local/lanow/la-me-ln-lapd-shooting-20160816-snap-story.htmlhttp:/www.latimes.com/local/lanow/la-me-ln-lapd-shooting-20160816-snap-story.html" TargetMode="External"/><Relationship Id="rId2227" Type="http://schemas.openxmlformats.org/officeDocument/2006/relationships/hyperlink" Target="http://www.fatalencounters.org/wp-content/uploads/2013/10/Carl-Nivins.jpg" TargetMode="External"/><Relationship Id="rId2228" Type="http://schemas.openxmlformats.org/officeDocument/2006/relationships/hyperlink" Target="http://www.wcnc.com/news/crime/officer-involved-shooting-outside-walmart/299515668" TargetMode="External"/><Relationship Id="rId2229" Type="http://schemas.openxmlformats.org/officeDocument/2006/relationships/hyperlink" Target="http://www.newsnet5.com/news/local-news/oh-ashtabula/sheriffs-office-deputy-involved-shooting-in-ashtabula-county" TargetMode="External"/><Relationship Id="rId3470" Type="http://schemas.openxmlformats.org/officeDocument/2006/relationships/hyperlink" Target="http://www.fatalencounters.org/wp-content/uploads/2013/10/KelseyDresser.png" TargetMode="External"/><Relationship Id="rId3471" Type="http://schemas.openxmlformats.org/officeDocument/2006/relationships/hyperlink" Target="http://www.latimes.com/local/lanow/la-me-ln-usc-student-killed-crash-campus-police-cruiser-lapd-20151211-story.html" TargetMode="External"/><Relationship Id="rId3472" Type="http://schemas.openxmlformats.org/officeDocument/2006/relationships/hyperlink" Target="http://www.killedbypolice.net/victims/150902.jpg" TargetMode="External"/><Relationship Id="rId3473" Type="http://schemas.openxmlformats.org/officeDocument/2006/relationships/hyperlink" Target="http://whns.images.worldnow.com/images/8077680_G.jpg" TargetMode="External"/><Relationship Id="rId3474" Type="http://schemas.openxmlformats.org/officeDocument/2006/relationships/hyperlink" Target="http://www.greenvilleonline.com/story/news/local/2015/06/14/moped-driver-killed-crash-greenville-county-deputy/71207792/" TargetMode="External"/><Relationship Id="rId3475" Type="http://schemas.openxmlformats.org/officeDocument/2006/relationships/hyperlink" Target="http://newyork.cbslocal.com/2015/05/06/nj-turnpike-pedestrians-killed-police-car/" TargetMode="External"/><Relationship Id="rId3476" Type="http://schemas.openxmlformats.org/officeDocument/2006/relationships/hyperlink" Target="http://newyork.cbslocal.com/2015/05/06/nj-turnpike-pedestrians-killed-police-car/" TargetMode="External"/><Relationship Id="rId3477" Type="http://schemas.openxmlformats.org/officeDocument/2006/relationships/hyperlink" Target="http://abc13.com/news/hpd-officer-hits-kills-bicyclist-in-southeast-houston/677753/" TargetMode="External"/><Relationship Id="rId3478" Type="http://schemas.openxmlformats.org/officeDocument/2006/relationships/hyperlink" Target="http://www.newsnet5.com/news/local-news/oh-cuyahoga/witnesspolice-cruiser-hit-kills-man" TargetMode="External"/><Relationship Id="rId3479" Type="http://schemas.openxmlformats.org/officeDocument/2006/relationships/hyperlink" Target="http://www.sun-sentinel.com/local/broward/fl-pedestrian-fatal-20151031-story.html" TargetMode="External"/><Relationship Id="rId1520" Type="http://schemas.openxmlformats.org/officeDocument/2006/relationships/hyperlink" Target="http://www.beaumontenterprise.com/news/article/Investigation-into-Beaumont-officer-involved-6872717.php" TargetMode="External"/><Relationship Id="rId1521" Type="http://schemas.openxmlformats.org/officeDocument/2006/relationships/hyperlink" Target="http://www.buffalonews.com/city-region/man-killed-by-police-officer-in-cheektowaga-was-troubled-20160307" TargetMode="External"/><Relationship Id="rId1522" Type="http://schemas.openxmlformats.org/officeDocument/2006/relationships/hyperlink" Target="http://billingsgazette.com/news/state-and-regional/montana/bismarck-officer-shoots-kills-man-after-emergency-call/article_4ee097aa-fb44-5cd8-98f0-fafe517e62a5.html" TargetMode="External"/><Relationship Id="rId1523" Type="http://schemas.openxmlformats.org/officeDocument/2006/relationships/hyperlink" Target="http://www.wfaa.com/news/crime/man-with-gun-shot-killed-by-azle-police-sunday/71853175" TargetMode="External"/><Relationship Id="rId1524" Type="http://schemas.openxmlformats.org/officeDocument/2006/relationships/hyperlink" Target="http://ktla.com/2016/03/06/police-shoot-kill-man-who-opened-fire-on-them-in-south-gate-sheriffs-department/" TargetMode="External"/><Relationship Id="rId1525" Type="http://schemas.openxmlformats.org/officeDocument/2006/relationships/hyperlink" Target="http://billingsgazette.com/news/crime/sheriff-s-office-names-man-killed-in-joliet-following-gunfire/article_0d96f8ba-8a68-5a03-9e3f-4ba41b17f865.html" TargetMode="External"/><Relationship Id="rId1526" Type="http://schemas.openxmlformats.org/officeDocument/2006/relationships/hyperlink" Target="http://www.democratandchronicle.com/story/news/2016/03/09/rpd-identifies-man-shot-swat-team/81530234/" TargetMode="External"/><Relationship Id="rId1527" Type="http://schemas.openxmlformats.org/officeDocument/2006/relationships/hyperlink" Target="http://www.dothaneagle.com/news/ap/state/state-police-investigate-carlsbad-officer-involved-shooting/article_6582484b-ac35-5ff7-ae15-e972e92a453c.html" TargetMode="External"/><Relationship Id="rId1528" Type="http://schemas.openxmlformats.org/officeDocument/2006/relationships/hyperlink" Target="http://sanfrancisco.cbslocal.com/2016/03/09/san-jose-police-identify-suspect-killed-in-officer-involved-shooting/" TargetMode="External"/><Relationship Id="rId1529" Type="http://schemas.openxmlformats.org/officeDocument/2006/relationships/hyperlink" Target="http://ksnt.com/2016/03/08/friends-speak-out-about-deadly-shooting/" TargetMode="External"/><Relationship Id="rId2770" Type="http://schemas.openxmlformats.org/officeDocument/2006/relationships/hyperlink" Target="http://www.fatalencounters.org/wp-content/uploads/2013/10/Devontae-Troy-Brooks.jpg" TargetMode="External"/><Relationship Id="rId2771" Type="http://schemas.openxmlformats.org/officeDocument/2006/relationships/hyperlink" Target="http://www.nj.com/cumberland/index.ssf/2017/01/man_fleeing_police_killed_after_crashing_into_util.html" TargetMode="External"/><Relationship Id="rId2772" Type="http://schemas.openxmlformats.org/officeDocument/2006/relationships/hyperlink" Target="http://www.nbcnewyork.com/news/local/Cops-Shoot-Kill-Man-Who-Threatened-Mom-With-Screwdriver-in-Queens-NYPD-410718035.html" TargetMode="External"/><Relationship Id="rId2773" Type="http://schemas.openxmlformats.org/officeDocument/2006/relationships/hyperlink" Target="http://www.statesman.com/news/local/man-with-rifle-killed-police-shooting-outside-northwest-austin-church/Mt0ow5WaNrRpybpEmnqa8N/" TargetMode="External"/><Relationship Id="rId2774" Type="http://schemas.openxmlformats.org/officeDocument/2006/relationships/hyperlink" Target="http://abc7.com/news/azusa-police-officer-fatally-shoots-man-who-pointed-handgun-at-him/1704688/" TargetMode="External"/><Relationship Id="rId2775" Type="http://schemas.openxmlformats.org/officeDocument/2006/relationships/hyperlink" Target="http://abc7.com/news/woman-reportedly-armed-with-knife-shot-by-police-in-long-beach/1704155/" TargetMode="External"/><Relationship Id="rId2776" Type="http://schemas.openxmlformats.org/officeDocument/2006/relationships/hyperlink" Target="http://www.chicagotribune.com/news/local/breaking/ct-violence-officer-involved-shooting-20170115-story.html" TargetMode="External"/><Relationship Id="rId2777" Type="http://schemas.openxmlformats.org/officeDocument/2006/relationships/hyperlink" Target="http://www.spokesman.com/stories/2017/jan/15/man-shot-killed-by-spokane-police-officer-on-lower/" TargetMode="External"/><Relationship Id="rId2778" Type="http://schemas.openxmlformats.org/officeDocument/2006/relationships/hyperlink" Target="http://www.11alive.com/news/local/officer-involved-shooting-investigation-underway-in-fayette-co/386633926" TargetMode="External"/><Relationship Id="rId2779" Type="http://schemas.openxmlformats.org/officeDocument/2006/relationships/hyperlink" Target="http://www.wpsdlocal6.com/story/34270275/officer-involved-shooting-under-investigation-in-fulton-kentucky" TargetMode="External"/><Relationship Id="rId2230" Type="http://schemas.openxmlformats.org/officeDocument/2006/relationships/hyperlink" Target="http://wvmetronews.com/2016/08/17/suspect-shot-and-killed-by-deputy-in-hampshire-county/" TargetMode="External"/><Relationship Id="rId2231" Type="http://schemas.openxmlformats.org/officeDocument/2006/relationships/hyperlink" Target="http://tdn.com/news/local/officer-involved-shooting-at-kelso-gas-station/article_89d36d2b-c401-5927-a883-1dd8554dd9d9.html" TargetMode="External"/><Relationship Id="rId2232" Type="http://schemas.openxmlformats.org/officeDocument/2006/relationships/hyperlink" Target="http://www.sacbee.com/news/local/crime/article96600647.html" TargetMode="External"/><Relationship Id="rId2233" Type="http://schemas.openxmlformats.org/officeDocument/2006/relationships/hyperlink" Target="http://www.northcoastjournal.com/NewsBlog/archives/2016/08/17/3rd-update-suspect-killed-in-mckinleyville-standoff" TargetMode="External"/><Relationship Id="rId2234" Type="http://schemas.openxmlformats.org/officeDocument/2006/relationships/hyperlink" Target="http://www.fatalencounters.org/wp-content/uploads/2013/10/Francisco-Villarreal.jpg" TargetMode="External"/><Relationship Id="rId2235" Type="http://schemas.openxmlformats.org/officeDocument/2006/relationships/hyperlink" Target="http://bakersfieldnow.com/news/local/officer-involved-shooting-in-southeast-bakersfield" TargetMode="External"/><Relationship Id="rId2236" Type="http://schemas.openxmlformats.org/officeDocument/2006/relationships/hyperlink" Target="http://www.marinij.com/article/NO/20160818/NEWS/160819821" TargetMode="External"/><Relationship Id="rId2237" Type="http://schemas.openxmlformats.org/officeDocument/2006/relationships/hyperlink" Target="http://www.fatalencounters.org/wp-content/uploads/2013/10/Trenton-Lohman.jpg" TargetMode="External"/><Relationship Id="rId2238" Type="http://schemas.openxmlformats.org/officeDocument/2006/relationships/hyperlink" Target="http://www.sandiegouniontribune.com/news/2016/aug/19/poway-deputy-shooting-victim-identified/" TargetMode="External"/><Relationship Id="rId2239" Type="http://schemas.openxmlformats.org/officeDocument/2006/relationships/hyperlink" Target="http://www.fatalencounters.org/wp-content/uploads/2013/10/Joseph-Nathaniel-Weber.png" TargetMode="External"/><Relationship Id="rId3480" Type="http://schemas.openxmlformats.org/officeDocument/2006/relationships/hyperlink" Target="http://www.kansascity.com/news/local/article32618871.html" TargetMode="External"/><Relationship Id="rId3481" Type="http://schemas.openxmlformats.org/officeDocument/2006/relationships/hyperlink" Target="http://www.nj.com/essex/index.ssf/2015/09/carjacking_leads_to_death_of_juvenile_suspect_poli.html" TargetMode="External"/><Relationship Id="rId3482" Type="http://schemas.openxmlformats.org/officeDocument/2006/relationships/hyperlink" Target="http://www.fatalencounters.org/wp-content/uploads/2013/10/BryanOverstreet.png" TargetMode="External"/><Relationship Id="rId3483" Type="http://schemas.openxmlformats.org/officeDocument/2006/relationships/hyperlink" Target="http://www.walb.com/story/28916690/sylvester-man-run-over-by-patrol-car" TargetMode="External"/><Relationship Id="rId3484" Type="http://schemas.openxmlformats.org/officeDocument/2006/relationships/hyperlink" Target="http://www.fatalencounters.org/wp-content/uploads/2013/10/Sharon-Mitterling.jpg" TargetMode="External"/><Relationship Id="rId3485" Type="http://schemas.openxmlformats.org/officeDocument/2006/relationships/hyperlink" Target="http://www.galvnews.com/news/free/article_23284998-6f30-5005-a722-cc1e1dd17cbf.html" TargetMode="External"/><Relationship Id="rId3486" Type="http://schemas.openxmlformats.org/officeDocument/2006/relationships/hyperlink" Target="http://www.wsbt.com/news/local/Warsaw-Police-investigate-fatal-crash-between-police-and-pedestrian/37587808" TargetMode="External"/><Relationship Id="rId3487" Type="http://schemas.openxmlformats.org/officeDocument/2006/relationships/hyperlink" Target="http://www.floridatoday.com/story/news/2016/01/24/two-people-killed-central-brevard-crash/79262656/" TargetMode="External"/><Relationship Id="rId3488" Type="http://schemas.openxmlformats.org/officeDocument/2006/relationships/hyperlink" Target="https://tribwxmi.files.wordpress.com/2015/10/anthony-walker.png?w=227" TargetMode="External"/><Relationship Id="rId3489" Type="http://schemas.openxmlformats.org/officeDocument/2006/relationships/hyperlink" Target="http://ak-cache.legacy.net/legacy/images/cobrands/tallahassee/photos/tad029407-1_20160224.jpgx?w=130&amp;h=180&amp;option=1&amp;v=0x0000000033901fdd" TargetMode="External"/><Relationship Id="rId1530" Type="http://schemas.openxmlformats.org/officeDocument/2006/relationships/hyperlink" Target="http://www.home.tampabay.com/news/publicsafety/man-shot-and-killed-by-hillsborough-sheriffs-deputies-in-tampa/2268537" TargetMode="External"/><Relationship Id="rId1531" Type="http://schemas.openxmlformats.org/officeDocument/2006/relationships/hyperlink" Target="http://www.times-standard.com/general-news/20160311/coroner-man-killed-in-officer-involved-shooting-in-biloxi" TargetMode="External"/><Relationship Id="rId1532" Type="http://schemas.openxmlformats.org/officeDocument/2006/relationships/hyperlink" Target="http://www.presstelegram.com/general-news/20160310/man-killed-by-officer-in-north-long-beach-is-identified" TargetMode="External"/><Relationship Id="rId1533" Type="http://schemas.openxmlformats.org/officeDocument/2006/relationships/hyperlink" Target="http://www.brownsvilleherald.com/news/texas/article_d301d166-9ac2-5879-be56-ecfb145e4235.html" TargetMode="External"/><Relationship Id="rId1534" Type="http://schemas.openxmlformats.org/officeDocument/2006/relationships/hyperlink" Target="http://www.chieftain.com/news/4553421-120/troopers-gonzalez-reportedly-vehicle" TargetMode="External"/><Relationship Id="rId1535" Type="http://schemas.openxmlformats.org/officeDocument/2006/relationships/hyperlink" Target="http://www.news-gazette.com/news/local/2016-03-12/suicidal-clinton-man-fatally-shot-police.html" TargetMode="External"/><Relationship Id="rId1536" Type="http://schemas.openxmlformats.org/officeDocument/2006/relationships/hyperlink" Target="http://www.kake.com/home/headlines/Shooting-in-Butler-County--371822962.html" TargetMode="External"/><Relationship Id="rId1537" Type="http://schemas.openxmlformats.org/officeDocument/2006/relationships/hyperlink" Target="http://www.insidebayarea.com/breaking-news/ci_29630727/newark-cop-fatally-shoots-kfc-robber" TargetMode="External"/><Relationship Id="rId1538" Type="http://schemas.openxmlformats.org/officeDocument/2006/relationships/hyperlink" Target="http://www.wfmynews2.com/news/crime/greensboro-man-found-dead-after-standoff-police/78530678" TargetMode="External"/><Relationship Id="rId1539" Type="http://schemas.openxmlformats.org/officeDocument/2006/relationships/hyperlink" Target="http://www.fatalencounters.org/wp-content/uploads/2013/10/Gunn.png" TargetMode="External"/><Relationship Id="rId2780" Type="http://schemas.openxmlformats.org/officeDocument/2006/relationships/hyperlink" Target="http://wjla.com/news/local/2-people-shot-in-domestic-related-shooting-in-herndon-2-alarm-fire-on-same-block" TargetMode="External"/><Relationship Id="rId2781" Type="http://schemas.openxmlformats.org/officeDocument/2006/relationships/hyperlink" Target="http://www.kesq.com/news/crime/police-responding-to-twentynine-palms-shooting/273971220" TargetMode="External"/><Relationship Id="rId2782" Type="http://schemas.openxmlformats.org/officeDocument/2006/relationships/hyperlink" Target="http://www.wrcbtv.com/story/34282397/officer-involved-shooting-in-soddy-daisy" TargetMode="External"/><Relationship Id="rId2783" Type="http://schemas.openxmlformats.org/officeDocument/2006/relationships/hyperlink" Target="https://oagtx.force.com/cdr/VIP_FormWizardPDF?id=a2C31000001v1RREAY" TargetMode="External"/><Relationship Id="rId2784" Type="http://schemas.openxmlformats.org/officeDocument/2006/relationships/hyperlink" Target="http://abc7.com/news/man-with-hatchet-shot-after-police-chase-ends-in-westchester/1708815/" TargetMode="External"/><Relationship Id="rId2785" Type="http://schemas.openxmlformats.org/officeDocument/2006/relationships/hyperlink" Target="http://www.ksbw.com/article/teen-killed-in-salinas-officer-involved-shooting/8611654" TargetMode="External"/><Relationship Id="rId2786" Type="http://schemas.openxmlformats.org/officeDocument/2006/relationships/hyperlink" Target="http://www.nwitimes.com/news/local/crime-and-courts/police-suspect-in-officer-involved-shooting-dies/article_af899574-e08e-5ecf-b7a1-35d00e64b3df.html" TargetMode="External"/><Relationship Id="rId2787" Type="http://schemas.openxmlformats.org/officeDocument/2006/relationships/hyperlink" Target="http://www.fatalencounters.org/wp-content/uploads/2013/10/Melvin-DeLong.png" TargetMode="External"/><Relationship Id="rId2788" Type="http://schemas.openxmlformats.org/officeDocument/2006/relationships/hyperlink" Target="http://www.wday.com/news/4201825-deputy-29-and-suspect-fatally-shot-after-shootout-nds-rolette-county-2-other-deputies" TargetMode="External"/><Relationship Id="rId2789" Type="http://schemas.openxmlformats.org/officeDocument/2006/relationships/hyperlink" Target="http://www.fatalencounters.org/wp-content/uploads/2013/10/stoney-mcjunkin.jpg" TargetMode="External"/><Relationship Id="rId2240" Type="http://schemas.openxmlformats.org/officeDocument/2006/relationships/hyperlink" Target="http://ksn.com/2016/08/18/man-killed-in-officer-involved-shooting-in-hays/" TargetMode="External"/><Relationship Id="rId2241" Type="http://schemas.openxmlformats.org/officeDocument/2006/relationships/hyperlink" Target="http://www.fatalencounters.org/wp-content/uploads/2013/10/Daniel-Harris.jpg" TargetMode="External"/><Relationship Id="rId2242" Type="http://schemas.openxmlformats.org/officeDocument/2006/relationships/hyperlink" Target="http://www.wbtv.com/story/32793636/sources-man-shot-killed-by-state-trooper-after-chase-in-ne-charlotte" TargetMode="External"/><Relationship Id="rId2243" Type="http://schemas.openxmlformats.org/officeDocument/2006/relationships/hyperlink" Target="http://www.ruidosonews.com/story/news/local/crime/2016/08/19/state-police-probe-possible-shooting-carrizo-canyon-rd/88993530/" TargetMode="External"/><Relationship Id="rId2244" Type="http://schemas.openxmlformats.org/officeDocument/2006/relationships/hyperlink" Target="http://www.azfamily.com/story/32796225/suspect-dead-after-officer-involved-shooting-in-phoenix" TargetMode="External"/><Relationship Id="rId2245" Type="http://schemas.openxmlformats.org/officeDocument/2006/relationships/hyperlink" Target="http://www.fatalencounters.org/wp-content/uploads/2013/10/Marcelo-Luna.jpg" TargetMode="External"/><Relationship Id="rId2246" Type="http://schemas.openxmlformats.org/officeDocument/2006/relationships/hyperlink" Target="http://ktla.com/2016/08/19/1-dead-in-east-hollywood-officer-involved-shooting-lapd/" TargetMode="External"/><Relationship Id="rId2247" Type="http://schemas.openxmlformats.org/officeDocument/2006/relationships/hyperlink" Target="http://www.rgj.com/story/news/crime/2016/08/19/man-killed-officer-involved-shooting-stead/89017370/" TargetMode="External"/><Relationship Id="rId2248" Type="http://schemas.openxmlformats.org/officeDocument/2006/relationships/hyperlink" Target="http://www.eastridgenewsonline.com/hcsd-investigating-erpd-officer-involved-shooting/" TargetMode="External"/><Relationship Id="rId2249" Type="http://schemas.openxmlformats.org/officeDocument/2006/relationships/hyperlink" Target="http://www.wkow.com/story/32799691/2016/08/19/one-dead-in-new-london-officer-involved-shooting" TargetMode="External"/><Relationship Id="rId3490" Type="http://schemas.openxmlformats.org/officeDocument/2006/relationships/hyperlink" Target="http://www.southbendtribune.com/news/publicsafety/passenger-in-vehicle-fleeing-police-dies-in-crash/article_b1175b5c-c170-5c60-947d-fe2da7f5b4fb.html" TargetMode="External"/><Relationship Id="rId3491" Type="http://schemas.openxmlformats.org/officeDocument/2006/relationships/hyperlink" Target="http://www.wctv.tv/home/headlines/Police-Chase-in-Midway-Ends-in-Fatal-Crash-369341611.html" TargetMode="External"/><Relationship Id="rId3492" Type="http://schemas.openxmlformats.org/officeDocument/2006/relationships/hyperlink" Target="http://www.nbcwashington.com/news/local/Pedestrian-Struck-Killed-by-Fairfax-County-Police-Cruiser-374405841.html" TargetMode="External"/><Relationship Id="rId3493" Type="http://schemas.openxmlformats.org/officeDocument/2006/relationships/hyperlink" Target="http://www.tulsaworld.com/news/state/sapulpa-man-dies-in-crash-following-pursuit-by-ohp-trooper/article_be75b5a5-0115-561e-bc48-cdf6fd24feae.html?mode=story" TargetMode="External"/><Relationship Id="rId3494" Type="http://schemas.openxmlformats.org/officeDocument/2006/relationships/hyperlink" Target="http://www.fatalencounters.org/wp-content/uploads/2013/10/Weston.png" TargetMode="External"/><Relationship Id="rId3495" Type="http://schemas.openxmlformats.org/officeDocument/2006/relationships/hyperlink" Target="http://www.kcra.com/news/chp-distracted-officer-crashes-kills-teen/39953816" TargetMode="External"/><Relationship Id="rId3496" Type="http://schemas.openxmlformats.org/officeDocument/2006/relationships/hyperlink" Target="http://bakersfieldnow.com/news/local/coroners-office-releases-name-of-pedestrian-hit-killed-by-police-car" TargetMode="External"/><Relationship Id="rId3497" Type="http://schemas.openxmlformats.org/officeDocument/2006/relationships/hyperlink" Target="http://assets.nydailynews.com/polopoly_fs/1.2715094.1468812362!/img/httpImage/image.jpg_gen/derivatives/article_1200/crash18n-3-web.jpg" TargetMode="External"/><Relationship Id="rId3498" Type="http://schemas.openxmlformats.org/officeDocument/2006/relationships/hyperlink" Target="http://www.nydailynews.com/new-york/mit-student-killed-drunk-off-duty-officer-brooklyn-crash-article-1.2715097" TargetMode="External"/><Relationship Id="rId3499" Type="http://schemas.openxmlformats.org/officeDocument/2006/relationships/hyperlink" Target="http://www.nbcwashington.com/news/local/Pedestrian-Struck-Killed-by-Police-Cruiser-in-Prince-Georges-County-387164801.html" TargetMode="External"/><Relationship Id="rId600" Type="http://schemas.openxmlformats.org/officeDocument/2006/relationships/hyperlink" Target="http://www.post-gazette.com/stories/local/neighborhoods-north/man-shot-to-death-in-sewickley-694786/" TargetMode="External"/><Relationship Id="rId601" Type="http://schemas.openxmlformats.org/officeDocument/2006/relationships/hyperlink" Target="http://articles.baltimoresun.com/2013-06-11/news/bs-md-ar-road-rage-bail-20130610_1_police-officer-documents-hudson-county" TargetMode="External"/><Relationship Id="rId602" Type="http://schemas.openxmlformats.org/officeDocument/2006/relationships/hyperlink" Target="http://www.wsfa.com/story/22481859/selma-police-stunned-that-off-duty-officer-killed-two-then-self-over-the-weekend" TargetMode="External"/><Relationship Id="rId603" Type="http://schemas.openxmlformats.org/officeDocument/2006/relationships/hyperlink" Target="http://www.nydailynews.com/new-york/brooklyn/crazed-brooklyn-man-shot-cops-bad-mouthed-article-1.1297528" TargetMode="External"/><Relationship Id="rId604" Type="http://schemas.openxmlformats.org/officeDocument/2006/relationships/hyperlink" Target="http://wreg.com/2013/05/30/funeral-escort-riders-say-farewell-to-one-of-their-own/" TargetMode="External"/><Relationship Id="rId605" Type="http://schemas.openxmlformats.org/officeDocument/2006/relationships/hyperlink" Target="http://www.palmbeachpost.com/news/news/man-shot-and-killed-by-deputies-near-marriott-in-w/nXR2K/" TargetMode="External"/><Relationship Id="rId606" Type="http://schemas.openxmlformats.org/officeDocument/2006/relationships/hyperlink" Target="http://www.daytondailynews.com/news/news/crime-law/fbi-working-at-shooting-site/nXDWH/" TargetMode="External"/><Relationship Id="rId607" Type="http://schemas.openxmlformats.org/officeDocument/2006/relationships/hyperlink" Target="http://www.chron.com/news/houston-texas/houston/article/HPD-officer-wounded-suspect-killed-in-shootout-4362891.php" TargetMode="External"/><Relationship Id="rId608" Type="http://schemas.openxmlformats.org/officeDocument/2006/relationships/hyperlink" Target="http://crimeblog.dallasnews.com/2013/03/dallas-police-officer-fatally-shoots-suspect-after-major-disturbance-at-apartment-complex.html/" TargetMode="External"/><Relationship Id="rId609" Type="http://schemas.openxmlformats.org/officeDocument/2006/relationships/hyperlink" Target="http://www.dnainfo.com/new-york/20130310/east-flatbush/police-fatally-shoot-allegedly-armed-teenager-brooklyn" TargetMode="External"/><Relationship Id="rId1540" Type="http://schemas.openxmlformats.org/officeDocument/2006/relationships/hyperlink" Target="https://heavyeditorial.files.wordpress.com/2016/02/akiel-denkins-11.jpg?quality=65&amp;strip=all&amp;strip=all" TargetMode="External"/><Relationship Id="rId1541" Type="http://schemas.openxmlformats.org/officeDocument/2006/relationships/hyperlink" Target="http://www.wsfa.com/story/31311999/montgomery-man-killed-in-officer-involved-shooting" TargetMode="External"/><Relationship Id="rId1542" Type="http://schemas.openxmlformats.org/officeDocument/2006/relationships/hyperlink" Target="http://wncn.com/2016/02/29/raleigh-police-investigate-officer-involved-shooting/" TargetMode="External"/><Relationship Id="rId1543" Type="http://schemas.openxmlformats.org/officeDocument/2006/relationships/hyperlink" Target="http://www.charlotteobserver.com/news/local/atzw18/picture52910980/ALTERNATES/FREE_320/James_Hampton_Evans" TargetMode="External"/><Relationship Id="rId1544" Type="http://schemas.openxmlformats.org/officeDocument/2006/relationships/hyperlink" Target="https://pbs.twimg.com/media/CX-OJ25UAAA_jR8.jpg" TargetMode="External"/><Relationship Id="rId1545" Type="http://schemas.openxmlformats.org/officeDocument/2006/relationships/hyperlink" Target="http://kool.corrections.ky.gov/Content/OffenderPhotos/0290437.jpg" TargetMode="External"/><Relationship Id="rId1546" Type="http://schemas.openxmlformats.org/officeDocument/2006/relationships/hyperlink" Target="http://www.palmbeachpost.com/news/news/crime-law/fire-rescue-one-dead-in-belle-glade-shooting-repor/np6Rf/" TargetMode="External"/><Relationship Id="rId1547" Type="http://schemas.openxmlformats.org/officeDocument/2006/relationships/hyperlink" Target="http://www.fatalencounters.org/wp-content/uploads/2013/10/CraytonWest.png" TargetMode="External"/><Relationship Id="rId1548" Type="http://schemas.openxmlformats.org/officeDocument/2006/relationships/hyperlink" Target="http://i.dailymail.co.uk/i/pix/2016/01/21/14/306DBEB400000578-3409915-Killed_Saint_Landry_Parish_Sheriffs_Office_SWAT_team_shot_40_yea-a-29_1453385057523.jpg" TargetMode="External"/><Relationship Id="rId1549" Type="http://schemas.openxmlformats.org/officeDocument/2006/relationships/hyperlink" Target="http://cdn2.newsok.biz/cache/w320-c_fc014e9d55bdf81e0c1a52f9e9099774.jpg" TargetMode="External"/><Relationship Id="rId2790" Type="http://schemas.openxmlformats.org/officeDocument/2006/relationships/hyperlink" Target="http://www.tulsaworld.com/news/crimewatch/state-investigators-probe-officer-involved-fatal-shooting-in-adair-county/article_6899795c-4127-5b18-9ca8-bca58dfe0871.html" TargetMode="External"/><Relationship Id="rId2791" Type="http://schemas.openxmlformats.org/officeDocument/2006/relationships/hyperlink" Target="http://www.fatalencounters.org/wp-content/uploads/2013/10/Genevive-Dawes.png" TargetMode="External"/><Relationship Id="rId2792" Type="http://schemas.openxmlformats.org/officeDocument/2006/relationships/hyperlink" Target="http://www.dallasnews.com/news/crime/2017/01/18/2-suspects-reportedly-injured-officer-involved-shooting-old-east-dallas" TargetMode="External"/><Relationship Id="rId2793" Type="http://schemas.openxmlformats.org/officeDocument/2006/relationships/hyperlink" Target="http://www.stltoday.com/news/local/crime-and-courts/florissant-police-kill-man-in-confrontation-at-his-home/article_5dbd7d22-85de-5981-b305-b4fb2a506a9c.html" TargetMode="External"/><Relationship Id="rId2794" Type="http://schemas.openxmlformats.org/officeDocument/2006/relationships/hyperlink" Target="http://6abc.com/news/man-dies-after-altercation-with-police-in-north-philadelphia/1709962/" TargetMode="External"/><Relationship Id="rId2795" Type="http://schemas.openxmlformats.org/officeDocument/2006/relationships/hyperlink" Target="http://www.fatalencounters.org/wp-content/uploads/2013/10/Christopher-Garza.jpg" TargetMode="External"/><Relationship Id="rId2796" Type="http://schemas.openxmlformats.org/officeDocument/2006/relationships/hyperlink" Target="http://www.newschannel10.com/story/34302630/suspect-in-large-manhunt-shot-and-killed" TargetMode="External"/><Relationship Id="rId2797" Type="http://schemas.openxmlformats.org/officeDocument/2006/relationships/hyperlink" Target="http://wric.com/2017/01/20/caroline-county-deputy-under-investigation-after-shooting-killing-man/" TargetMode="External"/><Relationship Id="rId2798" Type="http://schemas.openxmlformats.org/officeDocument/2006/relationships/hyperlink" Target="http://www.alligator.org/news/crime/article_9464b3b4-dfb8-11e6-97fd-0b12d93e81be.html" TargetMode="External"/><Relationship Id="rId2799" Type="http://schemas.openxmlformats.org/officeDocument/2006/relationships/hyperlink" Target="http://www.fatalencounters.org/wp-content/uploads/2013/10/Joshua-D.-Jones.jpg" TargetMode="External"/><Relationship Id="rId1000" Type="http://schemas.openxmlformats.org/officeDocument/2006/relationships/hyperlink" Target="http://extras.mnginteractive.com/live/media/site568/2015/0903/20150903__bettertyree~1_200.JPG" TargetMode="External"/><Relationship Id="rId1001" Type="http://schemas.openxmlformats.org/officeDocument/2006/relationships/hyperlink" Target="http://www.mercurynews.com/bay-area-news/ci_28758811/san-jose-jail-death-new-details-from-inmates" TargetMode="External"/><Relationship Id="rId1002" Type="http://schemas.openxmlformats.org/officeDocument/2006/relationships/hyperlink" Target="http://www.killedbypolice.net/victims/150755.jpg" TargetMode="External"/><Relationship Id="rId1003" Type="http://schemas.openxmlformats.org/officeDocument/2006/relationships/hyperlink" Target="https://djournal.com/news/man-dies-after-police-chase-2/" TargetMode="External"/><Relationship Id="rId1004" Type="http://schemas.openxmlformats.org/officeDocument/2006/relationships/hyperlink" Target="http://www.killedbypolice.net/victims/150896.jpg" TargetMode="External"/><Relationship Id="rId1005" Type="http://schemas.openxmlformats.org/officeDocument/2006/relationships/hyperlink" Target="http://www.kristv.com/story/30147782/texas-rangers-investigating-aransas-co-death" TargetMode="External"/><Relationship Id="rId1006" Type="http://schemas.openxmlformats.org/officeDocument/2006/relationships/hyperlink" Target="http://www.mercurynews.com/crime-courts/ci_28894656/san-jose-latest-inmate-jail-death-sparks-internal" TargetMode="External"/><Relationship Id="rId1007" Type="http://schemas.openxmlformats.org/officeDocument/2006/relationships/hyperlink" Target="http://www.fresnobee.com/news/local/crime/article37140321.html" TargetMode="External"/><Relationship Id="rId1008" Type="http://schemas.openxmlformats.org/officeDocument/2006/relationships/hyperlink" Target="http://www.redding.com/news/local-news/happy-valley-road-closing-in-search-for-armed-suspect" TargetMode="External"/><Relationship Id="rId1009" Type="http://schemas.openxmlformats.org/officeDocument/2006/relationships/hyperlink" Target="http://www.killedbypolice.net/victims/150924.jpg" TargetMode="External"/><Relationship Id="rId2250" Type="http://schemas.openxmlformats.org/officeDocument/2006/relationships/hyperlink" Target="http://www.desertsun.com/story/news/crime_courts/2016/08/21/man-dies-after-officer-involved-shooting-indio/89071120/" TargetMode="External"/><Relationship Id="rId2251" Type="http://schemas.openxmlformats.org/officeDocument/2006/relationships/hyperlink" Target="http://www.nola.com/crime/index.ssf/2016/08/trooper_shot_in_elbow_during_g.html" TargetMode="External"/><Relationship Id="rId2252" Type="http://schemas.openxmlformats.org/officeDocument/2006/relationships/hyperlink" Target="http://www.kob.com/new-mexico-news/man-shot-by-las-cruces-police-lunged-at-officer-with-knife-spokesman-says/4242242/" TargetMode="External"/><Relationship Id="rId2253" Type="http://schemas.openxmlformats.org/officeDocument/2006/relationships/hyperlink" Target="http://www.fatalencounters.org/wp-content/uploads/2013/10/Brandon-Coles.jpg" TargetMode="External"/><Relationship Id="rId2254" Type="http://schemas.openxmlformats.org/officeDocument/2006/relationships/hyperlink" Target="http://wtvr.com/2016/08/21/allen-drive-fatal-shooting/" TargetMode="External"/><Relationship Id="rId2255" Type="http://schemas.openxmlformats.org/officeDocument/2006/relationships/hyperlink" Target="http://www.fatalencounters.org/wp-content/uploads/2013/10/FOrte.jpg" TargetMode="External"/><Relationship Id="rId2256" Type="http://schemas.openxmlformats.org/officeDocument/2006/relationships/hyperlink" Target="http://www.daytondailynews.com/news/news/robbery-suspect-shot-killed-by-officer-in-hamilton/nsKCr/" TargetMode="External"/><Relationship Id="rId2257" Type="http://schemas.openxmlformats.org/officeDocument/2006/relationships/hyperlink" Target="http://www.fatalencounters.org/wp-content/uploads/2013/10/Bobby-Lyn-Buck.jpg" TargetMode="External"/><Relationship Id="rId2258" Type="http://schemas.openxmlformats.org/officeDocument/2006/relationships/hyperlink" Target="http://www.kxii.com/content/news/Officer-involved-in-fatal-shooting-in-Cooke-County.html" TargetMode="External"/><Relationship Id="rId2259" Type="http://schemas.openxmlformats.org/officeDocument/2006/relationships/hyperlink" Target="http://www.orlandosentinel.com/news/breaking-news/os-deputy-involved-shooting-avalon-20160824-story.html" TargetMode="External"/><Relationship Id="rId610" Type="http://schemas.openxmlformats.org/officeDocument/2006/relationships/hyperlink" Target="http://articles.sun-sentinel.com/2013-03-12/news/fl-boca-officer-involved-named-20130311_1_boca-raton-police-police-officers-facebook-profile" TargetMode="External"/><Relationship Id="rId611" Type="http://schemas.openxmlformats.org/officeDocument/2006/relationships/hyperlink" Target="http://www.myfoxhouston.com/story/21431932/suspected-purse-snatcher-shot-by-houston-police-officer" TargetMode="External"/><Relationship Id="rId612" Type="http://schemas.openxmlformats.org/officeDocument/2006/relationships/hyperlink" Target="http://www.phillyburbs.com/news/crime/da-warminster-officer-accidentally-shot-year-old-during-standoff/article_2e02c0de-13d0-54ef-88d7-e00c66713ba5.html" TargetMode="External"/><Relationship Id="rId613" Type="http://schemas.openxmlformats.org/officeDocument/2006/relationships/hyperlink" Target="http://www.chron.com/news/houston-texas/houston/article/HPD-kills-person-at-westside-complex-4276703.php" TargetMode="External"/><Relationship Id="rId614" Type="http://schemas.openxmlformats.org/officeDocument/2006/relationships/hyperlink" Target="http://www.wrdw.com/home/headlines/Deputies-respond-to-reports-of-a-shooting-at-Fox-Trace-189340421.html" TargetMode="External"/><Relationship Id="rId615" Type="http://schemas.openxmlformats.org/officeDocument/2006/relationships/hyperlink" Target="http://jacksonville.com/news/crime/2014-09-06/story/lawsuit-pits-family-against-jacksonville-police-over-fatal-police" TargetMode="External"/><Relationship Id="rId616" Type="http://schemas.openxmlformats.org/officeDocument/2006/relationships/hyperlink" Target="http://wreg.com/2013/01/18/man-shot-killed-by-memphis-police/" TargetMode="External"/><Relationship Id="rId617" Type="http://schemas.openxmlformats.org/officeDocument/2006/relationships/hyperlink" Target="http://www.baynews9.com/content/dam/news/images/2012/12/Suspect-killed-110.jpg" TargetMode="External"/><Relationship Id="rId618" Type="http://schemas.openxmlformats.org/officeDocument/2006/relationships/hyperlink" Target="http://www.baynews9.com/content/news/baynews9/news/article.html/content/news/articles/bn9/2013/1/10/with_deputy_in_fight.html" TargetMode="External"/><Relationship Id="rId619" Type="http://schemas.openxmlformats.org/officeDocument/2006/relationships/hyperlink" Target="http://miami.cbslocal.com/2013/01/07/family-of-man-killed-in-police-involved-shooting-demands-answers/" TargetMode="External"/><Relationship Id="rId1550" Type="http://schemas.openxmlformats.org/officeDocument/2006/relationships/hyperlink" Target="http://www.fatalencounters.org/wp-content/uploads/2013/10/Kalonji.png" TargetMode="External"/><Relationship Id="rId1551" Type="http://schemas.openxmlformats.org/officeDocument/2006/relationships/hyperlink" Target="http://www.fatalencounters.org/wp-content/uploads/2013/10/lynn.jpg" TargetMode="External"/><Relationship Id="rId1552" Type="http://schemas.openxmlformats.org/officeDocument/2006/relationships/hyperlink" Target="https://cbsdallas.files.wordpress.com/2016/01/christopher-michael-dew.jpg?w=640&amp;h=360&amp;crop=1" TargetMode="External"/><Relationship Id="rId1553" Type="http://schemas.openxmlformats.org/officeDocument/2006/relationships/hyperlink" Target="http://image.syracuse.com/home/syr-media/width620/img/crime_impact/photo/19745551-mmmain.jpg" TargetMode="External"/><Relationship Id="rId1554" Type="http://schemas.openxmlformats.org/officeDocument/2006/relationships/hyperlink" Target="http://www.fatalencounters.org/wp-content/uploads/2013/10/Calvin.png" TargetMode="External"/><Relationship Id="rId1555" Type="http://schemas.openxmlformats.org/officeDocument/2006/relationships/hyperlink" Target="http://www.gannett-cdn.com/-mm-/81cfd8e5b7389a911842f27c11b7f5690961203b/c=37-53-213-185&amp;r=x404&amp;c=534x401/local/-/media/2016/02/15/IAGroup/DesMoines/635911511632480915-yahia.PNG" TargetMode="External"/><Relationship Id="rId1556" Type="http://schemas.openxmlformats.org/officeDocument/2006/relationships/hyperlink" Target="http://pbs.twimg.com/media/Cbtnol9UcAArqof.jpg" TargetMode="External"/><Relationship Id="rId1557" Type="http://schemas.openxmlformats.org/officeDocument/2006/relationships/hyperlink" Target="http://www.trbimg.com/img-56cbe0c2/turbine/la-me-ln-family-of-woman-killed-by-inglewood-p-001/750/750x422" TargetMode="External"/><Relationship Id="rId1558" Type="http://schemas.openxmlformats.org/officeDocument/2006/relationships/hyperlink" Target="http://www.fatalencounters.org/wp-content/uploads/2013/10/Ford.png" TargetMode="External"/><Relationship Id="rId1559" Type="http://schemas.openxmlformats.org/officeDocument/2006/relationships/hyperlink" Target="https://localtvwtkr.files.wordpress.com/2016/03/tyre-privott.png" TargetMode="External"/><Relationship Id="rId1010" Type="http://schemas.openxmlformats.org/officeDocument/2006/relationships/hyperlink" Target="http://www.abc-7.com/story/30262286/ccso-suspect-dies-after-deputy-involved-shooting" TargetMode="External"/><Relationship Id="rId1011" Type="http://schemas.openxmlformats.org/officeDocument/2006/relationships/hyperlink" Target="http://kwtv.images.worldnow.com/images/9448900_G.jpg" TargetMode="External"/><Relationship Id="rId1012" Type="http://schemas.openxmlformats.org/officeDocument/2006/relationships/hyperlink" Target="http://www.kxii.com/home/headlines/Officer-involved-shooting-in-Healdton-361681811.html" TargetMode="External"/><Relationship Id="rId1013" Type="http://schemas.openxmlformats.org/officeDocument/2006/relationships/hyperlink" Target="http://bloximages.chicago2.vip.townnews.com/idahopress.com/content/tncms/assets/v3/editorial/6/aa/6aab600e-0694-5644-996d-07e616040836/568b13f0305cb.image.jpg" TargetMode="External"/><Relationship Id="rId1014" Type="http://schemas.openxmlformats.org/officeDocument/2006/relationships/hyperlink" Target="http://media.graytvinc.com/images/353*536/lauro.jpg" TargetMode="External"/><Relationship Id="rId1015" Type="http://schemas.openxmlformats.org/officeDocument/2006/relationships/hyperlink" Target="http://www.toledoblade.com/Police-Fire/2015/12/19/Woman-killed-in-shootout-with-police-in-Northwood.html" TargetMode="External"/><Relationship Id="rId1016" Type="http://schemas.openxmlformats.org/officeDocument/2006/relationships/hyperlink" Target="https://drive.google.com/file/d/0B-l9Ys3cd80fdWxndDUyT05Fb0k/view?usp=sharing" TargetMode="External"/><Relationship Id="rId1017" Type="http://schemas.openxmlformats.org/officeDocument/2006/relationships/hyperlink" Target="http://www.killedbypolice.net/victims/150904.jpg" TargetMode="External"/><Relationship Id="rId1018" Type="http://schemas.openxmlformats.org/officeDocument/2006/relationships/hyperlink" Target="http://ksn.com/2015/09/14/inmate-death-reported-at-hutchinson-correctional-facility/" TargetMode="External"/><Relationship Id="rId1019" Type="http://schemas.openxmlformats.org/officeDocument/2006/relationships/hyperlink" Target="http://wncn.com/2015/09/14/man-dies-while-in-custody-of-raleigh-police-investigation-underway/" TargetMode="External"/><Relationship Id="rId2260" Type="http://schemas.openxmlformats.org/officeDocument/2006/relationships/hyperlink" Target="http://www.fatalencounters.org/wp-content/uploads/2013/10/JeffreyDarrenHosea.jpg" TargetMode="External"/><Relationship Id="rId2261" Type="http://schemas.openxmlformats.org/officeDocument/2006/relationships/hyperlink" Target="http://www.newschannel5.com/news/local-news/1-killed-in-officer-involved-shooting-in-shelbyville" TargetMode="External"/><Relationship Id="rId2262" Type="http://schemas.openxmlformats.org/officeDocument/2006/relationships/hyperlink" Target="http://www.dallasnews.com/news/local-news/20160824-suspect-shot-by-police-after-traffic-stop-in-west-oak-cliff.ece" TargetMode="External"/><Relationship Id="rId2263" Type="http://schemas.openxmlformats.org/officeDocument/2006/relationships/hyperlink" Target="http://www.fatalencounters.org/wp-content/uploads/2013/10/David-Coborubio.jpg" TargetMode="External"/><Relationship Id="rId2264" Type="http://schemas.openxmlformats.org/officeDocument/2006/relationships/hyperlink" Target="http://patch.com/california/southgate-lynwood/compton-man-killed-fbi-involved-shooting-family-wants-answers" TargetMode="External"/><Relationship Id="rId2265" Type="http://schemas.openxmlformats.org/officeDocument/2006/relationships/hyperlink" Target="http://www.fatalencounters.org/wp-content/uploads/2013/10/Donta-Taylor.png" TargetMode="External"/><Relationship Id="rId2266" Type="http://schemas.openxmlformats.org/officeDocument/2006/relationships/hyperlink" Target="http://www.nbclosangeles.com/news/local/Man-Fatally-Shot-by-Sheriffs-Deputies-in-Compton-391385291.html" TargetMode="External"/><Relationship Id="rId2267" Type="http://schemas.openxmlformats.org/officeDocument/2006/relationships/hyperlink" Target="http://www.coloradoan.com/story/news/2016/08/26/suspect-police-shooting-had-troubled-past/89409334/" TargetMode="External"/><Relationship Id="rId2268" Type="http://schemas.openxmlformats.org/officeDocument/2006/relationships/hyperlink" Target="http://www.fatalencounters.org/wp-content/uploads/2013/10/Michael-Gaskill-jpg.jpg" TargetMode="External"/><Relationship Id="rId2269" Type="http://schemas.openxmlformats.org/officeDocument/2006/relationships/hyperlink" Target="http://www.bendbulletin.com/localstate/4612870-151/armed-man-hit-by-redmond-police-car-identified" TargetMode="External"/><Relationship Id="rId620" Type="http://schemas.openxmlformats.org/officeDocument/2006/relationships/hyperlink" Target="http://www.trbimg.com/img-50e7a90e/turbine/peter-jourdan-of-allentown.jpg-20130104/600" TargetMode="External"/><Relationship Id="rId621" Type="http://schemas.openxmlformats.org/officeDocument/2006/relationships/hyperlink" Target="http://www.tricitytribuneusa.com/wp-content/uploads/Chavez_Mug0642-300x300.jpg" TargetMode="External"/><Relationship Id="rId622" Type="http://schemas.openxmlformats.org/officeDocument/2006/relationships/hyperlink" Target="http://www.muskogeephoenix.com/news/man-dead-after-cherokee-county-deputy-forced-to-shoot-him/article_3f61699f-87c3-5576-ac6c-47ec84673edb.html" TargetMode="External"/><Relationship Id="rId623" Type="http://schemas.openxmlformats.org/officeDocument/2006/relationships/hyperlink" Target="http://www.killedbypolice.net/victims/150990.jpg" TargetMode="External"/><Relationship Id="rId624" Type="http://schemas.openxmlformats.org/officeDocument/2006/relationships/hyperlink" Target="http://www.killedbypolice.net/victims/150986.jpg" TargetMode="External"/><Relationship Id="rId625" Type="http://schemas.openxmlformats.org/officeDocument/2006/relationships/hyperlink" Target="http://www.kgw.com/story/news/local/2015/10/29/police-chase-hwy-26-ends-crash-man-hospitalized/74787522/" TargetMode="External"/><Relationship Id="rId626" Type="http://schemas.openxmlformats.org/officeDocument/2006/relationships/hyperlink" Target="http://www.killedbypolice.net/victims/150985.jpg" TargetMode="External"/><Relationship Id="rId627" Type="http://schemas.openxmlformats.org/officeDocument/2006/relationships/hyperlink" Target="http://www.statesmanjournal.com/story/news/crime/2015/10/28/-5-southbound-traffic-detourced-kuebler/74775822/" TargetMode="External"/><Relationship Id="rId628" Type="http://schemas.openxmlformats.org/officeDocument/2006/relationships/hyperlink" Target="http://www.killedbypolice.net/victims/150982.jpg" TargetMode="External"/><Relationship Id="rId629" Type="http://schemas.openxmlformats.org/officeDocument/2006/relationships/hyperlink" Target="http://www.killedbypolice.net/victims/150979.jpg" TargetMode="External"/><Relationship Id="rId1560" Type="http://schemas.openxmlformats.org/officeDocument/2006/relationships/hyperlink" Target="http://www.fatalencounters.org/wp-content/uploads/2013/10/jacai-colson-3.jpg" TargetMode="External"/><Relationship Id="rId1561" Type="http://schemas.openxmlformats.org/officeDocument/2006/relationships/hyperlink" Target="http://www.charlotteobserver.com/news/local/article52912755.html" TargetMode="External"/><Relationship Id="rId1562" Type="http://schemas.openxmlformats.org/officeDocument/2006/relationships/hyperlink" Target="http://www.koco.com/news/okc-police-investigating-officerinvolved-shooting-on-northwest-side/37266056" TargetMode="External"/><Relationship Id="rId1563" Type="http://schemas.openxmlformats.org/officeDocument/2006/relationships/hyperlink" Target="http://www.wcnc.com/story/news/crime/2016/01/05/cmpd-respond-to-shots-fired-call-in-west-charlotte/78293778/" TargetMode="External"/><Relationship Id="rId1564" Type="http://schemas.openxmlformats.org/officeDocument/2006/relationships/hyperlink" Target="http://www.theoaklandpress.com/general-news/20160116/officer-shot-suspect-killed-in-southfield-standoff" TargetMode="External"/><Relationship Id="rId1565" Type="http://schemas.openxmlformats.org/officeDocument/2006/relationships/hyperlink" Target="http://miami.cbslocal.com/2016/01/17/florida-deputy-shoots-kills-driver-following-traffic-stop/" TargetMode="External"/><Relationship Id="rId1566" Type="http://schemas.openxmlformats.org/officeDocument/2006/relationships/hyperlink" Target="http://www.kmov.com/story/30988370/armed-robber-killed-during-officer-involved-shooting-at-south-city-kfc" TargetMode="External"/><Relationship Id="rId1567" Type="http://schemas.openxmlformats.org/officeDocument/2006/relationships/hyperlink" Target="http://www.theadvertiser.com/story/news/crime/2016/01/20/deputies-scene-hostage-situation-near-port-barre/79065958/" TargetMode="External"/><Relationship Id="rId1568" Type="http://schemas.openxmlformats.org/officeDocument/2006/relationships/hyperlink" Target="http://www.theepochtimes.com/n3/1947370-eufaula-oklahoma-2-dead-after-bank-robbery-and-shootout/" TargetMode="External"/><Relationship Id="rId1569" Type="http://schemas.openxmlformats.org/officeDocument/2006/relationships/hyperlink" Target="http://portlandtribune.com/pt/9-news/291047-168355-mentally-disturbed-man-dies-after-swat-standoff-at-holly-acres-apartment-complex-in-oak-grove" TargetMode="External"/><Relationship Id="rId1020" Type="http://schemas.openxmlformats.org/officeDocument/2006/relationships/hyperlink" Target="http://www.courier-journal.com/story/news/local/2015/09/14/ky-trooper-shot-western-kentucky-after-chase/72241764/" TargetMode="External"/><Relationship Id="rId1021" Type="http://schemas.openxmlformats.org/officeDocument/2006/relationships/hyperlink" Target="http://www.ksla.com/story/29634844/spd-officers-involved-in-shooting-while-responding-to-hostage-situation" TargetMode="External"/><Relationship Id="rId1022" Type="http://schemas.openxmlformats.org/officeDocument/2006/relationships/hyperlink" Target="http://www.miamiherald.com/news/local/crime/article28915918.html" TargetMode="External"/><Relationship Id="rId1023" Type="http://schemas.openxmlformats.org/officeDocument/2006/relationships/hyperlink" Target="http://www.reviewjournal.com/news/las-vegas/metro-officer-wounded-suspect-shot-death" TargetMode="External"/><Relationship Id="rId1024" Type="http://schemas.openxmlformats.org/officeDocument/2006/relationships/hyperlink" Target="http://ksla.images.worldnow.com/images/8474631_G.jpg" TargetMode="External"/><Relationship Id="rId1025" Type="http://schemas.openxmlformats.org/officeDocument/2006/relationships/hyperlink" Target="http://www.koco.com/news/okc-police-investigating-officerinvolved-shooting-on-northeast-side/34302646" TargetMode="External"/><Relationship Id="rId1026" Type="http://schemas.openxmlformats.org/officeDocument/2006/relationships/hyperlink" Target="http://philadelphia.cbslocal.com/2014/09/16/police-id-suspect-in-shooting-death-of-pregnant-woman-unborn-child/" TargetMode="External"/><Relationship Id="rId1027" Type="http://schemas.openxmlformats.org/officeDocument/2006/relationships/hyperlink" Target="http://www.killedbypolice.net/victims/150637.jpg" TargetMode="External"/><Relationship Id="rId1028" Type="http://schemas.openxmlformats.org/officeDocument/2006/relationships/hyperlink" Target="http://www.cincinnati.com/story/news/2015/07/29/publish/30830777/" TargetMode="External"/><Relationship Id="rId1029" Type="http://schemas.openxmlformats.org/officeDocument/2006/relationships/hyperlink" Target="http://www.orlandosentinel.com/news/breaking-news/os-orlando-police-suspect-shooting-20150717-story.html" TargetMode="External"/><Relationship Id="rId2270" Type="http://schemas.openxmlformats.org/officeDocument/2006/relationships/hyperlink" Target="http://lasvegassun.com/news/2016/aug/28/man-fatally-shot-in-gunfight-with-nevada-trooper-i/" TargetMode="External"/><Relationship Id="rId2271" Type="http://schemas.openxmlformats.org/officeDocument/2006/relationships/hyperlink" Target="http://www.fatalencounters.org/wp-content/uploads/2013/10/Lund.jpg" TargetMode="External"/><Relationship Id="rId2272" Type="http://schemas.openxmlformats.org/officeDocument/2006/relationships/hyperlink" Target="http://www.ocregister.com/articles/huntington-728470-beach-officer.html" TargetMode="External"/><Relationship Id="rId2273" Type="http://schemas.openxmlformats.org/officeDocument/2006/relationships/hyperlink" Target="http://www.fatalencounters.org/wp-content/uploads/2013/10/Angel-Torres-Jr..jpg" TargetMode="External"/><Relationship Id="rId2274" Type="http://schemas.openxmlformats.org/officeDocument/2006/relationships/hyperlink" Target="http://www.azcentral.com/story/news/local/phoenix-breaking/2016/08/28/phoenix-police-id-man-shot-killed-after-pointing-gun-officer/89508198/" TargetMode="External"/><Relationship Id="rId2275" Type="http://schemas.openxmlformats.org/officeDocument/2006/relationships/hyperlink" Target="http://www.fatalencounters.org/wp-content/uploads/2013/10/Terry-Salazar.jpg" TargetMode="External"/><Relationship Id="rId2276" Type="http://schemas.openxmlformats.org/officeDocument/2006/relationships/hyperlink" Target="http://www.denverpost.com/2016/08/29/terry-salazar-shot-by-denver-police/" TargetMode="External"/><Relationship Id="rId2277" Type="http://schemas.openxmlformats.org/officeDocument/2006/relationships/hyperlink" Target="http://www.fatalencounters.org/wp-content/uploads/2013/10/Alfred-Toe.jpg" TargetMode="External"/><Relationship Id="rId2278" Type="http://schemas.openxmlformats.org/officeDocument/2006/relationships/hyperlink" Target="http://www.nj.com/mercer/index.ssf/2016/08/man_shot_while_struggling_with_trenton_officer_ove.html" TargetMode="External"/><Relationship Id="rId2279" Type="http://schemas.openxmlformats.org/officeDocument/2006/relationships/hyperlink" Target="http://www.wvgazettemail.com/apps/pbcsi.dll/storyimage/CH/20160829/GZ0118/160829521/AR/0/AR-160829521.jpg&amp;imageVersion=SoftCropArticlePictures&amp;s=1472576013417" TargetMode="External"/><Relationship Id="rId3700" Type="http://schemas.openxmlformats.org/officeDocument/2006/relationships/hyperlink" Target="http://www.fatalencounters.org/wp-content/uploads/2013/10/Quintec-Locke.png" TargetMode="External"/><Relationship Id="rId3701" Type="http://schemas.openxmlformats.org/officeDocument/2006/relationships/hyperlink" Target="http://www.chicagotribune.com/news/local/breaking/ct-police-shooting-lawndale-chicago-20170702-story.html" TargetMode="External"/><Relationship Id="rId3702" Type="http://schemas.openxmlformats.org/officeDocument/2006/relationships/hyperlink" Target="http://wtkr.com/2017/07/03/norfolk-police-officer-shot-suspect-killed-in-ocean-view-shooting/" TargetMode="External"/><Relationship Id="rId3703" Type="http://schemas.openxmlformats.org/officeDocument/2006/relationships/hyperlink" Target="http://www.13wmaz.com/news/local/gbi-investigating-officer-involved-shooting-in-bonaire/453969732" TargetMode="External"/><Relationship Id="rId3704" Type="http://schemas.openxmlformats.org/officeDocument/2006/relationships/hyperlink" Target="http://www.kxly.com/news/local-news/spokane-police-involved-in-south-hill-shooting/573014127" TargetMode="External"/><Relationship Id="rId3705" Type="http://schemas.openxmlformats.org/officeDocument/2006/relationships/hyperlink" Target="http://www.fatalencounters.org/wp-content/uploads/2013/10/DavidLeonBell.jpg" TargetMode="External"/><Relationship Id="rId3706" Type="http://schemas.openxmlformats.org/officeDocument/2006/relationships/hyperlink" Target="http://www.news4jax.com/news/georgia/2-hospitalized-after-officer-involved-shooting-in-brunswick" TargetMode="External"/><Relationship Id="rId3707" Type="http://schemas.openxmlformats.org/officeDocument/2006/relationships/hyperlink" Target="http://www.oregonlive.com/hillsboro/index.ssf/2017/07/police_investigating_reported.html" TargetMode="External"/><Relationship Id="rId3708" Type="http://schemas.openxmlformats.org/officeDocument/2006/relationships/hyperlink" Target="http://www.indystar.com/story/news/crime/2017/07/03/fishers-police-investigating-fatal-officer-involved-shooting/448402001/" TargetMode="External"/><Relationship Id="rId3709" Type="http://schemas.openxmlformats.org/officeDocument/2006/relationships/hyperlink" Target="http://www.kcra.com/article/2-stockton-police-officers-hurt-in-crash/10233638" TargetMode="External"/><Relationship Id="rId630" Type="http://schemas.openxmlformats.org/officeDocument/2006/relationships/hyperlink" Target="http://www.killedbypolice.net/victims/150976.jpg" TargetMode="External"/><Relationship Id="rId631" Type="http://schemas.openxmlformats.org/officeDocument/2006/relationships/hyperlink" Target="http://6abc.com/news/police-suspect-dead-after-assaulting-septa-officer-in-kensington/1051327/" TargetMode="External"/><Relationship Id="rId632" Type="http://schemas.openxmlformats.org/officeDocument/2006/relationships/hyperlink" Target="http://www.killedbypolice.net/victims/150975.jpg" TargetMode="External"/><Relationship Id="rId633" Type="http://schemas.openxmlformats.org/officeDocument/2006/relationships/hyperlink" Target="http://www.killedbypolice.net/victims/150971.jpg" TargetMode="External"/><Relationship Id="rId634" Type="http://schemas.openxmlformats.org/officeDocument/2006/relationships/hyperlink" Target="http://www.zanesvilletimesrecorder.com/story/news/crime/2015/10/25/sheriff-one-dead-officer-involved-shooting/74581242/" TargetMode="External"/><Relationship Id="rId635" Type="http://schemas.openxmlformats.org/officeDocument/2006/relationships/hyperlink" Target="http://www.killedbypolice.net/victims/150970.jpg" TargetMode="External"/><Relationship Id="rId636" Type="http://schemas.openxmlformats.org/officeDocument/2006/relationships/hyperlink" Target="http://www.11alive.com/story/news/local/2015/10/24/two-deputies-shot-pickens-county/74569260/" TargetMode="External"/><Relationship Id="rId637" Type="http://schemas.openxmlformats.org/officeDocument/2006/relationships/hyperlink" Target="http://www.pe.com/articles/riverside-784400-officers-stop.html" TargetMode="External"/><Relationship Id="rId638" Type="http://schemas.openxmlformats.org/officeDocument/2006/relationships/hyperlink" Target="http://www.killedbypolice.net/victims/150963.jpg" TargetMode="External"/><Relationship Id="rId639" Type="http://schemas.openxmlformats.org/officeDocument/2006/relationships/hyperlink" Target="http://www.kristv.com/story/30317738/man-dies-in-corpus-christi-pd-custody" TargetMode="External"/><Relationship Id="rId1570" Type="http://schemas.openxmlformats.org/officeDocument/2006/relationships/hyperlink" Target="http://www.itemlive.com/news/police-investigating-a-shooting-on-western-ave/?utm_source=rss&amp;utm_medium=rss" TargetMode="External"/><Relationship Id="rId1571" Type="http://schemas.openxmlformats.org/officeDocument/2006/relationships/hyperlink" Target="http://www.star-telegram.com/news/local/crime/article57357633.html" TargetMode="External"/><Relationship Id="rId1572" Type="http://schemas.openxmlformats.org/officeDocument/2006/relationships/hyperlink" Target="https://www.dnainfo.com/chicago/20160131/west-englewood/officers-shoot-kill-person-after-alleged-home-invasion-sunday-police" TargetMode="External"/><Relationship Id="rId1573" Type="http://schemas.openxmlformats.org/officeDocument/2006/relationships/hyperlink" Target="http://nbc4i.com/2016/02/07/cpd-suspect-killed-in-officer-involved-shooting/" TargetMode="External"/><Relationship Id="rId1574" Type="http://schemas.openxmlformats.org/officeDocument/2006/relationships/hyperlink" Target="http://www.delcotimes.com/article/DC/20160208/NEWS/160209713" TargetMode="External"/><Relationship Id="rId1575" Type="http://schemas.openxmlformats.org/officeDocument/2006/relationships/hyperlink" Target="http://www.nbcwashington.com/news/national-international/Multiple-Suspects-Injured-in-Officer-Involved-Shooting-368615471.html" TargetMode="External"/><Relationship Id="rId1576" Type="http://schemas.openxmlformats.org/officeDocument/2006/relationships/hyperlink" Target="http://www.syracuse.com/crime/index.ssf/2016/02/syracuse_police_investigating_shooting_at_north_side_apartments_officer_reported.html" TargetMode="External"/><Relationship Id="rId1577" Type="http://schemas.openxmlformats.org/officeDocument/2006/relationships/hyperlink" Target="http://www.times-standard.com/general-news/20160213/the-latest-baton-rouge-police-say-2-officers-suspect-shot" TargetMode="External"/><Relationship Id="rId1578" Type="http://schemas.openxmlformats.org/officeDocument/2006/relationships/hyperlink" Target="http://whotv.com/2016/02/13/one-person-killed-in-officer-involved-shooting-at-urbandale-hotel/" TargetMode="External"/><Relationship Id="rId1579" Type="http://schemas.openxmlformats.org/officeDocument/2006/relationships/hyperlink" Target="http://www.times-standard.com/general-news/20160220/suspect-killed-in-police-shootout-on-washington-freeway" TargetMode="External"/><Relationship Id="rId1030" Type="http://schemas.openxmlformats.org/officeDocument/2006/relationships/hyperlink" Target="http://www.wmcactionnews5.com/story/29578116/man-dead-after-struggle-with-mpd-officer" TargetMode="External"/><Relationship Id="rId1031" Type="http://schemas.openxmlformats.org/officeDocument/2006/relationships/hyperlink" Target="http://www.miamiherald.com/news/local/crime/article27524482.html" TargetMode="External"/><Relationship Id="rId1032" Type="http://schemas.openxmlformats.org/officeDocument/2006/relationships/hyperlink" Target="http://www.clickorlando.com/news/1-dead-in-deputyinvolved-shooting-in-lake-county/34153664" TargetMode="External"/><Relationship Id="rId1033" Type="http://schemas.openxmlformats.org/officeDocument/2006/relationships/hyperlink" Target="http://www.brownsvilleherald.com/news/local/article_d17faf7e-2cfe-11e5-b74c-2b2b278cba62.html" TargetMode="External"/><Relationship Id="rId1034" Type="http://schemas.openxmlformats.org/officeDocument/2006/relationships/hyperlink" Target="http://www.trbimg.com/img-55a686d0/turbine/fl-plantation-cop-homeless-shooting-id-2015071-001/304/304x171" TargetMode="External"/><Relationship Id="rId1035" Type="http://schemas.openxmlformats.org/officeDocument/2006/relationships/hyperlink" Target="http://www.sun-sentinel.com/local/broward/fl-plantation-cop-homeless-shooting-id-20150715-story.html" TargetMode="External"/><Relationship Id="rId1036" Type="http://schemas.openxmlformats.org/officeDocument/2006/relationships/hyperlink" Target="http://www.11alive.com/story/news/local/lawrenceville/2015/07/14/family-questions-procedures-in-gwinnett-police-taser-death/30160171/" TargetMode="External"/><Relationship Id="rId1037" Type="http://schemas.openxmlformats.org/officeDocument/2006/relationships/hyperlink" Target="http://www.al.com/news/tuscaloosa/index.ssf/2015/07/tuscaloosa_police_release_more.html" TargetMode="External"/><Relationship Id="rId1038" Type="http://schemas.openxmlformats.org/officeDocument/2006/relationships/hyperlink" Target="http://www.ajc.com/news/news/crime-law/man-dies-after-being-shot-by-newton-deputies/nmxjG/" TargetMode="External"/><Relationship Id="rId1039" Type="http://schemas.openxmlformats.org/officeDocument/2006/relationships/hyperlink" Target="http://chicago.suntimes.com/crime/7/71/759984/chicago-police-involved-grand-crossing-shooting" TargetMode="External"/><Relationship Id="rId2280" Type="http://schemas.openxmlformats.org/officeDocument/2006/relationships/hyperlink" Target="http://wvmetronews.com/2016/08/29/armed-suspected-killed-by-mon-county-deputies/" TargetMode="External"/><Relationship Id="rId2281" Type="http://schemas.openxmlformats.org/officeDocument/2006/relationships/hyperlink" Target="http://www.twincities.com/2016/08/29/investigation-continues-into-officer-involved-shooting-in-eagan-that-left-a-single-father-dead/" TargetMode="External"/><Relationship Id="rId2282" Type="http://schemas.openxmlformats.org/officeDocument/2006/relationships/hyperlink" Target="http://www.abc15.com/news/region-northern-az/other/mohave-county-sheriffs-office-investigating-deadly-officer-involved-shooting-in-kingman" TargetMode="External"/><Relationship Id="rId2283" Type="http://schemas.openxmlformats.org/officeDocument/2006/relationships/hyperlink" Target="http://www.fatalencounters.org/wp-content/uploads/2013/10/Peacor.jpg" TargetMode="External"/><Relationship Id="rId2284" Type="http://schemas.openxmlformats.org/officeDocument/2006/relationships/hyperlink" Target="http://www.sbsun.com/general-news/20160829/san-bernardino-police-fatally-shoot-man-who-they-say-stabbed-his-wife" TargetMode="External"/><Relationship Id="rId2285" Type="http://schemas.openxmlformats.org/officeDocument/2006/relationships/hyperlink" Target="http://www.fatalencounters.org/wp-content/uploads/2013/10/jaqwan-taylor.png" TargetMode="External"/><Relationship Id="rId2286" Type="http://schemas.openxmlformats.org/officeDocument/2006/relationships/hyperlink" Target="http://www.nydailynews.com/news/national/armed-north-carolina-man-fatally-shot-foot-chase-article-1.2770838" TargetMode="External"/><Relationship Id="rId2287" Type="http://schemas.openxmlformats.org/officeDocument/2006/relationships/hyperlink" Target="http://www.fatalencounters.org/wp-content/uploads/2013/10/Richards.jpg" TargetMode="External"/><Relationship Id="rId2288" Type="http://schemas.openxmlformats.org/officeDocument/2006/relationships/hyperlink" Target="http://www.adn.com/alaska-news/crime-courts/2016/08/30/streets-shut-down-as-fairbanks-police-respond-to-officer-involved-shooting/" TargetMode="External"/><Relationship Id="rId2289" Type="http://schemas.openxmlformats.org/officeDocument/2006/relationships/hyperlink" Target="http://www.fatalencounters.org/wp-content/uploads/2013/10/Levonia.jpg" TargetMode="External"/><Relationship Id="rId3710" Type="http://schemas.openxmlformats.org/officeDocument/2006/relationships/hyperlink" Target="http://www.fatalencounters.org/wp-content/uploads/2013/10/Cody-Ray-McCray.jpg" TargetMode="External"/><Relationship Id="rId3711" Type="http://schemas.openxmlformats.org/officeDocument/2006/relationships/hyperlink" Target="http://kutv.com/news/local/legacy-parkway-closed-in-all-directions-use-alternate-route" TargetMode="External"/><Relationship Id="rId3712" Type="http://schemas.openxmlformats.org/officeDocument/2006/relationships/hyperlink" Target="http://www.fatalencounters.org/wp-content/uploads/2013/10/dana-dubose-mug.jpg" TargetMode="External"/><Relationship Id="rId3713" Type="http://schemas.openxmlformats.org/officeDocument/2006/relationships/hyperlink" Target="http://www.whio.com/news/breaking-news/cincinnati-man-suspect-hamilton-homicide-shot-and-killed-trooper-vandalia/PhXay1FI9rxD3gtm71b0CN/" TargetMode="External"/><Relationship Id="rId3714" Type="http://schemas.openxmlformats.org/officeDocument/2006/relationships/hyperlink" Target="http://www.bnd.com/news/local/article159588114.html" TargetMode="External"/><Relationship Id="rId3715" Type="http://schemas.openxmlformats.org/officeDocument/2006/relationships/hyperlink" Target="http://krqe.com/2017/07/04/1-killed-after-deputy-involved-shooting-in-southwest-albuquerque/" TargetMode="External"/><Relationship Id="rId3716" Type="http://schemas.openxmlformats.org/officeDocument/2006/relationships/hyperlink" Target="http://www.denverpost.com/2017/07/05/federal-heights-police-shooting/" TargetMode="External"/><Relationship Id="rId3717" Type="http://schemas.openxmlformats.org/officeDocument/2006/relationships/hyperlink" Target="http://www.denverpost.com/2017/07/05/man-killed-fourth-of-july-officer-involved-shootout-montezuma-county/" TargetMode="External"/><Relationship Id="rId3718" Type="http://schemas.openxmlformats.org/officeDocument/2006/relationships/hyperlink" Target="http://www.fatalencounters.org/wp-content/uploads/2013/10/AlexanderBonds.jpg" TargetMode="External"/><Relationship Id="rId3719" Type="http://schemas.openxmlformats.org/officeDocument/2006/relationships/hyperlink" Target="http://www.nydailynews.com/new-york/nyc-crime/police-officer-shot-bronx-suspect-custody-article-1.3301718" TargetMode="External"/><Relationship Id="rId640" Type="http://schemas.openxmlformats.org/officeDocument/2006/relationships/hyperlink" Target="http://www.killedbypolice.net/victims/150960.jpg" TargetMode="External"/><Relationship Id="rId641" Type="http://schemas.openxmlformats.org/officeDocument/2006/relationships/hyperlink" Target="http://www.killedbypolice.net/victims/150959.jpg" TargetMode="External"/><Relationship Id="rId642" Type="http://schemas.openxmlformats.org/officeDocument/2006/relationships/hyperlink" Target="http://www.killedbypolice.net/victims/150958.jpg" TargetMode="External"/><Relationship Id="rId643" Type="http://schemas.openxmlformats.org/officeDocument/2006/relationships/hyperlink" Target="http://www.osagecountyonline.com/archives/18642" TargetMode="External"/><Relationship Id="rId644" Type="http://schemas.openxmlformats.org/officeDocument/2006/relationships/hyperlink" Target="http://www.killedbypolice.net/victims/150957.jpg" TargetMode="External"/><Relationship Id="rId645" Type="http://schemas.openxmlformats.org/officeDocument/2006/relationships/hyperlink" Target="http://www.killedbypolice.net/victims/150956.jpg" TargetMode="External"/><Relationship Id="rId646" Type="http://schemas.openxmlformats.org/officeDocument/2006/relationships/hyperlink" Target="http://www.killedbypolice.net/victims/150955.jpg" TargetMode="External"/><Relationship Id="rId647" Type="http://schemas.openxmlformats.org/officeDocument/2006/relationships/hyperlink" Target="http://krqe.com/2015/10/20/police-officer-involved-in-shooting-at-elephant-butte/" TargetMode="External"/><Relationship Id="rId648" Type="http://schemas.openxmlformats.org/officeDocument/2006/relationships/hyperlink" Target="http://www.killedbypolice.net/victims/150953.jpg" TargetMode="External"/><Relationship Id="rId649" Type="http://schemas.openxmlformats.org/officeDocument/2006/relationships/hyperlink" Target="http://www.killedbypolice.net/victims/150951.jpg" TargetMode="External"/><Relationship Id="rId1580" Type="http://schemas.openxmlformats.org/officeDocument/2006/relationships/hyperlink" Target="http://www.nbclosangeles.com/news/local/Inglewood-Officer-Involved-Shooting--369574341.html" TargetMode="External"/><Relationship Id="rId1581" Type="http://schemas.openxmlformats.org/officeDocument/2006/relationships/hyperlink" Target="http://www.seattletimes.com/seattle-news/crime/1-wounded-in-seattle-shooting/?utm_source=RSS" TargetMode="External"/><Relationship Id="rId1582" Type="http://schemas.openxmlformats.org/officeDocument/2006/relationships/hyperlink" Target="http://www.nytimes.com/2016/02/26/us/shooting-at-plant-hesston-kansas.html" TargetMode="External"/><Relationship Id="rId1583" Type="http://schemas.openxmlformats.org/officeDocument/2006/relationships/hyperlink" Target="http://wtkr.com/2016/03/11/police-investigate-officer-involved-shooting-in-bayview-area-of-norfolk/" TargetMode="External"/><Relationship Id="rId1584" Type="http://schemas.openxmlformats.org/officeDocument/2006/relationships/hyperlink" Target="http://6abc.com/1246670/" TargetMode="External"/><Relationship Id="rId1585" Type="http://schemas.openxmlformats.org/officeDocument/2006/relationships/hyperlink" Target="http://www.cnn.com/2016/03/16/us/maryland-police-officer-killed/" TargetMode="External"/><Relationship Id="rId1586" Type="http://schemas.openxmlformats.org/officeDocument/2006/relationships/hyperlink" Target="http://pittsburgh.cbslocal.com/2016/01/31/person-shot-k9-officer-stabbed-killed-in-wilkinsburg/" TargetMode="External"/><Relationship Id="rId1587" Type="http://schemas.openxmlformats.org/officeDocument/2006/relationships/hyperlink" Target="http://www.mysanantonio.com/news/local/article/Man-wanted-on-two-felony-warrants-shot-dead-by-6808656.php" TargetMode="External"/><Relationship Id="rId1588" Type="http://schemas.openxmlformats.org/officeDocument/2006/relationships/hyperlink" Target="http://www.kvue.com/story/news/local/2016/02/08/police-responding-officer-involved-shooting-northeast-austin/80006352/" TargetMode="External"/><Relationship Id="rId1589" Type="http://schemas.openxmlformats.org/officeDocument/2006/relationships/hyperlink" Target="http://www.news-journal.com/news/2016/feb/14/report-unarmed-man-shot-killed-by-texas-trooper-in/" TargetMode="External"/><Relationship Id="rId10" Type="http://schemas.openxmlformats.org/officeDocument/2006/relationships/hyperlink" Target="http://www.killedbypolice.net/victims/150895.jpg" TargetMode="External"/><Relationship Id="rId11" Type="http://schemas.openxmlformats.org/officeDocument/2006/relationships/hyperlink" Target="http://www.local10.com/news/man-killed-in-policeinvolved-shooting-in-sw-miamidade/35298042" TargetMode="External"/><Relationship Id="rId12" Type="http://schemas.openxmlformats.org/officeDocument/2006/relationships/hyperlink" Target="http://www.vvng.com/barstow-man-killed-in-officer-involved-shooting/" TargetMode="External"/><Relationship Id="rId13" Type="http://schemas.openxmlformats.org/officeDocument/2006/relationships/hyperlink" Target="http://abc7.com/news/suspect-killed-in-panorama-city-officer-involved-shooting/986303/" TargetMode="External"/><Relationship Id="rId14" Type="http://schemas.openxmlformats.org/officeDocument/2006/relationships/hyperlink" Target="http://www.kwwl.com/story/30019391/2015/09/13/officer-involved-shooting-near-wellman-leaves-one-person-dead" TargetMode="External"/><Relationship Id="rId15" Type="http://schemas.openxmlformats.org/officeDocument/2006/relationships/hyperlink" Target="http://www.tylerpaper.com/TP-Breaking+Silent/224089/jeffrey-brooks-fugitive-shot-and-killed-by-law-enforcement-officers-near-clute" TargetMode="External"/><Relationship Id="rId16" Type="http://schemas.openxmlformats.org/officeDocument/2006/relationships/hyperlink" Target="http://wreg.com/2015/09/24/paris-police-officer-charged-for-murdering-his-own-son/" TargetMode="External"/><Relationship Id="rId17" Type="http://schemas.openxmlformats.org/officeDocument/2006/relationships/hyperlink" Target="http://www.omaha.com/news/metro/man-who-had-trouble-breathing-while-being-arrested-has-died/article_6868fb7c-54f8-11e5-bf00-0f25174cd9cb.html" TargetMode="External"/><Relationship Id="rId18" Type="http://schemas.openxmlformats.org/officeDocument/2006/relationships/hyperlink" Target="http://www.kltv.com/story/29931923/man-shot-by-longview-officer-dies" TargetMode="External"/><Relationship Id="rId19" Type="http://schemas.openxmlformats.org/officeDocument/2006/relationships/hyperlink" Target="http://www.killedbypolice.net/victims/150680.jpg" TargetMode="External"/><Relationship Id="rId100" Type="http://schemas.openxmlformats.org/officeDocument/2006/relationships/hyperlink" Target="http://www.nbcnews.com/storyline/new-york-prison-escape/autopsy-shows-prison-escapee-richard-matt-was-drunk-when-he-n404676" TargetMode="External"/><Relationship Id="rId101" Type="http://schemas.openxmlformats.org/officeDocument/2006/relationships/hyperlink" Target="http://abc30.com/news/man-wanted-after-deadly-fresno-county-deputy-involved-shooting-identified/808781/" TargetMode="External"/><Relationship Id="rId102" Type="http://schemas.openxmlformats.org/officeDocument/2006/relationships/hyperlink" Target="http://www.kansas.com/news/local/article25221067.html" TargetMode="External"/><Relationship Id="rId103" Type="http://schemas.openxmlformats.org/officeDocument/2006/relationships/hyperlink" Target="http://www.wthr.com/story/29391400/impd-officer-involved-in-shooting-after-short-pursuit" TargetMode="External"/><Relationship Id="rId104" Type="http://schemas.openxmlformats.org/officeDocument/2006/relationships/hyperlink" Target="http://bloximages.chicago2.vip.townnews.com/weatherforddemocrat.com/content/tncms/assets/v3/editorial/c/9c/c9c251be-1a8f-11e5-9a9f-0358863fe83b/558addd0ba8d6.image.jpg?resize=300%2C300" TargetMode="External"/><Relationship Id="rId105" Type="http://schemas.openxmlformats.org/officeDocument/2006/relationships/hyperlink" Target="http://www.star-telegram.com/news/local/community/fort-worth/article25340344.html" TargetMode="External"/><Relationship Id="rId106" Type="http://schemas.openxmlformats.org/officeDocument/2006/relationships/hyperlink" Target="http://bloximages.newyork1.vip.townnews.com/omaha.com/content/tncms/assets/v3/editorial/d/d0/dd0b9724-19c9-11e5-93b4-936ae8b833ff/558991a743529.image.jpg" TargetMode="External"/><Relationship Id="rId107" Type="http://schemas.openxmlformats.org/officeDocument/2006/relationships/hyperlink" Target="http://journalstar.com/news/local/911/man-shot-by-deputy-has-died-sheriff-s-office-says/article_6edae1e6-0eba-5846-8dc1-79a7a3a032da.html" TargetMode="External"/><Relationship Id="rId108" Type="http://schemas.openxmlformats.org/officeDocument/2006/relationships/hyperlink" Target="http://www.sacbee.com/news/local/crime/article25297567.html" TargetMode="External"/><Relationship Id="rId1040"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041" Type="http://schemas.openxmlformats.org/officeDocument/2006/relationships/hyperlink" Target="http://www.chron.com/news/houston-texas/houston/article/New-details-emerge-in-HPD-shooting-and-chase-6373997.php" TargetMode="External"/><Relationship Id="rId1042" Type="http://schemas.openxmlformats.org/officeDocument/2006/relationships/hyperlink" Target="http://www.pressofatlanticcity.com/eedition/news/grand-jury-may-decide-fate-of-cop/article_d75e1ab1-8f1e-5086-b543-3243f95fc088.html" TargetMode="External"/><Relationship Id="rId1043" Type="http://schemas.openxmlformats.org/officeDocument/2006/relationships/hyperlink" Target="http://homicide.latimes.com/post/jason-m-hendley/" TargetMode="External"/><Relationship Id="rId1044" Type="http://schemas.openxmlformats.org/officeDocument/2006/relationships/hyperlink" Target="http://www.miamiherald.com/news/local/community/miami-dade/little-havana/article26604022.html" TargetMode="External"/><Relationship Id="rId1045" Type="http://schemas.openxmlformats.org/officeDocument/2006/relationships/hyperlink" Target="http://kwtv.images.worldnow.com/images/8241047_G.jpg" TargetMode="External"/><Relationship Id="rId1046" Type="http://schemas.openxmlformats.org/officeDocument/2006/relationships/hyperlink" Target="http://i.guim.co.uk/img/media/6b8d2e8197fcd13bf1efa55dde76f7af6401fdfb/0_188_600_360/master/600.jpg?w=620&amp;q=85&amp;auto=format&amp;sharp=10&amp;s=cd2d313d4e808218cd2fff1e044bc896" TargetMode="External"/><Relationship Id="rId1047" Type="http://schemas.openxmlformats.org/officeDocument/2006/relationships/hyperlink" Target="http://jacksonville.com/sites/default/files/imagecache/premium_415_wide_scale/Suspect_1.jpg" TargetMode="External"/><Relationship Id="rId1048" Type="http://schemas.openxmlformats.org/officeDocument/2006/relationships/hyperlink" Target="http://images.bimedia.net/images/150701_Kevin_Lamont_Judson_story_insert.jpg" TargetMode="External"/><Relationship Id="rId1049" Type="http://schemas.openxmlformats.org/officeDocument/2006/relationships/hyperlink" Target="http://www.katu.com/news/local/DA-clears-deputy-in-deadly-McMinnville-shooting-316055961.html" TargetMode="External"/><Relationship Id="rId109" Type="http://schemas.openxmlformats.org/officeDocument/2006/relationships/hyperlink" Target="http://chronicle.augusta.com/sites/default/files/imagecache/superphoto/14501857.jpg" TargetMode="External"/><Relationship Id="rId2290" Type="http://schemas.openxmlformats.org/officeDocument/2006/relationships/hyperlink" Target="http://wfla.com/2016/08/30/hillsborough-deputy-is-on-paid-leave-after-firing-shot-killing-suspect/" TargetMode="External"/><Relationship Id="rId2291" Type="http://schemas.openxmlformats.org/officeDocument/2006/relationships/hyperlink" Target="http://www.kvue.com/news/local/suspect-dead-after-chase-and-gunfire-in-bell-county/311518359" TargetMode="External"/><Relationship Id="rId2292" Type="http://schemas.openxmlformats.org/officeDocument/2006/relationships/hyperlink" Target="http://www.star-telegram.com/news/local/community/weatherford-star-telegram/7voj0q/picture99281117/ALTERNATES/FREE_320/mathis,gregory.jpeg" TargetMode="External"/><Relationship Id="rId2293" Type="http://schemas.openxmlformats.org/officeDocument/2006/relationships/hyperlink" Target="http://www.star-telegram.com/news/local/community/weatherford-star-telegram/article98990042.html" TargetMode="External"/><Relationship Id="rId2294" Type="http://schemas.openxmlformats.org/officeDocument/2006/relationships/hyperlink" Target="http://www.thenewstribune.com/news/local/crime/article98794767.html" TargetMode="External"/><Relationship Id="rId2295" Type="http://schemas.openxmlformats.org/officeDocument/2006/relationships/hyperlink" Target="http://www.fatalencounters.org/wp-content/uploads/2013/10/MICHAEL-FERGUSON.jpg" TargetMode="External"/><Relationship Id="rId2296" Type="http://schemas.openxmlformats.org/officeDocument/2006/relationships/hyperlink" Target="http://www.denverpost.com/2016/08/31/shots-fired-denver-police-operation/" TargetMode="External"/><Relationship Id="rId2297" Type="http://schemas.openxmlformats.org/officeDocument/2006/relationships/hyperlink" Target="http://www.ozarksfirst.com/news/aurora-man-dies-from-officer-involved-shooting" TargetMode="External"/><Relationship Id="rId2298" Type="http://schemas.openxmlformats.org/officeDocument/2006/relationships/hyperlink" Target="http://www.latimes.com/local/lanow/la-me-ln-deputy-shots-man-20160901-snap-story.html" TargetMode="External"/><Relationship Id="rId2299" Type="http://schemas.openxmlformats.org/officeDocument/2006/relationships/hyperlink" Target="http://ktla.com/2016/09/01/man-shot-by-huntington-park-police-condition-unknown/" TargetMode="External"/><Relationship Id="rId3720" Type="http://schemas.openxmlformats.org/officeDocument/2006/relationships/hyperlink" Target="http://www.fatalencounters.org/wp-content/uploads/2013/10/Ramon-Bueno.png" TargetMode="External"/><Relationship Id="rId3721" Type="http://schemas.openxmlformats.org/officeDocument/2006/relationships/hyperlink" Target="http://www.fatalencounters.org/wp-content/uploads/2013/10/Titus-Tabotabo-III.jpg" TargetMode="External"/><Relationship Id="rId3722" Type="http://schemas.openxmlformats.org/officeDocument/2006/relationships/drawing" Target="../drawings/drawing1.xml"/><Relationship Id="rId650" Type="http://schemas.openxmlformats.org/officeDocument/2006/relationships/hyperlink" Target="http://www.killedbypolice.net/victims/150950.jpg" TargetMode="External"/><Relationship Id="rId651" Type="http://schemas.openxmlformats.org/officeDocument/2006/relationships/hyperlink" Target="http://www.killedbypolice.net/victims/150949.jpg" TargetMode="External"/><Relationship Id="rId652" Type="http://schemas.openxmlformats.org/officeDocument/2006/relationships/hyperlink" Target="http://www.startribune.com/Security-guard-fatally-shot-in-St.-Cloud-Hospital/333868281/" TargetMode="External"/><Relationship Id="rId653" Type="http://schemas.openxmlformats.org/officeDocument/2006/relationships/hyperlink" Target="http://www.killedbypolice.net/victims/150944.jpg" TargetMode="External"/><Relationship Id="rId654" Type="http://schemas.openxmlformats.org/officeDocument/2006/relationships/hyperlink" Target="http://www.ajc.com/news/news/crime-law/gbi-murder-suspect-believed-killed-by-hall-county-/nn5PY/" TargetMode="External"/><Relationship Id="rId655" Type="http://schemas.openxmlformats.org/officeDocument/2006/relationships/hyperlink" Target="http://www.rgj.com/story/news/crime/2015/10/17/police-gardnerville-man-killed-mother-dies-hospital/74121444/" TargetMode="External"/><Relationship Id="rId656" Type="http://schemas.openxmlformats.org/officeDocument/2006/relationships/hyperlink" Target="http://www.houstonchronicle.com/news/houston-texas/houston/article/Police-fatally-shoot-man-barricaded-in-house-6575018.php" TargetMode="External"/><Relationship Id="rId657" Type="http://schemas.openxmlformats.org/officeDocument/2006/relationships/hyperlink" Target="http://www.killedbypolice.net/victims/150935.jpg" TargetMode="External"/><Relationship Id="rId658" Type="http://schemas.openxmlformats.org/officeDocument/2006/relationships/hyperlink" Target="http://www.davisenterprise.com/?p=602436&amp;preview_id=602436" TargetMode="External"/><Relationship Id="rId659" Type="http://schemas.openxmlformats.org/officeDocument/2006/relationships/hyperlink" Target="http://www.killedbypolice.net/victims/150934.jpg" TargetMode="External"/><Relationship Id="rId1590" Type="http://schemas.openxmlformats.org/officeDocument/2006/relationships/hyperlink" Target="http://www.chron.com/news/houston-texas/article/Two-persons-shot-dead-by-police-identified-6889325.php" TargetMode="External"/><Relationship Id="rId1591" Type="http://schemas.openxmlformats.org/officeDocument/2006/relationships/hyperlink" Target="http://bloximages.newyork1.vip.townnews.com/roanoke.com/content/tncms/assets/v3/editorial/f/26/f265d719-9e9e-50e4-8c90-3f9be0bdbc52/56d4f207b5d7e.image.jpg?resize=300%2C200" TargetMode="External"/><Relationship Id="rId1592" Type="http://schemas.openxmlformats.org/officeDocument/2006/relationships/hyperlink" Target="http://media.graytvinc.com/images/690*427/arteair-porter.jpg" TargetMode="External"/><Relationship Id="rId1593" Type="http://schemas.openxmlformats.org/officeDocument/2006/relationships/hyperlink" Target="https://www.washingtonpost.com/local/public-safety/dc-police-officer-involved-in-shooting-in-ne-washington/2016/02/01/236346f6-c8cd-11e5-a7b2-5a2f824b02c9_story.html" TargetMode="External"/><Relationship Id="rId1594" Type="http://schemas.openxmlformats.org/officeDocument/2006/relationships/hyperlink" Target="http://www.wlwt.com/news/police-officerinvolved-shooting-on-harrison-avenue/38047306" TargetMode="External"/><Relationship Id="rId1595" Type="http://schemas.openxmlformats.org/officeDocument/2006/relationships/hyperlink" Target="http://www.wdbj7.com/news/local/police-investigating-report-of-shots-fired-near-walgreens-on-brambleton-avenue/38220812" TargetMode="External"/><Relationship Id="rId1596" Type="http://schemas.openxmlformats.org/officeDocument/2006/relationships/hyperlink" Target="http://www.kolotv.com/content/news/Man-killed-in-Reno-officer-involved-shooting-371766162.html" TargetMode="External"/><Relationship Id="rId1597" Type="http://schemas.openxmlformats.org/officeDocument/2006/relationships/hyperlink" Target="http://www.10tv.com/content/stories/2016/02/11/columbus-ohio-man-stabs-multiple-people-with-machette-in-northeast-columbus.html" TargetMode="External"/><Relationship Id="rId1598" Type="http://schemas.openxmlformats.org/officeDocument/2006/relationships/hyperlink" Target="http://www.fatalencounters.org/wp-content/uploads/2013/10/EricSenegal.jpg" TargetMode="External"/><Relationship Id="rId1599" Type="http://schemas.openxmlformats.org/officeDocument/2006/relationships/hyperlink" Target="http://assets.nydailynews.com/polopoly_fs/1.2512088.1453967790!/img/httpImage/image.jpg_gen/derivatives/article_400/memphis29n-4-web.jpg" TargetMode="External"/><Relationship Id="rId20" Type="http://schemas.openxmlformats.org/officeDocument/2006/relationships/hyperlink" Target="http://www.star-telegram.com/news/local/community/fort-worth/rat54p/picture29706625/ALTERNATES/FREE_640/Flip%20Vallejo" TargetMode="External"/><Relationship Id="rId21" Type="http://schemas.openxmlformats.org/officeDocument/2006/relationships/hyperlink" Target="http://media.graytvinc.com/images/Mark+Perkins.jpg" TargetMode="External"/><Relationship Id="rId22" Type="http://schemas.openxmlformats.org/officeDocument/2006/relationships/hyperlink" Target="http://www.sfgate.com/crime/article/Dead-body-probe-on-Lombard-Street-in-S-F-6414831.php" TargetMode="External"/><Relationship Id="rId23" Type="http://schemas.openxmlformats.org/officeDocument/2006/relationships/hyperlink" Target="http://media.masslive.com/mass_river_worcester_news/photo/screen-shot-2015-07-30-at-14303-pmpng-3c8d20217be5ac12.png" TargetMode="External"/><Relationship Id="rId24" Type="http://schemas.openxmlformats.org/officeDocument/2006/relationships/hyperlink" Target="http://www.killedbypolice.net/victims/150676.jpg"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26" Type="http://schemas.openxmlformats.org/officeDocument/2006/relationships/hyperlink" Target="http://images1.westword.com/imager/u/745xauto/6970529/sam.forgy.portrait.800.cropped.jpg" TargetMode="External"/><Relationship Id="rId27" Type="http://schemas.openxmlformats.org/officeDocument/2006/relationships/hyperlink" Target="http://www.thedenverchannel.com/news/local-news/naked-man-shot-and-killed-by-boulder-police-was-reportedly-high-on-lsd" TargetMode="External"/><Relationship Id="rId28" Type="http://schemas.openxmlformats.org/officeDocument/2006/relationships/hyperlink" Target="http://bayoutimelive.com/wp-content/uploads/2013/04/Jean-P.-Falgout.jpg" TargetMode="External"/><Relationship Id="rId110" Type="http://schemas.openxmlformats.org/officeDocument/2006/relationships/hyperlink" Target="http://chronicle.augusta.com/news/crime-courts/2015-06-23/deputy-shoots-man-who-had-rifle-standoff-victim-died-monday-georgia" TargetMode="External"/><Relationship Id="rId111" Type="http://schemas.openxmlformats.org/officeDocument/2006/relationships/hyperlink" Target="http://bloximages.newyork1.vip.townnews.com/journalnow.com/content/tncms/assets/v3/editorial/4/1f/41fb4001-cb7b-5850-8587-b8e9677b73a9/558828f92bfd8.image.jpg" TargetMode="External"/><Relationship Id="rId112" Type="http://schemas.openxmlformats.org/officeDocument/2006/relationships/hyperlink" Target="http://www.wxii12.com/news/sheriffs-deputy-shot-in-wilkes-county/33705684" TargetMode="External"/><Relationship Id="rId113" Type="http://schemas.openxmlformats.org/officeDocument/2006/relationships/hyperlink" Target="http://www.gannett-cdn.com/-mm-/9084052019203598504c1c2c8d284ed18b0eeeb0/c=95-0-659-424&amp;r=x404&amp;c=534x401/local/-/media/2015/06/25/KTVB/KTVB/635708443303175916-Allen-Hernandez.jpg" TargetMode="External"/><Relationship Id="rId114" Type="http://schemas.openxmlformats.org/officeDocument/2006/relationships/hyperlink" Target="http://www.ktvb.com/story/news/crime/2015/06/25/allen--hernandez-owyhee-sheriff/29283099/" TargetMode="External"/><Relationship Id="rId115" Type="http://schemas.openxmlformats.org/officeDocument/2006/relationships/hyperlink" Target="http://homicide.latimes.com.s3.amazonaws.com/media/homicide/72c81404-df51-4024-b054-47809e5bc39a.jpeg" TargetMode="External"/><Relationship Id="rId116" Type="http://schemas.openxmlformats.org/officeDocument/2006/relationships/hyperlink" Target="http://homicide.latimes.com/post/adrian-simental/" TargetMode="External"/><Relationship Id="rId117" Type="http://schemas.openxmlformats.org/officeDocument/2006/relationships/hyperlink" Target="http://d3trabu2dfbdfb.cloudfront.net/4/6/4658528_300x300.jpeg" TargetMode="External"/><Relationship Id="rId118" Type="http://schemas.openxmlformats.org/officeDocument/2006/relationships/hyperlink" Target="http://www.chron.com/news/houston-texas/article/Deputy-fatally-shoots-man-after-he-charges-6340675.php" TargetMode="External"/><Relationship Id="rId119" Type="http://schemas.openxmlformats.org/officeDocument/2006/relationships/hyperlink" Target="http://www.necn.com/news/new-england/Sister-Speaks-Out-About-Police-Involved-Shooting-308721631.html" TargetMode="External"/><Relationship Id="rId1050" Type="http://schemas.openxmlformats.org/officeDocument/2006/relationships/hyperlink" Target="http://www.baltimoresun.com/news/maryland/crime/blog/bs-md-baltimore-county-0628-20150627-story.html" TargetMode="External"/><Relationship Id="rId1051" Type="http://schemas.openxmlformats.org/officeDocument/2006/relationships/hyperlink" Target="http://www.gannett-cdn.com/-mm-/8334042135d7f679c06190b7cdf533ced74a407e/c=15-0-465-600&amp;r=537&amp;c=0-0-534-712/local/-/media/2015/06/24/WVEC/WVEC/635707581920059394-DamienAlexanderHarrell.jpg" TargetMode="External"/><Relationship Id="rId1052" Type="http://schemas.openxmlformats.org/officeDocument/2006/relationships/hyperlink" Target="http://www.13newsnow.com/story/news/local/peninsulanow/2015/06/24/incident-closes-part-of-ft-eustis-blvd-in-york-co/29204021/" TargetMode="External"/><Relationship Id="rId1053" Type="http://schemas.openxmlformats.org/officeDocument/2006/relationships/hyperlink" Target="http://www.post-gazette.com/image/2015/06/23/420x_q90_cMC_z_ca0,37,614,753/HarrisTyrone.jpg" TargetMode="External"/><Relationship Id="rId1054" Type="http://schemas.openxmlformats.org/officeDocument/2006/relationships/hyperlink" Target="http://www.post-gazette.com/local/city/2015/06/22/Shooting-incident-blocks-traffic-on-Route-51-near-Bausman-pittsburgh/stories/201506220143" TargetMode="External"/><Relationship Id="rId1055" Type="http://schemas.openxmlformats.org/officeDocument/2006/relationships/hyperlink" Target="http://www.chicagotribune.com/news/local/breaking/ct-alfontish-cockerham-shot-by-police-20150626-story.html" TargetMode="External"/><Relationship Id="rId1056" Type="http://schemas.openxmlformats.org/officeDocument/2006/relationships/hyperlink" Target="http://theadvocate.com/news/12712188-123/father-at-a-loss-for" TargetMode="External"/><Relationship Id="rId1057" Type="http://schemas.openxmlformats.org/officeDocument/2006/relationships/hyperlink" Target="http://ak-cache.legacy.net/legacy/images/cobrands/birmingham/Photos/photo_20150625_AL0069125_0_danteljelks2015_20150625.jpg?v=0x00000000308a6237" TargetMode="External"/><Relationship Id="rId1058" Type="http://schemas.openxmlformats.org/officeDocument/2006/relationships/hyperlink" Target="http://www.tuscaloosanews.com/article/20150622/news/150629934?p=1&amp;tc=pg" TargetMode="External"/><Relationship Id="rId1059"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9" Type="http://schemas.openxmlformats.org/officeDocument/2006/relationships/hyperlink" Target="http://www.houmatoday.com/article/20150728/ARTICLES/150729727/1319?p=1&amp;tc=pg" TargetMode="External"/><Relationship Id="rId660" Type="http://schemas.openxmlformats.org/officeDocument/2006/relationships/hyperlink" Target="http://www.killedbypolice.net/victims/150932.jpg" TargetMode="External"/><Relationship Id="rId661" Type="http://schemas.openxmlformats.org/officeDocument/2006/relationships/hyperlink" Target="http://www.killedbypolice.net/victims/150929.jpg" TargetMode="External"/><Relationship Id="rId662" Type="http://schemas.openxmlformats.org/officeDocument/2006/relationships/hyperlink" Target="http://www.killedbypolice.net/victims/150923.jpg" TargetMode="External"/><Relationship Id="rId663" Type="http://schemas.openxmlformats.org/officeDocument/2006/relationships/hyperlink" Target="http://www.killedbypolice.net/victims/150922.jpg" TargetMode="External"/><Relationship Id="rId664" Type="http://schemas.openxmlformats.org/officeDocument/2006/relationships/hyperlink" Target="http://www.necn.com/news/new-england/Man-Dies-Following-Struggle-With-Police-332162782.html" TargetMode="External"/><Relationship Id="rId665" Type="http://schemas.openxmlformats.org/officeDocument/2006/relationships/hyperlink" Target="http://www.killedbypolice.net/victims/150915.jpg" TargetMode="External"/><Relationship Id="rId666" Type="http://schemas.openxmlformats.org/officeDocument/2006/relationships/hyperlink" Target="http://www.killedbypolice.net/victims/150914.jpg" TargetMode="External"/><Relationship Id="rId667" Type="http://schemas.openxmlformats.org/officeDocument/2006/relationships/hyperlink" Target="http://www.killedbypolice.net/victims/150913.jpg" TargetMode="External"/><Relationship Id="rId668" Type="http://schemas.openxmlformats.org/officeDocument/2006/relationships/hyperlink" Target="http://www.killedbypolice.net/victims/150908.jpg" TargetMode="External"/><Relationship Id="rId669" Type="http://schemas.openxmlformats.org/officeDocument/2006/relationships/hyperlink" Target="http://www.killedbypolice.net/victims/150994.jpg" TargetMode="External"/><Relationship Id="rId30" Type="http://schemas.openxmlformats.org/officeDocument/2006/relationships/hyperlink" Target="http://www.wistv.com/story/29644189/sled-investigating-deputy-involved-shooting-in-lexington-county" TargetMode="External"/><Relationship Id="rId31" Type="http://schemas.openxmlformats.org/officeDocument/2006/relationships/hyperlink" Target="http://www.independent.co.uk/incoming/article10446695.ece/alternates/w620/Zach-hammond.jpg" TargetMode="External"/><Relationship Id="rId32" Type="http://schemas.openxmlformats.org/officeDocument/2006/relationships/hyperlink" Target="http://www.independentmail.com/news/man-killed-by-seneca-police-officer" TargetMode="External"/><Relationship Id="rId33" Type="http://schemas.openxmlformats.org/officeDocument/2006/relationships/hyperlink" Target="http://www.walb.com/story/29631891/1-dead-after-officer-involved-shooting-in-decatur-co" TargetMode="External"/><Relationship Id="rId34" Type="http://schemas.openxmlformats.org/officeDocument/2006/relationships/hyperlink" Target="http://www.nola.com/crime/index.ssf/2015/07/breaking_new_orleans_police_sh.html" TargetMode="External"/><Relationship Id="rId35" Type="http://schemas.openxmlformats.org/officeDocument/2006/relationships/hyperlink" Target="http://cdn.abclocal.go.com/content/kabc/images/cms/889902_1280x720.jpg" TargetMode="External"/><Relationship Id="rId36" Type="http://schemas.openxmlformats.org/officeDocument/2006/relationships/hyperlink" Target="http://www.latimes.com/local/lanow/la-me-ln-report-of-gunman-opening-fire-bring-lapd-swarm-in-studio-city-20150724-story.html" TargetMode="External"/><Relationship Id="rId37" Type="http://schemas.openxmlformats.org/officeDocument/2006/relationships/hyperlink" Target="http://www.killedbypolice.net/victims/150642.jpg" TargetMode="External"/><Relationship Id="rId38" Type="http://schemas.openxmlformats.org/officeDocument/2006/relationships/hyperlink" Target="http://www.visaliatimesdelta.com/story/news/local/2015/07/22/single-bullet-killed-farmersville-man/30501679/" TargetMode="External"/><Relationship Id="rId120" Type="http://schemas.openxmlformats.org/officeDocument/2006/relationships/hyperlink" Target="http://www.greeleytribune.com/news/16932384-113/weld-district-attorney-releases-names-of-man-woman" TargetMode="External"/><Relationship Id="rId121" Type="http://schemas.openxmlformats.org/officeDocument/2006/relationships/hyperlink" Target="http://www.nydailynews.com/new-york/suspect-shot-killed-cops-stabbing-officer-police-article-1.2262745" TargetMode="External"/><Relationship Id="rId122" Type="http://schemas.openxmlformats.org/officeDocument/2006/relationships/hyperlink" Target="http://www.grandforksherald.com/news/region/3770087-family-alleged-police-shooting-victim-speaks-out" TargetMode="External"/><Relationship Id="rId123" Type="http://schemas.openxmlformats.org/officeDocument/2006/relationships/hyperlink" Target="http://www.montgomeryadvertiser.com/story/news/local/progress/2015/06/18/sbi-investigate-officer-involved-shooting/28954689/" TargetMode="External"/><Relationship Id="rId124" Type="http://schemas.openxmlformats.org/officeDocument/2006/relationships/hyperlink" Target="http://www.kob.com/article/stories/s3831288.shtml" TargetMode="External"/><Relationship Id="rId125" Type="http://schemas.openxmlformats.org/officeDocument/2006/relationships/hyperlink" Target="http://newyork.cbslocal.com/2015/06/17/neptune-police-officer-shooting/" TargetMode="External"/><Relationship Id="rId126" Type="http://schemas.openxmlformats.org/officeDocument/2006/relationships/hyperlink" Target="http://abc30.com/news/visalia-police-shoot-and-kill-man-shortly-after-arriving-at-vacant-business-complex/789315/" TargetMode="External"/><Relationship Id="rId127" Type="http://schemas.openxmlformats.org/officeDocument/2006/relationships/hyperlink" Target="https://tribfox40.files.wordpress.com/2015/06/kenneth-garcia.jpg" TargetMode="External"/><Relationship Id="rId128" Type="http://schemas.openxmlformats.org/officeDocument/2006/relationships/hyperlink" Target="http://www.kcra.com/news/local-news/news-stockton/stockton-police-investigate-officerinvolved-shooting-1-suspect-dead/33578792" TargetMode="External"/><Relationship Id="rId129" Type="http://schemas.openxmlformats.org/officeDocument/2006/relationships/hyperlink" Target="http://media.cmgdigital.com/shared/img/photos/2015/06/15/08/8a/Zane_Terryn.jpg" TargetMode="External"/><Relationship Id="rId1060" Type="http://schemas.openxmlformats.org/officeDocument/2006/relationships/hyperlink" Target="http://www.cincinnati.com/story/news/2015/06/19/trepierre-hummons-past/29018599/" TargetMode="External"/><Relationship Id="rId1061" Type="http://schemas.openxmlformats.org/officeDocument/2006/relationships/hyperlink" Target="http://www.wptv.com/news/region-indian-river-county/drug-related-death-investigated-in-indian-river-county" TargetMode="External"/><Relationship Id="rId1062" Type="http://schemas.openxmlformats.org/officeDocument/2006/relationships/hyperlink" Target="http://www.kcra.com/image/view/-/33606430/medRes/1/-/maxh/460/maxw/620/-/xldfqjz/-/Kris-Jackson-061615-jpg.jpg" TargetMode="External"/><Relationship Id="rId106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064" Type="http://schemas.openxmlformats.org/officeDocument/2006/relationships/hyperlink" Target="http://www.washingtonpost.com/news/morning-mix/wp/2015/06/14/new-video-shows-kentucky-police-officer-killing-flagpole-wielding-man/" TargetMode="External"/><Relationship Id="rId1065" Type="http://schemas.openxmlformats.org/officeDocument/2006/relationships/hyperlink" Target="http://www.trbimg.com/img-557a9e9e/turbine/fl-pompano-beach-fatal-shoot-bso-20150611-003/550/550x309" TargetMode="External"/><Relationship Id="rId1066" Type="http://schemas.openxmlformats.org/officeDocument/2006/relationships/hyperlink" Target="http://www.local10.com/news/bso-investigates-deputyinvolved-shooting-in-pompano-beach/33522974" TargetMode="External"/><Relationship Id="rId1067" Type="http://schemas.openxmlformats.org/officeDocument/2006/relationships/hyperlink" Target="http://i.dailymail.co.uk/i/pix/2015/06/12/08/298F3F8200000578-3120464-image-m-3_1434095771297.jpg" TargetMode="External"/><Relationship Id="rId1068" Type="http://schemas.openxmlformats.org/officeDocument/2006/relationships/hyperlink" Target="http://miami.cbslocal.com/2015/06/11/witnesses-police-officer-shoots-homeless-man-five-times-in-miami/" TargetMode="External"/><Relationship Id="rId1069" Type="http://schemas.openxmlformats.org/officeDocument/2006/relationships/hyperlink" Target="http://assets.dnainfo.com/generated/photo/2015/06/hampton-isaiah-13a2575-11-1433968556.jpg/extralarge.jpg" TargetMode="External"/><Relationship Id="rId39" Type="http://schemas.openxmlformats.org/officeDocument/2006/relationships/hyperlink" Target="http://www.azcentral.com/story/news/local/phoenix/2015/07/18/west-phoenix-fatal-officer-involved-shooting-abrk/30349421/" TargetMode="External"/><Relationship Id="rId670" Type="http://schemas.openxmlformats.org/officeDocument/2006/relationships/hyperlink" Target="http://www.killedbypolice.net/victims/150920.jpg" TargetMode="External"/><Relationship Id="rId671" Type="http://schemas.openxmlformats.org/officeDocument/2006/relationships/hyperlink" Target="http://www.killedbypolice.net/victims/150931.jpg" TargetMode="External"/><Relationship Id="rId672" Type="http://schemas.openxmlformats.org/officeDocument/2006/relationships/hyperlink" Target="http://www.killedbypolice.net/victims/151082.jpg" TargetMode="External"/><Relationship Id="rId673" Type="http://schemas.openxmlformats.org/officeDocument/2006/relationships/hyperlink" Target="http://www.killedbypolice.net/victims/151080.jpg" TargetMode="External"/><Relationship Id="rId674" Type="http://schemas.openxmlformats.org/officeDocument/2006/relationships/hyperlink" Target="http://www.killedbypolice.net/victims/151079.jpg" TargetMode="External"/><Relationship Id="rId675" Type="http://schemas.openxmlformats.org/officeDocument/2006/relationships/hyperlink" Target="http://www.killedbypolice.net/victims/151078.jpg" TargetMode="External"/><Relationship Id="rId676" Type="http://schemas.openxmlformats.org/officeDocument/2006/relationships/hyperlink" Target="http://www.killedbypolice.net/victims/151075.jpg" TargetMode="External"/><Relationship Id="rId677" Type="http://schemas.openxmlformats.org/officeDocument/2006/relationships/hyperlink" Target="http://www.killedbypolice.net/victims/151074.jpg" TargetMode="External"/><Relationship Id="rId678" Type="http://schemas.openxmlformats.org/officeDocument/2006/relationships/hyperlink" Target="http://www.killedbypolice.net/victims/151070.jpg" TargetMode="External"/><Relationship Id="rId679" Type="http://schemas.openxmlformats.org/officeDocument/2006/relationships/hyperlink" Target="http://www.killedbypolice.net/victims/151069.jpg" TargetMode="External"/><Relationship Id="rId3200" Type="http://schemas.openxmlformats.org/officeDocument/2006/relationships/hyperlink" Target="http://www.click2houston.com/news/officer-involved-in-nw-houston-shooting" TargetMode="External"/><Relationship Id="rId3201" Type="http://schemas.openxmlformats.org/officeDocument/2006/relationships/hyperlink" Target="http://www.fatalencounters.org/wp-content/uploads/2013/10/Zelalem-Eshetu-Ewnetu.jpg" TargetMode="External"/><Relationship Id="rId3202" Type="http://schemas.openxmlformats.org/officeDocument/2006/relationships/hyperlink" Target="http://ktla.com/2017/04/12/man-fatally-shot-by-deputies-responding-to-burglary-call-in-south-l-a-area/" TargetMode="External"/><Relationship Id="rId3203" Type="http://schemas.openxmlformats.org/officeDocument/2006/relationships/hyperlink" Target="http://www.fatalencounters.org/wp-content/uploads/2013/10/Erik-Pamias.jpg" TargetMode="External"/><Relationship Id="rId3204" Type="http://schemas.openxmlformats.org/officeDocument/2006/relationships/hyperlink" Target="http://www.azcentral.com/story/news/local/southwest-valley/2017/04/12/police-scene-officer-involved-shooting-avondale/100402584/" TargetMode="External"/><Relationship Id="rId3205" Type="http://schemas.openxmlformats.org/officeDocument/2006/relationships/hyperlink" Target="http://www.fatalencounters.org/wp-content/uploads/2013/10/Kenneth-Johnson.png" TargetMode="External"/><Relationship Id="rId3206" Type="http://schemas.openxmlformats.org/officeDocument/2006/relationships/hyperlink" Target="http://www.readingeagle.com/news/article/man-dies-after-reading-police-use-taser-on-him" TargetMode="External"/><Relationship Id="rId3207" Type="http://schemas.openxmlformats.org/officeDocument/2006/relationships/hyperlink" Target="http://www.fatalencounters.org/wp-content/uploads/2013/10/CharlesJohnston.jpg" TargetMode="External"/><Relationship Id="rId3208" Type="http://schemas.openxmlformats.org/officeDocument/2006/relationships/hyperlink" Target="http://www.kake.com/story/35139445/shots-fired-during-multi-county-chase?utm_medium=social&amp;utm_source=twitter_KAKEnews" TargetMode="External"/><Relationship Id="rId3209" Type="http://schemas.openxmlformats.org/officeDocument/2006/relationships/hyperlink" Target="http://www.courant.com/breaking-news/hc-suffield-officer-involved-shooting0-0414-20170413-story.html" TargetMode="External"/><Relationship Id="rId40" Type="http://schemas.openxmlformats.org/officeDocument/2006/relationships/hyperlink" Target="http://www.thedenverchannel.com/news/local-news/man-dead-shot-by-fort-collins-officers-after-suspect-tried-to-attack-them-with-knife" TargetMode="External"/><Relationship Id="rId41" Type="http://schemas.openxmlformats.org/officeDocument/2006/relationships/hyperlink" Target="http://www.kake.com/home/headlines/KBI-investigating-officer-involved-shooting-in-northwest-Kansas-316960821.html" TargetMode="External"/><Relationship Id="rId42" Type="http://schemas.openxmlformats.org/officeDocument/2006/relationships/hyperlink" Target="http://www.click2houston.com/news/hpd-investigating-after-possible-incustody-death-in-southeast-houston/34238632" TargetMode="External"/><Relationship Id="rId43" Type="http://schemas.openxmlformats.org/officeDocument/2006/relationships/hyperlink" Target="http://www.sbsun.com/general-news/20150718/sheriffs-deputies-shoot-kill-highland-man-in-needles" TargetMode="External"/><Relationship Id="rId44" Type="http://schemas.openxmlformats.org/officeDocument/2006/relationships/hyperlink" Target="http://www.cnn.com/2015/07/17/us/tennessee-shooter-mohammad-youssuf-abdulazeez/" TargetMode="External"/><Relationship Id="rId45" Type="http://schemas.openxmlformats.org/officeDocument/2006/relationships/hyperlink" Target="https://localtvwiti.files.wordpress.com/2015/07/antonio-gonzales2.jpeg" TargetMode="External"/><Relationship Id="rId46" Type="http://schemas.openxmlformats.org/officeDocument/2006/relationships/hyperlink" Target="http://www.nbc15.com/home/headlines/Reports-of-shooting-in-Monroe-318229761.html" TargetMode="External"/><Relationship Id="rId47" Type="http://schemas.openxmlformats.org/officeDocument/2006/relationships/hyperlink" Target="http://media.graytvinc.com/images/saige+hack+2.jpg"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30" Type="http://schemas.openxmlformats.org/officeDocument/2006/relationships/hyperlink" Target="http://www.wftv.com/news/news/local/trooper-teens-idd-brevard-county-shooting/nmdGr/" TargetMode="External"/><Relationship Id="rId131" Type="http://schemas.openxmlformats.org/officeDocument/2006/relationships/hyperlink" Target="https://5f0ad1906cfcc43aa1e6-196c176a9165c4fb91294bcccfeafde1.ssl.cf1.rackcdn.com/b383b173-9988-4244-8538-f5128397eb44_profile.jpg" TargetMode="External"/><Relationship Id="rId132" Type="http://schemas.openxmlformats.org/officeDocument/2006/relationships/hyperlink" Target="http://www.wrdw.com/home/headlines/Shooting-on-Coulter-Drive-in-North-Augusta-307293011.html" TargetMode="External"/><Relationship Id="rId133" Type="http://schemas.openxmlformats.org/officeDocument/2006/relationships/hyperlink" Target="http://www.dallasnews.com/incoming/20150613-james-lance-boulware-1-.jpg.ece/BINARY/James-Lance-Boulware+%281%29.jpg" TargetMode="External"/><Relationship Id="rId134" Type="http://schemas.openxmlformats.org/officeDocument/2006/relationships/hyperlink" Target="http://www.dallasnews.com/news/local-news/20150613-report-of-shots-fired-near-dallas-police-headquarters-prompts-chase.ece" TargetMode="External"/><Relationship Id="rId135" Type="http://schemas.openxmlformats.org/officeDocument/2006/relationships/hyperlink" Target="http://assets.mediaspanonline.com/prod/11889528/7206529_h400.jpg" TargetMode="External"/><Relationship Id="rId136" Type="http://schemas.openxmlformats.org/officeDocument/2006/relationships/hyperlink" Target="http://wane.com/2015/06/15/coroner-releases-identity-of-man-shot-by-officer/" TargetMode="External"/><Relationship Id="rId137" Type="http://schemas.openxmlformats.org/officeDocument/2006/relationships/hyperlink" Target="http://bloximages.chicago2.vip.townnews.com/kokomotribune.com/content/tncms/assets/v3/editorial/7/fc/7fcd4704-6af4-59a9-8f7e-42671ea7d7cd/557df996651c8.image.jpg?resize=300%2C400" TargetMode="External"/><Relationship Id="rId138" Type="http://schemas.openxmlformats.org/officeDocument/2006/relationships/hyperlink" Target="http://www.kokomotribune.com/news/update-name-of-officer-involved-in-shooting-released/article_fac3c076-121b-11e5-91a2-63f77d795bb0.html" TargetMode="External"/><Relationship Id="rId139" Type="http://schemas.openxmlformats.org/officeDocument/2006/relationships/hyperlink" Target="http://wvns.images.worldnow.com/images/8063652_G.jpg" TargetMode="External"/><Relationship Id="rId1070" Type="http://schemas.openxmlformats.org/officeDocument/2006/relationships/hyperlink" Target="http://www.nydailynews.com/new-york/bronx/bronx-man-shot-police-responding-domestic-dispute-article-1.2253127" TargetMode="External"/><Relationship Id="rId1071" Type="http://schemas.openxmlformats.org/officeDocument/2006/relationships/hyperlink" Target="http://www.killedbypolice.net/victims/150504.jpg" TargetMode="External"/><Relationship Id="rId2500" Type="http://schemas.openxmlformats.org/officeDocument/2006/relationships/hyperlink" Target="http://www.wbko.com/content/news/Bowling-Green-man-dead-after-officer-involved-shooting-in-Butler-County-400165321.html" TargetMode="External"/><Relationship Id="rId2501" Type="http://schemas.openxmlformats.org/officeDocument/2006/relationships/hyperlink" Target="http://www.ledger-enquirer.com/news/local/article112901458.html" TargetMode="External"/><Relationship Id="rId2502" Type="http://schemas.openxmlformats.org/officeDocument/2006/relationships/hyperlink" Target="http://ktla.com/2016/11/07/man-shot-killed-during-altercation-with-officers-in-santa-ana/" TargetMode="External"/><Relationship Id="rId2503" Type="http://schemas.openxmlformats.org/officeDocument/2006/relationships/hyperlink" Target="http://www.fatalencounters.org/wp-content/uploads/2013/10/Darryl-Chisholm.jpg" TargetMode="External"/><Relationship Id="rId2504" Type="http://schemas.openxmlformats.org/officeDocument/2006/relationships/hyperlink" Target="http://www.philly.com/philly/news/20161108_Phila__police_fatally_shoot_armed_suspect_in_confrontation.html" TargetMode="External"/><Relationship Id="rId2505" Type="http://schemas.openxmlformats.org/officeDocument/2006/relationships/hyperlink" Target="http://www.newsnet5.com/news/local-news/oh-ashtabula/officer-involved-shooting-in-ashtabula" TargetMode="External"/><Relationship Id="rId2506" Type="http://schemas.openxmlformats.org/officeDocument/2006/relationships/hyperlink" Target="http://www.fatalencounters.org/wp-content/uploads/2013/10/CarlosMendez.jpg" TargetMode="External"/><Relationship Id="rId2507" Type="http://schemas.openxmlformats.org/officeDocument/2006/relationships/hyperlink" Target="http://abc7.com/news/2-dead-including-gunman-2-others-injured-in-azusa-shooting-authorities-say/1596785/" TargetMode="External"/><Relationship Id="rId2508" Type="http://schemas.openxmlformats.org/officeDocument/2006/relationships/hyperlink" Target="http://www.thedenverchannel.com/news/front-range/denver/denver-police-investigating-officer-involved-shooting-on-east-46th-avenue-in-denver" TargetMode="External"/><Relationship Id="rId2509" Type="http://schemas.openxmlformats.org/officeDocument/2006/relationships/hyperlink" Target="http://wspa.com/2016/11/08/nude-irrational-driver-dies-after-tasing-deputies-say/" TargetMode="External"/><Relationship Id="rId1072" Type="http://schemas.openxmlformats.org/officeDocument/2006/relationships/hyperlink" Target="http://media2.wcpo.com/photo/2015/06/10/16x9/Cincinnati_fatal_officer_involved_shooti_3047750000_19584286_ver1.0_640_480.jpg" TargetMode="External"/><Relationship Id="rId1073" Type="http://schemas.openxmlformats.org/officeDocument/2006/relationships/hyperlink" Target="http://www.cincinnati.com/story/news/crime/2015/06/09/officer-involved-shooting-northside/28778129/" TargetMode="External"/><Relationship Id="rId1074" Type="http://schemas.openxmlformats.org/officeDocument/2006/relationships/hyperlink" Target="http://www.dallasnews.com/news/metro/20150609-man-who-died-after-police-used-stun-gun-identified.ece" TargetMode="External"/><Relationship Id="rId1075" Type="http://schemas.openxmlformats.org/officeDocument/2006/relationships/hyperlink" Target="http://www.killedbypolice.net/victims/150490.jpg" TargetMode="External"/><Relationship Id="rId1076" Type="http://schemas.openxmlformats.org/officeDocument/2006/relationships/hyperlink" Target="http://www.sfgate.com/crime/article/Oakland-police-shoot-suspect-near-Lake-Merritt-6311221.php" TargetMode="External"/><Relationship Id="rId1077" Type="http://schemas.openxmlformats.org/officeDocument/2006/relationships/hyperlink" Target="http://www.nbcphiladelphia.com/news/breaking/Rising-Sun-Pizza-Robbery-Shooting-306241121.html" TargetMode="External"/><Relationship Id="rId1078" Type="http://schemas.openxmlformats.org/officeDocument/2006/relationships/hyperlink" Target="http://www.killedbypolice.net/victims/150483.jpg" TargetMode="External"/><Relationship Id="rId1079" Type="http://schemas.openxmlformats.org/officeDocument/2006/relationships/hyperlink" Target="http://philadelphia.cbslocal.com/2015/06/04/police-cruiser-hits-kills-man-fleeing-officers-in-chester/" TargetMode="External"/><Relationship Id="rId49" Type="http://schemas.openxmlformats.org/officeDocument/2006/relationships/hyperlink" Target="http://www.myfoxal.com/story/29566625/man-in-opp-officer-involved-shooting-dies" TargetMode="External"/><Relationship Id="rId1800" Type="http://schemas.openxmlformats.org/officeDocument/2006/relationships/hyperlink" Target="http://www.newson6.com/story/31952548/law-enforcement-in-byng-search-for-armed-suspect" TargetMode="External"/><Relationship Id="rId1801" Type="http://schemas.openxmlformats.org/officeDocument/2006/relationships/hyperlink" Target="http://www.wisn.com/news/shots-fired-inside-local-hampton-inn-hotel/39504946" TargetMode="External"/><Relationship Id="rId1802" Type="http://schemas.openxmlformats.org/officeDocument/2006/relationships/hyperlink" Target="http://www.fatalencounters.org/wp-content/uploads/2013/10/David-Dementarius-Canty.jpg" TargetMode="External"/><Relationship Id="rId1803" Type="http://schemas.openxmlformats.org/officeDocument/2006/relationships/hyperlink" Target="http://www.al.com/news/birmingham/index.ssf/2016/05/pedestrian_dead_after_struck_b.html" TargetMode="External"/><Relationship Id="rId1804" Type="http://schemas.openxmlformats.org/officeDocument/2006/relationships/hyperlink" Target="http://www.nbclosangeles.com/news/local/Officer-Hospitalized-in-Boyle-Heights-Shooting-379483661.html" TargetMode="External"/><Relationship Id="rId1805" Type="http://schemas.openxmlformats.org/officeDocument/2006/relationships/hyperlink" Target="http://www.fatalencounters.org/wp-content/uploads/2013/10/Mylynda-Martinez.jpg" TargetMode="External"/><Relationship Id="rId1806" Type="http://schemas.openxmlformats.org/officeDocument/2006/relationships/hyperlink" Target="http://www.wesh.com/news/fatal-crash-under-investigation-in-lake-county-fhp-says/39523620" TargetMode="External"/><Relationship Id="rId1807" Type="http://schemas.openxmlformats.org/officeDocument/2006/relationships/hyperlink" Target="http://wac.450f.edgecastcdn.net/80450F/nj1015.com/files/2016/05/Gaffney1.jpg" TargetMode="External"/><Relationship Id="rId1808" Type="http://schemas.openxmlformats.org/officeDocument/2006/relationships/hyperlink" Target="http://nj1015.com/mom-off-duty-newark-cop-was-drunk-when-he-shot-and-killed-my-son/" TargetMode="External"/><Relationship Id="rId1809" Type="http://schemas.openxmlformats.org/officeDocument/2006/relationships/hyperlink" Target="http://www.fatalencounters.org/wp-content/uploads/2013/10/francis-clark.jpg" TargetMode="External"/><Relationship Id="rId680" Type="http://schemas.openxmlformats.org/officeDocument/2006/relationships/hyperlink" Target="http://www.killedbypolice.net/victims/151067.jpg" TargetMode="External"/><Relationship Id="rId681" Type="http://schemas.openxmlformats.org/officeDocument/2006/relationships/hyperlink" Target="http://www.killedbypolice.net/victims/151066.jpg" TargetMode="External"/><Relationship Id="rId682" Type="http://schemas.openxmlformats.org/officeDocument/2006/relationships/hyperlink" Target="http://www.killedbypolice.net/victims/151064.jpg" TargetMode="External"/><Relationship Id="rId683" Type="http://schemas.openxmlformats.org/officeDocument/2006/relationships/hyperlink" Target="http://www.killedbypolice.net/victims/151063.jpg" TargetMode="External"/><Relationship Id="rId684" Type="http://schemas.openxmlformats.org/officeDocument/2006/relationships/hyperlink" Target="http://www.killedbypolice.net/victims/151062.jpg" TargetMode="External"/><Relationship Id="rId685" Type="http://schemas.openxmlformats.org/officeDocument/2006/relationships/hyperlink" Target="http://www.killedbypolice.net/victims/151061.jpg" TargetMode="External"/><Relationship Id="rId686" Type="http://schemas.openxmlformats.org/officeDocument/2006/relationships/hyperlink" Target="http://www.killedbypolice.net/victims/151058.jpg" TargetMode="External"/><Relationship Id="rId687" Type="http://schemas.openxmlformats.org/officeDocument/2006/relationships/hyperlink" Target="http://www.killedbypolice.net/victims/151049.jpg" TargetMode="External"/><Relationship Id="rId688" Type="http://schemas.openxmlformats.org/officeDocument/2006/relationships/hyperlink" Target="http://www.killedbypolice.net/victims/151040.jpg" TargetMode="External"/><Relationship Id="rId689" Type="http://schemas.openxmlformats.org/officeDocument/2006/relationships/hyperlink" Target="http://www.killedbypolice.net/victims/151038.jpg" TargetMode="External"/><Relationship Id="rId3210" Type="http://schemas.openxmlformats.org/officeDocument/2006/relationships/hyperlink" Target="http://www.fatalencounters.org/wp-content/uploads/2013/10/michaeldial3.jpg" TargetMode="External"/><Relationship Id="rId3211" Type="http://schemas.openxmlformats.org/officeDocument/2006/relationships/hyperlink" Target="http://wkrn.com/2017/04/17/wife-says-husband-killed-in-officer-involved-shooting-was-shot-in-head/" TargetMode="External"/><Relationship Id="rId3212" Type="http://schemas.openxmlformats.org/officeDocument/2006/relationships/hyperlink" Target="http://www.kfyrtv.com/content/news/Mandan-Police-officer-involved-in-shooting-Friday-419512933.html" TargetMode="External"/><Relationship Id="rId3213" Type="http://schemas.openxmlformats.org/officeDocument/2006/relationships/hyperlink" Target="http://www.northjersey.com/story/news/passaic/paterson/2017/04/14/man-killed-shooting-paterson-cop-sources-say/100475558/" TargetMode="External"/><Relationship Id="rId3214" Type="http://schemas.openxmlformats.org/officeDocument/2006/relationships/hyperlink" Target="http://www.theolympian.com/news/local/crime/article144583509.html" TargetMode="External"/><Relationship Id="rId3215" Type="http://schemas.openxmlformats.org/officeDocument/2006/relationships/hyperlink" Target="http://www.fatalencounters.org/wp-content/uploads/2013/10/Isaiah-Murrietta.png" TargetMode="External"/><Relationship Id="rId3216" Type="http://schemas.openxmlformats.org/officeDocument/2006/relationships/hyperlink" Target="http://www.yourcentralvalley.com/news/breaking-16-year-old-involved-in-officer-involved-shooting-dies/696949563" TargetMode="External"/><Relationship Id="rId3217" Type="http://schemas.openxmlformats.org/officeDocument/2006/relationships/hyperlink" Target="http://www.chron.com/news/houston-texas/houston/article/Houstan-man-dies-after-police-Taser-11087687.php" TargetMode="External"/><Relationship Id="rId3218" Type="http://schemas.openxmlformats.org/officeDocument/2006/relationships/hyperlink" Target="http://www.latimes.com/local/lanow/la-me-ln-newport-beach-suspect-shot-20170416-story.html" TargetMode="External"/><Relationship Id="rId3219" Type="http://schemas.openxmlformats.org/officeDocument/2006/relationships/hyperlink" Target="http://wreg.com/2017/04/15/ar-state-police-investigating-officer-involved-shooting/" TargetMode="External"/><Relationship Id="rId50" Type="http://schemas.openxmlformats.org/officeDocument/2006/relationships/hyperlink" Target="http://homicide.latimes.com/post/jason-charles-davis/" TargetMode="External"/><Relationship Id="rId51" Type="http://schemas.openxmlformats.org/officeDocument/2006/relationships/hyperlink" Target="http://media.mlive.com/grpress/news_impact/photo/eugene-kailingjpg-1325419215b33c26.jpg" TargetMode="External"/><Relationship Id="rId52" Type="http://schemas.openxmlformats.org/officeDocument/2006/relationships/hyperlink" Target="http://wkbn.com/2015/07/14/man-dies-in-shootout-with-police-in-southington/" TargetMode="External"/><Relationship Id="rId53" Type="http://schemas.openxmlformats.org/officeDocument/2006/relationships/hyperlink" Target="http://www.rawstory.com/2015/07/denver-police-shoot-and-kill-a-mentally-ill-native-american-man-holding-a-knife-to-his-own-throat/" TargetMode="External"/><Relationship Id="rId54" Type="http://schemas.openxmlformats.org/officeDocument/2006/relationships/hyperlink" Target="http://www.oakpark.com/News/Articles/7-13-2015/Three-injured,-two-killed-in-River-Forest/" TargetMode="External"/><Relationship Id="rId55" Type="http://schemas.openxmlformats.org/officeDocument/2006/relationships/hyperlink" Target="http://media.cmgdigital.com/shared/lt/lt_cache/thumbnail/600/img/photos/2015/07/13/35/c5/DavidLepine_1.jpg" TargetMode="External"/><Relationship Id="rId56" Type="http://schemas.openxmlformats.org/officeDocument/2006/relationships/hyperlink" Target="http://www.statesman.com/news/news/crime-law/man-killed-by-austin-police-officer-sunday-had-a-v/nmyKL/" TargetMode="External"/><Relationship Id="rId57" Type="http://schemas.openxmlformats.org/officeDocument/2006/relationships/hyperlink" Target="http://wac.450f.edgecastcdn.net/80450F/k2radio.com/files/2015/07/chris-benton.jpg" TargetMode="External"/><Relationship Id="rId58" Type="http://schemas.openxmlformats.org/officeDocument/2006/relationships/hyperlink" Target="http://www.wyomingnews.com/articles/2015/07/16/breaking_news/01breaking_7-16-15.txt" TargetMode="External"/><Relationship Id="rId140" Type="http://schemas.openxmlformats.org/officeDocument/2006/relationships/hyperlink" Target="http://www.wowktv.com/story/29310449/inmate-death-reported-at-mount-olive-prison-in-fayette-county" TargetMode="External"/><Relationship Id="rId141" Type="http://schemas.openxmlformats.org/officeDocument/2006/relationships/hyperlink" Target="http://victimsofpolice.com/2015/images/Mark-Flores-Jr.jpg" TargetMode="External"/><Relationship Id="rId142" Type="http://schemas.openxmlformats.org/officeDocument/2006/relationships/hyperlink" Target="http://www.ksat.com/news/father-says-mental-issues-triggered-gun-fight-with-son" TargetMode="External"/><Relationship Id="rId143" Type="http://schemas.openxmlformats.org/officeDocument/2006/relationships/hyperlink" Target="http://www.northjersey.com/polopoly_fs/1.1355145.1434164980!/fileImage/httpImage/image.jpg_gen/derivatives/landscape_300/hackensackshooting.jpg" TargetMode="External"/><Relationship Id="rId144" Type="http://schemas.openxmlformats.org/officeDocument/2006/relationships/hyperlink" Target="http://www.northjersey.com/news/hackensack-man-killed-in-police-involved-shooting-had-knife-officials-say-1.1354435" TargetMode="External"/><Relationship Id="rId145" Type="http://schemas.openxmlformats.org/officeDocument/2006/relationships/hyperlink" Target="http://www.wsmv.com/story/29298752/officer-involved-fatal-shooting-reported-in-columbia" TargetMode="External"/><Relationship Id="rId146" Type="http://schemas.openxmlformats.org/officeDocument/2006/relationships/hyperlink" Target="http://www.yourhoustonnews.com/courier/news/one-dead-after-officer-involved-shooting/article_1cfb859f-d481-5895-abe3-9f10b2b50423.html" TargetMode="External"/><Relationship Id="rId147" Type="http://schemas.openxmlformats.org/officeDocument/2006/relationships/hyperlink" Target="http://www.killedbypolice.net/victims/150505.jpg" TargetMode="External"/><Relationship Id="rId148" Type="http://schemas.openxmlformats.org/officeDocument/2006/relationships/hyperlink" Target="http://www.desmoinesregister.com/story/news/crime-and-courts/2015/06/10/fatal-shooting-officer-involved-merle-hay-urbandale/28779873/" TargetMode="External"/><Relationship Id="rId149" Type="http://schemas.openxmlformats.org/officeDocument/2006/relationships/hyperlink" Target="http://www.killedbypolice.net/victims/150501.jpg" TargetMode="External"/><Relationship Id="rId1080" Type="http://schemas.openxmlformats.org/officeDocument/2006/relationships/hyperlink" Target="http://www.killedbypolice.net/victims/150478.jpg" TargetMode="External"/><Relationship Id="rId1081" Type="http://schemas.openxmlformats.org/officeDocument/2006/relationships/hyperlink" Target="http://www.whdh.com/story/29215946/one-dead-after-officer-involved-shooting-in-roslindale" TargetMode="External"/><Relationship Id="rId2510" Type="http://schemas.openxmlformats.org/officeDocument/2006/relationships/hyperlink" Target="http://www.fatalencounters.org/wp-content/uploads/2013/10/Kenton-J.-Kobza.jpg" TargetMode="External"/><Relationship Id="rId2511" Type="http://schemas.openxmlformats.org/officeDocument/2006/relationships/hyperlink" Target="https://www.hayspost.com/2016/11/08/ellis-co-attorney-driver-dies-at-the-scene-of-deputy-involved-shooting-north-of-hays/" TargetMode="External"/><Relationship Id="rId2512" Type="http://schemas.openxmlformats.org/officeDocument/2006/relationships/hyperlink" Target="http://www.fatalencounters.org/wp-content/uploads/2013/10/DanielErickson.jpg" TargetMode="External"/><Relationship Id="rId2513" Type="http://schemas.openxmlformats.org/officeDocument/2006/relationships/hyperlink" Target="http://www.azcentral.com/story/news/local/arizona-breaking/2016/11/08/show-low-police-seek-man-linked-officers-shooting/93495824/" TargetMode="External"/><Relationship Id="rId2514" Type="http://schemas.openxmlformats.org/officeDocument/2006/relationships/hyperlink" Target="http://www.theledger.com/news/20161110/sheriff-grady-judd-lakeland-man-shoots-his-mother-shot-dead-by-deputies" TargetMode="External"/><Relationship Id="rId2515" Type="http://schemas.openxmlformats.org/officeDocument/2006/relationships/hyperlink" Target="http://www.fatalencounters.org/wp-content/uploads/2013/10/George-Delacruz-Jr..jpg" TargetMode="External"/><Relationship Id="rId2516" Type="http://schemas.openxmlformats.org/officeDocument/2006/relationships/hyperlink" Target="http://www.conchovalleyhomepage.com/news/local-news/report-shooting-vicitm-near-schlotzskys" TargetMode="External"/><Relationship Id="rId2517" Type="http://schemas.openxmlformats.org/officeDocument/2006/relationships/hyperlink" Target="http://www.fatalencounters.org/wp-content/uploads/2013/10/Marco-Romero.jpg" TargetMode="External"/><Relationship Id="rId2518" Type="http://schemas.openxmlformats.org/officeDocument/2006/relationships/hyperlink" Target="http://www.idahostatesman.com/news/local/crime/article114217323.html" TargetMode="External"/><Relationship Id="rId2519" Type="http://schemas.openxmlformats.org/officeDocument/2006/relationships/hyperlink" Target="http://www.cbs46.com/story/33685267/man-shot-killed-during-scuffle-with-police-officers" TargetMode="External"/><Relationship Id="rId1082" Type="http://schemas.openxmlformats.org/officeDocument/2006/relationships/hyperlink" Target="http://www.democratandchronicle.com/story/news/2015/05/31/police-holding-press-briefing-tremont-st-incident/28263079/" TargetMode="External"/><Relationship Id="rId1083" Type="http://schemas.openxmlformats.org/officeDocument/2006/relationships/hyperlink" Target="http://newyork.cbslocal.com/2015/05/29/lyndhurst-library-police-shooting/" TargetMode="External"/><Relationship Id="rId1084" Type="http://schemas.openxmlformats.org/officeDocument/2006/relationships/hyperlink" Target="http://www.11alive.com/story/news/local/carrollton/2015/05/28/carrolton-officer-involved-shooting/28130059/" TargetMode="External"/><Relationship Id="rId1085" Type="http://schemas.openxmlformats.org/officeDocument/2006/relationships/hyperlink" Target="http://pix11.com/2015/05/26/police-shoot-man-in-brooklyn-school-parking-lot/" TargetMode="External"/><Relationship Id="rId1086" Type="http://schemas.openxmlformats.org/officeDocument/2006/relationships/hyperlink" Target="http://www.waaytv.com/appnews/huntsville-police-investigate-fatal-officer-involved-shooting/article_ed55e3aa-035d-11e5-86b1-a7abaa619c23.html" TargetMode="External"/><Relationship Id="rId1087" Type="http://schemas.openxmlformats.org/officeDocument/2006/relationships/hyperlink" Target="http://www.freep.com/story/news/local/michigan/detroit/2015/05/23/barricaded-standoff-detroit/27839681/" TargetMode="External"/><Relationship Id="rId1088" Type="http://schemas.openxmlformats.org/officeDocument/2006/relationships/hyperlink" Target="http://www.local10.com/news/markus-clark-dies-at-florida-medical-center-after-arrest/33152392" TargetMode="External"/><Relationship Id="rId1089" Type="http://schemas.openxmlformats.org/officeDocument/2006/relationships/hyperlink" Target="http://www.wsvn.com/story/29128211/man-dead-after-barricading-himself-inside-fort-lauderdale-home"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810" Type="http://schemas.openxmlformats.org/officeDocument/2006/relationships/hyperlink" Target="http://www.abc15.com/news/region-phoenix-metro/central-phoenix/police-officer-hurt-suspect-down-in-shooting-involving-phoenix-pd" TargetMode="External"/><Relationship Id="rId1811" Type="http://schemas.openxmlformats.org/officeDocument/2006/relationships/hyperlink" Target="http://www.news-journalonline.com/article/20160515/NEWS/160519656/101040?Title=UPDATE-Deputy-fatally-shoots-armed-Altamonte-Springs-man-in-West-Volusia" TargetMode="External"/><Relationship Id="rId1812" Type="http://schemas.openxmlformats.org/officeDocument/2006/relationships/hyperlink" Target="http://www.fatalencounters.org/wp-content/uploads/2013/10/CodyMarch.jpg" TargetMode="External"/><Relationship Id="rId1813" Type="http://schemas.openxmlformats.org/officeDocument/2006/relationships/hyperlink" Target="http://jacksonville.com/news/crime/2016-05-16/story/knife-wielding-19-year-old-orange-park-man-shot-after-charging" TargetMode="External"/><Relationship Id="rId1814" Type="http://schemas.openxmlformats.org/officeDocument/2006/relationships/hyperlink" Target="http://www.fatalencounters.org/wp-content/uploads/2013/10/RyanJohnson.png" TargetMode="External"/><Relationship Id="rId1815" Type="http://schemas.openxmlformats.org/officeDocument/2006/relationships/hyperlink" Target="http://www.11alive.com/news/local/deadly-stockbridge-swat-standoff/192456976" TargetMode="External"/><Relationship Id="rId1816" Type="http://schemas.openxmlformats.org/officeDocument/2006/relationships/hyperlink" Target="http://bloximages.chicago2.vip.townnews.com/herald-review.com/content/tncms/assets/v3/editorial/5/17/5171ce25-e7d8-56c7-aebd-96f47e420544/572fec5534175.image.jpg?resize=200%2C267" TargetMode="External"/><Relationship Id="rId1817" Type="http://schemas.openxmlformats.org/officeDocument/2006/relationships/hyperlink" Target="http://thesouthern.com/news/police-shooting-suspect-killed-in-gunfight-with-authorities/article_633ae6fd-f8cc-5af0-955e-544f72791bd1.html" TargetMode="External"/><Relationship Id="rId1818" Type="http://schemas.openxmlformats.org/officeDocument/2006/relationships/hyperlink" Target="http://www.fatalencounters.org/wp-content/uploads/2013/10/Macomber.png" TargetMode="External"/><Relationship Id="rId1819" Type="http://schemas.openxmlformats.org/officeDocument/2006/relationships/hyperlink" Target="http://www.heraldnews.com/article/20160517/NEWS/305179984" TargetMode="External"/><Relationship Id="rId690" Type="http://schemas.openxmlformats.org/officeDocument/2006/relationships/hyperlink" Target="http://www.killedbypolice.net/victims/151035.jpg" TargetMode="External"/><Relationship Id="rId691" Type="http://schemas.openxmlformats.org/officeDocument/2006/relationships/hyperlink" Target="http://www.killedbypolice.net/victims/151032.jpg" TargetMode="External"/><Relationship Id="rId692" Type="http://schemas.openxmlformats.org/officeDocument/2006/relationships/hyperlink" Target="http://www.killedbypolice.net/victims/151031.jpg" TargetMode="External"/><Relationship Id="rId693" Type="http://schemas.openxmlformats.org/officeDocument/2006/relationships/hyperlink" Target="http://www.killedbypolice.net/victims/151030.jpg" TargetMode="External"/><Relationship Id="rId694" Type="http://schemas.openxmlformats.org/officeDocument/2006/relationships/hyperlink" Target="http://www.killedbypolice.net/victims/151027.jpg" TargetMode="External"/><Relationship Id="rId695" Type="http://schemas.openxmlformats.org/officeDocument/2006/relationships/hyperlink" Target="http://www.killedbypolice.net/victims/151026.jpg" TargetMode="External"/><Relationship Id="rId696" Type="http://schemas.openxmlformats.org/officeDocument/2006/relationships/hyperlink" Target="http://www.killedbypolice.net/victims/151025.jpg" TargetMode="External"/><Relationship Id="rId697" Type="http://schemas.openxmlformats.org/officeDocument/2006/relationships/hyperlink" Target="http://www.killedbypolice.net/victims/151024.jpg" TargetMode="External"/><Relationship Id="rId698" Type="http://schemas.openxmlformats.org/officeDocument/2006/relationships/hyperlink" Target="http://www.killedbypolice.net/victims/151023.jpg" TargetMode="External"/><Relationship Id="rId699" Type="http://schemas.openxmlformats.org/officeDocument/2006/relationships/hyperlink" Target="http://www.killedbypolice.net/victims/151020.jpg" TargetMode="External"/><Relationship Id="rId3220" Type="http://schemas.openxmlformats.org/officeDocument/2006/relationships/hyperlink" Target="http://www.kare11.com/news/local/fatal-officer-involved-shooting-in-vadnais-heights/431789288" TargetMode="External"/><Relationship Id="rId3221" Type="http://schemas.openxmlformats.org/officeDocument/2006/relationships/hyperlink" Target="http://www.fatalencounters.org/wp-content/uploads/2013/10/Casey-Edward-Desper.jpg" TargetMode="External"/><Relationship Id="rId3222" Type="http://schemas.openxmlformats.org/officeDocument/2006/relationships/hyperlink" Target="http://www.whsv.com/content/news/One-dead-in-officer-involved-shooting-after-chase-419764503.html" TargetMode="External"/><Relationship Id="rId3223" Type="http://schemas.openxmlformats.org/officeDocument/2006/relationships/hyperlink" Target="http://www.fatalencounters.org/wp-content/uploads/2013/10/Keith-Price.png" TargetMode="External"/><Relationship Id="rId3224" Type="http://schemas.openxmlformats.org/officeDocument/2006/relationships/hyperlink" Target="http://6abc.com/news/suspect-killed-by-police-after-confrontation-in-wilmington/1892435/" TargetMode="External"/><Relationship Id="rId3225" Type="http://schemas.openxmlformats.org/officeDocument/2006/relationships/hyperlink" Target="http://www.fatalencounters.org/wp-content/uploads/2013/10/Joel-Anthony.png" TargetMode="External"/><Relationship Id="rId3226" Type="http://schemas.openxmlformats.org/officeDocument/2006/relationships/hyperlink" Target="http://krqe.com/2017/04/20/new-details-revealed-after-crash-involving-albuquerque-police-officer/" TargetMode="External"/><Relationship Id="rId3227" Type="http://schemas.openxmlformats.org/officeDocument/2006/relationships/hyperlink" Target="http://www.fatalencounters.org/wp-content/uploads/2013/10/Robert-Lee-Clark-Jr.jpeg" TargetMode="External"/><Relationship Id="rId3228" Type="http://schemas.openxmlformats.org/officeDocument/2006/relationships/hyperlink" Target="http://www.postandcourier.com/news/berkeley-county-deputy-placed-on-leave-after-video-shows-cruiser/article_09f5aa00-25bb-11e7-824f-5f21562bf846.html" TargetMode="External"/><Relationship Id="rId3229" Type="http://schemas.openxmlformats.org/officeDocument/2006/relationships/hyperlink" Target="http://www.fatalencounters.org/wp-content/uploads/2013/10/brandonpequeno.png" TargetMode="External"/><Relationship Id="rId60" Type="http://schemas.openxmlformats.org/officeDocument/2006/relationships/hyperlink" Target="http://lasvegassun.com/news/2015/jul/15/police-body-cam-video-shows-traffic-stop-turn-dead/" TargetMode="External"/><Relationship Id="rId61" Type="http://schemas.openxmlformats.org/officeDocument/2006/relationships/hyperlink" Target="http://www.scpr.org/news/2015/07/10/53025/mid-wilshire-police-shooting-suspect-in-skateboard/" TargetMode="External"/><Relationship Id="rId62" Type="http://schemas.openxmlformats.org/officeDocument/2006/relationships/hyperlink" Target="http://www.azcentral.com/story/news/local/phoenix/2015/07/10/phoenix-police-shooting-suspect-cactus-abrk/29978125/" TargetMode="External"/><Relationship Id="rId63" Type="http://schemas.openxmlformats.org/officeDocument/2006/relationships/hyperlink" Target="http://www.santacruzsentinel.com/20150714/memorial-fund-started-for-boulder-creek-teen-killed-by-deputies" TargetMode="External"/><Relationship Id="rId64" Type="http://schemas.openxmlformats.org/officeDocument/2006/relationships/hyperlink" Target="http://matchbin-assets.s3.amazonaws.com/public/sites/990/assets/26J5_1625924_profile_pic.jpg" TargetMode="External"/><Relationship Id="rId65" Type="http://schemas.openxmlformats.org/officeDocument/2006/relationships/hyperlink" Target="http://www.cachevalleydaily.com/news/local/article_95847b98-36af-11e5-a21d-5381b6067a1e.html" TargetMode="External"/><Relationship Id="rId66" Type="http://schemas.openxmlformats.org/officeDocument/2006/relationships/hyperlink" Target="http://media.oregonlive.com/beaverton_news/photo/westrichjpg-51507199625e81e6.jpg" TargetMode="External"/><Relationship Id="rId67" Type="http://schemas.openxmlformats.org/officeDocument/2006/relationships/hyperlink" Target="http://www.kgw.com/story/news/local/washington-county/2015/07/08/beaverton-officer-shot-trailer-hidden-estate/29857719/" TargetMode="External"/><Relationship Id="rId68" Type="http://schemas.openxmlformats.org/officeDocument/2006/relationships/hyperlink" Target="http://www.bakersfield.com/news/2015/07/09/bakersfield-police-man-fatally-shot-tuesday-pointed-gun-at-officers.html" TargetMode="External"/><Relationship Id="rId150" Type="http://schemas.openxmlformats.org/officeDocument/2006/relationships/hyperlink" Target="https://www.toledoblade.com/Police-Fire/2015/06/09/Findlay-officer-involved-in-shooting.html" TargetMode="External"/><Relationship Id="rId151" Type="http://schemas.openxmlformats.org/officeDocument/2006/relationships/hyperlink" Target="http://www.killedbypolice.net/victims/150496.jpg" TargetMode="External"/><Relationship Id="rId152" Type="http://schemas.openxmlformats.org/officeDocument/2006/relationships/hyperlink" Target="http://www.wftv.com/news/news/local/police-person-interest-killed-melbourne-officer-in/nmX7b/" TargetMode="External"/><Relationship Id="rId153" Type="http://schemas.openxmlformats.org/officeDocument/2006/relationships/hyperlink" Target="http://www.killedbypolice.net/victims/150498.jpg" TargetMode="External"/><Relationship Id="rId154" Type="http://schemas.openxmlformats.org/officeDocument/2006/relationships/hyperlink" Target="http://www.ocregister.com/articles/shooting-665164-personnel-dispatchers.html" TargetMode="External"/><Relationship Id="rId155" Type="http://schemas.openxmlformats.org/officeDocument/2006/relationships/hyperlink" Target="http://www.indystar.com/story/news/crime/2015/06/08/police-shooting-suspect-dead-beech-grove/28700455/" TargetMode="External"/><Relationship Id="rId156" Type="http://schemas.openxmlformats.org/officeDocument/2006/relationships/hyperlink" Target="http://www.azfamily.com/story/29270558/deputy-involved-shooting-in-sun-city" TargetMode="External"/><Relationship Id="rId157" Type="http://schemas.openxmlformats.org/officeDocument/2006/relationships/hyperlink" Target="http://www.killedbypolice.net/victims/150499.jpg" TargetMode="External"/><Relationship Id="rId158" Type="http://schemas.openxmlformats.org/officeDocument/2006/relationships/hyperlink" Target="http://www.nydailynews.com/new-york/bronx/bronx-man-shocked-taser-cops-dies-sources-article-1.2250703" TargetMode="External"/><Relationship Id="rId159" Type="http://schemas.openxmlformats.org/officeDocument/2006/relationships/hyperlink" Target="http://www.wfla.com/story/29258795/suspect-dead-after-deputy-involved-shooting-in-sarasota" TargetMode="External"/><Relationship Id="rId1090" Type="http://schemas.openxmlformats.org/officeDocument/2006/relationships/hyperlink" Target="http://www.wave3.com/story/29120867/shooting-investigation-in-owensboro" TargetMode="External"/><Relationship Id="rId1091" Type="http://schemas.openxmlformats.org/officeDocument/2006/relationships/hyperlink" Target="http://www.abcnews4.com/story/29122044/police-close-off-downtown-charleston-streets-believe-lt-rogers-shooting-suspect-inside" TargetMode="External"/><Relationship Id="rId2520" Type="http://schemas.openxmlformats.org/officeDocument/2006/relationships/hyperlink" Target="http://ak-cache.legacy.net/legacy/images/cobrands/coloradoan/photos/fcc015197-1_20161121.jpgx?w=130&amp;h=180&amp;option=1&amp;v=0x0000000038bd72c6" TargetMode="External"/><Relationship Id="rId2521" Type="http://schemas.openxmlformats.org/officeDocument/2006/relationships/hyperlink" Target="http://www.denverpost.com/2016/11/15/loveland-man-suspect-killed-deputy-shooting/" TargetMode="External"/><Relationship Id="rId2522" Type="http://schemas.openxmlformats.org/officeDocument/2006/relationships/hyperlink" Target="https://www.adn.com/alaska-news/anchorage/2016/11/12/anchorage-police-officer-shot-multiple-times-and-survives-suspect-killed/" TargetMode="External"/><Relationship Id="rId2523" Type="http://schemas.openxmlformats.org/officeDocument/2006/relationships/hyperlink" Target="http://www.fatalencounters.org/wp-content/uploads/2013/10/Richard-T.-Herrera-Jr..jpg" TargetMode="External"/><Relationship Id="rId2524" Type="http://schemas.openxmlformats.org/officeDocument/2006/relationships/hyperlink" Target="http://www.gvnews.com/news/sahuarita-police-shoot-kill-suspect-following-pursuit/article_9dfb946c-a9b0-11e6-b781-cfdd30d4f0d4.html" TargetMode="External"/><Relationship Id="rId2525" Type="http://schemas.openxmlformats.org/officeDocument/2006/relationships/hyperlink" Target="http://www.live5news.com/story/33698083/deputies-suspect-dead-after-altercation-with-charleston-co-deputies-hwy-78-remains-closed-in-both-directions" TargetMode="External"/><Relationship Id="rId2526" Type="http://schemas.openxmlformats.org/officeDocument/2006/relationships/hyperlink" Target="http://www.fatalencounters.org/wp-content/uploads/2013/10/Daniel-Laguna.jpg" TargetMode="External"/><Relationship Id="rId2527" Type="http://schemas.openxmlformats.org/officeDocument/2006/relationships/hyperlink" Target="http://kfor.com/2016/11/13/police-one-person-shot-in-sw-okc/" TargetMode="External"/><Relationship Id="rId2528" Type="http://schemas.openxmlformats.org/officeDocument/2006/relationships/hyperlink" Target="http://www.sandiegouniontribune.com/news/public-safety/sd-me-fatal-ois-20161113-story.html" TargetMode="External"/><Relationship Id="rId2529" Type="http://schemas.openxmlformats.org/officeDocument/2006/relationships/hyperlink" Target="http://www.fatalencounters.org/wp-content/uploads/2013/10/Norman-Elling.jpg" TargetMode="External"/><Relationship Id="rId1092" Type="http://schemas.openxmlformats.org/officeDocument/2006/relationships/hyperlink" Target="http://www.wowt.com/home/headlines/Police-Officer-Shot-304450711.html?ref=711" TargetMode="External"/><Relationship Id="rId1093" Type="http://schemas.openxmlformats.org/officeDocument/2006/relationships/hyperlink" Target="http://www.wgal.com/news/breaking-news-officer-shot-in-lancaster/33104470" TargetMode="External"/><Relationship Id="rId1094" Type="http://schemas.openxmlformats.org/officeDocument/2006/relationships/hyperlink" Target="http://www.chicagotribune.com/news/local/breaking/ct-officials-robbery-suspect-shot-dead-after-opening-fire-on-cops-20150517-story.html" TargetMode="External"/><Relationship Id="rId1095" Type="http://schemas.openxmlformats.org/officeDocument/2006/relationships/hyperlink" Target="http://www.spokesman.com/stories/2015/may/13/jail-inmate-dies-shortly-after-arrest/" TargetMode="External"/><Relationship Id="rId1096" Type="http://schemas.openxmlformats.org/officeDocument/2006/relationships/hyperlink" Target="http://wtop.com/montgomery-county/2015/05/death-of-man-after-police-tasing-investigated-in-montgomery-county/" TargetMode="External"/><Relationship Id="rId1097" Type="http://schemas.openxmlformats.org/officeDocument/2006/relationships/hyperlink" Target="http://www.nbcwashington.com/news/local/Prince-Georges-County-Sheriffs-Deputy-Involved-in-Fatal-Shooting-303283731.html" TargetMode="External"/><Relationship Id="rId1098" Type="http://schemas.openxmlformats.org/officeDocument/2006/relationships/hyperlink" Target="http://www.wfaa.com/story/news/crime/2015/05/11/fort-worth-police-report-officer-involved-shooting/27141917/" TargetMode="External"/><Relationship Id="rId1099" Type="http://schemas.openxmlformats.org/officeDocument/2006/relationships/hyperlink" Target="http://www.kare11.com/story/news/2015/05/09/694-shut-down-man-dies-in-officer-involved-shooting/27034515/"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20" Type="http://schemas.openxmlformats.org/officeDocument/2006/relationships/hyperlink" Target="http://www.fatalencounters.org/wp-content/uploads/2013/10/Jabril-Robinson.jpg" TargetMode="External"/><Relationship Id="rId1821" Type="http://schemas.openxmlformats.org/officeDocument/2006/relationships/hyperlink" Target="http://www.11alive.com/news/crime/family-of-man-in-clayton-co-officer-involved-shooting-speaks/199406634" TargetMode="External"/><Relationship Id="rId1822" Type="http://schemas.openxmlformats.org/officeDocument/2006/relationships/hyperlink" Target="http://www.krcrtv.com/news/local/siskiyou-co-sheriffs-office-identifies-man-killed-in-shooting/39655576" TargetMode="External"/><Relationship Id="rId1823" Type="http://schemas.openxmlformats.org/officeDocument/2006/relationships/hyperlink" Target="http://www.fatalencounters.org/wp-content/uploads/2013/10/Jeremy-Thompson.jpg" TargetMode="External"/><Relationship Id="rId1824" Type="http://schemas.openxmlformats.org/officeDocument/2006/relationships/hyperlink" Target="http://www.kktv.com/content/news/Man-dies-while-being-arrested-by-police-379872591.html" TargetMode="External"/><Relationship Id="rId1825" Type="http://schemas.openxmlformats.org/officeDocument/2006/relationships/hyperlink" Target="http://www.fatalencounters.org/wp-content/uploads/2013/10/Santos-Banos.jpg" TargetMode="External"/><Relationship Id="rId1826" Type="http://schemas.openxmlformats.org/officeDocument/2006/relationships/hyperlink" Target="http://www.azcentral.com/story/news/local/phoenix-breaking/2016/05/20/phoenix-police-id-gunman-who-killed-officer-19-year-old/84640648/" TargetMode="External"/><Relationship Id="rId1827" Type="http://schemas.openxmlformats.org/officeDocument/2006/relationships/hyperlink" Target="http://www.nydailynews.com/new-york/man-shot-dead-nypd-involved-shooting-hell-kitchen-article-1.2641080" TargetMode="External"/><Relationship Id="rId1828" Type="http://schemas.openxmlformats.org/officeDocument/2006/relationships/hyperlink" Target="http://www.fatalencounters.org/wp-content/uploads/2013/10/Weatherby.png" TargetMode="External"/><Relationship Id="rId1829" Type="http://schemas.openxmlformats.org/officeDocument/2006/relationships/hyperlink" Target="http://www.kmov.com/story/32010068/suspect-wounded-in-officer-involved-shooting-in-crawford-county-mo" TargetMode="External"/><Relationship Id="rId3230" Type="http://schemas.openxmlformats.org/officeDocument/2006/relationships/hyperlink" Target="http://yourwestvalley.com/news/crime/glendale-police-man-dies-wounds-sustained-officer-involved-shooting/" TargetMode="External"/><Relationship Id="rId3231" Type="http://schemas.openxmlformats.org/officeDocument/2006/relationships/hyperlink" Target="http://yourwestvalley.com/news/crime/glendale-police-man-dies-wounds-sustained-officer-involved-shooting/" TargetMode="External"/><Relationship Id="rId3232" Type="http://schemas.openxmlformats.org/officeDocument/2006/relationships/hyperlink" Target="http://www.wtoc.com/story/35204463/two-officers-involved-in-shooting-in-sanders-subdivision-in-hardeeville" TargetMode="External"/><Relationship Id="rId3233" Type="http://schemas.openxmlformats.org/officeDocument/2006/relationships/hyperlink" Target="http://kfor.com/2017/04/20/logan-county-officials-on-scene-of-reported-shooting-in-wooded-area/" TargetMode="External"/><Relationship Id="rId3234" Type="http://schemas.openxmlformats.org/officeDocument/2006/relationships/hyperlink" Target="http://news4sanantonio.com/news/local/report-of-shooting-on-west-side" TargetMode="External"/><Relationship Id="rId3235" Type="http://schemas.openxmlformats.org/officeDocument/2006/relationships/hyperlink" Target="http://www.seattletimes.com/seattle-news/crime/2-police-officers-shot-in-downtown-seattle/" TargetMode="External"/><Relationship Id="rId3236" Type="http://schemas.openxmlformats.org/officeDocument/2006/relationships/hyperlink" Target="http://www.cincinnati.com/story/news/2017/04/22/police-investigating-hamilton-shooting/100796584/" TargetMode="External"/><Relationship Id="rId3237" Type="http://schemas.openxmlformats.org/officeDocument/2006/relationships/hyperlink" Target="http://www.fatalencounters.org/wp-content/uploads/2013/10/William-D.-Spates.jpg" TargetMode="External"/><Relationship Id="rId3238" Type="http://schemas.openxmlformats.org/officeDocument/2006/relationships/hyperlink" Target="http://www.nwitimes.com/news/local/crime-and-courts/update-person-dead-after-portage-officer-involved-shooting/article_c4d5fdd7-26e0-5b37-9baa-93c3d41bac75.html" TargetMode="External"/><Relationship Id="rId3239" Type="http://schemas.openxmlformats.org/officeDocument/2006/relationships/hyperlink" Target="http://www.fatalencounters.org/wp-content/uploads/2013/10/Joseph-Sin.jpg" TargetMode="External"/><Relationship Id="rId70" Type="http://schemas.openxmlformats.org/officeDocument/2006/relationships/hyperlink" Target="http://www.wlky.com/news/man-dies-after-being-shot-by-elizabethtown-police/34052212" TargetMode="External"/><Relationship Id="rId71" Type="http://schemas.openxmlformats.org/officeDocument/2006/relationships/hyperlink" Target="http://www.kansascity.com/news/local/crime/iwklhy/picture26752486/ALTERNATES/FREE_640/Booth" TargetMode="External"/><Relationship Id="rId72" Type="http://schemas.openxmlformats.org/officeDocument/2006/relationships/hyperlink" Target="http://www.homefacts.com/images/offenders/texas/thumb/01958213.jpg" TargetMode="External"/><Relationship Id="rId73" Type="http://schemas.openxmlformats.org/officeDocument/2006/relationships/hyperlink" Target="http://crimeblog.dallasnews.com/2015/07/authorities-man-shot-by-dallas-police-was-racist-killer-rapist-family-he-was-kind-loving.html/" TargetMode="External"/><Relationship Id="rId74" Type="http://schemas.openxmlformats.org/officeDocument/2006/relationships/hyperlink" Target="http://www.mercedsunstar.com/news/local/crime/article26705443.html" TargetMode="External"/><Relationship Id="rId75" Type="http://schemas.openxmlformats.org/officeDocument/2006/relationships/hyperlink" Target="http://www.fox10phoenix.com/story/29484924/2015/07/06/suspect-hospitalized-after-officer-involved-shooting-in-mesa" TargetMode="External"/><Relationship Id="rId76" Type="http://schemas.openxmlformats.org/officeDocument/2006/relationships/hyperlink" Target="http://homicide.latimes.com/post/john-leonard-berry/" TargetMode="External"/><Relationship Id="rId77" Type="http://schemas.openxmlformats.org/officeDocument/2006/relationships/hyperlink" Target="https://localtvkfor.files.wordpress.com/2015/07/rogers-tyler.jpg" TargetMode="External"/><Relationship Id="rId78" Type="http://schemas.openxmlformats.org/officeDocument/2006/relationships/hyperlink" Target="https://localtvkstu.files.wordpress.com/2015/07/gormley.jpg" TargetMode="External"/><Relationship Id="rId160" Type="http://schemas.openxmlformats.org/officeDocument/2006/relationships/hyperlink" Target="http://www.komonews.com/news/local/Police-officer-in-Woodland-shoots-kills-58-year-old-man-306422811.html" TargetMode="External"/><Relationship Id="rId161" Type="http://schemas.openxmlformats.org/officeDocument/2006/relationships/hyperlink" Target="http://www.killedbypolice.net/victims/150489.jpg" TargetMode="External"/><Relationship Id="rId162" Type="http://schemas.openxmlformats.org/officeDocument/2006/relationships/hyperlink" Target="http://www.denverpost.com/news/ci_28264788/man-was-fatally-shot-following-high-speed-chase" TargetMode="External"/><Relationship Id="rId163" Type="http://schemas.openxmlformats.org/officeDocument/2006/relationships/hyperlink" Target="http://www.killedbypolice.net/victims/150491.jpg" TargetMode="External"/><Relationship Id="rId164" Type="http://schemas.openxmlformats.org/officeDocument/2006/relationships/hyperlink" Target="http://www.kionrightnow.com/news/local-news/officer-involvedshooting-in-watsonville-saturday-night-police-said/33444158" TargetMode="External"/><Relationship Id="rId165" Type="http://schemas.openxmlformats.org/officeDocument/2006/relationships/hyperlink" Target="http://www.mrt.com/news/crime/article_eccc8aa0-0ccd-11e5-92a5-e30a35ff1af1.html" TargetMode="External"/><Relationship Id="rId166" Type="http://schemas.openxmlformats.org/officeDocument/2006/relationships/hyperlink" Target="http://www.wboy.com/story/29256189/monongalia-county-deputies-shoot-suspect-after-vehicle-pursuit" TargetMode="External"/><Relationship Id="rId167" Type="http://schemas.openxmlformats.org/officeDocument/2006/relationships/hyperlink" Target="http://www.keyt.com/news/officer-involved-shooting-in-santa-maria-following-domestic-abuse-call/33434948" TargetMode="External"/><Relationship Id="rId168" Type="http://schemas.openxmlformats.org/officeDocument/2006/relationships/hyperlink" Target="http://www.turnto23.com/news/local-news/delano-pd-shoot-kill-man-after-he-fires-at-police" TargetMode="External"/><Relationship Id="rId169" Type="http://schemas.openxmlformats.org/officeDocument/2006/relationships/hyperlink" Target="http://www.killedbypolice.net/victims/150485.jpg" TargetMode="External"/><Relationship Id="rId79" Type="http://schemas.openxmlformats.org/officeDocument/2006/relationships/hyperlink" Target="http://www.loscerritosnews.net/2015/07/12/hundreds-protest-johnny-ray-andersons-shooting-death-in-hawaiian-gardens/" TargetMode="External"/><Relationship Id="rId2530" Type="http://schemas.openxmlformats.org/officeDocument/2006/relationships/hyperlink" Target="http://www.indystar.com/story/news/crime/2016/11/14/crash-involving-lawrence-police-car-closes-east-side-intersection/93806706/" TargetMode="External"/><Relationship Id="rId2531" Type="http://schemas.openxmlformats.org/officeDocument/2006/relationships/hyperlink" Target="http://abc7.com/news/suspect-killed-in-temecula-deputy-involved-shooting-/1608428/" TargetMode="External"/><Relationship Id="rId2532" Type="http://schemas.openxmlformats.org/officeDocument/2006/relationships/hyperlink" Target="http://www.click2houston.com/news/officers-shoot-man-to-death-in-motel-parking-lot-police-say" TargetMode="External"/><Relationship Id="rId2533" Type="http://schemas.openxmlformats.org/officeDocument/2006/relationships/hyperlink" Target="http://www.pennlive.com/news/2016/11/trooper_fatally_shot_driver_wh.html" TargetMode="External"/><Relationship Id="rId2534" Type="http://schemas.openxmlformats.org/officeDocument/2006/relationships/hyperlink" Target="http://www.redding.com/news/local/Shooting-reported-in-east-Redding-401541246.html" TargetMode="External"/><Relationship Id="rId2535" Type="http://schemas.openxmlformats.org/officeDocument/2006/relationships/hyperlink" Target="http://www.fatalencounters.org/wp-content/uploads/2013/10/Bruce-Lee-Edward-Johnson.jpg" TargetMode="External"/><Relationship Id="rId2536" Type="http://schemas.openxmlformats.org/officeDocument/2006/relationships/hyperlink" Target="http://www.stjoechannel.com/news/local-news/man-dies-after-being-tased-by-strike-force-investigators" TargetMode="External"/><Relationship Id="rId2537" Type="http://schemas.openxmlformats.org/officeDocument/2006/relationships/hyperlink" Target="http://abc7.com/news/man-armed-with-machete-fatally-shot-by-whittier-police/1610061/" TargetMode="External"/><Relationship Id="rId2538" Type="http://schemas.openxmlformats.org/officeDocument/2006/relationships/hyperlink" Target="http://www.fatalencounters.org/wp-content/uploads/2013/10/Gabriel-Parker.jpg" TargetMode="External"/><Relationship Id="rId2539" Type="http://schemas.openxmlformats.org/officeDocument/2006/relationships/hyperlink" Target="http://www.12news.com/news/local/arizona/casa-grande-man-with-machete-shot-killed-by-police/353965824" TargetMode="External"/><Relationship Id="rId1830" Type="http://schemas.openxmlformats.org/officeDocument/2006/relationships/hyperlink" Target="http://minnesota.cbslocal.com/2016/05/19/driver-killed-minneapolis-police-chase/" TargetMode="External"/><Relationship Id="rId1831" Type="http://schemas.openxmlformats.org/officeDocument/2006/relationships/hyperlink" Target="http://www.fatalencounters.org/wp-content/uploads/2013/10/Williams.png" TargetMode="External"/><Relationship Id="rId1832" Type="http://schemas.openxmlformats.org/officeDocument/2006/relationships/hyperlink" Target="http://www.sfgate.com/bayarea/article/Woman-killed-by-SF-police-sergeant-IDd-as-Jessica-7887427.php" TargetMode="External"/><Relationship Id="rId1833" Type="http://schemas.openxmlformats.org/officeDocument/2006/relationships/hyperlink" Target="http://www.fatalencounters.org/wp-content/uploads/2013/10/Ide.jpg" TargetMode="External"/><Relationship Id="rId1834" Type="http://schemas.openxmlformats.org/officeDocument/2006/relationships/hyperlink" Target="http://www.kcra.com/news/local-news/news-sacramento/citrus-heights-standoff-suspect-shot-killed-by-police-identified/39662410" TargetMode="External"/><Relationship Id="rId1835" Type="http://schemas.openxmlformats.org/officeDocument/2006/relationships/hyperlink" Target="http://www.fatalencounters.org/wp-content/uploads/2013/10/Carraway-COPSHOOT-MH-AF0111.jpg" TargetMode="External"/><Relationship Id="rId1836" Type="http://schemas.openxmlformats.org/officeDocument/2006/relationships/hyperlink" Target="http://www.miamiherald.com/news/local/crime/article78685602.html" TargetMode="External"/><Relationship Id="rId1837" Type="http://schemas.openxmlformats.org/officeDocument/2006/relationships/hyperlink" Target="http://www.fatalencounters.org/wp-content/uploads/2013/10/Cruz.jpg" TargetMode="External"/><Relationship Id="rId1838" Type="http://schemas.openxmlformats.org/officeDocument/2006/relationships/hyperlink" Target="http://www.reviewjournal.com/crime/homicides/chaotic-episode-leads-fatal-beating-officer-involved-shooting-north-las-vegas-casino" TargetMode="External"/><Relationship Id="rId1839" Type="http://schemas.openxmlformats.org/officeDocument/2006/relationships/hyperlink" Target="http://www.wtvq.com/2016/05/20/ksp-troopers-involved-in-fatal-knott-county-shooting/" TargetMode="External"/><Relationship Id="rId3240" Type="http://schemas.openxmlformats.org/officeDocument/2006/relationships/hyperlink" Target="http://www.abc10.com/news/local/wanted-marysville-man-killed-in-shootout-with-yuba-city-police/433330674" TargetMode="External"/><Relationship Id="rId3241" Type="http://schemas.openxmlformats.org/officeDocument/2006/relationships/hyperlink" Target="http://www.prescottenews.com/index.php/news/current-news/item/29859-armed-suspect-killed-in-officer-involved-shooting" TargetMode="External"/><Relationship Id="rId3242" Type="http://schemas.openxmlformats.org/officeDocument/2006/relationships/hyperlink" Target="http://www.chron.com/houston/article/Police-investigate-officer-involved-shooting-11096180.php" TargetMode="External"/><Relationship Id="rId3243" Type="http://schemas.openxmlformats.org/officeDocument/2006/relationships/hyperlink" Target="http://kxan.com/2017/04/24/suspect-dead-after-exchanging-gunfire-with-officers-at-killeen-marketplace/" TargetMode="External"/><Relationship Id="rId3244" Type="http://schemas.openxmlformats.org/officeDocument/2006/relationships/hyperlink" Target="http://www.fatalencounters.org/wp-content/uploads/2013/10/Jacy-Kevin-McManus.png" TargetMode="External"/><Relationship Id="rId3245" Type="http://schemas.openxmlformats.org/officeDocument/2006/relationships/hyperlink" Target="https://kobi5.com/news/officer-involved-shooting-in-wolf-creek-suspect-killed-51545/" TargetMode="External"/><Relationship Id="rId3246" Type="http://schemas.openxmlformats.org/officeDocument/2006/relationships/hyperlink" Target="http://www.ydr.com/story/news/crime/2017/04/24/hopewell-twp-man-killed-police-involved-shooting/100834720/" TargetMode="External"/><Relationship Id="rId3247" Type="http://schemas.openxmlformats.org/officeDocument/2006/relationships/hyperlink" Target="http://www.fatalencounters.org/wp-content/uploads/2013/10/Stacy.jpg" TargetMode="External"/><Relationship Id="rId3248" Type="http://schemas.openxmlformats.org/officeDocument/2006/relationships/hyperlink" Target="http://www.ksla.com/story/35234096/angelina-county-sheriff-releases-name-of-man-killed-in-early-morning-swat-standoff" TargetMode="External"/><Relationship Id="rId3249" Type="http://schemas.openxmlformats.org/officeDocument/2006/relationships/hyperlink" Target="http://www.cbs46.com/story/35248353/man-shot-killed-by-deputies-after-fatal-incident-south-of-atlanta" TargetMode="External"/><Relationship Id="rId80" Type="http://schemas.openxmlformats.org/officeDocument/2006/relationships/hyperlink" Target="http://cdn.patch.com/users/1372433/2015/07/T800x600/201507559ff12e799d0.png" TargetMode="External"/><Relationship Id="rId81" Type="http://schemas.openxmlformats.org/officeDocument/2006/relationships/hyperlink" Target="http://www.mercurynews.com/crime-courts/ci_28445274/pleasanton-investigation-continues-into-fatal-police-shooting-19" TargetMode="External"/><Relationship Id="rId82" Type="http://schemas.openxmlformats.org/officeDocument/2006/relationships/hyperlink" Target="https://media.licdn.com/media/p/3/000/0d2/16d/29b38bd.jpg" TargetMode="External"/><Relationship Id="rId83" Type="http://schemas.openxmlformats.org/officeDocument/2006/relationships/hyperlink" Target="http://www.dallasnews.com/news/crime/headlines/20150706-austin-police-id-gunman-victim-at-sundays-hotel-shooting.ece" TargetMode="External"/><Relationship Id="rId84" Type="http://schemas.openxmlformats.org/officeDocument/2006/relationships/hyperlink" Target="http://kxan.com/2015/07/06/police-say-man-killed-in-north-austin-aimed-a-bb-pistol-at-officers/" TargetMode="External"/><Relationship Id="rId85" Type="http://schemas.openxmlformats.org/officeDocument/2006/relationships/hyperlink" Target="http://www.reviewjournal.com/news/las-vegas/gunman-killed-police-henderson-hotel-identified" TargetMode="External"/><Relationship Id="rId86" Type="http://schemas.openxmlformats.org/officeDocument/2006/relationships/hyperlink" Target="http://www.standardbanner.com/news/morristown-man-shot-by-police-was-also-wanted-here/article_e6215eb4-242a-11e5-b876-3f8c02fbda9f.html" TargetMode="External"/><Relationship Id="rId87" Type="http://schemas.openxmlformats.org/officeDocument/2006/relationships/hyperlink" Target="http://media.nbclosangeles.com/images/1203*675/7-3-15+Christian+Siqueiros+in-custody+death.JPG" TargetMode="External"/><Relationship Id="rId88" Type="http://schemas.openxmlformats.org/officeDocument/2006/relationships/hyperlink" Target="http://victimsofpolice.com/2015/images/Julian-Joseph.jpg" TargetMode="External"/><Relationship Id="rId170" Type="http://schemas.openxmlformats.org/officeDocument/2006/relationships/hyperlink" Target="http://www.koat.com/news/valencia-county-deputy-involved-in-shooting/33383626" TargetMode="External"/><Relationship Id="rId171" Type="http://schemas.openxmlformats.org/officeDocument/2006/relationships/hyperlink" Target="http://crimeblog.dallasnews.com/2015/06/two-men-dead-i-35e-shut-down-in-ellis-county-after-three-hour-chase.html/" TargetMode="External"/><Relationship Id="rId172" Type="http://schemas.openxmlformats.org/officeDocument/2006/relationships/hyperlink" Target="http://www.khou.com/story/news/crime/2015/06/03/chase-ends--shooting-southeast-houston/28402107/" TargetMode="External"/><Relationship Id="rId173" Type="http://schemas.openxmlformats.org/officeDocument/2006/relationships/hyperlink" Target="http://www.nj.com/sussex-county/index.ssf/2015/06/man_killed_in_sussex_county_police_shooting_authorities_say.html" TargetMode="External"/><Relationship Id="rId174" Type="http://schemas.openxmlformats.org/officeDocument/2006/relationships/hyperlink" Target="http://www.killedbypolice.net/victims/150479.jpg" TargetMode="External"/><Relationship Id="rId175" Type="http://schemas.openxmlformats.org/officeDocument/2006/relationships/hyperlink" Target="http://crimeblog.dallasnews.com/2015/06/tarrant-county-sheriffs-deputy-fatally-shoots-azle-man-who-stabbed-three-relatives.html/" TargetMode="External"/><Relationship Id="rId176" Type="http://schemas.openxmlformats.org/officeDocument/2006/relationships/hyperlink" Target="http://www.killedbypolice.net/victims/150476.jpg" TargetMode="External"/><Relationship Id="rId177" Type="http://schemas.openxmlformats.org/officeDocument/2006/relationships/hyperlink" Target="http://www.democratandchronicle.com/story/news/2015/06/01/police-investigate-near-sears-mall-greece-ridge/28314217/" TargetMode="External"/><Relationship Id="rId178" Type="http://schemas.openxmlformats.org/officeDocument/2006/relationships/hyperlink" Target="http://www.killedbypolice.net/victims/150475.jpg" TargetMode="External"/><Relationship Id="rId179" Type="http://schemas.openxmlformats.org/officeDocument/2006/relationships/hyperlink" Target="http://www.kplctv.com/story/29203366/palestine-police-id-victim-in-officer-involved-shooting" TargetMode="External"/><Relationship Id="rId89" Type="http://schemas.openxmlformats.org/officeDocument/2006/relationships/hyperlink" Target="http://www.enterprisenews.com/galleryimage/WL/20150702/PHOTOGALLERY/702009988/PH/0/6/PH-702009988.jpg" TargetMode="External"/><Relationship Id="rId2540" Type="http://schemas.openxmlformats.org/officeDocument/2006/relationships/hyperlink" Target="http://www.fatalencounters.org/wp-content/uploads/2013/10/Joseph-Leland-Fletcher.jpg" TargetMode="External"/><Relationship Id="rId2541" Type="http://schemas.openxmlformats.org/officeDocument/2006/relationships/hyperlink" Target="http://www.wjhg.com/content/news/One-dead-in-officer-involved-shooting-in-Okaloosa-County-401913675.html" TargetMode="External"/><Relationship Id="rId2542" Type="http://schemas.openxmlformats.org/officeDocument/2006/relationships/hyperlink" Target="http://www.fatalencounters.org/wp-content/uploads/2013/10/DontrellCarter.jpg" TargetMode="External"/><Relationship Id="rId2543" Type="http://schemas.openxmlformats.org/officeDocument/2006/relationships/hyperlink" Target="http://www.wtvm.com/story/33746792/suspect-in-sumter-shoot-out-with-deputies-killed-after-fatally-wounding-us-marshal" TargetMode="External"/><Relationship Id="rId2544" Type="http://schemas.openxmlformats.org/officeDocument/2006/relationships/hyperlink" Target="http://www.fatalencounters.org/wp-content/uploads/2013/10/Samson-Fleurant.jpg" TargetMode="External"/><Relationship Id="rId2545" Type="http://schemas.openxmlformats.org/officeDocument/2006/relationships/hyperlink" Target="http://www.tcpalm.com/story/news/crime/st-lucie-county/2016/11/18/teen-boy-very-critical-after-shooting-port-st-lucie/94084924/" TargetMode="External"/><Relationship Id="rId2546" Type="http://schemas.openxmlformats.org/officeDocument/2006/relationships/hyperlink" Target="http://www.fatalencounters.org/wp-content/uploads/2013/10/Adalid-Flores.jpg" TargetMode="External"/><Relationship Id="rId2547" Type="http://schemas.openxmlformats.org/officeDocument/2006/relationships/hyperlink" Target="http://ktla.com/2016/11/20/suspect-wanted-for-allegedly-ramming-car-into-another-vehicle-on-91-freeway-fatally-shot-by-anaheim-police-no-officers-injured/" TargetMode="External"/><Relationship Id="rId2548" Type="http://schemas.openxmlformats.org/officeDocument/2006/relationships/hyperlink" Target="http://www.fatalencounters.org/wp-content/uploads/2013/10/Erickson-Gomez-Brito.jpg" TargetMode="External"/><Relationship Id="rId2549" Type="http://schemas.openxmlformats.org/officeDocument/2006/relationships/hyperlink" Target="http://newyork.cbslocal.com/2016/11/19/officers-hurt-in-brooklyn-shooting/" TargetMode="External"/><Relationship Id="rId900" Type="http://schemas.openxmlformats.org/officeDocument/2006/relationships/hyperlink" Target="http://fox11online.com/news/local/green-bay/ashwaubenon-police-release-identity-of-armed-robbery-suspect" TargetMode="External"/><Relationship Id="rId901" Type="http://schemas.openxmlformats.org/officeDocument/2006/relationships/hyperlink" Target="http://www.adn.com/article/20150910/troopers-identify-man-killed-shootout-police-fairbanks" TargetMode="External"/><Relationship Id="rId902" Type="http://schemas.openxmlformats.org/officeDocument/2006/relationships/hyperlink" Target="http://www.sgvtribune.com/general-news/20150910/second-victim-in-el-monte-attack-dies-after-being-set-on-fire" TargetMode="External"/><Relationship Id="rId903" Type="http://schemas.openxmlformats.org/officeDocument/2006/relationships/hyperlink" Target="http://www.ohio.com/news/break-news/springfield-township-man-dies-after-confrontation-with-police-involving-taser-1.624097" TargetMode="External"/><Relationship Id="rId904" Type="http://schemas.openxmlformats.org/officeDocument/2006/relationships/hyperlink" Target="http://www.ktuu.com/news/news/troopers-named-in-fairbanks-shooting-of-man-driving-stolen-vehicle/35223554" TargetMode="External"/><Relationship Id="rId905" Type="http://schemas.openxmlformats.org/officeDocument/2006/relationships/hyperlink" Target="http://www.fresnobee.com/news/local/crime/article34390473.html" TargetMode="External"/><Relationship Id="rId906" Type="http://schemas.openxmlformats.org/officeDocument/2006/relationships/hyperlink" Target="http://archive.currentargus.com/carlsbad-news/ci_28783767/man-shot-and-killed-by-hobbs-police-was" TargetMode="External"/><Relationship Id="rId907" Type="http://schemas.openxmlformats.org/officeDocument/2006/relationships/hyperlink" Target="http://www.local10.com/news/man-shot-and-killed-by-miami-police-after-domestic-violence-incident/35139464" TargetMode="External"/><Relationship Id="rId908" Type="http://schemas.openxmlformats.org/officeDocument/2006/relationships/hyperlink" Target="http://www.ktbs.com/story/29975939/update-police-pursuit-ends-in-death-of-mentally-ill-suspect" TargetMode="External"/><Relationship Id="rId909" Type="http://schemas.openxmlformats.org/officeDocument/2006/relationships/hyperlink" Target="http://www.providencejournal.com/article/20150907/NEWS/150909454" TargetMode="External"/><Relationship Id="rId1840" Type="http://schemas.openxmlformats.org/officeDocument/2006/relationships/hyperlink" Target="http://www.fatalencounters.org/wp-content/uploads/2013/10/Steen.jpg" TargetMode="External"/><Relationship Id="rId1841" Type="http://schemas.openxmlformats.org/officeDocument/2006/relationships/hyperlink" Target="http://www.12news.com/news/local/valley/phoenix-police-identify-man-who-died-after-fighting-with-firefighters-and-officers-/212139643" TargetMode="External"/><Relationship Id="rId1842" Type="http://schemas.openxmlformats.org/officeDocument/2006/relationships/hyperlink" Target="http://www.fatalencounters.org/wp-content/uploads/2013/10/Beebee.png" TargetMode="External"/><Relationship Id="rId1843" Type="http://schemas.openxmlformats.org/officeDocument/2006/relationships/hyperlink" Target="http://www.ketv.com/news/family-of-man-killed-by-police-speaks-out/39656646" TargetMode="External"/><Relationship Id="rId1844" Type="http://schemas.openxmlformats.org/officeDocument/2006/relationships/hyperlink" Target="http://www.12news.com/news/local/arizona/coconino-co-deputies-kill-man-in-standoff/208243333" TargetMode="External"/><Relationship Id="rId1845" Type="http://schemas.openxmlformats.org/officeDocument/2006/relationships/hyperlink" Target="http://www.fatalencounters.org/wp-content/uploads/2013/10/John-Cousins-Jr..jpg" TargetMode="External"/><Relationship Id="rId1846" Type="http://schemas.openxmlformats.org/officeDocument/2006/relationships/hyperlink" Target="http://www.charlotteobserver.com/news/local/article79045642.html" TargetMode="External"/><Relationship Id="rId1847" Type="http://schemas.openxmlformats.org/officeDocument/2006/relationships/hyperlink" Target="http://koin.com/2016/05/21/oregon-city-police-involved-in-shooting/" TargetMode="External"/><Relationship Id="rId1848" Type="http://schemas.openxmlformats.org/officeDocument/2006/relationships/hyperlink" Target="http://www.wsoctv.com/news/local/officials-investigating-after-fatal-officer-involved-shooting/297346673" TargetMode="External"/><Relationship Id="rId1849" Type="http://schemas.openxmlformats.org/officeDocument/2006/relationships/hyperlink" Target="http://www.denverpost.com/2016/05/24/erie-man-identified-as-man-shot-by-boulder-police-after-pointing-gun/" TargetMode="External"/><Relationship Id="rId2000" Type="http://schemas.openxmlformats.org/officeDocument/2006/relationships/hyperlink" Target="http://www.cbs58.com/story/32288998/update-man-dies-after-officer-involved-shooting-in-tosa-park" TargetMode="External"/><Relationship Id="rId2001" Type="http://schemas.openxmlformats.org/officeDocument/2006/relationships/hyperlink" Target="http://www.scsun-news.com/story/news/crime/2016/06/26/new-mexico-state-police-officer-involved-shooting/86406602/" TargetMode="External"/><Relationship Id="rId2002" Type="http://schemas.openxmlformats.org/officeDocument/2006/relationships/hyperlink" Target="http://www.khou.com/news/local/fbcso-one-dead-one-injured-in-officer-involved-shooting-during-family-dispute/255482942" TargetMode="External"/><Relationship Id="rId2003" Type="http://schemas.openxmlformats.org/officeDocument/2006/relationships/hyperlink" Target="http://www.northjersey.com/news/authorities-man-dead-in-exchange-of-gunfire-with-paterson-police-officers-1.1621357" TargetMode="External"/><Relationship Id="rId2004" Type="http://schemas.openxmlformats.org/officeDocument/2006/relationships/hyperlink" Target="http://www.news9.com/story/32303626/emergency-crews-respond-to-officer-involved-shooting-in-nw-okc" TargetMode="External"/><Relationship Id="rId2005" Type="http://schemas.openxmlformats.org/officeDocument/2006/relationships/hyperlink" Target="http://5newsonline.com/2016/06/24/police-armed-man-spotted-at-farmington-house-fire/" TargetMode="External"/><Relationship Id="rId2006" Type="http://schemas.openxmlformats.org/officeDocument/2006/relationships/hyperlink" Target="http://www.yourcentralvalley.com/news/fresno-police-man-shot-in-ois-in-southeast-fresno-dies" TargetMode="External"/><Relationship Id="rId2007" Type="http://schemas.openxmlformats.org/officeDocument/2006/relationships/hyperlink" Target="http://www.fox5atlanta.com/news/166118131-story" TargetMode="External"/><Relationship Id="rId2008" Type="http://schemas.openxmlformats.org/officeDocument/2006/relationships/hyperlink" Target="http://www.abcactionnews.com/news/region-pinellas/pinellas-park-police-investigating-an-officer-involved-shooting" TargetMode="External"/><Relationship Id="rId2009" Type="http://schemas.openxmlformats.org/officeDocument/2006/relationships/hyperlink" Target="http://www.courant.com/breaking-news/hc-thomaston-shooting-0627-2-20160626-story.html" TargetMode="External"/><Relationship Id="rId3250" Type="http://schemas.openxmlformats.org/officeDocument/2006/relationships/hyperlink" Target="http://www.fatalencounters.org/wp-content/uploads/2013/10/Bennet.jpg" TargetMode="External"/><Relationship Id="rId3251" Type="http://schemas.openxmlformats.org/officeDocument/2006/relationships/hyperlink" Target="http://wjactv.com/news/local/2-who-died-in-richland-township-murder-suicide-identified" TargetMode="External"/><Relationship Id="rId3252" Type="http://schemas.openxmlformats.org/officeDocument/2006/relationships/hyperlink" Target="http://www.star-telegram.com/news/local/community/fort-worth/article146755109.html" TargetMode="External"/><Relationship Id="rId3253" Type="http://schemas.openxmlformats.org/officeDocument/2006/relationships/hyperlink" Target="http://abc7.com/news/wild-police-chase-ends-in-bellflower;-1-suspect-in-custody-1-dead/1914715/" TargetMode="External"/><Relationship Id="rId3254" Type="http://schemas.openxmlformats.org/officeDocument/2006/relationships/hyperlink" Target="http://www.fatalencounters.org/wp-content/uploads/2013/10/Hakim-McNair.jpg" TargetMode="External"/><Relationship Id="rId3255" Type="http://schemas.openxmlformats.org/officeDocument/2006/relationships/hyperlink" Target="http://pix11.com/2017/04/26/newark-detectives-shoot-armed-man-during-robbery-investigation-officials-say/" TargetMode="External"/><Relationship Id="rId3256" Type="http://schemas.openxmlformats.org/officeDocument/2006/relationships/hyperlink" Target="http://www.fatalencounters.org/wp-content/uploads/2013/10/obit.Macke_.P.4-29.jpg" TargetMode="External"/><Relationship Id="rId3257" Type="http://schemas.openxmlformats.org/officeDocument/2006/relationships/hyperlink" Target="http://www.stltoday.com/news/local/crime-and-courts/police-identify-motorcyclist-killed-in-collision-with-off-duty-police/article_9fdc7b05-24f9-5a1b-bc03-35533bd9bffd.html" TargetMode="External"/><Relationship Id="rId3258" Type="http://schemas.openxmlformats.org/officeDocument/2006/relationships/hyperlink" Target="http://www.fatalencounters.org/wp-content/uploads/2013/10/JasonChristian.jpg" TargetMode="External"/><Relationship Id="rId3259" Type="http://schemas.openxmlformats.org/officeDocument/2006/relationships/hyperlink" Target="http://www.dispatch.com/news/20170426/man-fatally-shot-by-columbus-police-officer-during-traffic-stop" TargetMode="External"/><Relationship Id="rId90" Type="http://schemas.openxmlformats.org/officeDocument/2006/relationships/hyperlink" Target="http://www.oregonlive.com/pacific-northwest-news/index.ssf/2015/07/oregon_state_police_shoot_and.html" TargetMode="External"/><Relationship Id="rId91" Type="http://schemas.openxmlformats.org/officeDocument/2006/relationships/hyperlink" Target="http://www.killedbypolice.net/victims/150628.jpg" TargetMode="External"/><Relationship Id="rId92" Type="http://schemas.openxmlformats.org/officeDocument/2006/relationships/hyperlink" Target="http://www.wyff4.com/image/view/-/33914720/highRes/1/-/maxh/630/maxw/1200/-/157k9k3/-/Clay-Alan-Lickteig-jpg.jpg" TargetMode="External"/><Relationship Id="rId93" Type="http://schemas.openxmlformats.org/officeDocument/2006/relationships/hyperlink" Target="http://www.wyff4.com/news/police-man-killed-after-shootout-with-officers/33901040" TargetMode="External"/><Relationship Id="rId94" Type="http://schemas.openxmlformats.org/officeDocument/2006/relationships/hyperlink" Target="http://www.timesunion.com/news/article/Sheriff-Edinburgh-resident-dead-in-officer-6357460.php" TargetMode="External"/><Relationship Id="rId95" Type="http://schemas.openxmlformats.org/officeDocument/2006/relationships/hyperlink" Target="http://www.portlandmercury.com/images/blogimages/2015/06/29/1435620050-screen_shot_2015-06-29_at_4.20.07_pm.png" TargetMode="External"/><Relationship Id="rId96" Type="http://schemas.openxmlformats.org/officeDocument/2006/relationships/hyperlink" Target="http://www.kgw.com/story/news/local/2015/06/29/police-shooting-winco-parking-lot-portland/29455487/" TargetMode="External"/><Relationship Id="rId97" Type="http://schemas.openxmlformats.org/officeDocument/2006/relationships/hyperlink" Target="http://www.news9.com/story/29443076/tahlequah-police-release-body-cam-video-in-fatal-officer-involved-shooting" TargetMode="External"/><Relationship Id="rId98" Type="http://schemas.openxmlformats.org/officeDocument/2006/relationships/hyperlink" Target="http://www.mysanantonio.com/news/local/article/Suspect-killed-by-polcie-during-chase-identified-6355557.php" TargetMode="External"/><Relationship Id="rId180" Type="http://schemas.openxmlformats.org/officeDocument/2006/relationships/hyperlink" Target="http://www.scrippsmedia.com/newschannel5/news/Investigation-Ongoing-At-Scene-Of-Alleged-Shooting-305572891.html" TargetMode="External"/><Relationship Id="rId181" Type="http://schemas.openxmlformats.org/officeDocument/2006/relationships/hyperlink" Target="http://koin.com/2015/05/30/osp-troopers-shoot-kill-man-in-wilderville/" TargetMode="External"/><Relationship Id="rId182" Type="http://schemas.openxmlformats.org/officeDocument/2006/relationships/hyperlink" Target="http://www.killedbypolice.net/victims/150477.jpg" TargetMode="External"/><Relationship Id="rId183" Type="http://schemas.openxmlformats.org/officeDocument/2006/relationships/hyperlink" Target="http://www.thelevisalazer.com/news/local-news/11484-louisa-man-dies-after-being-tasered-by-police-during-arrest.html" TargetMode="External"/><Relationship Id="rId184" Type="http://schemas.openxmlformats.org/officeDocument/2006/relationships/hyperlink" Target="http://www.presstelegram.com/general-news/20150528/man-dies-after-long-beach-officer-involved-shooting" TargetMode="External"/><Relationship Id="rId185" Type="http://schemas.openxmlformats.org/officeDocument/2006/relationships/hyperlink" Target="http://www.macon.com/2015/05/28/3768612/putnam-deputy-shoots-and-kills.html" TargetMode="External"/><Relationship Id="rId186" Type="http://schemas.openxmlformats.org/officeDocument/2006/relationships/hyperlink" Target="http://www.clickondetroit.com/news/man-attacks-officer-shot-by-police-trenton/33276844" TargetMode="External"/><Relationship Id="rId187" Type="http://schemas.openxmlformats.org/officeDocument/2006/relationships/hyperlink" Target="http://www.wsoctv.com/news/news/local/sled-responding-possible-officer-involved-shooting/nmQSJ/" TargetMode="External"/><Relationship Id="rId188" Type="http://schemas.openxmlformats.org/officeDocument/2006/relationships/hyperlink" Target="http://www.nbcsandiego.com/news/local/Reported-Shots-Fired-Alpine-305259931.html" TargetMode="External"/><Relationship Id="rId189" Type="http://schemas.openxmlformats.org/officeDocument/2006/relationships/hyperlink" Target="http://www.kmbc.com/news/person-taken-to-hospital-after-kck-officer-uses-force-at-family-dollar/33249942" TargetMode="External"/><Relationship Id="rId99" Type="http://schemas.openxmlformats.org/officeDocument/2006/relationships/hyperlink" Target="http://a.abcnews.com/images/US/HT_richard_matt_jt_150606_4x3_992.jpg" TargetMode="External"/><Relationship Id="rId1300" Type="http://schemas.openxmlformats.org/officeDocument/2006/relationships/hyperlink" Target="https://mgtvwkrn.files.wordpress.com/2015/04/brian-acton.jpg?w=640" TargetMode="External"/><Relationship Id="rId2550" Type="http://schemas.openxmlformats.org/officeDocument/2006/relationships/hyperlink" Target="http://www.fatalencounters.org/wp-content/uploads/2013/10/Darius-Jones.jpg" TargetMode="External"/><Relationship Id="rId2551" Type="http://schemas.openxmlformats.org/officeDocument/2006/relationships/hyperlink" Target="http://www.chicagotribune.com/news/local/breaking/ct-police-involved-shooting-20161118-story.html" TargetMode="External"/><Relationship Id="rId2552" Type="http://schemas.openxmlformats.org/officeDocument/2006/relationships/hyperlink" Target="http://www.news9.com/story/33750775/osbi-investigating-officer-involved-shooting-in-chickasha" TargetMode="External"/><Relationship Id="rId2553" Type="http://schemas.openxmlformats.org/officeDocument/2006/relationships/hyperlink" Target="http://www.fatalencounters.org/wp-content/uploads/2013/10/Luke-Smith.jpg" TargetMode="External"/><Relationship Id="rId2554" Type="http://schemas.openxmlformats.org/officeDocument/2006/relationships/hyperlink" Target="http://www.santacruzsentinel.com/general-news/20161119/sheriffs-deputy-shoots-kills-knife-wielding-teen-after-two-stabbed-outside-watsonville" TargetMode="External"/><Relationship Id="rId2555" Type="http://schemas.openxmlformats.org/officeDocument/2006/relationships/hyperlink" Target="http://www.kansascity.com/news/local/crime/article116133663.html" TargetMode="External"/><Relationship Id="rId2556" Type="http://schemas.openxmlformats.org/officeDocument/2006/relationships/hyperlink" Target="http://www.ksat.com/news/standoff-ends-with-man-killed-in-officer-involved-shooting" TargetMode="External"/><Relationship Id="rId2557" Type="http://schemas.openxmlformats.org/officeDocument/2006/relationships/hyperlink" Target="http://lompocrecord.com/news/local/lompoc-police-fatally-shoot-knife-wielding-suspect/article_623e813a-009a-5f6e-afaf-b3379c56361c.html" TargetMode="External"/><Relationship Id="rId2558" Type="http://schemas.openxmlformats.org/officeDocument/2006/relationships/hyperlink" Target="http://www.stltoday.com/news/local/crime-and-courts/st-louis-police-officer-shot/article_e119c0eb-d2a1-5fd0-9600-cc252d77fed1.html" TargetMode="External"/><Relationship Id="rId2559" Type="http://schemas.openxmlformats.org/officeDocument/2006/relationships/hyperlink" Target="http://www.sfgate.com/news/article/Robbery-suspect-killed-in-crash-during-Sunnyvale-10630138.php" TargetMode="External"/><Relationship Id="rId1301" Type="http://schemas.openxmlformats.org/officeDocument/2006/relationships/hyperlink" Target="http://www.wsmv.com/story/28851839/man-accused-in-rape-dies-during-arrest" TargetMode="External"/><Relationship Id="rId1302" Type="http://schemas.openxmlformats.org/officeDocument/2006/relationships/hyperlink" Target="http://www.click2houston.com/news/breaking-3-shot-in-northwest-harris-county-life-flight-on-scene/36144374" TargetMode="External"/><Relationship Id="rId1303" Type="http://schemas.openxmlformats.org/officeDocument/2006/relationships/hyperlink" Target="http://www.thedenverchannel.com/news/local-news/injured-northglenn-police-officer-taken-to-hospital" TargetMode="External"/><Relationship Id="rId1304" Type="http://schemas.openxmlformats.org/officeDocument/2006/relationships/hyperlink" Target="http://lgbtweekly.com/wp-content/uploads/2016/01/190_5385_8067.jpg" TargetMode="External"/><Relationship Id="rId1305"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306" Type="http://schemas.openxmlformats.org/officeDocument/2006/relationships/hyperlink" Target="http://www.johnsoncitypress.com/image/2016/01/06/1200x/James-Keith-Maher.jpg" TargetMode="External"/><Relationship Id="rId1307" Type="http://schemas.openxmlformats.org/officeDocument/2006/relationships/hyperlink" Target="http://www.fatalencounters.org/wp-content/uploads/2013/10/Stephen-John-Bukwich.jpg" TargetMode="External"/><Relationship Id="rId1308" Type="http://schemas.openxmlformats.org/officeDocument/2006/relationships/hyperlink" Target="http://www.fatalencounters.org/wp-content/uploads/2013/10/David-Zollo.png" TargetMode="External"/><Relationship Id="rId1309" Type="http://schemas.openxmlformats.org/officeDocument/2006/relationships/hyperlink" Target="http://www.campussafetymagazine.com/images/uploads/zion_shooting.jpg" TargetMode="External"/><Relationship Id="rId910" Type="http://schemas.openxmlformats.org/officeDocument/2006/relationships/hyperlink" Target="http://www.latimes.com/local/lanow/la-me-ln-in-custody-death-long-beach-20150906-story.html" TargetMode="External"/><Relationship Id="rId911" Type="http://schemas.openxmlformats.org/officeDocument/2006/relationships/hyperlink" Target="http://www.mitchellrepublic.com/news/local/3832217-authorities-mitchell-man-fatally-shot-own-gun-police-officer" TargetMode="External"/><Relationship Id="rId912" Type="http://schemas.openxmlformats.org/officeDocument/2006/relationships/hyperlink" Target="http://timesleader.com/news/local/380612/schuylkill-county-man-dies-after-being-tased-by-police" TargetMode="External"/><Relationship Id="rId913" Type="http://schemas.openxmlformats.org/officeDocument/2006/relationships/hyperlink" Target="http://www.wlky.com/news/1-dead-after-officer-involvedshooting-in-french-lick/35109748" TargetMode="External"/><Relationship Id="rId914" Type="http://schemas.openxmlformats.org/officeDocument/2006/relationships/hyperlink" Target="http://lostcoastoutpost.com/2015/sep/5/man-shot-killed-near-weitchpec-shootout-hoopa-trib/" TargetMode="External"/><Relationship Id="rId915" Type="http://schemas.openxmlformats.org/officeDocument/2006/relationships/hyperlink" Target="http://www.wfaa.com/story/news/crime/2015/09/05/parker-county-shooting-suspect-springtown/71796330/" TargetMode="External"/><Relationship Id="rId916" Type="http://schemas.openxmlformats.org/officeDocument/2006/relationships/hyperlink" Target="http://dcourier.com/main.asp?SectionID=1&amp;subsectionID=1086&amp;articleID=149431" TargetMode="External"/><Relationship Id="rId917" Type="http://schemas.openxmlformats.org/officeDocument/2006/relationships/hyperlink" Target="http://www.nh1.com/news/nh-ag-merrimack-man-shot-by-police-has-died-of-gunshot-wounds/" TargetMode="External"/><Relationship Id="rId918" Type="http://schemas.openxmlformats.org/officeDocument/2006/relationships/hyperlink" Target="http://www.newsnet5.com/news/local-news/oh-cuyahoga/3-people-shot-in-twinsburg-kent-state-regional-academic-center-in-lockdown-officials-confirm" TargetMode="External"/><Relationship Id="rId919" Type="http://schemas.openxmlformats.org/officeDocument/2006/relationships/hyperlink" Target="http://krqe.com/2015/09/01/artesia-man-killed-after-shootout-with-police/" TargetMode="External"/><Relationship Id="rId1850" Type="http://schemas.openxmlformats.org/officeDocument/2006/relationships/hyperlink" Target="http://www.fatalencounters.org/wp-content/uploads/2013/10/Wilson.png" TargetMode="External"/><Relationship Id="rId1851" Type="http://schemas.openxmlformats.org/officeDocument/2006/relationships/hyperlink" Target="http://www.sun-sentinel.com/local/broward/hallandale/fl-hallandale-beach-police-shooting-20160522-story.html" TargetMode="External"/><Relationship Id="rId1852" Type="http://schemas.openxmlformats.org/officeDocument/2006/relationships/hyperlink" Target="http://www.fatalencounters.org/wp-content/uploads/2013/10/Vernell-Bing.jpg" TargetMode="External"/><Relationship Id="rId1853" Type="http://schemas.openxmlformats.org/officeDocument/2006/relationships/hyperlink" Target="http://www.news4jax.com/news/local/jacksonville/mom-of-man-shot-by-officer-you-took-my-boys-life" TargetMode="External"/><Relationship Id="rId1854" Type="http://schemas.openxmlformats.org/officeDocument/2006/relationships/hyperlink" Target="http://www.masslive.com/news/worcester/index.ssf/2016/05/jorge_zambrano_may_have_been_s.html" TargetMode="External"/><Relationship Id="rId1855" Type="http://schemas.openxmlformats.org/officeDocument/2006/relationships/hyperlink" Target="http://bloximages.chicago2.vip.townnews.com/azdailysun.com/content/tncms/assets/v3/editorial/7/df/7dfeb572-a72c-5524-b113-d7e2e267f1bd/574650e950be2.image.jpg" TargetMode="External"/><Relationship Id="rId1856" Type="http://schemas.openxmlformats.org/officeDocument/2006/relationships/hyperlink" Target="http://www.azcentral.com/story/news/local/arizona/2016/05/23/flagstaff-police-fatally-shoot-man-who-brandished-gun-near-nau/84796144/" TargetMode="External"/><Relationship Id="rId1857" Type="http://schemas.openxmlformats.org/officeDocument/2006/relationships/hyperlink" Target="http://media.oregonlive.com/gresham_impact/photo/bodhi-wilson-dean-phelps-8f692b99d7717bc2.jpg" TargetMode="External"/><Relationship Id="rId1858" Type="http://schemas.openxmlformats.org/officeDocument/2006/relationships/hyperlink" Target="http://www.oregonlive.com/gresham/index.ssf/2016/05/man_shot_killed_by_police_afte.html" TargetMode="External"/><Relationship Id="rId1859" Type="http://schemas.openxmlformats.org/officeDocument/2006/relationships/hyperlink" Target="http://www.kmbc.com/news/man-shot-killed-by-cass-county-deputy-on-i49/39715442" TargetMode="External"/><Relationship Id="rId2010" Type="http://schemas.openxmlformats.org/officeDocument/2006/relationships/hyperlink" Target="http://chicago.suntimes.com/news/man-fatally-shot-by-dolton-police-during-armed-robbery/" TargetMode="External"/><Relationship Id="rId2011" Type="http://schemas.openxmlformats.org/officeDocument/2006/relationships/hyperlink" Target="http://journalstar.com/news/local/911/year-old-woman-killed-in-early-morning-shooting-suspect-fatally/article_12a7dac4-c561-5e48-b5cb-1689734c5faa.html" TargetMode="External"/><Relationship Id="rId2012" Type="http://schemas.openxmlformats.org/officeDocument/2006/relationships/hyperlink" Target="http://www.wilx.com/content/news/One-man-dead-following-officer-involved-shooting-in-Jackson-County-384475561.html" TargetMode="External"/><Relationship Id="rId2013" Type="http://schemas.openxmlformats.org/officeDocument/2006/relationships/hyperlink" Target="http://www.13wmaz.com/news/local/bleckley-deputy-shoots-kills-suspect/257286657" TargetMode="External"/><Relationship Id="rId2014" Type="http://schemas.openxmlformats.org/officeDocument/2006/relationships/hyperlink" Target="http://krqe.com/2016/07/01/state-police-identify-suspect-that-was-shot-killed-on-laguna-pueblo/" TargetMode="External"/><Relationship Id="rId2015" Type="http://schemas.openxmlformats.org/officeDocument/2006/relationships/hyperlink" Target="http://www.nbcwashington.com/news/local/Officer-Involved-Shooting-Reported-in-NE-DC-384653811.html" TargetMode="External"/><Relationship Id="rId2016" Type="http://schemas.openxmlformats.org/officeDocument/2006/relationships/hyperlink" Target="http://www.wdel.com/story/75826-police-involved-shooting-near-frederica-after-harrowing-pursuit-led-by-wanted-suspect" TargetMode="External"/><Relationship Id="rId2017" Type="http://schemas.openxmlformats.org/officeDocument/2006/relationships/hyperlink" Target="http://whotv.com/2016/06/28/dci-investigating-boone-officer-involved-shooting/" TargetMode="External"/><Relationship Id="rId2018" Type="http://schemas.openxmlformats.org/officeDocument/2006/relationships/hyperlink" Target="http://www.presstelegram.com/general-news/20160628/long-beach-police-shoot-and-kill-suspect-k9-dies-near-orizaba-park" TargetMode="External"/><Relationship Id="rId2019" Type="http://schemas.openxmlformats.org/officeDocument/2006/relationships/hyperlink" Target="http://www.hawaiinewsnow.com/story/32331213/officer-involved-shooting-reported-on-kinau-street" TargetMode="External"/><Relationship Id="rId3260" Type="http://schemas.openxmlformats.org/officeDocument/2006/relationships/hyperlink" Target="http://www.fatalencounters.org/wp-content/uploads/2013/10/Selwyn-Hall.png" TargetMode="External"/><Relationship Id="rId3261" Type="http://schemas.openxmlformats.org/officeDocument/2006/relationships/hyperlink" Target="http://jacksonville.com/news/public-safety/2017-04-26/suspect-dead-following-officer-involved-shooting-domestic-disturbance" TargetMode="External"/><Relationship Id="rId3262" Type="http://schemas.openxmlformats.org/officeDocument/2006/relationships/hyperlink" Target="http://www.pennlive.com/news/2017/04/man_shot_and_killed_by_police.html" TargetMode="External"/><Relationship Id="rId3263" Type="http://schemas.openxmlformats.org/officeDocument/2006/relationships/hyperlink" Target="http://www.fatalencounters.org/wp-content/uploads/2013/10/Burgon-Sealy-Jr..jpg" TargetMode="External"/><Relationship Id="rId3264" Type="http://schemas.openxmlformats.org/officeDocument/2006/relationships/hyperlink" Target="http://www.delawareonline.com/story/news/crime/2017/04/27/delaware-state-police-shooter-remains-barricaded/100966602/" TargetMode="External"/><Relationship Id="rId3265" Type="http://schemas.openxmlformats.org/officeDocument/2006/relationships/hyperlink" Target="http://rapidcityjournal.com/news/local/man-barricaded-in-apartment-shot-killed-by-authorities/article_23e9da5d-77b4-52fd-9e15-3d7e5f40aa27.html" TargetMode="External"/><Relationship Id="rId3266" Type="http://schemas.openxmlformats.org/officeDocument/2006/relationships/hyperlink" Target="http://www.nbcbayarea.com/news/local/Shooting-Investigation-Shuts-Down-Lanes-on-Highway-101-in-San-Mateo-CHP-420790124.html" TargetMode="External"/><Relationship Id="rId3267" Type="http://schemas.openxmlformats.org/officeDocument/2006/relationships/hyperlink" Target="http://www.fatalencounters.org/wp-content/uploads/2013/10/AveryRichard.jpg" TargetMode="External"/><Relationship Id="rId3268" Type="http://schemas.openxmlformats.org/officeDocument/2006/relationships/hyperlink" Target="http://www.ajc.com/news/crime--law/fbi-agents-kill-tanger-outlet-suspect-after-day-crime-spree/mDPxeS8tS5rR8Xk9YZ4TmO/" TargetMode="External"/><Relationship Id="rId3269" Type="http://schemas.openxmlformats.org/officeDocument/2006/relationships/hyperlink" Target="http://cw39.com/2017/04/29/man-dies-following-altercation-with-deputies-in-galveston-county/" TargetMode="External"/><Relationship Id="rId1310" Type="http://schemas.openxmlformats.org/officeDocument/2006/relationships/hyperlink" Target="http://www.fatalencounters.org/wp-content/uploads/2013/10/FRANCO-ARMENTA.png" TargetMode="External"/><Relationship Id="rId1311" Type="http://schemas.openxmlformats.org/officeDocument/2006/relationships/hyperlink" Target="http://ak-cache.legacy.net/legacy/images/cobrands/tributes/photos/5705487_o.jpg" TargetMode="External"/><Relationship Id="rId1312" Type="http://schemas.openxmlformats.org/officeDocument/2006/relationships/hyperlink" Target="http://www.fatalencounters.org/wp-content/uploads/2013/10/Tenbrink.jpg" TargetMode="External"/><Relationship Id="rId190" Type="http://schemas.openxmlformats.org/officeDocument/2006/relationships/hyperlink" Target="http://7online.com/news/man-holding-17-month-old-son-hostage-killed-in-middletown-police-shooting/744277/" TargetMode="External"/><Relationship Id="rId191" Type="http://schemas.openxmlformats.org/officeDocument/2006/relationships/hyperlink" Target="http://kfor.com/2015/05/27/breaking-news-officer-involved-shooting-in-edmond/" TargetMode="External"/><Relationship Id="rId192" Type="http://schemas.openxmlformats.org/officeDocument/2006/relationships/hyperlink" Target="http://www.nbcdfw.com/news/local/9-Year-Old-Child-Reported-Missing-in-Benbrook-304947651.html" TargetMode="External"/><Relationship Id="rId193" Type="http://schemas.openxmlformats.org/officeDocument/2006/relationships/hyperlink" Target="http://www.kirotv.com/news/news/breaking-news-deputy-shoots-kills-man-near-monroe/nmNnq/" TargetMode="External"/><Relationship Id="rId194" Type="http://schemas.openxmlformats.org/officeDocument/2006/relationships/hyperlink" Target="http://kxan.com/2015/05/25/woman-shot-dead-after-five-hour-standoff-with-apd-swat-officers/" TargetMode="External"/><Relationship Id="rId195" Type="http://schemas.openxmlformats.org/officeDocument/2006/relationships/hyperlink" Target="http://www.kpho.com/story/29143797/suspect-dead-following-police-shooting-in-eagar-ariz" TargetMode="External"/><Relationship Id="rId196" Type="http://schemas.openxmlformats.org/officeDocument/2006/relationships/hyperlink" Target="http://www.kshb.com/news/crime/james-horn-man-who-locked-woman-in-box-wanted-in-connection-to-double-murder" TargetMode="External"/><Relationship Id="rId197" Type="http://schemas.openxmlformats.org/officeDocument/2006/relationships/hyperlink" Target="http://www.wpxi.com/news/news/local/troopers-shoot-person-inside-grocery-store/nmMF2/" TargetMode="External"/><Relationship Id="rId198" Type="http://schemas.openxmlformats.org/officeDocument/2006/relationships/hyperlink" Target="http://www.nj.com/bergen/index.ssf/2015/05/police-involved_shooting_under_investigation_in_ha.html" TargetMode="External"/><Relationship Id="rId199" Type="http://schemas.openxmlformats.org/officeDocument/2006/relationships/hyperlink" Target="http://www.elpasotimes.com/latestnews/ci_28159979/officer-involved-shooting-northeast-el-paso" TargetMode="External"/><Relationship Id="rId1313" Type="http://schemas.openxmlformats.org/officeDocument/2006/relationships/hyperlink" Target="https://heavyeditorial.files.wordpress.com/2016/01/ciara-meyer-2.jpg?quality=65&amp;strip=all&amp;strip=all" TargetMode="External"/><Relationship Id="rId1314" Type="http://schemas.openxmlformats.org/officeDocument/2006/relationships/hyperlink" Target="http://www.fatalencounters.org/wp-content/uploads/2013/10/ramone.lonergan.facebook.3.jpg" TargetMode="External"/><Relationship Id="rId2560" Type="http://schemas.openxmlformats.org/officeDocument/2006/relationships/hyperlink" Target="http://www.thedailyworld.com/news/woman-dies-after-altercation-with-hoquiam-police/" TargetMode="External"/><Relationship Id="rId2561" Type="http://schemas.openxmlformats.org/officeDocument/2006/relationships/hyperlink" Target="http://www.fatalencounters.org/wp-content/uploads/2013/10/Greta-Kurian.jpg" TargetMode="External"/><Relationship Id="rId2562" Type="http://schemas.openxmlformats.org/officeDocument/2006/relationships/hyperlink" Target="http://www.latimes.com/local/lanow/la-me-ln-south-gate-cop-dead-20161122-story.html" TargetMode="External"/><Relationship Id="rId2563" Type="http://schemas.openxmlformats.org/officeDocument/2006/relationships/hyperlink" Target="http://www.pasadenastarnews.com/general-news/20161122/la-mirada-standoff-ends-after-robbery-suspect-is-shot-and-killed-by-deputies" TargetMode="External"/><Relationship Id="rId2564" Type="http://schemas.openxmlformats.org/officeDocument/2006/relationships/hyperlink" Target="http://www.northjersey.com/story/news/crime/2016/11/22/authorities-responding-newark-shooting/94304716/" TargetMode="External"/><Relationship Id="rId2565" Type="http://schemas.openxmlformats.org/officeDocument/2006/relationships/hyperlink" Target="http://www.fatalencounters.org/wp-content/uploads/2013/10/Ivory-C.-Pantallion-III.jpg" TargetMode="External"/><Relationship Id="rId2566" Type="http://schemas.openxmlformats.org/officeDocument/2006/relationships/hyperlink" Target="http://www.khou.com/news/crime/shots-fired-at-end-of-chase-near-baytown/354912360" TargetMode="External"/><Relationship Id="rId2567" Type="http://schemas.openxmlformats.org/officeDocument/2006/relationships/hyperlink" Target="http://abc13.com/news/multiple-people-hurt-at-raising-canes-in-the-woodlands/1621556/" TargetMode="External"/><Relationship Id="rId2568" Type="http://schemas.openxmlformats.org/officeDocument/2006/relationships/hyperlink" Target="http://www.tampabay.com/news/publicsafety/crime/deputy-involved-shooting-at-st-petersburg-apartment/2304007" TargetMode="External"/><Relationship Id="rId2569" Type="http://schemas.openxmlformats.org/officeDocument/2006/relationships/hyperlink" Target="http://www.fatalencounters.org/wp-content/uploads/2013/10/Kajuan-Raye.jpg" TargetMode="External"/><Relationship Id="rId1315" Type="http://schemas.openxmlformats.org/officeDocument/2006/relationships/hyperlink" Target="http://bloximages.newyork1.vip.townnews.com/pilotonline.com/content/tncms/assets/v3/editorial/3/a7/3a7e2d6d-7259-58c5-ac89-1ec96f63cb50/56957532c6402.image.jpg" TargetMode="External"/><Relationship Id="rId1316" Type="http://schemas.openxmlformats.org/officeDocument/2006/relationships/hyperlink" Target="http://www.pamplinmediagroup.com/images/artimg/00003536127522.jpg" TargetMode="External"/><Relationship Id="rId1317" Type="http://schemas.openxmlformats.org/officeDocument/2006/relationships/hyperlink" Target="http://kusi.images.worldnow.com/images/9684589_G.jpg" TargetMode="External"/><Relationship Id="rId1318" Type="http://schemas.openxmlformats.org/officeDocument/2006/relationships/hyperlink" Target="http://wbrc.images.worldnow.com/images/9670245_G.jpg" TargetMode="External"/><Relationship Id="rId1319" Type="http://schemas.openxmlformats.org/officeDocument/2006/relationships/hyperlink" Target="http://www.fatalencounters.org/wp-content/uploads/2013/10/DanielSweet.png" TargetMode="External"/><Relationship Id="rId920" Type="http://schemas.openxmlformats.org/officeDocument/2006/relationships/hyperlink" Target="http://www.azfamily.com/story/30135717/ycso-identifies-deputies-who-shot-killed-armed-suspect" TargetMode="External"/><Relationship Id="rId921" Type="http://schemas.openxmlformats.org/officeDocument/2006/relationships/hyperlink" Target="http://www.keloland.com/newsdetail.cfm/fatal-officer-involved-shooting/?id=185571" TargetMode="External"/><Relationship Id="rId922" Type="http://schemas.openxmlformats.org/officeDocument/2006/relationships/hyperlink" Target="http://www.startribune.com/sheriff-deputy-fatally-shoots-man-attacking-him-in-mora/330238731/" TargetMode="External"/><Relationship Id="rId923" Type="http://schemas.openxmlformats.org/officeDocument/2006/relationships/hyperlink" Target="http://www.cleveland.com/akron/index.ssf/2015/10/akron_hookah_bar_owner_shot_du.html" TargetMode="External"/><Relationship Id="rId924" Type="http://schemas.openxmlformats.org/officeDocument/2006/relationships/hyperlink" Target="http://www.nola.com/crime/index.ssf/2015/09/man_who_shot_at_police_during.html" TargetMode="External"/><Relationship Id="rId925" Type="http://schemas.openxmlformats.org/officeDocument/2006/relationships/hyperlink" Target="http://wiat.com/2015/09/13/family-of-man-killed-in-deputy-involved-shooting-speaks-out/" TargetMode="External"/><Relationship Id="rId926" Type="http://schemas.openxmlformats.org/officeDocument/2006/relationships/hyperlink" Target="http://raycomgroup.worldnow.com/story/30082367/washington-county-sheriff-says-deputy-justified-in-shooting" TargetMode="External"/><Relationship Id="rId927" Type="http://schemas.openxmlformats.org/officeDocument/2006/relationships/hyperlink" Target="http://www.koat.com/news/disturbance-at-walmart-ends-with-man-dying-in-police-custody/35138362" TargetMode="External"/><Relationship Id="rId928" Type="http://schemas.openxmlformats.org/officeDocument/2006/relationships/hyperlink" Target="http://www.latimes.com/local/lanow/la-me-ln-lapd-homicide-suspect-dies-20150917-story.html" TargetMode="External"/><Relationship Id="rId929" Type="http://schemas.openxmlformats.org/officeDocument/2006/relationships/hyperlink" Target="http://www.komonews.com/news/local/Officials-Man-dies-during-altercation-with-police-in-Tulalip-328375921.html" TargetMode="External"/><Relationship Id="rId1860" Type="http://schemas.openxmlformats.org/officeDocument/2006/relationships/hyperlink" Target="http://www.kob.com/albuquerque-news/fugitive-dead-after-us-marshals-shooting-in-abq-tuesday-night-mario-montoya-colleen-calamia/4150301/" TargetMode="External"/><Relationship Id="rId1861" Type="http://schemas.openxmlformats.org/officeDocument/2006/relationships/hyperlink" Target="http://browardarrests.org/pics/DOLL_PIERRE-LOUIS_501503507.jpg" TargetMode="External"/><Relationship Id="rId1862" Type="http://schemas.openxmlformats.org/officeDocument/2006/relationships/hyperlink" Target="http://miami.cbslocal.com/2016/05/25/one-dead-after-fhp-involved-shooting-in-miami-gardens/" TargetMode="External"/><Relationship Id="rId1863" Type="http://schemas.openxmlformats.org/officeDocument/2006/relationships/hyperlink" Target="http://kfor.com/2016/05/28/officials-identify-man-killed-in-officer-involved-shooting-in-n-w-oklahoma-city/" TargetMode="External"/><Relationship Id="rId1864" Type="http://schemas.openxmlformats.org/officeDocument/2006/relationships/hyperlink" Target="http://ktla.com/2016/05/26/missing-bay-area-teen-was-last-seen-bleeding-screaming-for-help-man-sought-authorities/" TargetMode="External"/><Relationship Id="rId1865" Type="http://schemas.openxmlformats.org/officeDocument/2006/relationships/hyperlink" Target="http://www.jcfloridan.com/news/local/article_fa3a5b1e-2422-11e6-a9d0-db4bf18c39cd.html" TargetMode="External"/><Relationship Id="rId1866" Type="http://schemas.openxmlformats.org/officeDocument/2006/relationships/hyperlink" Target="http://minnesota.cbslocal.com/2016/05/27/sp-ois-id/" TargetMode="External"/><Relationship Id="rId1867" Type="http://schemas.openxmlformats.org/officeDocument/2006/relationships/hyperlink" Target="http://fox2now.com/2016/05/27/devonte-gates-21-identified-as-carjacking-suspect-shot-and-killed-by-police/" TargetMode="External"/><Relationship Id="rId1868" Type="http://schemas.openxmlformats.org/officeDocument/2006/relationships/hyperlink" Target="http://abc7chicago.com/news/officer-injured-suspect-killed-in-shootout-in-lansing-mall-parking-lot/1357848/" TargetMode="External"/><Relationship Id="rId1869" Type="http://schemas.openxmlformats.org/officeDocument/2006/relationships/hyperlink" Target="http://krqe.com/2016/05/30/police-identify-suspect-shot-killed-by-officers-on-i-25/" TargetMode="External"/><Relationship Id="rId2020" Type="http://schemas.openxmlformats.org/officeDocument/2006/relationships/hyperlink" Target="http://www.dailydem.com/news/article_be147f64-3e0f-11e6-9049-27481a05a6cf.html" TargetMode="External"/><Relationship Id="rId2021" Type="http://schemas.openxmlformats.org/officeDocument/2006/relationships/hyperlink" Target="http://www.lex18.com/story/32343200/1-dead-in-officer-involved-shooting-in-knox-county" TargetMode="External"/><Relationship Id="rId2022" Type="http://schemas.openxmlformats.org/officeDocument/2006/relationships/hyperlink" Target="http://www.knoe.com/content/news/BREAKING-Possible-deputy-involved-shooting-in-south-Ouachita-Parish--Our-crew-confirms-a-dead-body-is-at-the-scene--384960361.html" TargetMode="External"/><Relationship Id="rId2023" Type="http://schemas.openxmlformats.org/officeDocument/2006/relationships/hyperlink" Target="http://abc6onyourside.com/news/local/suspect-hospitalized-in-officer-involved-shooting" TargetMode="External"/><Relationship Id="rId2024" Type="http://schemas.openxmlformats.org/officeDocument/2006/relationships/hyperlink" Target="http://www.wkow.com/story/32351785/2016/06/30/police-respond-to-report-of-residential-break-in-on-madisons-near-east-side" TargetMode="External"/><Relationship Id="rId2025" Type="http://schemas.openxmlformats.org/officeDocument/2006/relationships/hyperlink" Target="http://www.douglas-budget.com/news/article_1d12d29e-3f0b-11e6-b619-9f6e6f4f858c.html" TargetMode="External"/><Relationship Id="rId2026" Type="http://schemas.openxmlformats.org/officeDocument/2006/relationships/hyperlink" Target="http://www.koaa.com/story/32358733/park-county-man-kills-brother-is-shot-and-killed-by-police" TargetMode="External"/><Relationship Id="rId2027" Type="http://schemas.openxmlformats.org/officeDocument/2006/relationships/hyperlink" Target="http://newschannel9.com/news/local/gbi-investigates-officer-involved-shooting-in-bartow-county" TargetMode="External"/><Relationship Id="rId2028" Type="http://schemas.openxmlformats.org/officeDocument/2006/relationships/hyperlink" Target="http://chicago.suntimes.com/news/second-cpd-officer-to-be-released-from-hospital-after-fatal-chase/" TargetMode="External"/><Relationship Id="rId2029" Type="http://schemas.openxmlformats.org/officeDocument/2006/relationships/hyperlink" Target="http://chicago.suntimes.com/news/second-cpd-officer-to-be-released-from-hospital-after-fatal-chase/" TargetMode="External"/><Relationship Id="rId3270" Type="http://schemas.openxmlformats.org/officeDocument/2006/relationships/hyperlink" Target="http://www.fatalencounters.org/wp-content/uploads/2013/10/JordanEdwards.jpeg" TargetMode="External"/><Relationship Id="rId3271" Type="http://schemas.openxmlformats.org/officeDocument/2006/relationships/hyperlink" Target="http://www.wfaa.com/news/local/15-year-old-boy-killed-in-officer-involved-shooting-in-balch-springs/435409090" TargetMode="External"/><Relationship Id="rId3272" Type="http://schemas.openxmlformats.org/officeDocument/2006/relationships/hyperlink" Target="http://www.fatalencounters.org/wp-content/uploads/2013/10/Gene-Bernhardt.png" TargetMode="External"/><Relationship Id="rId3273" Type="http://schemas.openxmlformats.org/officeDocument/2006/relationships/hyperlink" Target="http://www.hawaiinewsnow.com/story/35286495/man-with-crossbow-killed-in-big-island-officer-involved-shooting" TargetMode="External"/><Relationship Id="rId3274" Type="http://schemas.openxmlformats.org/officeDocument/2006/relationships/hyperlink" Target="http://www.nj.com/essex/index.ssf/2017/04/person_killed_by_off-duty_jersey_city_cop_in_east.html" TargetMode="External"/><Relationship Id="rId3275" Type="http://schemas.openxmlformats.org/officeDocument/2006/relationships/hyperlink" Target="http://www.fatalencounters.org/wp-content/uploads/2013/10/Caleb.jpg" TargetMode="External"/><Relationship Id="rId3276" Type="http://schemas.openxmlformats.org/officeDocument/2006/relationships/hyperlink" Target="http://www.13newsnow.com/news/local/mycity/newport-news/officer-involved-in-shooting-in-newport-news/435151201" TargetMode="External"/><Relationship Id="rId3277" Type="http://schemas.openxmlformats.org/officeDocument/2006/relationships/hyperlink" Target="http://www.santafenewmexican.com/news/local_news/sfpd-officer-fatally-shoots-suspect-near-eldorado/article_2a1a14a4-2dc9-11e7-98fd-8337e0162115.html" TargetMode="External"/><Relationship Id="rId3278" Type="http://schemas.openxmlformats.org/officeDocument/2006/relationships/hyperlink" Target="http://www.wxyz.com/news/detroit-police-officer-shot-on-citys-west-side" TargetMode="External"/><Relationship Id="rId3279" Type="http://schemas.openxmlformats.org/officeDocument/2006/relationships/hyperlink" Target="http://www.news9.com/story/35292779/osbi-investigating-fatal-officer-involved-shooting-in-mccurtain-county" TargetMode="External"/><Relationship Id="rId1320" Type="http://schemas.openxmlformats.org/officeDocument/2006/relationships/hyperlink" Target="http://www.fatalencounters.org/wp-content/uploads/2013/10/CoryLHenderson.png" TargetMode="External"/><Relationship Id="rId1321" Type="http://schemas.openxmlformats.org/officeDocument/2006/relationships/hyperlink" Target="http://jacksonville.com/sites/default/files/imagecache/premium_415_wide_scale/met_TalmadgeKing0119.jpg" TargetMode="External"/><Relationship Id="rId1322" Type="http://schemas.openxmlformats.org/officeDocument/2006/relationships/hyperlink" Target="http://www.fatalencounters.org/wp-content/uploads/2013/10/TimothyCaruthers.png" TargetMode="External"/><Relationship Id="rId1323" Type="http://schemas.openxmlformats.org/officeDocument/2006/relationships/hyperlink" Target="http://www.fatalencounters.org/wp-content/uploads/2013/10/EricProvost.png" TargetMode="External"/><Relationship Id="rId1324" Type="http://schemas.openxmlformats.org/officeDocument/2006/relationships/hyperlink" Target="http://www.fatalencounters.org/wp-content/uploads/2013/10/VasiliosKatsouras.png" TargetMode="External"/><Relationship Id="rId1325" Type="http://schemas.openxmlformats.org/officeDocument/2006/relationships/hyperlink" Target="http://cdn.tegna-tv.com/-mm-/ef9b2ca2d5ef7ecd13b667d99dbef64dfa052bcf/c=10-0-290-373&amp;r=537&amp;c=0-0-534-712/local/-/media/2016/01/19/WFAA/WFAA/635888104699272438-gary-wayne-jones.jpg" TargetMode="External"/><Relationship Id="rId1326" Type="http://schemas.openxmlformats.org/officeDocument/2006/relationships/hyperlink" Target="http://image.al.com/home/bama-media/width380/img/news_huntsville_impact/photo/19593154-large.jpg" TargetMode="External"/><Relationship Id="rId1327" Type="http://schemas.openxmlformats.org/officeDocument/2006/relationships/hyperlink" Target="http://ww3.hdnux.com/photos/43/31/54/9280262/7/460x1240.jpg" TargetMode="External"/><Relationship Id="rId1328" Type="http://schemas.openxmlformats.org/officeDocument/2006/relationships/hyperlink" Target="http://consciouslyenlightened.com/wp-content/uploads/2016/01/b7ce1d5ed0282fa7.jpg" TargetMode="External"/><Relationship Id="rId1329" Type="http://schemas.openxmlformats.org/officeDocument/2006/relationships/hyperlink" Target="http://www.gannett-cdn.com/-mm-/3515ce114adcbc3142682653fc798ef69a04b7c1/c=0-50-321-292&amp;r=x404&amp;c=534x401/local/-/media/2016/01/28/TNGroup/Murfreesboro/635895900684549724-Vandarack.Jpg" TargetMode="External"/><Relationship Id="rId2570" Type="http://schemas.openxmlformats.org/officeDocument/2006/relationships/hyperlink" Target="http://wgntv.com/2016/11/24/19-year-old-fatally-shot-by-chicago-police-in-west-englewood/" TargetMode="External"/><Relationship Id="rId2571" Type="http://schemas.openxmlformats.org/officeDocument/2006/relationships/hyperlink" Target="http://woodtv.com/2016/11/23/man-killed-in-holland-twp-officer-involved-shooting/" TargetMode="External"/><Relationship Id="rId2572" Type="http://schemas.openxmlformats.org/officeDocument/2006/relationships/hyperlink" Target="http://www.kcra.com/article/officer-involved-shooting-investigated-in-carmichael/8364155" TargetMode="External"/><Relationship Id="rId2573" Type="http://schemas.openxmlformats.org/officeDocument/2006/relationships/hyperlink" Target="http://www.tennessean.com/story/life/2016/11/24/pathways-employee-stabbed-suspect-shot-police/94395888/" TargetMode="External"/><Relationship Id="rId2574" Type="http://schemas.openxmlformats.org/officeDocument/2006/relationships/hyperlink" Target="http://www.fatalencounters.org/wp-content/uploads/2013/10/Carlos-Valencia.jpg" TargetMode="External"/><Relationship Id="rId2575" Type="http://schemas.openxmlformats.org/officeDocument/2006/relationships/hyperlink" Target="http://www.tucsonnewsnow.com/story/33792494/suspect-shot-by-police-officer-in-south-tucson" TargetMode="External"/><Relationship Id="rId2576" Type="http://schemas.openxmlformats.org/officeDocument/2006/relationships/hyperlink" Target="http://www.fatalencounters.org/wp-content/uploads/2013/10/Cleotha-Mitchell.jpg" TargetMode="External"/><Relationship Id="rId2577" Type="http://schemas.openxmlformats.org/officeDocument/2006/relationships/hyperlink" Target="http://www.chicagotribune.com/news/local/breaking/ct-police-involved-fatal-shooting-20161125-story.html" TargetMode="External"/><Relationship Id="rId2578" Type="http://schemas.openxmlformats.org/officeDocument/2006/relationships/hyperlink" Target="http://www.clarionledger.com/story/news/local/2016/11/25/injured-officer-involved-shooting-hub-city/94444704/" TargetMode="External"/><Relationship Id="rId2579" Type="http://schemas.openxmlformats.org/officeDocument/2006/relationships/hyperlink" Target="http://www.fatalencounters.org/wp-content/uploads/2013/10/Adame.jpg" TargetMode="External"/><Relationship Id="rId930" Type="http://schemas.openxmlformats.org/officeDocument/2006/relationships/hyperlink" Target="http://www.orlandosentinel.com/news/breaking-news/os-polk-deputy-involved-shooting-death-20150922-story.html" TargetMode="External"/><Relationship Id="rId931" Type="http://schemas.openxmlformats.org/officeDocument/2006/relationships/hyperlink" Target="http://www.reviewjournal.com/news/las-vegas/man-killed-north-las-vegas-officers-shootout-idd" TargetMode="External"/><Relationship Id="rId932" Type="http://schemas.openxmlformats.org/officeDocument/2006/relationships/hyperlink" Target="http://crimeblog.dallasnews.com/2015/09/police-investigating-officer-involved-shooting-in-north-dallas.html/" TargetMode="External"/><Relationship Id="rId933" Type="http://schemas.openxmlformats.org/officeDocument/2006/relationships/hyperlink" Target="http://www.tennessean.com/story/news/local/dickson/2015/09/18/dickson-co-man-fatally-shot-interaction-deputy/72415822/" TargetMode="External"/><Relationship Id="rId934" Type="http://schemas.openxmlformats.org/officeDocument/2006/relationships/hyperlink" Target="http://fox59.com/2015/09/23/exclusive-video-neighbors-call-police-action-shooting-into-question/" TargetMode="External"/><Relationship Id="rId935" Type="http://schemas.openxmlformats.org/officeDocument/2006/relationships/hyperlink" Target="http://www.nbcnews.com/news/us-news/gunman-fatally-shoots-florida-deputy-outside-law-office-n431866" TargetMode="External"/><Relationship Id="rId936" Type="http://schemas.openxmlformats.org/officeDocument/2006/relationships/hyperlink" Target="http://www.wfaa.com/story/news/crime/2015/09/24/mckinney-police-violence-shooting-officers-joseph-khammash/72761076/" TargetMode="External"/><Relationship Id="rId937" Type="http://schemas.openxmlformats.org/officeDocument/2006/relationships/hyperlink" Target="http://wsls.com/2015/09/24/grayson-county-deputy-involved-deadly-shooting/" TargetMode="External"/><Relationship Id="rId938" Type="http://schemas.openxmlformats.org/officeDocument/2006/relationships/hyperlink" Target="http://www.wkyt.com/home/headlines/KSP-investigating-deadly-officer-involved-shooting-in-Rockcastle-County-328144451.html" TargetMode="External"/><Relationship Id="rId939" Type="http://schemas.openxmlformats.org/officeDocument/2006/relationships/hyperlink" Target="http://www.9and10news.com/story/30057906/gladwin-county-man-dead-after-shooting-at-deputies" TargetMode="External"/><Relationship Id="rId1870" Type="http://schemas.openxmlformats.org/officeDocument/2006/relationships/hyperlink" Target="http://www.ksat.com/news/motel-guest-man-shot-killed-by-police-had-been-acting-strangely" TargetMode="External"/><Relationship Id="rId1871" Type="http://schemas.openxmlformats.org/officeDocument/2006/relationships/hyperlink" Target="http://fox59.com/2016/05/27/indiana-state-police-shoot-kill-suspect-during-drug-investigation/" TargetMode="External"/><Relationship Id="rId1872" Type="http://schemas.openxmlformats.org/officeDocument/2006/relationships/hyperlink" Target="http://www.wbrc.com/story/32088819/officer-involved-shooting-in-lincoln-leaves-1-dead" TargetMode="External"/><Relationship Id="rId1873" Type="http://schemas.openxmlformats.org/officeDocument/2006/relationships/hyperlink" Target="http://www.kob.com/albuquerque-news/police-man-in-critical-condition-after-officer-involved-shooting/4153659/?cat=504" TargetMode="External"/><Relationship Id="rId1874" Type="http://schemas.openxmlformats.org/officeDocument/2006/relationships/hyperlink" Target="http://www.fatalencounters.org/wp-content/uploads/2013/10/Brooks.png" TargetMode="External"/><Relationship Id="rId1875" Type="http://schemas.openxmlformats.org/officeDocument/2006/relationships/hyperlink" Target="http://www.tulsaworld.com/news/crimewatch/man-dies-after-tulsa-police-officer-pepper-sprays-shocks-him/article_d8d5b3f7-a624-573c-8c79-c20bc546dc66.html" TargetMode="External"/><Relationship Id="rId1876" Type="http://schemas.openxmlformats.org/officeDocument/2006/relationships/hyperlink" Target="http://www.mysanantonio.com/news/local/crime/article/Man-tasered-by-SAPD-officers-while-resisting-7951532.php" TargetMode="External"/><Relationship Id="rId1877" Type="http://schemas.openxmlformats.org/officeDocument/2006/relationships/hyperlink" Target="http://www.clickorlando.com/news/deputy-involved-shooting-closes-parts-of-17-92-in-deland" TargetMode="External"/><Relationship Id="rId1878" Type="http://schemas.openxmlformats.org/officeDocument/2006/relationships/hyperlink" Target="http://www.wral.com/clinton-police-shoot-armed-man-in-burger-king-parking-lot/15737165/" TargetMode="External"/><Relationship Id="rId1879" Type="http://schemas.openxmlformats.org/officeDocument/2006/relationships/hyperlink" Target="http://www.fatalencounters.org/wp-content/uploads/2013/10/Burroughs.png" TargetMode="External"/><Relationship Id="rId2030" Type="http://schemas.openxmlformats.org/officeDocument/2006/relationships/hyperlink" Target="http://www.goupstate.com/article/20160701/ARTICLES/160709949?Title=Shooting-reported-in-Landrum" TargetMode="External"/><Relationship Id="rId2031" Type="http://schemas.openxmlformats.org/officeDocument/2006/relationships/hyperlink" Target="http://fox6now.com/2016/07/01/one-woman-taken-to-hospital-following-officer-involved-critical-incident-in-village-of-jackson/" TargetMode="External"/><Relationship Id="rId2032" Type="http://schemas.openxmlformats.org/officeDocument/2006/relationships/hyperlink" Target="http://images1.ocweekly.com/imager/u/blog/7310719/vincent_valenzuela_and_son.png" TargetMode="External"/><Relationship Id="rId2033" Type="http://schemas.openxmlformats.org/officeDocument/2006/relationships/hyperlink" Target="http://www.ocweekly.com/news/homeless-man-left-in-coma-after-encounter-with-anaheim-police-dies-7328489" TargetMode="External"/><Relationship Id="rId2034" Type="http://schemas.openxmlformats.org/officeDocument/2006/relationships/hyperlink" Target="https://mgtvwspa.files.wordpress.com/2016/07/jai-williams-web.jpg?w=338&amp;h=450" TargetMode="External"/><Relationship Id="rId2035" Type="http://schemas.openxmlformats.org/officeDocument/2006/relationships/hyperlink" Target="http://www.citizen-times.com/story/news/local/2016/07/07/chief-addresses-community-concerns-wake-shooting/86743940/" TargetMode="External"/><Relationship Id="rId2036" Type="http://schemas.openxmlformats.org/officeDocument/2006/relationships/hyperlink" Target="http://www.heraldcourier.com/news/tbi-investigating-fatal-police-involved-shooting-in-bristol/article_a895dafe-40b5-11e6-848e-9797885cb990.html" TargetMode="External"/><Relationship Id="rId2037" Type="http://schemas.openxmlformats.org/officeDocument/2006/relationships/hyperlink" Target="http://www.katc.com/story/32363290/officer-involved-shooting-being-investigated-in-iberia-parish" TargetMode="External"/><Relationship Id="rId2038" Type="http://schemas.openxmlformats.org/officeDocument/2006/relationships/hyperlink" Target="http://www.rgj.com/story/news/2016/07/03/police-investigating-shooting-near-wingfest/86659740/" TargetMode="External"/><Relationship Id="rId2039" Type="http://schemas.openxmlformats.org/officeDocument/2006/relationships/hyperlink" Target="http://www.fatalencounters.org/wp-content/uploads/2013/10/AnthonyNunez.jpg" TargetMode="External"/><Relationship Id="rId3280" Type="http://schemas.openxmlformats.org/officeDocument/2006/relationships/hyperlink" Target="http://siouxlandnews.com/news/local/dci-investigating-officer-involved-shooting-in-milford-ia" TargetMode="External"/><Relationship Id="rId3281" Type="http://schemas.openxmlformats.org/officeDocument/2006/relationships/hyperlink" Target="http://www.fatalencounters.org/wp-content/uploads/2013/10/Peter-Selis.jpg" TargetMode="External"/><Relationship Id="rId3282" Type="http://schemas.openxmlformats.org/officeDocument/2006/relationships/hyperlink" Target="http://www.latimes.com/local/lanow/la-me-ln-la-jolla-shooting-20170430-story.html" TargetMode="External"/><Relationship Id="rId3283" Type="http://schemas.openxmlformats.org/officeDocument/2006/relationships/hyperlink" Target="http://kxan.com/2017/05/02/officer-involved-shooting-happening-in-northeast-austin/" TargetMode="External"/><Relationship Id="rId3284" Type="http://schemas.openxmlformats.org/officeDocument/2006/relationships/hyperlink" Target="http://www.fatalencounters.org/wp-content/uploads/2013/10/JosephAlain.jpg" TargetMode="External"/><Relationship Id="rId3285" Type="http://schemas.openxmlformats.org/officeDocument/2006/relationships/hyperlink" Target="http://www.khou.com/news/crime/conroe-pd-one-dead-after-shooting-inside-home/435750489" TargetMode="External"/><Relationship Id="rId3286" Type="http://schemas.openxmlformats.org/officeDocument/2006/relationships/hyperlink" Target="http://www.fatalencounters.org/wp-content/uploads/2013/10/Rodney-L.-Henderson.png" TargetMode="External"/><Relationship Id="rId3287" Type="http://schemas.openxmlformats.org/officeDocument/2006/relationships/hyperlink" Target="http://www.star-telegram.com/news/local/community/northeast-tarrant/article148047779.html" TargetMode="External"/><Relationship Id="rId3288" Type="http://schemas.openxmlformats.org/officeDocument/2006/relationships/hyperlink" Target="http://www.fatalencounters.org/wp-content/uploads/2013/10/Malik-Carey.jpg" TargetMode="External"/><Relationship Id="rId3289" Type="http://schemas.openxmlformats.org/officeDocument/2006/relationships/hyperlink" Target="http://woodtv.com/2017/05/03/grand-rapids-police-respond-to-officer-involved-shooting/" TargetMode="External"/><Relationship Id="rId1330" Type="http://schemas.openxmlformats.org/officeDocument/2006/relationships/hyperlink" Target="http://media.cmgdigital.com/shared/img/photos/2016/01/28/bd/20/isrealrodriguez.jpg" TargetMode="External"/><Relationship Id="rId1331" Type="http://schemas.openxmlformats.org/officeDocument/2006/relationships/hyperlink" Target="http://www.fatalencounters.org/wp-content/uploads/2013/10/Scanlon.png" TargetMode="External"/><Relationship Id="rId1332" Type="http://schemas.openxmlformats.org/officeDocument/2006/relationships/hyperlink" Target="http://www.fatalencounters.org/wp-content/uploads/2013/10/JohnWesleySmith.jpg" TargetMode="External"/><Relationship Id="rId1333"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334" Type="http://schemas.openxmlformats.org/officeDocument/2006/relationships/hyperlink" Target="http://www.fatalencounters.org/wp-content/uploads/2013/10/Adams.png" TargetMode="External"/><Relationship Id="rId1335" Type="http://schemas.openxmlformats.org/officeDocument/2006/relationships/hyperlink" Target="http://thetimes-tribune.com/polopoly_fs/1.2003067.1454528509!/fileImage/httpImage/image.jpg_gen/derivatives/landscape_240/image.jpg" TargetMode="External"/><Relationship Id="rId1336" Type="http://schemas.openxmlformats.org/officeDocument/2006/relationships/hyperlink" Target="http://www.fatalencounters.org/wp-content/uploads/2013/10/RaymondGassman.png" TargetMode="External"/><Relationship Id="rId1337" Type="http://schemas.openxmlformats.org/officeDocument/2006/relationships/hyperlink" Target="http://media2.kjrh.com/photo/2016/02/04/neuman_1454602954724_31350671_ver1.0_640_480.jpg" TargetMode="External"/><Relationship Id="rId1338" Type="http://schemas.openxmlformats.org/officeDocument/2006/relationships/hyperlink" Target="http://www.fatalencounters.org/wp-content/uploads/2013/10/KaydenClarke.png" TargetMode="External"/><Relationship Id="rId1339" Type="http://schemas.openxmlformats.org/officeDocument/2006/relationships/hyperlink" Target="https://localtvwjw.files.wordpress.com/2016/02/thomas-hirko.jpg?w=338&amp;h=450" TargetMode="External"/><Relationship Id="rId2580" Type="http://schemas.openxmlformats.org/officeDocument/2006/relationships/hyperlink" Target="http://www.abc15.com/news/region-west-valley/surprise/surprise-police-shoot-and-kill-suspect-that-injured-officer-while-trying-to-flee-scene" TargetMode="External"/><Relationship Id="rId2581" Type="http://schemas.openxmlformats.org/officeDocument/2006/relationships/hyperlink" Target="http://fox4kc.com/2016/11/27/breaking-officer-involved-shooting-at-olathe-wal-mart/" TargetMode="External"/><Relationship Id="rId2582" Type="http://schemas.openxmlformats.org/officeDocument/2006/relationships/hyperlink" Target="http://www.theadvocate.com/baton_rouge/news/crime_police/article_afa3af80-b4fd-11e6-86ea-5fc86837b8ba.html" TargetMode="External"/><Relationship Id="rId2583" Type="http://schemas.openxmlformats.org/officeDocument/2006/relationships/hyperlink" Target="http://www.fatalencounters.org/wp-content/uploads/2013/10/norman-strobel.jpg" TargetMode="External"/><Relationship Id="rId2584" Type="http://schemas.openxmlformats.org/officeDocument/2006/relationships/hyperlink" Target="http://www.wcsh6.com/news/local/windham/deputies-shoot-and-kill-man-in-naples-after-exchange-of-gunfire/356211728" TargetMode="External"/><Relationship Id="rId2585" Type="http://schemas.openxmlformats.org/officeDocument/2006/relationships/hyperlink" Target="http://www.fatalencounters.org/wp-content/uploads/2013/10/Pablo-Renato-Cartagena.jpg" TargetMode="External"/><Relationship Id="rId2586" Type="http://schemas.openxmlformats.org/officeDocument/2006/relationships/hyperlink" Target="http://ktla.com/2016/11/28/man-shot-dead-by-police-during-foot-chase-in-historic-south-central-lapd/" TargetMode="External"/><Relationship Id="rId2587" Type="http://schemas.openxmlformats.org/officeDocument/2006/relationships/hyperlink" Target="http://www.fatalencounters.org/wp-content/uploads/2013/10/Richard-Grimes.jpg" TargetMode="External"/><Relationship Id="rId2588" Type="http://schemas.openxmlformats.org/officeDocument/2006/relationships/hyperlink" Target="http://chicago.suntimes.com/news/person-shot-by-chicago-police-in-west-garfield-park/" TargetMode="External"/><Relationship Id="rId2589" Type="http://schemas.openxmlformats.org/officeDocument/2006/relationships/hyperlink" Target="http://bloximages.newyork1.vip.townnews.com/stltoday.com/content/tncms/assets/v3/editorial/a/10/a10d941a-900a-5652-a074-e61b52a7719b/583db8c4de25c.image.jpg" TargetMode="External"/><Relationship Id="rId940" Type="http://schemas.openxmlformats.org/officeDocument/2006/relationships/hyperlink" Target="http://www.dnronline.com/article/hpd_officer_shooting" TargetMode="External"/><Relationship Id="rId941" Type="http://schemas.openxmlformats.org/officeDocument/2006/relationships/hyperlink" Target="http://www.pe.com/articles/activity-780802-police-freeway.html" TargetMode="External"/><Relationship Id="rId942" Type="http://schemas.openxmlformats.org/officeDocument/2006/relationships/hyperlink" Target="http://gazette.com/fountain-police-officer-who-fatally-shot-teen-is-identified/article/1560162" TargetMode="External"/><Relationship Id="rId943" Type="http://schemas.openxmlformats.org/officeDocument/2006/relationships/hyperlink" Target="http://www.startribune.com/st-paul-man-killed-in-officer-involved-shooting-is-identified/329566071/" TargetMode="External"/><Relationship Id="rId944" Type="http://schemas.openxmlformats.org/officeDocument/2006/relationships/hyperlink" Target="http://www.ksfy.com/home/headlines/Suspect-shot-during-chase-near-ski-resort-in-Lead-dies-327960971.html" TargetMode="External"/><Relationship Id="rId945" Type="http://schemas.openxmlformats.org/officeDocument/2006/relationships/hyperlink" Target="http://www.kltv.com/story/30089332/identity-of-man-killed-in-altercation-with-dps-trooper-released" TargetMode="External"/><Relationship Id="rId946" Type="http://schemas.openxmlformats.org/officeDocument/2006/relationships/hyperlink" Target="http://www.clickorlando.com/news/man-killed-pregnant-woman-injured-during-shootout/35407050" TargetMode="External"/><Relationship Id="rId947" Type="http://schemas.openxmlformats.org/officeDocument/2006/relationships/hyperlink" Target="http://www.montereyherald.com/general-news/20150922/sand-city-shooting-mother-of-dead-suspect-recalls-sons-troubles" TargetMode="External"/><Relationship Id="rId948" Type="http://schemas.openxmlformats.org/officeDocument/2006/relationships/hyperlink" Target="http://www.nbclosangeles.com/news/local/Ontario-Police-Shooting-324830551.html" TargetMode="External"/><Relationship Id="rId949" Type="http://schemas.openxmlformats.org/officeDocument/2006/relationships/hyperlink" Target="http://www.montereyherald.com/general-news/20150922/sand-city-shooting-mother-of-dead-suspect-recalls-sons-troubles" TargetMode="External"/><Relationship Id="rId1880" Type="http://schemas.openxmlformats.org/officeDocument/2006/relationships/hyperlink" Target="http://abc11.com/news/1-dead-after-deputy-involved-shooting-in-rockingham-co/1361749/" TargetMode="External"/><Relationship Id="rId1881" Type="http://schemas.openxmlformats.org/officeDocument/2006/relationships/hyperlink" Target="http://www.fatalencounters.org/wp-content/uploads/2013/10/Dionisio-Garza-III.png" TargetMode="External"/><Relationship Id="rId1882" Type="http://schemas.openxmlformats.org/officeDocument/2006/relationships/hyperlink" Target="http://abc13.com/news/mystery-surrounds-west-houston-mass-shooting/1362286/" TargetMode="External"/><Relationship Id="rId1883" Type="http://schemas.openxmlformats.org/officeDocument/2006/relationships/hyperlink" Target="http://www.journalnow.com/news/crime/rural-hall-man-dies-in-chase-with-highway-patrol-after/article_c38bd802-c954-5f84-8f20-7aac042d3b47.html" TargetMode="External"/><Relationship Id="rId1884" Type="http://schemas.openxmlformats.org/officeDocument/2006/relationships/hyperlink" Target="http://bloximages.chicago2.vip.townnews.com/tucson.com/content/tncms/assets/v3/editorial/a/e7/ae79fbd0-2792-11e6-ab5a-77abeb9d06ab/574e31338aace.image.jpg" TargetMode="External"/><Relationship Id="rId1885" Type="http://schemas.openxmlformats.org/officeDocument/2006/relationships/hyperlink" Target="http://www.abc15.com/news/region-central-southern-az/tucson/man-osee-calix-shot-by-tucson-police-dies-from-his-injuries" TargetMode="External"/><Relationship Id="rId1886" Type="http://schemas.openxmlformats.org/officeDocument/2006/relationships/hyperlink" Target="http://www.fatalencounters.org/wp-content/uploads/2013/10/Robert-Wickizer.jpg" TargetMode="External"/><Relationship Id="rId1887" Type="http://schemas.openxmlformats.org/officeDocument/2006/relationships/hyperlink" Target="http://www.oregonlive.com/tualatin/index.ssf/2016/05/tualatin_police_shoot_man.html" TargetMode="External"/><Relationship Id="rId1888" Type="http://schemas.openxmlformats.org/officeDocument/2006/relationships/hyperlink" Target="http://www.azcentral.com/story/news/local/phoenix-breaking/2016/06/01/pedestrian-hit-and-killed-phoenix-police-car-identified/85267020/" TargetMode="External"/><Relationship Id="rId1889" Type="http://schemas.openxmlformats.org/officeDocument/2006/relationships/hyperlink" Target="http://www.fatalencounters.org/wp-content/uploads/2013/10/Nicholas-Berger.jpg" TargetMode="External"/><Relationship Id="rId2040" Type="http://schemas.openxmlformats.org/officeDocument/2006/relationships/hyperlink" Target="http://www.mercurynews.com/crime-courts/ci_30090228/san-jose-police-investigating-officer-involved-shooting-man" TargetMode="External"/><Relationship Id="rId2041" Type="http://schemas.openxmlformats.org/officeDocument/2006/relationships/hyperlink" Target="http://abc7.com/news/1-killed-1-arrested-in-fullerton-officer-involved-shooting/1412501/" TargetMode="External"/><Relationship Id="rId2042" Type="http://schemas.openxmlformats.org/officeDocument/2006/relationships/hyperlink" Target="http://www.nbcwashington.com/news/local/Metro-Transit-Officer-Shoots-Man-Near-Deanwood-Metro-Station-385521951.html" TargetMode="External"/><Relationship Id="rId2043" Type="http://schemas.openxmlformats.org/officeDocument/2006/relationships/hyperlink" Target="http://www.fatalencounters.org/wp-content/uploads/2013/10/Delrawn.jpg" TargetMode="External"/><Relationship Id="rId2044" Type="http://schemas.openxmlformats.org/officeDocument/2006/relationships/hyperlink" Target="http://pix11.com/2016/07/04/off-duty-cop-shoots-motorist-in-brooklyn-road-rage-incident-police-sources/" TargetMode="External"/><Relationship Id="rId2045" Type="http://schemas.openxmlformats.org/officeDocument/2006/relationships/hyperlink" Target="http://www.fatalencounters.org/wp-content/uploads/2013/10/William-Tracy-Patterson.jpg" TargetMode="External"/><Relationship Id="rId2046" Type="http://schemas.openxmlformats.org/officeDocument/2006/relationships/hyperlink" Target="http://counton2.com/2016/07/05/suspect-in-north-charleston-standoff-with-police-dies-in-hospital/" TargetMode="External"/><Relationship Id="rId2047" Type="http://schemas.openxmlformats.org/officeDocument/2006/relationships/hyperlink" Target="http://inforney.com/local-news/item/4587-police-shoot-kill-knife-wielding-assailant-two-airlifted" TargetMode="External"/><Relationship Id="rId2048" Type="http://schemas.openxmlformats.org/officeDocument/2006/relationships/hyperlink" Target="http://www.al.com/news/index.ssf/2016/07/knife-wielding_arizona_woman_s.html" TargetMode="External"/><Relationship Id="rId2049" Type="http://schemas.openxmlformats.org/officeDocument/2006/relationships/hyperlink" Target="http://www.pe.com/articles/report-807550-fleeing-started.html" TargetMode="External"/><Relationship Id="rId3290" Type="http://schemas.openxmlformats.org/officeDocument/2006/relationships/hyperlink" Target="http://www.ajc.com/news/crime--law/update-man-dead-after-firing-police-officer-peachtree-city/5C9K420A9Aj2AG3InajhUO/" TargetMode="External"/><Relationship Id="rId3291" Type="http://schemas.openxmlformats.org/officeDocument/2006/relationships/hyperlink" Target="http://www.fatalencounters.org/wp-content/uploads/2013/10/Nicholas-Flusche.png" TargetMode="External"/><Relationship Id="rId3292" Type="http://schemas.openxmlformats.org/officeDocument/2006/relationships/hyperlink" Target="http://www.sfgate.com/bayarea/article/Shooting-shuts-down-part-of-Market-Street-in-SF-11118712.php" TargetMode="External"/><Relationship Id="rId3293" Type="http://schemas.openxmlformats.org/officeDocument/2006/relationships/hyperlink" Target="http://www.fatalencounters.org/wp-content/uploads/2013/10/Mirza-Tatlic.png" TargetMode="External"/><Relationship Id="rId3294" Type="http://schemas.openxmlformats.org/officeDocument/2006/relationships/hyperlink" Target="http://www.mercurynews.com/2017/05/03/san-jose-swat-team-called-to-willow-glen-neighborhood/" TargetMode="External"/><Relationship Id="rId3295" Type="http://schemas.openxmlformats.org/officeDocument/2006/relationships/hyperlink" Target="http://www.mercurynews.com/2017/05/03/san-jose-police-officer-shoots-man-during-response-to-family-disturbance/" TargetMode="External"/><Relationship Id="rId3296" Type="http://schemas.openxmlformats.org/officeDocument/2006/relationships/hyperlink" Target="http://abc13.com/news/swat-officers-fatally-shoot-armed-woman-in-katy-home/1954987/" TargetMode="External"/><Relationship Id="rId3297" Type="http://schemas.openxmlformats.org/officeDocument/2006/relationships/hyperlink" Target="http://www.whittierdailynews.com/general-news/20170504/man-dies-after-being-restrained-by-police-in-whittier" TargetMode="External"/><Relationship Id="rId3298" Type="http://schemas.openxmlformats.org/officeDocument/2006/relationships/hyperlink" Target="http://whdh.com/news/suspect-identified-in-shooting-of-braintree-police-officer/" TargetMode="External"/><Relationship Id="rId3299" Type="http://schemas.openxmlformats.org/officeDocument/2006/relationships/hyperlink" Target="http://www.fatalencounters.org/wp-content/uploads/2013/10/Steven-Allen-Price.png" TargetMode="External"/><Relationship Id="rId400" Type="http://schemas.openxmlformats.org/officeDocument/2006/relationships/hyperlink" Target="http://bloximages.chicago2.vip.townnews.com/wacotrib.com/content/tncms/assets/v3/editorial/d/8f/d8f5c52a-c474-5323-bbcf-9da3b5d574a5/543498624ad06.image.jpg" TargetMode="External"/><Relationship Id="rId401" Type="http://schemas.openxmlformats.org/officeDocument/2006/relationships/hyperlink" Target="http://www.wacotrib.com/news/courts_and_trials/woman-dies-in-mclennan-county-jail/article_295a2448-47f5-565b-b08b-7d0104877301.html" TargetMode="External"/><Relationship Id="rId402" Type="http://schemas.openxmlformats.org/officeDocument/2006/relationships/hyperlink" Target="http://www.miamiherald.com/news/state/florida/mqonpy/picture2628797/ALTERNATES/FREE_960/latandraellington" TargetMode="External"/><Relationship Id="rId403" Type="http://schemas.openxmlformats.org/officeDocument/2006/relationships/hyperlink" Target="http://www.miamiherald.com/news/state/florida/article2564576.html" TargetMode="External"/><Relationship Id="rId404" Type="http://schemas.openxmlformats.org/officeDocument/2006/relationships/hyperlink" Target="http://www.jrn.com/ktnv/news/Family-speaks-out-after-man-killed-by-police-in-shootout-278597311.html" TargetMode="External"/><Relationship Id="rId405" Type="http://schemas.openxmlformats.org/officeDocument/2006/relationships/hyperlink" Target="http://www.washingtonpost.com/local/man-shot-and-killed-by-officers-trying-to-serve-a-warrant-in-southeast-dc/2014/10/05/b755dfea-4c9b-11e4-aa5e-7153e466a02d_story.html" TargetMode="External"/><Relationship Id="rId406" Type="http://schemas.openxmlformats.org/officeDocument/2006/relationships/hyperlink" Target="http://www.gannett-cdn.com/-mm-/90407faa708f948b3bc41ed885ae0b6dbee7db9f/c=0-743-2448-2587&amp;r=x383&amp;c=540x380/local/-/media/WXIA/None/2014/10/03/1412363614000-photo-2-.JPG" TargetMode="External"/><Relationship Id="rId407" Type="http://schemas.openxmlformats.org/officeDocument/2006/relationships/hyperlink" Target="http://www.wlky.com/news/woman-shot-by-lmpd-officers-in-swat-situation-dies/28371462" TargetMode="External"/><Relationship Id="rId408" Type="http://schemas.openxmlformats.org/officeDocument/2006/relationships/hyperlink" Target="http://www.houstontx.gov/police/nr/2014/oct/nr141001-3.htm" TargetMode="External"/><Relationship Id="rId409" Type="http://schemas.openxmlformats.org/officeDocument/2006/relationships/hyperlink" Target="http://www.wfaa.com/story/news/crime/2014/09/23/man-death-police-custody-pepper-spray-dallas-university-park-police/16100715/" TargetMode="External"/><Relationship Id="rId1340" Type="http://schemas.openxmlformats.org/officeDocument/2006/relationships/hyperlink" Target="http://www.fatalencounters.org/wp-content/uploads/2013/10/BlakeFitzgerald.png" TargetMode="External"/><Relationship Id="rId1341" Type="http://schemas.openxmlformats.org/officeDocument/2006/relationships/hyperlink" Target="http://www.hawaiipolice.com/wp-content/gallery/01-20-16-wanted-ronald-barawis-jr/ronald-barawis.jpg" TargetMode="External"/><Relationship Id="rId1342" Type="http://schemas.openxmlformats.org/officeDocument/2006/relationships/hyperlink" Target="http://www.fatalencounters.org/wp-content/uploads/2013/10/Kid.png" TargetMode="External"/><Relationship Id="rId1343" Type="http://schemas.openxmlformats.org/officeDocument/2006/relationships/hyperlink" Target="http://ww2.hdnux.com/photos/43/64/26/9389457/13/920x920.jpg" TargetMode="External"/><Relationship Id="rId1344" Type="http://schemas.openxmlformats.org/officeDocument/2006/relationships/hyperlink" Target="http://stmedia.startribune.com/images/1birk021216.jpg" TargetMode="External"/><Relationship Id="rId1345" Type="http://schemas.openxmlformats.org/officeDocument/2006/relationships/hyperlink" Target="http://www.fatalencounters.org/wp-content/uploads/2013/10/Alijah.png" TargetMode="External"/><Relationship Id="rId1346" Type="http://schemas.openxmlformats.org/officeDocument/2006/relationships/hyperlink" Target="https://cbsdallas.files.wordpress.com/2016/02/watson-david-glen-cid-0617788.jpg?w=600&amp;h=750" TargetMode="External"/><Relationship Id="rId1347" Type="http://schemas.openxmlformats.org/officeDocument/2006/relationships/hyperlink" Target="http://www.fatalencounters.org/wp-content/uploads/2013/10/BrandonLeeWitth-1.png" TargetMode="External"/><Relationship Id="rId1348" Type="http://schemas.openxmlformats.org/officeDocument/2006/relationships/hyperlink" Target="http://www.fatalencounters.org/wp-content/uploads/2013/10/Christopher.jpg" TargetMode="External"/><Relationship Id="rId1349" Type="http://schemas.openxmlformats.org/officeDocument/2006/relationships/hyperlink" Target="https://cbsdallas.files.wordpress.com/2016/02/padron_ronnie_lee.jpg?w=625&amp;h=352&amp;crop=1" TargetMode="External"/><Relationship Id="rId2590" Type="http://schemas.openxmlformats.org/officeDocument/2006/relationships/hyperlink" Target="http://www.bnd.com/news/local/article117611713.html" TargetMode="External"/><Relationship Id="rId2591" Type="http://schemas.openxmlformats.org/officeDocument/2006/relationships/hyperlink" Target="http://www.charlotteobserver.com/news/local/article117578618.html" TargetMode="External"/><Relationship Id="rId2592" Type="http://schemas.openxmlformats.org/officeDocument/2006/relationships/hyperlink" Target="http://www.fatalencounters.org/wp-content/uploads/2013/10/Abdul-Razak-Ali-Artan.jpg" TargetMode="External"/><Relationship Id="rId2593" Type="http://schemas.openxmlformats.org/officeDocument/2006/relationships/hyperlink" Target="http://www.dispatch.com/content/stories/local/2016/11/28/active-shooter.html" TargetMode="External"/><Relationship Id="rId2594" Type="http://schemas.openxmlformats.org/officeDocument/2006/relationships/hyperlink" Target="http://www.fatalencounters.org/wp-content/uploads/2013/10/BradleyKing.jpg" TargetMode="External"/><Relationship Id="rId2595" Type="http://schemas.openxmlformats.org/officeDocument/2006/relationships/hyperlink" Target="http://www.theindychannel.com/news/crime/one-dead-in-officer-involved-shooting-in-hendricks-county" TargetMode="External"/><Relationship Id="rId2596" Type="http://schemas.openxmlformats.org/officeDocument/2006/relationships/hyperlink" Target="https://www.bostonglobe.com/metro/2016/11/29/police-officer-shoots-lynnway/xUZfuq5nMXTsPUfL7mWAMI/story.html" TargetMode="External"/><Relationship Id="rId2597" Type="http://schemas.openxmlformats.org/officeDocument/2006/relationships/hyperlink" Target="http://www.fatalencounters.org/wp-content/uploads/2013/10/Alexander-Chance-Partain.jpg" TargetMode="External"/><Relationship Id="rId2598" Type="http://schemas.openxmlformats.org/officeDocument/2006/relationships/hyperlink" Target="http://www.independentmail.com/story/news/2016/11/29/deputy-injured-after-shots-fired-near-iva/94610208/" TargetMode="External"/><Relationship Id="rId2599" Type="http://schemas.openxmlformats.org/officeDocument/2006/relationships/hyperlink" Target="http://www.fatalencounters.org/wp-content/uploads/2013/10/Toby-Cummins.jpg" TargetMode="External"/><Relationship Id="rId950" Type="http://schemas.openxmlformats.org/officeDocument/2006/relationships/hyperlink" Target="http://www.nbcphiladelphia.com/news/breaking/Chester-Shooting-Hayes-6th-326599641.html" TargetMode="External"/><Relationship Id="rId951" Type="http://schemas.openxmlformats.org/officeDocument/2006/relationships/hyperlink" Target="http://www.sbsun.com/general-news/20150910/man-shot-killed-by-fontana-police-officer" TargetMode="External"/><Relationship Id="rId952" Type="http://schemas.openxmlformats.org/officeDocument/2006/relationships/hyperlink" Target="http://www.kionrightnow.com/news/local-news/update-moco-da-identifies-man-killed-during-officer-involved-shooting/35690628" TargetMode="External"/><Relationship Id="rId953" Type="http://schemas.openxmlformats.org/officeDocument/2006/relationships/hyperlink" Target="http://www.kgw.com/story/news/local/washington-county/2015/10/02/officer-shoots-woman-aloha/73258098/" TargetMode="External"/><Relationship Id="rId954" Type="http://schemas.openxmlformats.org/officeDocument/2006/relationships/hyperlink" Target="http://www.kvoa.com/story/30178157/shootout-behind-a-sierra-vista-church-leaves-one-man-dead" TargetMode="External"/><Relationship Id="rId955" Type="http://schemas.openxmlformats.org/officeDocument/2006/relationships/hyperlink" Target="http://www.waff.com/story/30190373/raw-emotion-following-mans-shooting-say-muscle-shoals-police" TargetMode="External"/><Relationship Id="rId956" Type="http://schemas.openxmlformats.org/officeDocument/2006/relationships/hyperlink" Target="http://amarillo.com/news/latest-news/2015-10-03/randall-county-sheriffs-office-ids-man-killed-officer-involved-shooting" TargetMode="External"/><Relationship Id="rId957" Type="http://schemas.openxmlformats.org/officeDocument/2006/relationships/hyperlink" Target="http://www.mycentraljersey.com/story/news/local/middlesex-county/2015/10/06/man-shot-dead-police-woodbridge-standoff/73442052/" TargetMode="External"/><Relationship Id="rId958" Type="http://schemas.openxmlformats.org/officeDocument/2006/relationships/hyperlink" Target="http://www.wptv.com/news/region-c-palm-beach-county/west-palm-beach/palm-beach-county-sheriffs-office-investigating-officer-involved-shooting" TargetMode="External"/><Relationship Id="rId959" Type="http://schemas.openxmlformats.org/officeDocument/2006/relationships/hyperlink" Target="http://www.baltimoresun.com/news/maryland/howard/columbia/bs-md-ho-police-shooting-20151009-story.html" TargetMode="External"/><Relationship Id="rId1890" Type="http://schemas.openxmlformats.org/officeDocument/2006/relationships/hyperlink" Target="http://www.oregonlive.com/pacific-northwest-news/index.ssf/2016/06/man_killed_by_police_at_bend_m.html" TargetMode="External"/><Relationship Id="rId1891" Type="http://schemas.openxmlformats.org/officeDocument/2006/relationships/hyperlink" Target="http://www.azcentral.com/story/news/local/phoenix/2016/06/01/police-kill-armed-man-west-phoenix-strip-mall/85233632/" TargetMode="External"/><Relationship Id="rId1892" Type="http://schemas.openxmlformats.org/officeDocument/2006/relationships/hyperlink" Target="http://www.fatalencounters.org/wp-content/uploads/2013/10/MichaelJohnson.jpg" TargetMode="External"/><Relationship Id="rId1893" Type="http://schemas.openxmlformats.org/officeDocument/2006/relationships/hyperlink" Target="http://www.ajc.com/news/news/crime-law/man-killed-by-deputies-had-10-outstanding-warrants/nrYnr/" TargetMode="External"/><Relationship Id="rId1894" Type="http://schemas.openxmlformats.org/officeDocument/2006/relationships/hyperlink" Target="http://www.fatalencounters.org/wp-content/uploads/2013/10/daniel-pigg.jpg" TargetMode="External"/><Relationship Id="rId1895" Type="http://schemas.openxmlformats.org/officeDocument/2006/relationships/hyperlink" Target="http://www.kentucky.com/news/local/crime/article81140062.html" TargetMode="External"/><Relationship Id="rId1896" Type="http://schemas.openxmlformats.org/officeDocument/2006/relationships/hyperlink" Target="http://www.ktuu.com/content/news/Trooper-involved-shooting-381742681.html" TargetMode="External"/><Relationship Id="rId1897" Type="http://schemas.openxmlformats.org/officeDocument/2006/relationships/hyperlink" Target="http://www.wcnc.com/news/crime/cmpd-officer-shoots-kills-suspect/229338499" TargetMode="External"/><Relationship Id="rId1898" Type="http://schemas.openxmlformats.org/officeDocument/2006/relationships/hyperlink" Target="http://www.fatalencounters.org/wp-content/uploads/2013/10/Douglas-Miller.jpg" TargetMode="External"/><Relationship Id="rId1899" Type="http://schemas.openxmlformats.org/officeDocument/2006/relationships/hyperlink" Target="http://www.kentucky.com/news/state/article81594212.html" TargetMode="External"/><Relationship Id="rId2050" Type="http://schemas.openxmlformats.org/officeDocument/2006/relationships/hyperlink" Target="http://www.fatalencounters.org/wp-content/uploads/2013/10/AltonSterling.jpg" TargetMode="External"/><Relationship Id="rId2051" Type="http://schemas.openxmlformats.org/officeDocument/2006/relationships/hyperlink" Target="http://www.wave3.com/story/32371223/officer-involved-shooting-leaves-man-dead" TargetMode="External"/><Relationship Id="rId2052" Type="http://schemas.openxmlformats.org/officeDocument/2006/relationships/hyperlink" Target="http://www.fatalencounters.org/wp-content/uploads/2013/10/JoshuaBolster.jpg" TargetMode="External"/><Relationship Id="rId2053" Type="http://schemas.openxmlformats.org/officeDocument/2006/relationships/hyperlink" Target="http://katu.com/news/local/family-speaks-out-about-man-killed-by-deputies-in-polk-county" TargetMode="External"/><Relationship Id="rId2054" Type="http://schemas.openxmlformats.org/officeDocument/2006/relationships/hyperlink" Target="http://www.latimes.com/local/lanow/la-me-ln-covina-lapd-officer-fatal-shooting-20160706-snap-story.html" TargetMode="External"/><Relationship Id="rId2055" Type="http://schemas.openxmlformats.org/officeDocument/2006/relationships/hyperlink" Target="http://www.fatalencounters.org/wp-content/uploads/2013/10/HT_PhilandoCastile.jpg" TargetMode="External"/><Relationship Id="rId2056" Type="http://schemas.openxmlformats.org/officeDocument/2006/relationships/hyperlink" Target="http://abcnews.go.com/US/man-minnesota-police-killed-traffic-stop/story?id=40402805" TargetMode="External"/><Relationship Id="rId2057" Type="http://schemas.openxmlformats.org/officeDocument/2006/relationships/hyperlink" Target="http://www.fatalencounters.org/wp-content/uploads/2013/10/kenyatta-moorehead.jpg" TargetMode="External"/><Relationship Id="rId2058" Type="http://schemas.openxmlformats.org/officeDocument/2006/relationships/hyperlink" Target="http://www.clarionledger.com/story/news/local/2016/07/07/report-more-details-released-standoff-suspect/86800686/" TargetMode="External"/><Relationship Id="rId2059" Type="http://schemas.openxmlformats.org/officeDocument/2006/relationships/hyperlink" Target="http://newsok.com/article/5508775" TargetMode="External"/><Relationship Id="rId410" Type="http://schemas.openxmlformats.org/officeDocument/2006/relationships/hyperlink" Target="http://www.elkharttruth.com/news/crime-fire-courts/2014/09/29/Joseph-Adam-Lee-died-from-multiple-gunshot-wounds-shooting-investigation-continues.html" TargetMode="External"/><Relationship Id="rId411" Type="http://schemas.openxmlformats.org/officeDocument/2006/relationships/hyperlink" Target="http://www.demingheadlight.com/deming-news/ci_26572049/pursuit-through-luna-county-ends-stand-off-las" TargetMode="External"/><Relationship Id="rId412" Type="http://schemas.openxmlformats.org/officeDocument/2006/relationships/hyperlink" Target="http://www.northwestgeorgianews.com/polkfishwrap/news/local/authorities--year-old-levi-weaver-shot-killed-by-polk/article_b26d6dba-408c-11e4-ba96-0017a43b2370.html" TargetMode="External"/><Relationship Id="rId413" Type="http://schemas.openxmlformats.org/officeDocument/2006/relationships/hyperlink" Target="http://www.twincities.com/localnews/ci_26675527/hermantown-man-dies-after-police-use-taser" TargetMode="External"/><Relationship Id="rId414" Type="http://schemas.openxmlformats.org/officeDocument/2006/relationships/hyperlink" Target="http://www.ajc.com/news/news/man-fatally-shot-by-police-on-savannah-street/nhP97/" TargetMode="External"/><Relationship Id="rId415" Type="http://schemas.openxmlformats.org/officeDocument/2006/relationships/hyperlink" Target="http://www.wwltv.com/story/news/local/orleans/2014/09/15/officer-shot-on-duty-in-good-spirits/15700815/" TargetMode="External"/><Relationship Id="rId416" Type="http://schemas.openxmlformats.org/officeDocument/2006/relationships/hyperlink" Target="http://www.copblock.org/wp-content/uploads/2014/09/ricky-deangelo-hinkle-jefferson-county-alabama-copblock.png" TargetMode="External"/><Relationship Id="rId417" Type="http://schemas.openxmlformats.org/officeDocument/2006/relationships/hyperlink" Target="http://www.al.com/news/birmingham/index.ssf/2014/09/jefferson_county_inmate_dies_a.html" TargetMode="External"/><Relationship Id="rId418" Type="http://schemas.openxmlformats.org/officeDocument/2006/relationships/hyperlink" Target="http://www.wkyt.com/home/headlines/Police-dealing-with-developing-situation-in-Madison-County-275029661.html" TargetMode="External"/><Relationship Id="rId419" Type="http://schemas.openxmlformats.org/officeDocument/2006/relationships/hyperlink" Target="http://www.kolotv.com/home/headlines/Officer-Involved-Shooting-Shuts-Down-Sutro-and-So-273796761.html" TargetMode="External"/><Relationship Id="rId1350" Type="http://schemas.openxmlformats.org/officeDocument/2006/relationships/hyperlink" Target="http://www.fatalencounters.org/wp-content/uploads/2013/10/Justin-Patrick-Moses.png" TargetMode="External"/><Relationship Id="rId1351" Type="http://schemas.openxmlformats.org/officeDocument/2006/relationships/hyperlink" Target="http://www.fatalencounters.org/wp-content/uploads/2013/10/Duggar.png" TargetMode="External"/><Relationship Id="rId1352" Type="http://schemas.openxmlformats.org/officeDocument/2006/relationships/hyperlink" Target="http://wlbt.images.worldnow.com/images/9927736_G.jpg" TargetMode="External"/><Relationship Id="rId1353" Type="http://schemas.openxmlformats.org/officeDocument/2006/relationships/hyperlink" Target="http://www.fatalencounters.org/wp-content/uploads/2013/10/Edgar-Camacho-Alvarado.jpg" TargetMode="External"/><Relationship Id="rId1354" Type="http://schemas.openxmlformats.org/officeDocument/2006/relationships/hyperlink" Target="http://alaska-native-news.com/wp-content/uploads/2016/02/image22-02-2016-08.59.26-283x300.jpg" TargetMode="External"/><Relationship Id="rId1355" Type="http://schemas.openxmlformats.org/officeDocument/2006/relationships/hyperlink" Target="http://media.cmgdigital.com/shared/img/photos/2016/02/23/57/fc/Loch.jpg" TargetMode="External"/><Relationship Id="rId1356" Type="http://schemas.openxmlformats.org/officeDocument/2006/relationships/hyperlink" Target="http://extras.mnginteractive.com/live/media/site36/2016/0224/20160224_031631_Alfonso_Padilla.jpg" TargetMode="External"/><Relationship Id="rId1357" Type="http://schemas.openxmlformats.org/officeDocument/2006/relationships/hyperlink" Target="http://www.fatalencounters.org/wp-content/uploads/2013/10/Wirth.png" TargetMode="External"/><Relationship Id="rId1358" Type="http://schemas.openxmlformats.org/officeDocument/2006/relationships/hyperlink" Target="http://www.fatalencounters.org/wp-content/uploads/2013/10/Keil.png" TargetMode="External"/><Relationship Id="rId1359" Type="http://schemas.openxmlformats.org/officeDocument/2006/relationships/hyperlink" Target="http://www.fatalencounters.org/wp-content/uploads/2013/10/Conti.png" TargetMode="External"/><Relationship Id="rId960" Type="http://schemas.openxmlformats.org/officeDocument/2006/relationships/hyperlink" Target="http://www.nhregister.com/general-news/20151011/police-identify-groton-man-31-as-suspect-killed-at-motel-in-old-saybrook" TargetMode="External"/><Relationship Id="rId961" Type="http://schemas.openxmlformats.org/officeDocument/2006/relationships/hyperlink" Target="http://www.mlive.com/news/grand-rapids/index.ssf/2015/10/deputy_shot_with_cross-bow_as.html" TargetMode="External"/><Relationship Id="rId962" Type="http://schemas.openxmlformats.org/officeDocument/2006/relationships/hyperlink" Target="http://www.fox8live.com/story/30234295/one-dead-following-officer-involved-shooting-at-a-lake-charles-home" TargetMode="External"/><Relationship Id="rId963" Type="http://schemas.openxmlformats.org/officeDocument/2006/relationships/hyperlink" Target="http://homicide.latimes.com/post/james-joseph-byrd/" TargetMode="External"/><Relationship Id="rId964" Type="http://schemas.openxmlformats.org/officeDocument/2006/relationships/hyperlink" Target="http://www.kirklandreporter.com/news/337724201.html" TargetMode="External"/><Relationship Id="rId965" Type="http://schemas.openxmlformats.org/officeDocument/2006/relationships/hyperlink" Target="http://www.wfaa.com/story/news/local/tarrant-county/2015/10/05/suspect-killed-in-hurst-officer-involved-shooting/73425460/" TargetMode="External"/><Relationship Id="rId966" Type="http://schemas.openxmlformats.org/officeDocument/2006/relationships/hyperlink" Target="http://www.salemnews.com/news/local_news/hamilton-man-killed-after-police-involved-shooting-in-beverly/article_ec3bb5b9-6453-5915-8189-4894e3d43a40.html" TargetMode="External"/><Relationship Id="rId967" Type="http://schemas.openxmlformats.org/officeDocument/2006/relationships/hyperlink" Target="http://www.sbsun.com/general-news/20151011/san-bernardino-police-officer-fatally-shoots-suspect" TargetMode="External"/><Relationship Id="rId968" Type="http://schemas.openxmlformats.org/officeDocument/2006/relationships/hyperlink" Target="http://www.chicagotribune.com/news/local/breaking/ct-lisle-fatal-police-shooting-20151010-story.html" TargetMode="External"/><Relationship Id="rId969" Type="http://schemas.openxmlformats.org/officeDocument/2006/relationships/hyperlink" Target="http://www.sbsun.com/general-news/20151011/deputies-shoot-kill-man-in-pinon-hills" TargetMode="External"/><Relationship Id="rId2060" Type="http://schemas.openxmlformats.org/officeDocument/2006/relationships/hyperlink" Target="http://www.al.com/news/index.ssf/2016/07/selma_police_officer_returns_f.html" TargetMode="External"/><Relationship Id="rId2061" Type="http://schemas.openxmlformats.org/officeDocument/2006/relationships/hyperlink" Target="http://www.fresnobee.com/news/local/crime/article88607337.html" TargetMode="External"/><Relationship Id="rId2062" Type="http://schemas.openxmlformats.org/officeDocument/2006/relationships/hyperlink" Target="http://patch.com/california/southgate-lynwood/knife-wielding-suspect-killed-police-idd-vinson-lee-ramos" TargetMode="External"/><Relationship Id="rId2063" Type="http://schemas.openxmlformats.org/officeDocument/2006/relationships/hyperlink" Target="https://timedotcom.files.wordpress.com/2016/07/micah_johnson_dallas.jpg?quality=75&amp;strip=color&amp;w=1012" TargetMode="External"/><Relationship Id="rId2064" Type="http://schemas.openxmlformats.org/officeDocument/2006/relationships/hyperlink" Target="http://heavy.com/news/2016/07/micah-xavier-x-johnson-dallas-police-shooting-sniper-gunman-shooter-suspect-name-identified-photos-facebook-video/" TargetMode="External"/><Relationship Id="rId2065" Type="http://schemas.openxmlformats.org/officeDocument/2006/relationships/hyperlink" Target="http://tucson.com/news/local/crime/authorities-identify-man-shot-killed-by-tucson-police/article_127167be-4619-11e6-963c-17990d7f248d.html" TargetMode="External"/><Relationship Id="rId2066" Type="http://schemas.openxmlformats.org/officeDocument/2006/relationships/hyperlink" Target="http://assets.nydailynews.com/polopoly_fs/1.2706517.1468187229!/img/httpImage/image.jpg_gen/derivatives/article_1200/stlouis11n-1-web.jpg" TargetMode="External"/><Relationship Id="rId2067" Type="http://schemas.openxmlformats.org/officeDocument/2006/relationships/hyperlink" Target="http://fox2now.com/2016/07/09/off-duty-officer-shoots-person-trying-to-break-into-south-county-home/" TargetMode="External"/><Relationship Id="rId2068" Type="http://schemas.openxmlformats.org/officeDocument/2006/relationships/hyperlink" Target="http://newsok.com/article/5509016" TargetMode="External"/><Relationship Id="rId2069" Type="http://schemas.openxmlformats.org/officeDocument/2006/relationships/hyperlink" Target="http://www.fatalencounters.org/wp-content/uploads/2013/10/alva-braziel2-1024x538.jpg" TargetMode="External"/><Relationship Id="rId420" Type="http://schemas.openxmlformats.org/officeDocument/2006/relationships/hyperlink" Target="http://www.cleveland.com/metro/index.ssf/2014/09/man_shot_killed_by_cleveland_p.html" TargetMode="External"/><Relationship Id="rId421" Type="http://schemas.openxmlformats.org/officeDocument/2006/relationships/hyperlink" Target="http://nypost.com/2014/09/06/man-who-shot-nypd-cop-dies-after-surgery/" TargetMode="External"/><Relationship Id="rId422" Type="http://schemas.openxmlformats.org/officeDocument/2006/relationships/hyperlink" Target="http://www.king5.com/story/news/local/seattle/2014/09/01/police-find-gun-arsenal-queen-anne-home-shooting/14946055/" TargetMode="External"/><Relationship Id="rId423" Type="http://schemas.openxmlformats.org/officeDocument/2006/relationships/hyperlink" Target="https://cbsnewyork.files.wordpress.com/2014/08/singelton2.jpg?w=620&amp;h=349&amp;crop=1" TargetMode="External"/><Relationship Id="rId424" Type="http://schemas.openxmlformats.org/officeDocument/2006/relationships/hyperlink" Target="http://www.nydailynews.com/new-york/nyc-crime/death-man-high-pcp-restrained-cops-ruled-homicide-article-1.1922055" TargetMode="External"/><Relationship Id="rId425" Type="http://schemas.openxmlformats.org/officeDocument/2006/relationships/hyperlink" Target="http://www.mprnews.org/story/2014/11/17/police-justified-in-ramsey-shooting" TargetMode="External"/><Relationship Id="rId426" Type="http://schemas.openxmlformats.org/officeDocument/2006/relationships/hyperlink" Target="http://www.redding.com/news/local-news/deputies-person-shot-on-fig-tree-lane" TargetMode="External"/><Relationship Id="rId427" Type="http://schemas.openxmlformats.org/officeDocument/2006/relationships/hyperlink" Target="http://www.baltimoresun.com/news/maryland/baltimore-county/bs-md-co-in-custody-death-20140821-story.html" TargetMode="External"/><Relationship Id="rId428" Type="http://schemas.openxmlformats.org/officeDocument/2006/relationships/hyperlink" Target="http://www.philly.com/philly/news/20140820_Cop_grazed_by_bullet__suspect_killed.html" TargetMode="External"/><Relationship Id="rId429" Type="http://schemas.openxmlformats.org/officeDocument/2006/relationships/hyperlink" Target="http://homicide.latimes.com/post/andre-maurice-jones/" TargetMode="External"/><Relationship Id="rId1360" Type="http://schemas.openxmlformats.org/officeDocument/2006/relationships/hyperlink" Target="http://wbrc.images.worldnow.com/images/9993596_G.jpg" TargetMode="External"/><Relationship Id="rId1361" Type="http://schemas.openxmlformats.org/officeDocument/2006/relationships/hyperlink" Target="http://www.fatalencounters.org/wp-content/uploads/2013/10/Corcino.png" TargetMode="External"/><Relationship Id="rId1362" Type="http://schemas.openxmlformats.org/officeDocument/2006/relationships/hyperlink" Target="http://www.star-telegram.com/news/local/community/northeast-tarrant/se43gt/picture63583772/ALTERNATES/FREE_960/gonzales3" TargetMode="External"/><Relationship Id="rId1363" Type="http://schemas.openxmlformats.org/officeDocument/2006/relationships/hyperlink" Target="https://1.bp.blogspot.com/-weo6YmWipXE/Vt1nsXODkjI/AAAAAAAAZpc/39wgsT680yw/s320/kennethstanley.JPG" TargetMode="External"/><Relationship Id="rId1364" Type="http://schemas.openxmlformats.org/officeDocument/2006/relationships/hyperlink" Target="http://kbmt.images.worldnow.com/images/10044845_G.jpg" TargetMode="External"/><Relationship Id="rId1365" Type="http://schemas.openxmlformats.org/officeDocument/2006/relationships/hyperlink" Target="http://s3.amazonaws.com/tributecenteronline/Obituaries/817668/Thumbnail.jpg" TargetMode="External"/><Relationship Id="rId1366" Type="http://schemas.openxmlformats.org/officeDocument/2006/relationships/hyperlink" Target="http://content.wfaa.com/photo/2016/03/07/mark-minnick_1457373452280_894376_ver1.0.jpg" TargetMode="External"/><Relationship Id="rId1367" Type="http://schemas.openxmlformats.org/officeDocument/2006/relationships/hyperlink" Target="http://www.gannett-cdn.com/-mm-/0c5dbc40536f426fd1e922257edee4059af6bbcc/c=0-0-351-468&amp;r=537&amp;c=0-0-534-712/local/-/media/2016/03/09/TXNMGroup/Carlsbad/635931229320708002-chavez.jpg" TargetMode="External"/><Relationship Id="rId1368" Type="http://schemas.openxmlformats.org/officeDocument/2006/relationships/hyperlink" Target="http://www.fatalencounters.org/wp-content/uploads/2013/10/Byron.png" TargetMode="External"/><Relationship Id="rId1369" Type="http://schemas.openxmlformats.org/officeDocument/2006/relationships/hyperlink" Target="http://media.graytvinc.com/images/690*388/Selsor.jpg" TargetMode="External"/><Relationship Id="rId970" Type="http://schemas.openxmlformats.org/officeDocument/2006/relationships/hyperlink" Target="http://www.oaoa.com/news/article_56304b5e-70eb-11e5-b3b8-73e54f868fb5.html" TargetMode="External"/><Relationship Id="rId971" Type="http://schemas.openxmlformats.org/officeDocument/2006/relationships/hyperlink" Target="http://wjtv.com/2015/10/13/suspect-identified-in-brookhaven-standoff-2-officers-injured/" TargetMode="External"/><Relationship Id="rId972" Type="http://schemas.openxmlformats.org/officeDocument/2006/relationships/hyperlink" Target="http://www.ledger-enquirer.com/news/local/crime/article39281184.html" TargetMode="External"/><Relationship Id="rId973" Type="http://schemas.openxmlformats.org/officeDocument/2006/relationships/hyperlink" Target="http://www.miamiherald.com/news/local/community/miami-dade/article39262830.html" TargetMode="External"/><Relationship Id="rId974" Type="http://schemas.openxmlformats.org/officeDocument/2006/relationships/hyperlink" Target="http://www.reviewjournal.com/news/las-vegas/metro-woman-killed-after-firing-officers-stolen-car" TargetMode="External"/><Relationship Id="rId975" Type="http://schemas.openxmlformats.org/officeDocument/2006/relationships/hyperlink" Target="http://www.desertsun.com/story/news/crime_courts/2015/10/14/possible-shooting-indio-apartments/73951052/" TargetMode="External"/><Relationship Id="rId976" Type="http://schemas.openxmlformats.org/officeDocument/2006/relationships/hyperlink" Target="http://www.thecalifornian.com/story/news/my-safety/2015/10/14/officer-involved-shooting-breaks-out-seaside/73954434/" TargetMode="External"/><Relationship Id="rId977" Type="http://schemas.openxmlformats.org/officeDocument/2006/relationships/hyperlink" Target="http://www.sfexaminer.com/new-details-emerge-fatal-mid-market-police-shooting/" TargetMode="External"/><Relationship Id="rId978" Type="http://schemas.openxmlformats.org/officeDocument/2006/relationships/hyperlink" Target="http://www.cleveland.com/parma/index.ssf/2015/10/suspect_in_robbery_of_parma_pa.html" TargetMode="External"/><Relationship Id="rId979" Type="http://schemas.openxmlformats.org/officeDocument/2006/relationships/hyperlink" Target="http://www.pe.com/articles/shooting-782957-information-officer.html" TargetMode="External"/><Relationship Id="rId2070" Type="http://schemas.openxmlformats.org/officeDocument/2006/relationships/hyperlink" Target="http://www.newsweek.com/alva-braziel-what-we-know-houston-police-shooting-479210" TargetMode="External"/><Relationship Id="rId2071" Type="http://schemas.openxmlformats.org/officeDocument/2006/relationships/hyperlink" Target="http://www.sacbee.com/news/local/crime/article88885402.html" TargetMode="External"/><Relationship Id="rId2072" Type="http://schemas.openxmlformats.org/officeDocument/2006/relationships/hyperlink" Target="http://www.ksdk.com/news/local/officer-involved-shooting-in-east-st-louis/269594035" TargetMode="External"/><Relationship Id="rId2073" Type="http://schemas.openxmlformats.org/officeDocument/2006/relationships/hyperlink" Target="http://www.freep.com/story/news/local/michigan/wayne/2016/07/11/romulus-police-fatally-shoot-homicide-suspect-hotel/86950836/" TargetMode="External"/><Relationship Id="rId2074" Type="http://schemas.openxmlformats.org/officeDocument/2006/relationships/hyperlink" Target="http://www.fatalencounters.org/wp-content/uploads/2013/10/Larrygordon.jpg" TargetMode="External"/><Relationship Id="rId2075" Type="http://schemas.openxmlformats.org/officeDocument/2006/relationships/hyperlink" Target="http://www.freep.com/story/news/local/michigan/2016/07/11/reports-shots-fired-berrien-county-courthouse-st-joseph/86953034/" TargetMode="External"/><Relationship Id="rId2076" Type="http://schemas.openxmlformats.org/officeDocument/2006/relationships/hyperlink" Target="http://www.nytimes.com/2016/07/12/nyregion/man-killed-by-officers-responding-to-burglary-report-in-brooklyn.html?_r=1" TargetMode="External"/><Relationship Id="rId2077" Type="http://schemas.openxmlformats.org/officeDocument/2006/relationships/hyperlink" Target="http://www.ktva.com/robbery-turns-into-officer-involved-shooting-behind-anchorage-home-depot-400/" TargetMode="External"/><Relationship Id="rId2078" Type="http://schemas.openxmlformats.org/officeDocument/2006/relationships/hyperlink" Target="http://www.al.com/news/birmingham/index.ssf/2016/07/birmingham_burglar_dies_after.html" TargetMode="External"/><Relationship Id="rId2079" Type="http://schemas.openxmlformats.org/officeDocument/2006/relationships/hyperlink" Target="http://www.theadvertiser.com/story/news/crime/2016/07/13/kaplan-man-unresponsive-during-arrest-pronounced-dead-hospital/87060206/" TargetMode="External"/><Relationship Id="rId3500" Type="http://schemas.openxmlformats.org/officeDocument/2006/relationships/hyperlink" Target="http://www.fatalencounters.org/wp-content/uploads/2013/10/Kaylee-Sawyer.jpg" TargetMode="External"/><Relationship Id="rId3501" Type="http://schemas.openxmlformats.org/officeDocument/2006/relationships/hyperlink" Target="http://www.oregonlive.com/pacific-northwest-news/index.ssf/2016/07/person_of_interest_in_bend_hom.html" TargetMode="External"/><Relationship Id="rId3502" Type="http://schemas.openxmlformats.org/officeDocument/2006/relationships/hyperlink" Target="http://www.wwltv.com/news/local/pedestrian-struck-killed-by-state-police-patrol-vehicle-on-highway/284529680" TargetMode="External"/><Relationship Id="rId3503" Type="http://schemas.openxmlformats.org/officeDocument/2006/relationships/hyperlink" Target="http://www.palmbeachpost.com/news/news/crime-law/fhp-fatal-crash-on-i-95-in-gardens-all-southbound-/nr7fz/?ecmp=pbp_social_twitter_2015_sfp" TargetMode="External"/><Relationship Id="rId3504" Type="http://schemas.openxmlformats.org/officeDocument/2006/relationships/hyperlink" Target="http://www.khou.com/img/resize/content.khou.com/photo/2016/08/16/brian-manring_1471385260215_5377214_ver1.0.jpg?preset=video-still" TargetMode="External"/><Relationship Id="rId3505" Type="http://schemas.openxmlformats.org/officeDocument/2006/relationships/hyperlink" Target="http://www.chron.com/local/article/Deputies-Houston-police-officer-charged-in-fatal-9170856.php" TargetMode="External"/><Relationship Id="rId3506" Type="http://schemas.openxmlformats.org/officeDocument/2006/relationships/hyperlink" Target="http://www.pjstar.com/news/20160813/freeport-man-killed-when-struck-by-illinois-state-police-trooper-early-saturday" TargetMode="External"/><Relationship Id="rId3507" Type="http://schemas.openxmlformats.org/officeDocument/2006/relationships/hyperlink" Target="http://wreg.com/2016/10/02/innocent-person-killed-during-police-chase-in-arkansas/" TargetMode="External"/><Relationship Id="rId3508" Type="http://schemas.openxmlformats.org/officeDocument/2006/relationships/hyperlink" Target="http://www.fatalencounters.org/wp-content/uploads/2013/10/Cassandra-Marie-Braun.jpg" TargetMode="External"/><Relationship Id="rId3509" Type="http://schemas.openxmlformats.org/officeDocument/2006/relationships/hyperlink" Target="http://katv.com/news/local/victims-trooper-involved-in-hot-springs-fatal-wreck-identified" TargetMode="External"/><Relationship Id="rId430" Type="http://schemas.openxmlformats.org/officeDocument/2006/relationships/hyperlink" Target="http://www.9news.com/story/news/crime/2014/08/13/greeley-officer-involved-shoot-veteran-shoot-out-call/14006469/" TargetMode="External"/><Relationship Id="rId431" Type="http://schemas.openxmlformats.org/officeDocument/2006/relationships/hyperlink" Target="http://neshobademocrat.com/main.asp?SectionID=2&amp;SubSectionID=297&amp;ArticleID=33427" TargetMode="External"/><Relationship Id="rId432" Type="http://schemas.openxmlformats.org/officeDocument/2006/relationships/hyperlink" Target="http://obits.dignitymemorial.com/dignity-memorial/obituary.aspx?n=James-DeVito&amp;lc=7339&amp;pid=172110208&amp;mid=6085341" TargetMode="External"/><Relationship Id="rId433" Type="http://schemas.openxmlformats.org/officeDocument/2006/relationships/hyperlink" Target="http://kbmt.images.worldnow.com/images/4452029_G.jpg" TargetMode="External"/><Relationship Id="rId434" Type="http://schemas.openxmlformats.org/officeDocument/2006/relationships/hyperlink" Target="http://www.12newsnow.com/story/26251863/family-seeks-answers-after-police-release-unconscious-man-who-died-moments-later" TargetMode="External"/><Relationship Id="rId435"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436" Type="http://schemas.openxmlformats.org/officeDocument/2006/relationships/hyperlink" Target="http://www.arklatexhomepage.com/story/d/story/man-killed-in-overnight-shooting-has-been-identifi/42931/M-T9-BnlDEKC3eIlvgv1Xg" TargetMode="External"/><Relationship Id="rId437" Type="http://schemas.openxmlformats.org/officeDocument/2006/relationships/hyperlink" Target="http://kpel965.com/la-state-police-handling-shooting-involving-crowley-police-officers/" TargetMode="External"/><Relationship Id="rId438" Type="http://schemas.openxmlformats.org/officeDocument/2006/relationships/hyperlink" Target="http://www.local10.com/news/1-killed-in-policeinvolved-shooting-in-miami-springs/26847256" TargetMode="External"/><Relationship Id="rId439" Type="http://schemas.openxmlformats.org/officeDocument/2006/relationships/hyperlink" Target="http://www.cincinnati.com/story/news/2014/08/05/cincinnati-police-officer-shoots-man-killed-traffic-stop/13611479/" TargetMode="External"/><Relationship Id="rId1370" Type="http://schemas.openxmlformats.org/officeDocument/2006/relationships/hyperlink" Target="http://d1t3gia0in9tdj.cloudfront.net/photo/tributes/t/8/r/207x207/3661403/Wesley-Sheppard-1457800784.png" TargetMode="External"/><Relationship Id="rId1371" Type="http://schemas.openxmlformats.org/officeDocument/2006/relationships/hyperlink" Target="http://www.fatalencounters.org/wp-content/uploads/2013/10/TeodoroValencia.png" TargetMode="External"/><Relationship Id="rId1372" Type="http://schemas.openxmlformats.org/officeDocument/2006/relationships/hyperlink" Target="http://www.cbs8.com/story/30869980/officer-involved-shooting-in-hillcrest-kills-man" TargetMode="External"/><Relationship Id="rId1373" Type="http://schemas.openxmlformats.org/officeDocument/2006/relationships/hyperlink" Target="http://helenair.com/news/crime-and-courts/man-dead-after-officer-involved-shooting-in-livingston/article_68963d1e-a02d-5b6b-808c-d0bcf0d840a8.html" TargetMode="External"/><Relationship Id="rId1374" Type="http://schemas.openxmlformats.org/officeDocument/2006/relationships/hyperlink" Target="http://www.argusleader.com/story/news/2016/01/02/accident-lewis/78206712/" TargetMode="External"/><Relationship Id="rId1375" Type="http://schemas.openxmlformats.org/officeDocument/2006/relationships/hyperlink" Target="http://www.bigcountryhomepage.com/news/breaking-news/murder-suspect-shot-by-sweetwater-police-officer-has-died" TargetMode="External"/><Relationship Id="rId1376" Type="http://schemas.openxmlformats.org/officeDocument/2006/relationships/hyperlink" Target="http://www.glendalestar.com/news/article_22eb33d6-b942-11e5-ba7a-1b3b9677c7ab.html" TargetMode="External"/><Relationship Id="rId1377" Type="http://schemas.openxmlformats.org/officeDocument/2006/relationships/hyperlink" Target="http://wjhl.com/2016/01/05/police-respond-to-report-of-shooting-in-johnson-city/" TargetMode="External"/><Relationship Id="rId1378" Type="http://schemas.openxmlformats.org/officeDocument/2006/relationships/hyperlink" Target="http://www.redding.com/news/local/Police-called-to-reported-shooting-in-Redding-364320701.html?d=mobile" TargetMode="External"/><Relationship Id="rId1379" Type="http://schemas.openxmlformats.org/officeDocument/2006/relationships/hyperlink" Target="http://www.modbee.com/news/local/crime/article53316480.html" TargetMode="External"/><Relationship Id="rId2800" Type="http://schemas.openxmlformats.org/officeDocument/2006/relationships/hyperlink" Target="http://chicago.suntimes.com/news/off-duty-robbins-police-officer-shoots-kills-robbery-suspect/" TargetMode="External"/><Relationship Id="rId2801" Type="http://schemas.openxmlformats.org/officeDocument/2006/relationships/hyperlink" Target="http://www.fatalencounters.org/wp-content/uploads/2013/10/Ronnie-Lee-Shorter.png" TargetMode="External"/><Relationship Id="rId2802" Type="http://schemas.openxmlformats.org/officeDocument/2006/relationships/hyperlink" Target="http://www.clarionledger.com/story/news/local/2017/01/22/man-dead-after-shooting-greenville-police/96920870/" TargetMode="External"/><Relationship Id="rId2803" Type="http://schemas.openxmlformats.org/officeDocument/2006/relationships/hyperlink" Target="http://news3lv.com/news/local/suspect-shot-injured-by-metro-officer-near-jean-casino" TargetMode="External"/><Relationship Id="rId2804" Type="http://schemas.openxmlformats.org/officeDocument/2006/relationships/hyperlink" Target="http://www.presstelegram.com/general-news/20170122/breaking-long-beach-police-shoot-kill-attempted-murder-suspect-in-carson" TargetMode="External"/><Relationship Id="rId2805" Type="http://schemas.openxmlformats.org/officeDocument/2006/relationships/hyperlink" Target="http://www.wmtw.com/article/man-dead-following-police-involved-shooting-in-waldoboro/8624870" TargetMode="External"/><Relationship Id="rId2806" Type="http://schemas.openxmlformats.org/officeDocument/2006/relationships/hyperlink" Target="http://www.post-gazette.com/local/city/2017/01/22/Larimer-man-dies-during-alleged-burglary-attempt/stories/201701220223" TargetMode="External"/><Relationship Id="rId2807" Type="http://schemas.openxmlformats.org/officeDocument/2006/relationships/hyperlink" Target="http://www.fatalencounters.org/wp-content/uploads/2013/10/Angel-Ramos.png" TargetMode="External"/><Relationship Id="rId2808" Type="http://schemas.openxmlformats.org/officeDocument/2006/relationships/hyperlink" Target="http://kron4.com/2017/01/23/vallejo-21-year-old-dies-in-officer-involved-shooting/" TargetMode="External"/><Relationship Id="rId2809" Type="http://schemas.openxmlformats.org/officeDocument/2006/relationships/hyperlink" Target="http://www.delawareonline.com/story/news/crime/2017/01/23/wilmington-police-fatally-shoot-armed-man-near-trolley-square/96974292/" TargetMode="External"/><Relationship Id="rId980" Type="http://schemas.openxmlformats.org/officeDocument/2006/relationships/hyperlink" Target="http://www.latimes.com/local/lanow/la-me-ln-deputy-involved-shooting-san-gabriel-valley-20151016-story.html" TargetMode="External"/><Relationship Id="rId981" Type="http://schemas.openxmlformats.org/officeDocument/2006/relationships/hyperlink" Target="http://www.modbee.com/news/local/crime/article39598365.html" TargetMode="External"/><Relationship Id="rId982" Type="http://schemas.openxmlformats.org/officeDocument/2006/relationships/hyperlink" Target="http://abc30.com/news/neighbor-says-police-officer-who-shot-suspect-may-have-saved-him/1039573/" TargetMode="External"/><Relationship Id="rId983" Type="http://schemas.openxmlformats.org/officeDocument/2006/relationships/hyperlink" Target="http://www.nola.com/crime/index.ssf/2015/10/man_fatally_shot_by_st_tammany.html" TargetMode="External"/><Relationship Id="rId984" Type="http://schemas.openxmlformats.org/officeDocument/2006/relationships/hyperlink" Target="http://www.desmoinesregister.com/story/news/crime-and-courts/2015/10/21/cedar-rapids-fatal-police-shooting/74316302/?from=global&amp;sessionKey=&amp;autologin=" TargetMode="External"/><Relationship Id="rId985" Type="http://schemas.openxmlformats.org/officeDocument/2006/relationships/hyperlink" Target="http://www.courier-journal.com/story/news/crime/2015/10/20/jeffersontown-police-shoot-robbery-suspect/74283040/" TargetMode="External"/><Relationship Id="rId986" Type="http://schemas.openxmlformats.org/officeDocument/2006/relationships/hyperlink" Target="http://www.nbcsandiego.com/news/local/Customs-Border-Protection-CBP-Officer-Shoots-Kills-Man-at-Calexico-Port-of-Entry-335010591.html" TargetMode="External"/><Relationship Id="rId987" Type="http://schemas.openxmlformats.org/officeDocument/2006/relationships/hyperlink" Target="http://www.fresnobee.com/news/local/crime/article40741638.html" TargetMode="External"/><Relationship Id="rId988" Type="http://schemas.openxmlformats.org/officeDocument/2006/relationships/hyperlink" Target="http://www.mlive.com/news/grand-rapids/index.ssf/2015/10/man_shot_dead_by_kentwood_poli.html" TargetMode="External"/><Relationship Id="rId989" Type="http://schemas.openxmlformats.org/officeDocument/2006/relationships/hyperlink" Target="http://www.wkyt.com/wymt/home/headlines/Kentucky-State-Police-involved-in-fatal-shooting-in-Knott-County--336397431.html?device=tablet&amp;c=y" TargetMode="External"/><Relationship Id="rId2080" Type="http://schemas.openxmlformats.org/officeDocument/2006/relationships/hyperlink" Target="http://azdailysun.com/news/local/crime-and-courts/a-m-update-police-shot-and-killed-man-following-foot/article_b817e848-490f-11e6-9129-5b7dbee830b1.html" TargetMode="External"/><Relationship Id="rId2081" Type="http://schemas.openxmlformats.org/officeDocument/2006/relationships/hyperlink" Target="http://www.fatalencounters.org/wp-content/uploads/2013/10/Richard-Dinneny.jpg" TargetMode="External"/><Relationship Id="rId2082" Type="http://schemas.openxmlformats.org/officeDocument/2006/relationships/hyperlink" Target="http://www.recordonline.com/news/20160713/middletown-cops-involved-in-fatal-shooting" TargetMode="External"/><Relationship Id="rId2083" Type="http://schemas.openxmlformats.org/officeDocument/2006/relationships/hyperlink" Target="http://newsok.com/article/5509407" TargetMode="External"/><Relationship Id="rId2084" Type="http://schemas.openxmlformats.org/officeDocument/2006/relationships/hyperlink" Target="http://www.fatalencounters.org/wp-content/uploads/2013/10/Isaiah-Joseph-Soehngen.jpeg" TargetMode="External"/><Relationship Id="rId2085" Type="http://schemas.openxmlformats.org/officeDocument/2006/relationships/hyperlink" Target="http://fox59.com/2016/07/14/marion-police-search-for-armed-robber-who-shot-k9/" TargetMode="External"/><Relationship Id="rId2086" Type="http://schemas.openxmlformats.org/officeDocument/2006/relationships/hyperlink" Target="http://www.wbaltv.com/news/police-involved-in-shooting-in-west-baltimore/40716923" TargetMode="External"/><Relationship Id="rId2087" Type="http://schemas.openxmlformats.org/officeDocument/2006/relationships/hyperlink" Target="http://www.fatalencounters.org/wp-content/uploads/2013/10/Bobby-Rex-Horne.png" TargetMode="External"/><Relationship Id="rId2088" Type="http://schemas.openxmlformats.org/officeDocument/2006/relationships/hyperlink" Target="https://yourdailyjournal.com/news/41128/man-dies-following-confrontation-with-anson-county-deputies-1" TargetMode="External"/><Relationship Id="rId2089" Type="http://schemas.openxmlformats.org/officeDocument/2006/relationships/hyperlink" Target="https://cbsla.files.wordpress.com/2016/07/sbsuspect1.png?w=420" TargetMode="External"/><Relationship Id="rId3510" Type="http://schemas.openxmlformats.org/officeDocument/2006/relationships/hyperlink" Target="http://www.clarionledger.com/story/news/2016/10/26/fatal-high-speed-police-chase/92772316/" TargetMode="External"/><Relationship Id="rId3511" Type="http://schemas.openxmlformats.org/officeDocument/2006/relationships/hyperlink" Target="http://www.clarionledger.com/story/news/2016/10/26/fatal-high-speed-police-chase/92772316/" TargetMode="External"/><Relationship Id="rId3512" Type="http://schemas.openxmlformats.org/officeDocument/2006/relationships/hyperlink" Target="http://www.fatalencounters.org/wp-content/uploads/2013/10/ChiquitaBarnes.jpg" TargetMode="External"/><Relationship Id="rId3513" Type="http://schemas.openxmlformats.org/officeDocument/2006/relationships/hyperlink" Target="http://www.clarionledger.com/story/news/2016/10/26/fatal-high-speed-police-chase/92772316/" TargetMode="External"/><Relationship Id="rId3514" Type="http://schemas.openxmlformats.org/officeDocument/2006/relationships/hyperlink" Target="http://www.fatalencounters.org/wp-content/uploads/2013/10/Selma-Elling.jpg" TargetMode="External"/><Relationship Id="rId3515" Type="http://schemas.openxmlformats.org/officeDocument/2006/relationships/hyperlink" Target="http://www.indystar.com/story/news/crime/2016/11/14/crash-involving-lawrence-police-car-closes-east-side-intersection/93806706/" TargetMode="External"/><Relationship Id="rId3516" Type="http://schemas.openxmlformats.org/officeDocument/2006/relationships/hyperlink" Target="http://www.news9.com/story/33741208/ohp-police-officer-hits-kills-pedestrian-in-pauls-valley" TargetMode="External"/><Relationship Id="rId3517" Type="http://schemas.openxmlformats.org/officeDocument/2006/relationships/hyperlink" Target="http://www.fatalencounters.org/wp-content/uploads/2013/10/Raymond-Updegraff.jpg" TargetMode="External"/><Relationship Id="rId3518" Type="http://schemas.openxmlformats.org/officeDocument/2006/relationships/hyperlink" Target="http://www.ydr.com/story/news/crime/2016/12/01/man-74-crossing-road-when-struck-and-killed-police-car/94723152/" TargetMode="External"/><Relationship Id="rId3519" Type="http://schemas.openxmlformats.org/officeDocument/2006/relationships/hyperlink" Target="http://www.fatalencounters.org/wp-content/uploads/2013/10/tiffany-fitzgerald.jpg" TargetMode="External"/><Relationship Id="rId440" Type="http://schemas.openxmlformats.org/officeDocument/2006/relationships/hyperlink" Target="http://www.newsherald.com/news/crime-public-safety/man-shot-during-standoff-dies-1.357594" TargetMode="External"/><Relationship Id="rId441" Type="http://schemas.openxmlformats.org/officeDocument/2006/relationships/hyperlink" Target="http://ak-cache.legacy.net/legacy/Images/Cobrands/DignityMemorial/Photos/0cde69ec-edda-421b-b501-5eebbf9d5797.jpg" TargetMode="External"/><Relationship Id="rId442" Type="http://schemas.openxmlformats.org/officeDocument/2006/relationships/hyperlink" Target="http://bangordailynews.com/2014/08/04/news/penobscot/lagrange-man-49-killed-by-state-trooper-after-3-hour-standoff/" TargetMode="External"/><Relationship Id="rId443" Type="http://schemas.openxmlformats.org/officeDocument/2006/relationships/hyperlink" Target="http://www.ajc.com/news/news/police-investigating-shooting-in-east-point/ngsX4/" TargetMode="External"/><Relationship Id="rId444" Type="http://schemas.openxmlformats.org/officeDocument/2006/relationships/hyperlink" Target="http://www.8newsnow.com/story/26137424/breaking-news-police-investigate-officer-involved-shooting" TargetMode="External"/><Relationship Id="rId445" Type="http://schemas.openxmlformats.org/officeDocument/2006/relationships/hyperlink" Target="http://www.tri-cityherald.com/2014/07/29/3083195_pasco-man-with-knife-killed-by.html?rh=1" TargetMode="External"/><Relationship Id="rId446" Type="http://schemas.openxmlformats.org/officeDocument/2006/relationships/hyperlink" Target="http://www.knoxnews.com/news/local-news/parolee-killed-in-fight-with-officer-had-a-syringe-narcotic-on-him_07147175" TargetMode="External"/><Relationship Id="rId447" Type="http://schemas.openxmlformats.org/officeDocument/2006/relationships/hyperlink" Target="http://www.sltrib.com/news/justice/1618808-155/officers-shot-lister-police-gill-gun" TargetMode="External"/><Relationship Id="rId448" Type="http://schemas.openxmlformats.org/officeDocument/2006/relationships/hyperlink" Target="http://www.northwestgeorgianews.com/rome/adairsville-officer-on-administrative-leave-after-fatal-shooting/article_7082a720-119e-11e4-8eb9-001a4bcf6878.html" TargetMode="External"/><Relationship Id="rId449" Type="http://schemas.openxmlformats.org/officeDocument/2006/relationships/hyperlink" Target="http://www.koat.com/news/apd-involved-in-shooting-near-eubank-central/27095580" TargetMode="External"/><Relationship Id="rId1380" Type="http://schemas.openxmlformats.org/officeDocument/2006/relationships/hyperlink" Target="http://philadelphia.cbslocal.com/2016/01/06/745839/" TargetMode="External"/><Relationship Id="rId138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382" Type="http://schemas.openxmlformats.org/officeDocument/2006/relationships/hyperlink" Target="http://chicago.cbslocal.com/2016/01/06/suspect-take-pictures-of-schools-fatally-shot-by-police-in-zion/" TargetMode="External"/><Relationship Id="rId1383" Type="http://schemas.openxmlformats.org/officeDocument/2006/relationships/hyperlink" Target="http://www.kob.com/article/stories/S4010182.shtml?cat=504" TargetMode="External"/><Relationship Id="rId1384" Type="http://schemas.openxmlformats.org/officeDocument/2006/relationships/hyperlink" Target="http://www.14news.com/story/30910707/sheriff-man-shot-killed-following-burglary-in-daviess-co" TargetMode="External"/><Relationship Id="rId1385" Type="http://schemas.openxmlformats.org/officeDocument/2006/relationships/hyperlink" Target="http://www.santacruzsentinel.com/general-news/20160109/gbi-man-killed-after-pointing-gun-at-deputies" TargetMode="External"/><Relationship Id="rId1386" Type="http://schemas.openxmlformats.org/officeDocument/2006/relationships/hyperlink" Target="http://fox6now.com/2016/01/08/breaking-heavy-police-presence-near-lincoln-gooseberry-road-in-walworth-county/" TargetMode="External"/><Relationship Id="rId1387" Type="http://schemas.openxmlformats.org/officeDocument/2006/relationships/hyperlink" Target="http://www.oregonlive.com/pacific-northwest-news/index.ssf/2016/01/man_who_threatened_police_with.html" TargetMode="External"/><Relationship Id="rId1388" Type="http://schemas.openxmlformats.org/officeDocument/2006/relationships/hyperlink" Target="http://foxbaltimore.com/news/local/2-cecil-co-troopers-on-administrative-leave-following-trooper-involved-shooting" TargetMode="External"/><Relationship Id="rId1389" Type="http://schemas.openxmlformats.org/officeDocument/2006/relationships/hyperlink" Target="http://local12.com/news/local/cpd-outline-events-leading-up-to-deadly-officer-involved-shooting" TargetMode="External"/><Relationship Id="rId2810" Type="http://schemas.openxmlformats.org/officeDocument/2006/relationships/hyperlink" Target="http://www.wjcl.com/article/gbi-investigating-deputy-involved-shooting-in-bulloch-county/8633102" TargetMode="External"/><Relationship Id="rId2811" Type="http://schemas.openxmlformats.org/officeDocument/2006/relationships/hyperlink" Target="http://www.fatalencounters.org/wp-content/uploads/2013/10/Daniel.jpg" TargetMode="External"/><Relationship Id="rId2812" Type="http://schemas.openxmlformats.org/officeDocument/2006/relationships/hyperlink" Target="http://www.sj-r.com/news/20170123/springfield-man-shot-killed-by-police-officer-during-altercation" TargetMode="External"/><Relationship Id="rId2813" Type="http://schemas.openxmlformats.org/officeDocument/2006/relationships/hyperlink" Target="http://www.wwltv.com/news/local/jefferson/mentally-ill-man-fatally-shot-after-charging-at-police/392077868" TargetMode="External"/><Relationship Id="rId2814" Type="http://schemas.openxmlformats.org/officeDocument/2006/relationships/hyperlink" Target="http://www.fatalencounters.org/wp-content/uploads/2013/10/Klein.jpg" TargetMode="External"/><Relationship Id="rId2815" Type="http://schemas.openxmlformats.org/officeDocument/2006/relationships/hyperlink" Target="http://www.stltoday.com/news/local/crime-and-courts/combative-man-dies-in-st-louis-county-police-custody-after/article_a73047e4-ceae-5f3e-a5e1-701fbeb8c77e.html" TargetMode="External"/><Relationship Id="rId2816" Type="http://schemas.openxmlformats.org/officeDocument/2006/relationships/hyperlink" Target="http://www.fatalencounters.org/wp-content/uploads/2013/10/Josue-Gallardo.png" TargetMode="External"/><Relationship Id="rId2817" Type="http://schemas.openxmlformats.org/officeDocument/2006/relationships/hyperlink" Target="http://www.keyt.com/news/one-dead-in-atascadero-deputy-involved-shooting-on-highway-101/289928008" TargetMode="External"/><Relationship Id="rId2818" Type="http://schemas.openxmlformats.org/officeDocument/2006/relationships/hyperlink" Target="http://bakersfieldnow.com/news/local/police-investigating-a-shooting-in-northeast-bakersfield" TargetMode="External"/><Relationship Id="rId2819" Type="http://schemas.openxmlformats.org/officeDocument/2006/relationships/hyperlink" Target="http://www.fatalencounters.org/wp-content/uploads/2013/10/Ramon-Milanez.png" TargetMode="External"/><Relationship Id="rId990" Type="http://schemas.openxmlformats.org/officeDocument/2006/relationships/hyperlink" Target="http://www.jsonline.com/news/crime/shotgun-wielding-man-shot-by-kenosha-county-deputy-has-died-b99603068z1-336891891.html" TargetMode="External"/><Relationship Id="rId991" Type="http://schemas.openxmlformats.org/officeDocument/2006/relationships/hyperlink" Target="http://www.adn.com/article/20151025/man-shot-killed-confrontation-trooper-kenai-peninsula" TargetMode="External"/><Relationship Id="rId992" Type="http://schemas.openxmlformats.org/officeDocument/2006/relationships/hyperlink" Target="http://www.tampabay.com/news/publicsafety/crime/one-suspect-shot-two-in-custody-and-tampa-police-hunting-for-a-fourth/2251265" TargetMode="External"/><Relationship Id="rId993" Type="http://schemas.openxmlformats.org/officeDocument/2006/relationships/hyperlink" Target="http://www.clarionledger.com/story/news/2015/10/28/fatal-deputy-involved-shooting-monroe-county/74730994/" TargetMode="External"/><Relationship Id="rId994" Type="http://schemas.openxmlformats.org/officeDocument/2006/relationships/hyperlink" Target="http://www.gainesville.com/article/20151030/ARTICLES/151039969?tc=ar" TargetMode="External"/><Relationship Id="rId995" Type="http://schemas.openxmlformats.org/officeDocument/2006/relationships/hyperlink" Target="http://www.nbcnews.com/news/us-news/fugitive-rapist-floyd-ray-cook-shot-killed-kentucky-police-n454186" TargetMode="External"/><Relationship Id="rId996" Type="http://schemas.openxmlformats.org/officeDocument/2006/relationships/hyperlink" Target="http://crimeblog.dallasnews.com/2015/10/gunman-killed-by-police-after-overnight-chase-standoff-in-mesquite.html/" TargetMode="External"/><Relationship Id="rId997" Type="http://schemas.openxmlformats.org/officeDocument/2006/relationships/hyperlink" Target="http://www.denverpost.com/news/ci_29052366/shooting-reported-near-downtown-colorado-springs" TargetMode="External"/><Relationship Id="rId998" Type="http://schemas.openxmlformats.org/officeDocument/2006/relationships/hyperlink" Target="http://www.wsmv.com/story/30397967/father-of-officer-shooting-suspect-speaks-out" TargetMode="External"/><Relationship Id="rId999" Type="http://schemas.openxmlformats.org/officeDocument/2006/relationships/hyperlink" Target="http://www.heraldstandard.com/news/hsnewsnow/woman-injured-in-bute-road-police-pursuit-has-died/article_d2b0eb60-ca0c-5a25-9600-76e7263fa5db.html" TargetMode="External"/><Relationship Id="rId2090" Type="http://schemas.openxmlformats.org/officeDocument/2006/relationships/hyperlink" Target="http://losangeles.cbslocal.com/2016/07/16/police-shoot-and-kill-driver-in-san-bernardino/" TargetMode="External"/><Relationship Id="rId2091" Type="http://schemas.openxmlformats.org/officeDocument/2006/relationships/hyperlink" Target="http://www.firstcoastnews.com/news/swat-presence-in-green-cove-springs/275060143" TargetMode="External"/><Relationship Id="rId2092" Type="http://schemas.openxmlformats.org/officeDocument/2006/relationships/hyperlink" Target="http://www.fatalencounters.org/wp-content/uploads/2013/10/Fennell.jpg" TargetMode="External"/><Relationship Id="rId2093" Type="http://schemas.openxmlformats.org/officeDocument/2006/relationships/hyperlink" Target="http://www.nj.com/ocean/index.ssf/2016/07/state_investigating_ocean_county_swat_team_shootin.html" TargetMode="External"/><Relationship Id="rId2094" Type="http://schemas.openxmlformats.org/officeDocument/2006/relationships/hyperlink" Target="http://www.fatalencounters.org/wp-content/uploads/2013/10/Gavin-Eugene-Long.jpg" TargetMode="External"/><Relationship Id="rId2095" Type="http://schemas.openxmlformats.org/officeDocument/2006/relationships/hyperlink" Target="http://www.wafb.com/story/32463160/baton-rouge-police-respond-to-report-of-officers-down?clienttype=generic&amp;sf31129941=2" TargetMode="External"/><Relationship Id="rId2096" Type="http://schemas.openxmlformats.org/officeDocument/2006/relationships/hyperlink" Target="http://www.theadvocate.com/article_e58f9caa-4d2c-11e6-bde7-d71748661d32.html" TargetMode="External"/><Relationship Id="rId2097" Type="http://schemas.openxmlformats.org/officeDocument/2006/relationships/hyperlink" Target="http://www.nydailynews.com/new-york/brooklyn/person-shot-police-involved-shooting-brooklyn-article-1.2714732" TargetMode="External"/><Relationship Id="rId2098" Type="http://schemas.openxmlformats.org/officeDocument/2006/relationships/hyperlink" Target="http://www.tulsaworld.com/news/crimewatch/man-dies-following-officer-involved-shooting-in-northeast-tulsa/article_3dc1d796-4c8b-11e6-9187-2788d9f21ddc.html" TargetMode="External"/><Relationship Id="rId2099" Type="http://schemas.openxmlformats.org/officeDocument/2006/relationships/hyperlink" Target="http://www.sheboyganpress.com/story/news/2016/07/18/sheboygan-officer-involved-shooting/87240686/" TargetMode="External"/><Relationship Id="rId3520" Type="http://schemas.openxmlformats.org/officeDocument/2006/relationships/hyperlink" Target="http://fox61.com/2016/12/05/family-mourns-death-of-woman-killed-in-rollover-crash-following-police-chase/" TargetMode="External"/><Relationship Id="rId3521" Type="http://schemas.openxmlformats.org/officeDocument/2006/relationships/hyperlink" Target="http://www.detroitnews.com/story/news/local/wayne-county/2016/12/08/detroit-officer-fatally-strikes-highland-park-bicyclist/95136268/" TargetMode="External"/><Relationship Id="rId3522" Type="http://schemas.openxmlformats.org/officeDocument/2006/relationships/hyperlink" Target="http://www.foxnews.com/us/2017/01/02/suspected-carjackers-killed-after-crashing-into-synagogue-during-police-chase.html" TargetMode="External"/><Relationship Id="rId3523" Type="http://schemas.openxmlformats.org/officeDocument/2006/relationships/hyperlink" Target="http://www.wvgazettemail.com/news/20170109/woman-in-charleston-police-collision-dies-officers-name-released-" TargetMode="External"/><Relationship Id="rId3524" Type="http://schemas.openxmlformats.org/officeDocument/2006/relationships/hyperlink" Target="http://wfmj.images.worldnow.com/images/12884629_G.jpg" TargetMode="External"/><Relationship Id="rId3525" Type="http://schemas.openxmlformats.org/officeDocument/2006/relationships/hyperlink" Target="http://www.fatalencounters.org/wp-content/uploads/2013/10/kitchingspicture.jpg" TargetMode="External"/><Relationship Id="rId3526" Type="http://schemas.openxmlformats.org/officeDocument/2006/relationships/hyperlink" Target="http://www.arkansasonline.com/news/2017/jan/19/pedestrian-dies-after-being-struck-little-rock-pol/" TargetMode="External"/><Relationship Id="rId3527" Type="http://schemas.openxmlformats.org/officeDocument/2006/relationships/hyperlink" Target="http://www.sunherald.com/news/local/counties/harrison-county/article127581144.html" TargetMode="External"/><Relationship Id="rId3528" Type="http://schemas.openxmlformats.org/officeDocument/2006/relationships/hyperlink" Target="http://www.ksla.com/story/34313241/cullen-teen-dies-after-being-hit-by-springhill-police-cruiser" TargetMode="External"/><Relationship Id="rId3529" Type="http://schemas.openxmlformats.org/officeDocument/2006/relationships/hyperlink" Target="http://www.11alive.com/news/local/norcross/teen-struck-by-gwinnett-police-car-dies/401202703" TargetMode="External"/><Relationship Id="rId450" Type="http://schemas.openxmlformats.org/officeDocument/2006/relationships/hyperlink" Target="http://www.kentreporter.com/news/272307371.html" TargetMode="External"/><Relationship Id="rId451" Type="http://schemas.openxmlformats.org/officeDocument/2006/relationships/hyperlink" Target="http://www.azcentral.com/story/news/local/tempe/2014/07/20/tempe-officer-involved-shooting-jonathan-williams-dead/12922577/" TargetMode="External"/><Relationship Id="rId452" Type="http://schemas.openxmlformats.org/officeDocument/2006/relationships/hyperlink" Target="http://www.fox5vegas.com/story/26071249/coroner-identifies-man-shot-by-nlv-police" TargetMode="External"/><Relationship Id="rId453" Type="http://schemas.openxmlformats.org/officeDocument/2006/relationships/hyperlink" Target="http://www.citizen-times.com/story/news/crime/2014/07/14/hendersonville-police-shoot-kill-suspect/12640863/" TargetMode="External"/><Relationship Id="rId454" Type="http://schemas.openxmlformats.org/officeDocument/2006/relationships/hyperlink" Target="http://www.12newsnow.com/story/26796642/vidor-officers-cleared-by-grand-jury-will-return-to-work-friday" TargetMode="External"/><Relationship Id="rId455" Type="http://schemas.openxmlformats.org/officeDocument/2006/relationships/hyperlink" Target="http://www.10tv.com/content/stories/2014/07/10/columbus-ohio-probation-officer-among-2-people-shot-in-southeast-columbus.html" TargetMode="External"/><Relationship Id="rId456" Type="http://schemas.openxmlformats.org/officeDocument/2006/relationships/hyperlink" Target="http://journaltimes.com/news/local/crime-and-courts/man-fatally-shot-by-police-identified/article_9983c98a-0620-11e4-8f7e-0019bb2963f4.html" TargetMode="External"/><Relationship Id="rId457" Type="http://schemas.openxmlformats.org/officeDocument/2006/relationships/hyperlink" Target="http://www.wcyb.com/news/tbi-investigating-death-of-man-in-custody/26809334" TargetMode="External"/><Relationship Id="rId458" Type="http://schemas.openxmlformats.org/officeDocument/2006/relationships/hyperlink" Target="http://www.ajc.com/news/news/officer-involved-shooting-in-se-atlanta/ngYcr/" TargetMode="External"/><Relationship Id="rId459" Type="http://schemas.openxmlformats.org/officeDocument/2006/relationships/hyperlink" Target="http://www.nbcnewyork.com/news/local/Long-Island-Suffolk-County-Bay-Shore-Police-Involved-Shooting-Fatal-264868841.html" TargetMode="External"/><Relationship Id="rId1390" Type="http://schemas.openxmlformats.org/officeDocument/2006/relationships/hyperlink" Target="http://www.nbclosangeles.com/news/local/San-Fernando-Police-Shooting-Monday-364896211.html" TargetMode="External"/><Relationship Id="rId1391" Type="http://schemas.openxmlformats.org/officeDocument/2006/relationships/hyperlink" Target="http://www.ydr.com/story/news/crime/2016/01/11/1-dead-shooting-during-eviction-police-say/78636388/" TargetMode="External"/><Relationship Id="rId1392" Type="http://schemas.openxmlformats.org/officeDocument/2006/relationships/hyperlink" Target="http://www.denverpost.com/news/ci_29371161/denver-police-investigating-possible-officer-involved-shooting-monday" TargetMode="External"/><Relationship Id="rId1393" Type="http://schemas.openxmlformats.org/officeDocument/2006/relationships/hyperlink" Target="http://wtkr.com/2016/01/10/police-on-scene-of-barricade-situation-in-norfolk-2/" TargetMode="External"/><Relationship Id="rId1394" Type="http://schemas.openxmlformats.org/officeDocument/2006/relationships/hyperlink" Target="http://www.ktuu.com/news/news/anchorage-police-respond-to-officerinvolved-shooting-at-32nd-ave-home/37407228" TargetMode="External"/><Relationship Id="rId1395" Type="http://schemas.openxmlformats.org/officeDocument/2006/relationships/hyperlink" Target="http://wate.com/2016/01/13/shooting-involving-sevier-county-deputy-reported-near-sevierville-restaurant/" TargetMode="External"/><Relationship Id="rId1396" Type="http://schemas.openxmlformats.org/officeDocument/2006/relationships/hyperlink" Target="http://dnews.com/news_ap/washington/police-cle-elum-officer-shoots-man-pointing-gun-at-him/article_ef5bbb89-dac8-5c5d-b2bb-fdc695e9fbbb.html" TargetMode="External"/><Relationship Id="rId1397" Type="http://schemas.openxmlformats.org/officeDocument/2006/relationships/hyperlink" Target="http://www.al.com/news/birmingham/index.ssf/2016/01/man_killed_while_trying_evade.html" TargetMode="External"/><Relationship Id="rId1398" Type="http://schemas.openxmlformats.org/officeDocument/2006/relationships/hyperlink" Target="http://homicide.latimes.com/post/miguel-hernandez-2016-00421/" TargetMode="External"/><Relationship Id="rId1399" Type="http://schemas.openxmlformats.org/officeDocument/2006/relationships/hyperlink" Target="http://www.wpsdlocal6.com/story/30970664/officer-involved-shooting-in-hurst-ill" TargetMode="External"/><Relationship Id="rId2820" Type="http://schemas.openxmlformats.org/officeDocument/2006/relationships/hyperlink" Target="http://www.idahostatesman.com/news/local/crime/article128371404.html" TargetMode="External"/><Relationship Id="rId2821" Type="http://schemas.openxmlformats.org/officeDocument/2006/relationships/hyperlink" Target="http://www.fatalencounters.org/wp-content/uploads/2013/10/Arties-Manning-III.png" TargetMode="External"/><Relationship Id="rId2822" Type="http://schemas.openxmlformats.org/officeDocument/2006/relationships/hyperlink" Target="http://www.nola.com/crime/index.ssf/2017/01/new_orleans_shooting_little_wo_1.html" TargetMode="External"/><Relationship Id="rId2823" Type="http://schemas.openxmlformats.org/officeDocument/2006/relationships/hyperlink" Target="http://www.fatalencounters.org/wp-content/uploads/2013/10/Jonathan-David-Sper.jpg" TargetMode="External"/><Relationship Id="rId2824" Type="http://schemas.openxmlformats.org/officeDocument/2006/relationships/hyperlink" Target="http://woodtv.com/2017/01/24/officers-responding-to-shooting-north-of-rockford/" TargetMode="External"/><Relationship Id="rId2825" Type="http://schemas.openxmlformats.org/officeDocument/2006/relationships/hyperlink" Target="http://www.fatalencounters.org/wp-content/uploads/2013/10/Dakota-A.-Lukecart.png" TargetMode="External"/><Relationship Id="rId2826" Type="http://schemas.openxmlformats.org/officeDocument/2006/relationships/hyperlink" Target="http://www.kmbc.com/article/1-dead-1-wounded-in-officer-involved-shooting-in-sugar-creek/8633453" TargetMode="External"/><Relationship Id="rId2827" Type="http://schemas.openxmlformats.org/officeDocument/2006/relationships/hyperlink" Target="http://www.fatalencounters.org/wp-content/uploads/2013/10/Jeremy-Robledo-Lopez.jpg" TargetMode="External"/><Relationship Id="rId2828" Type="http://schemas.openxmlformats.org/officeDocument/2006/relationships/hyperlink" Target="http://www.lcsun-news.com/story/news/2017/01/24/police-investigate-officer-involved-shooting-las-cruces/96996834/" TargetMode="External"/><Relationship Id="rId2829" Type="http://schemas.openxmlformats.org/officeDocument/2006/relationships/hyperlink" Target="http://lancasteronline.com/news/local/teenager-killed-following-exchange-of-gunfire-with-lancaster-city-police/article_69e5fb1e-e23a-11e6-8fc0-f7e36e08d4ed.html" TargetMode="External"/><Relationship Id="rId3530" Type="http://schemas.openxmlformats.org/officeDocument/2006/relationships/hyperlink" Target="http://www.fatalencounters.org/wp-content/uploads/2013/10/SamuelPhillipsandJermaineFleming.jpg" TargetMode="External"/><Relationship Id="rId3531" Type="http://schemas.openxmlformats.org/officeDocument/2006/relationships/hyperlink" Target="http://www.wndu.com/content/news/Police-ID-teens-killed-after-wrecking-stolen-SUV-in-South-Bend-413194753.html" TargetMode="External"/><Relationship Id="rId3532" Type="http://schemas.openxmlformats.org/officeDocument/2006/relationships/hyperlink" Target="https://www.davisenterprise.com/local-news/crime-fire-courts/teen-crash-victim-idd/" TargetMode="External"/><Relationship Id="rId3533" Type="http://schemas.openxmlformats.org/officeDocument/2006/relationships/hyperlink" Target="http://www.newsobserver.com/news/traffic/article139683128.html" TargetMode="External"/><Relationship Id="rId3534" Type="http://schemas.openxmlformats.org/officeDocument/2006/relationships/hyperlink" Target="http://www.wect.com/story/34967602/child-dies-after-being-hit-by-police-officers-car" TargetMode="External"/><Relationship Id="rId3535" Type="http://schemas.openxmlformats.org/officeDocument/2006/relationships/hyperlink" Target="http://www.wsoctv.com/news/local/troopers-investigating-deadly-collision-between-rowan-deputy-pedestrian/506981119" TargetMode="External"/><Relationship Id="rId3536" Type="http://schemas.openxmlformats.org/officeDocument/2006/relationships/hyperlink" Target="http://www.fatalencounters.org/wp-content/uploads/2013/10/Craig-Finch.png" TargetMode="External"/><Relationship Id="rId3537" Type="http://schemas.openxmlformats.org/officeDocument/2006/relationships/hyperlink" Target="http://www.wjhg.com/content/news/Pedestrian-killed-in-accident-involving-Panama-City-Police-417679403.html" TargetMode="External"/><Relationship Id="rId3538" Type="http://schemas.openxmlformats.org/officeDocument/2006/relationships/hyperlink" Target="http://www.fatalencounters.org/wp-content/uploads/2013/10/DaQuan-Harrell-Blackwell.jpg" TargetMode="External"/><Relationship Id="rId3539" Type="http://schemas.openxmlformats.org/officeDocument/2006/relationships/hyperlink" Target="http://fox40.com/2017/04/05/two-teens-identified-as-suspects-killed-in-stockton-police-pursuit/" TargetMode="External"/><Relationship Id="rId460" Type="http://schemas.openxmlformats.org/officeDocument/2006/relationships/hyperlink" Target="http://www.wcyb.com/news/shooting-investigated-in-damascus/26694690" TargetMode="External"/><Relationship Id="rId461" Type="http://schemas.openxmlformats.org/officeDocument/2006/relationships/hyperlink" Target="http://www.nj.com/hudson/index.ssf/2014/06/authorities_release_identity_of_20-year-old_man_shot_by_police.html" TargetMode="External"/><Relationship Id="rId462" Type="http://schemas.openxmlformats.org/officeDocument/2006/relationships/hyperlink" Target="http://www.wusa9.com/story/news/local/upper-marlboro/2014/06/23/man-dies-in-prince-georges-county-jail/11267077/" TargetMode="External"/><Relationship Id="rId463" Type="http://schemas.openxmlformats.org/officeDocument/2006/relationships/hyperlink" Target="http://www.myfoxdfw.com/story/25833600/suspect-killed-in-garland-officer-involved-shooting" TargetMode="External"/><Relationship Id="rId464" Type="http://schemas.openxmlformats.org/officeDocument/2006/relationships/hyperlink" Target="http://blogs.seattletimes.com/today/2014/06/man-killed-by-port-orchard-police-identified/" TargetMode="External"/><Relationship Id="rId465" Type="http://schemas.openxmlformats.org/officeDocument/2006/relationships/hyperlink" Target="http://www.wsp.wa.gov/information/releases/2014_archive/mr061714.htm" TargetMode="External"/><Relationship Id="rId466" Type="http://schemas.openxmlformats.org/officeDocument/2006/relationships/hyperlink" Target="http://www.ky3.com/news/local/deadly-offiverinvolved-shooting-kills-cassville-man-officer-injured/21048998_26424836" TargetMode="External"/><Relationship Id="rId467" Type="http://schemas.openxmlformats.org/officeDocument/2006/relationships/hyperlink" Target="http://www.nbcnews.com/storyline/vegas-cop-killers/police-fatally-shot-las-vegas-gunman-jerad-miller-during-gunfight-n128546" TargetMode="External"/><Relationship Id="rId468" Type="http://schemas.openxmlformats.org/officeDocument/2006/relationships/hyperlink" Target="http://www.local8now.com/home/headlines/KPD-officer-shot-in-East-KNoxville-262228291.html" TargetMode="External"/><Relationship Id="rId469" Type="http://schemas.openxmlformats.org/officeDocument/2006/relationships/hyperlink" Target="http://www.wbaltv.com/news/police-investigate-mta-officerinvolved-shooting-at-cromwell-light-rail-station/26384134" TargetMode="External"/><Relationship Id="rId2830" Type="http://schemas.openxmlformats.org/officeDocument/2006/relationships/hyperlink" Target="http://www.fatalencounters.org/wp-content/uploads/2013/10/Sabin-Marcus-Jones.png" TargetMode="External"/><Relationship Id="rId2831" Type="http://schemas.openxmlformats.org/officeDocument/2006/relationships/hyperlink" Target="http://www.nbc12.com/story/34345766/va-man-with-schizophrenia-dies-after-being-shot-with-taser-by-law-enforcement" TargetMode="External"/><Relationship Id="rId2832" Type="http://schemas.openxmlformats.org/officeDocument/2006/relationships/hyperlink" Target="http://www.annistonstar.com/news/crime/oxford-police-dealing-with-officer-involved-shooting/article_b6b4b312-e330-11e6-85db-1f23623ac2e9.html" TargetMode="External"/><Relationship Id="rId2833" Type="http://schemas.openxmlformats.org/officeDocument/2006/relationships/hyperlink" Target="http://www.fatalencounters.org/wp-content/uploads/2013/10/KevinDarnell.jpg" TargetMode="External"/><Relationship Id="rId2834" Type="http://schemas.openxmlformats.org/officeDocument/2006/relationships/hyperlink" Target="http://www.wmcactionnews5.com/story/34349725/2-desoto-county-deputies-shot-in-southaven" TargetMode="External"/><Relationship Id="rId2835" Type="http://schemas.openxmlformats.org/officeDocument/2006/relationships/hyperlink" Target="http://www.weau.com/content/news/One-dead-after-officer-involved-shooting-near-Black-River-Falls-411886355.html" TargetMode="External"/><Relationship Id="rId2836" Type="http://schemas.openxmlformats.org/officeDocument/2006/relationships/hyperlink" Target="http://www.fatalencounters.org/wp-content/uploads/2013/10/Vincent-Shaqui-Elijah-Fowlkes.jpg" TargetMode="External"/><Relationship Id="rId2837" Type="http://schemas.openxmlformats.org/officeDocument/2006/relationships/hyperlink" Target="http://norwalk.dailyvoice.com/police-fire/norwalk-man-22-identified-as-driver-killed-in-crash-after-police-pursuit/697755/" TargetMode="External"/><Relationship Id="rId2838" Type="http://schemas.openxmlformats.org/officeDocument/2006/relationships/hyperlink" Target="http://www.fatalencounters.org/wp-content/uploads/2013/10/Deaundre-Philips.png" TargetMode="External"/><Relationship Id="rId2839" Type="http://schemas.openxmlformats.org/officeDocument/2006/relationships/hyperlink" Target="http://www.cbs46.com/story/34359129/police-investigate-shooting-in-atlanta" TargetMode="External"/><Relationship Id="rId3540" Type="http://schemas.openxmlformats.org/officeDocument/2006/relationships/hyperlink" Target="http://www.fatalencounters.org/wp-content/uploads/2013/10/Michelle-Kolk.png" TargetMode="External"/><Relationship Id="rId3541" Type="http://schemas.openxmlformats.org/officeDocument/2006/relationships/hyperlink" Target="http://6abc.com/news/woman-hit-by-police-car-in-kensington-has-died/1919697/" TargetMode="External"/><Relationship Id="rId3542" Type="http://schemas.openxmlformats.org/officeDocument/2006/relationships/hyperlink" Target="http://www.fatalencounters.org/wp-content/uploads/2013/10/Derrick-Ronald-Woolbright.jpg" TargetMode="External"/><Relationship Id="rId3543" Type="http://schemas.openxmlformats.org/officeDocument/2006/relationships/hyperlink" Target="http://www.news4jax.com/news/local/jacksonville/jso-injuries-reported-in-officer-involved-crash-on-moncrief-road" TargetMode="External"/><Relationship Id="rId3544" Type="http://schemas.openxmlformats.org/officeDocument/2006/relationships/hyperlink" Target="http://www.fatalencounters.org/wp-content/uploads/2013/10/James-Alan-Joyce-Jr..jpg" TargetMode="External"/><Relationship Id="rId3545" Type="http://schemas.openxmlformats.org/officeDocument/2006/relationships/hyperlink" Target="http://wric.com/2017/05/06/henrico-police-investigating-after-officer-kills-two-pedestrians/" TargetMode="External"/><Relationship Id="rId3546" Type="http://schemas.openxmlformats.org/officeDocument/2006/relationships/hyperlink" Target="http://wric.com/2017/05/06/henrico-police-investigating-after-officer-kills-two-pedestrians/" TargetMode="External"/><Relationship Id="rId3547" Type="http://schemas.openxmlformats.org/officeDocument/2006/relationships/hyperlink" Target="http://www.news4jax.com/news/local/jacksonville/jso-police-cruiser-involved-in-deadly-crash-on-west-university-boulevard" TargetMode="External"/><Relationship Id="rId3548" Type="http://schemas.openxmlformats.org/officeDocument/2006/relationships/hyperlink" Target="http://www.omaha.com/news/nebraska-man-struck-and-killed-by-oklahoma-deputy-sheriff-s/article_52c66411-0442-557f-80b5-1c270c5e1b48.html" TargetMode="External"/><Relationship Id="rId3549" Type="http://schemas.openxmlformats.org/officeDocument/2006/relationships/hyperlink" Target="http://www.fatalencounters.org/wp-content/uploads/2013/10/KershaArrington.jpg" TargetMode="External"/><Relationship Id="rId470" Type="http://schemas.openxmlformats.org/officeDocument/2006/relationships/hyperlink" Target="http://www.mlive.com/news/flint/index.ssf/2013/10/prosecutor_says_michigan_state.html" TargetMode="External"/><Relationship Id="rId471" Type="http://schemas.openxmlformats.org/officeDocument/2006/relationships/hyperlink" Target="http://www.firstcoastnews.com/story/news/local/2014/06/04/westside-jso-officer-involved-shooting/9985499/" TargetMode="External"/><Relationship Id="rId472" Type="http://schemas.openxmlformats.org/officeDocument/2006/relationships/hyperlink" Target="http://rapidcityjournal.com/news/local/police-rapid-city-man-shot-and-killed-by-officer-had/article_262374b9-bd2f-569a-9635-2170734ac0d0.html" TargetMode="External"/><Relationship Id="rId473" Type="http://schemas.openxmlformats.org/officeDocument/2006/relationships/hyperlink" Target="http://6abc.com/news/officer-released-from-hospital-suspect-dead-in-chester/89060/" TargetMode="External"/><Relationship Id="rId474" Type="http://schemas.openxmlformats.org/officeDocument/2006/relationships/hyperlink" Target="http://www.hickoryrecord.com/news/hickory-police-man-killed-in-officer-involved-shooting/article_701d15ba-ea50-11e3-ad29-001a4bcf6878.html" TargetMode="External"/><Relationship Id="rId475" Type="http://schemas.openxmlformats.org/officeDocument/2006/relationships/hyperlink" Target="http://www.wyff4.com/news/dispatchers-deputyinvolved-shooting-under-investigation-at-gas-station/26282954" TargetMode="External"/><Relationship Id="rId476" Type="http://schemas.openxmlformats.org/officeDocument/2006/relationships/hyperlink" Target="http://www.kake.com/home/headlines/Officer-involved-shooting-reported-south-of-Dexter-in-Cowley-County-261401221.html" TargetMode="External"/><Relationship Id="rId477" Type="http://schemas.openxmlformats.org/officeDocument/2006/relationships/hyperlink" Target="http://patersontimes.com/2014/05/31/armed-city-man-killed-by-city-detective-on-montgomery-street/" TargetMode="External"/><Relationship Id="rId478" Type="http://schemas.openxmlformats.org/officeDocument/2006/relationships/hyperlink" Target="http://www.tricities.com/news/article_0ec2ddf4-e749-11e3-a6a8-0017a43b2370.html" TargetMode="External"/><Relationship Id="rId479" Type="http://schemas.openxmlformats.org/officeDocument/2006/relationships/hyperlink" Target="http://www.daytondailynews.com/news/news/crime-law/police-involved-shooting-reported-udf-dayton/nf7f7/?__federated=1" TargetMode="External"/><Relationship Id="rId2840" Type="http://schemas.openxmlformats.org/officeDocument/2006/relationships/hyperlink" Target="http://www.wbal.com/article/216746/2/baltimore-county-man-killed-in-officer-involved-shooting" TargetMode="External"/><Relationship Id="rId2841" Type="http://schemas.openxmlformats.org/officeDocument/2006/relationships/hyperlink" Target="http://www.fatalencounters.org/wp-content/uploads/2013/10/Josue-Javier-Diaz.png" TargetMode="External"/><Relationship Id="rId2842" Type="http://schemas.openxmlformats.org/officeDocument/2006/relationships/hyperlink" Target="http://www.charlotteobserver.com/news/local/article128920384.html" TargetMode="External"/><Relationship Id="rId2843" Type="http://schemas.openxmlformats.org/officeDocument/2006/relationships/hyperlink" Target="http://nbc4i.com/2017/01/27/sheriffs-office-bci-investigating-officer-involved-shooting/" TargetMode="External"/><Relationship Id="rId2844" Type="http://schemas.openxmlformats.org/officeDocument/2006/relationships/hyperlink" Target="http://www.pasadenastarnews.com/general-news/20170128/officials-man-killed-in-shootout-with-alhambra-police" TargetMode="External"/><Relationship Id="rId2845" Type="http://schemas.openxmlformats.org/officeDocument/2006/relationships/hyperlink" Target="http://www.ajc.com/news/traffic/update-truck-driver-chase-that-ended-deadly-head-crash/obstVYuPJ7HaK8RxJYJs1J/" TargetMode="External"/><Relationship Id="rId2846" Type="http://schemas.openxmlformats.org/officeDocument/2006/relationships/hyperlink" Target="http://www.cbs7.com/content/news/412052173.html" TargetMode="External"/><Relationship Id="rId2847" Type="http://schemas.openxmlformats.org/officeDocument/2006/relationships/hyperlink" Target="http://komonews.com/news/local/suspect-shot-by-deputies-in-des-moines-dies" TargetMode="External"/><Relationship Id="rId2848" Type="http://schemas.openxmlformats.org/officeDocument/2006/relationships/hyperlink" Target="http://www.weau.com/content/news/BREAKING-OFFICER-INVOLVED-SHOOTING-IN-EAU-CLAIRE-412039935.html" TargetMode="External"/><Relationship Id="rId2849" Type="http://schemas.openxmlformats.org/officeDocument/2006/relationships/hyperlink" Target="http://www.ocregister.com/articles/dead-742552-police-involved.html" TargetMode="External"/><Relationship Id="rId3000" Type="http://schemas.openxmlformats.org/officeDocument/2006/relationships/hyperlink" Target="http://www.fatalencounters.org/wp-content/uploads/2013/10/Steven-Valenzuela.png" TargetMode="External"/><Relationship Id="rId3001" Type="http://schemas.openxmlformats.org/officeDocument/2006/relationships/hyperlink" Target="http://mynews4.com/news/local/heavy-police-activity-near-eldorado-casino-in-downtown-reno" TargetMode="External"/><Relationship Id="rId3002" Type="http://schemas.openxmlformats.org/officeDocument/2006/relationships/hyperlink" Target="http://www.fatalencounters.org/wp-content/uploads/2013/10/Jimmie-Patton.png" TargetMode="External"/><Relationship Id="rId3003" Type="http://schemas.openxmlformats.org/officeDocument/2006/relationships/hyperlink" Target="http://nbc4i.com/2017/02/23/one-in-critical-condition-after-south-columbus-shooting-2/" TargetMode="External"/><Relationship Id="rId3004" Type="http://schemas.openxmlformats.org/officeDocument/2006/relationships/hyperlink" Target="http://www.tulsaworld.com/news/crimewatch/domestic-altercation-officer-involved-shooting-leave-one-dead-one-critically/article_1449d4e7-8e18-5886-879b-438de1152c94.html" TargetMode="External"/><Relationship Id="rId3005" Type="http://schemas.openxmlformats.org/officeDocument/2006/relationships/hyperlink" Target="http://katv.com/news/local/officer-involved-shooting-on-rodney-parham-and-reservoir-road" TargetMode="External"/><Relationship Id="rId3006" Type="http://schemas.openxmlformats.org/officeDocument/2006/relationships/hyperlink" Target="http://www.11alive.com/news/man-dies-after-being-tased-by-butts-county-deputies/414106955" TargetMode="External"/><Relationship Id="rId3007" Type="http://schemas.openxmlformats.org/officeDocument/2006/relationships/hyperlink" Target="http://www.fatalencounters.org/wp-content/uploads/2013/10/joeyisgriggweb.jpg" TargetMode="External"/><Relationship Id="rId3008" Type="http://schemas.openxmlformats.org/officeDocument/2006/relationships/hyperlink" Target="http://www.wkyt.com/content/news/KSP-Troopers-are-investigating-a-standoff-in-Laurel-County-414775403.html" TargetMode="External"/><Relationship Id="rId3009" Type="http://schemas.openxmlformats.org/officeDocument/2006/relationships/hyperlink" Target="http://www.readingeagle.com/news/article/reading-man-fatally-shot-by-police-officer&amp;template=mobileart" TargetMode="External"/><Relationship Id="rId2300" Type="http://schemas.openxmlformats.org/officeDocument/2006/relationships/hyperlink" Target="http://www.kansas.com/news/local/crime/article99215797.html" TargetMode="External"/><Relationship Id="rId2301" Type="http://schemas.openxmlformats.org/officeDocument/2006/relationships/hyperlink" Target="http://www.toledoblade.com/Police-Fire/2016/09/01/Police-investigate-early-morning-incident-in-Sylvania-Township.html" TargetMode="External"/><Relationship Id="rId2302" Type="http://schemas.openxmlformats.org/officeDocument/2006/relationships/hyperlink" Target="http://www.denverpost.com/2016/09/02/parker-police-gunman/" TargetMode="External"/><Relationship Id="rId2303" Type="http://schemas.openxmlformats.org/officeDocument/2006/relationships/hyperlink" Target="http://chicago.suntimes.com/news/man-fatally-shot-by-round-lake-police-officer/" TargetMode="External"/><Relationship Id="rId2304" Type="http://schemas.openxmlformats.org/officeDocument/2006/relationships/hyperlink" Target="http://www.stltoday.com/news/local/metro/one-person-is-shot-by-st-louis-police-officer/article_f0582caa-de7f-5a9e-b715-478ac9a61ca2.html" TargetMode="External"/><Relationship Id="rId2305" Type="http://schemas.openxmlformats.org/officeDocument/2006/relationships/hyperlink" Target="http://www.fatalencounters.org/wp-content/uploads/2013/10/JosephMoreno.jpg" TargetMode="External"/><Relationship Id="rId2306" Type="http://schemas.openxmlformats.org/officeDocument/2006/relationships/hyperlink" Target="http://www.cbsnews.com/news/police-officer-clint-corvinus-killed-by-joseph-moreno-alamogordo-new-mexico/" TargetMode="External"/><Relationship Id="rId2307" Type="http://schemas.openxmlformats.org/officeDocument/2006/relationships/hyperlink" Target="http://abc7.com/news/long-beach-police-fatally-shoot-man-armed-with-knife-officials-say/1498809/" TargetMode="External"/><Relationship Id="rId2308" Type="http://schemas.openxmlformats.org/officeDocument/2006/relationships/hyperlink" Target="http://www.wpsdlocal6.com/story/33009581/officer-involved-shooting-leaves-person-dead-in-brookport" TargetMode="External"/><Relationship Id="rId2309" Type="http://schemas.openxmlformats.org/officeDocument/2006/relationships/hyperlink" Target="http://philadelphia.cbslocal.com/2016/09/03/officer-shot-in-atlantic-city-two-arrest-made/" TargetMode="External"/><Relationship Id="rId3550" Type="http://schemas.openxmlformats.org/officeDocument/2006/relationships/hyperlink" Target="https://www.pressreader.com/usa/the-sentinel-record/20160824/281479275833229" TargetMode="External"/><Relationship Id="rId3551" Type="http://schemas.openxmlformats.org/officeDocument/2006/relationships/hyperlink" Target="http://www.fatalencounters.org/wp-content/uploads/2013/10/Ashley-N.-Whittington.jpg" TargetMode="External"/><Relationship Id="rId3552" Type="http://schemas.openxmlformats.org/officeDocument/2006/relationships/hyperlink" Target="https://www.pressreader.com/usa/the-sentinel-record/20160824/281479275833229" TargetMode="External"/><Relationship Id="rId3553" Type="http://schemas.openxmlformats.org/officeDocument/2006/relationships/hyperlink" Target="http://www.heraldmailmedia.com/news/tri_state/berkeley-county-man-dies-in-police-involved-shooting/article_6788942e-4556-11e7-a076-ebb624abc665.html" TargetMode="External"/><Relationship Id="rId3554" Type="http://schemas.openxmlformats.org/officeDocument/2006/relationships/hyperlink" Target="http://www.fatalencounters.org/wp-content/uploads/2013/10/Roman-Jade-Carrillo.jpg" TargetMode="External"/><Relationship Id="rId3555" Type="http://schemas.openxmlformats.org/officeDocument/2006/relationships/hyperlink" Target="http://fox13now.com/2017/05/30/high-speed-chase-leads-to-officer-involved-shooting/" TargetMode="External"/><Relationship Id="rId3556" Type="http://schemas.openxmlformats.org/officeDocument/2006/relationships/hyperlink" Target="http://www.wlox.com/story/31361312/mbi-investigating-fatal-officer-involved-shooting-in-gautier" TargetMode="External"/><Relationship Id="rId3557" Type="http://schemas.openxmlformats.org/officeDocument/2006/relationships/hyperlink" Target="http://www.fatalencounters.org/wp-content/uploads/2013/10/James-Daniel-Hill.jpg" TargetMode="External"/><Relationship Id="rId3558" Type="http://schemas.openxmlformats.org/officeDocument/2006/relationships/hyperlink" Target="http://www.thedenverchannel.com/news/local-news/sheriffs-deputies-investigating-officer-involved-shooting-in-centennial" TargetMode="External"/><Relationship Id="rId3559" Type="http://schemas.openxmlformats.org/officeDocument/2006/relationships/hyperlink" Target="http://www.fatalencounters.org/wp-content/uploads/2013/10/James-Gleason.png" TargetMode="External"/><Relationship Id="rId1600" Type="http://schemas.openxmlformats.org/officeDocument/2006/relationships/hyperlink" Target="http://www.farmvilleherald.com/wp-content/uploads/2016/02/DSC_1171-e1455497533904-681x1024.jpg" TargetMode="External"/><Relationship Id="rId1601" Type="http://schemas.openxmlformats.org/officeDocument/2006/relationships/hyperlink" Target="http://www.fatalencounters.org/wp-content/uploads/2013/10/Sandlin.png" TargetMode="External"/><Relationship Id="rId1602" Type="http://schemas.openxmlformats.org/officeDocument/2006/relationships/hyperlink" Target="http://www.katc.com/story/30890387/man-dog-dead-following-officer-involved-shooting" TargetMode="External"/><Relationship Id="rId1603" Type="http://schemas.openxmlformats.org/officeDocument/2006/relationships/hyperlink" Target="http://www.wsmv.com/story/31072865/tbi-takes-over-officer-involved-shooting" TargetMode="External"/><Relationship Id="rId1604" Type="http://schemas.openxmlformats.org/officeDocument/2006/relationships/hyperlink" Target="http://www.times-standard.com/general-news/20160214/virginia-police-investigating-deadly-force-incident" TargetMode="External"/><Relationship Id="rId1605" Type="http://schemas.openxmlformats.org/officeDocument/2006/relationships/hyperlink" Target="http://www.nbclosangeles.com/news/local/Inglewood-Officer-Involved-Shooting--369574341.html" TargetMode="External"/><Relationship Id="rId1606" Type="http://schemas.openxmlformats.org/officeDocument/2006/relationships/hyperlink" Target="http://www.tmj4.com/news/local-news/sheriff-suspect-shot-by-deputy-in-east-troy-has-died" TargetMode="External"/><Relationship Id="rId160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608" Type="http://schemas.openxmlformats.org/officeDocument/2006/relationships/hyperlink" Target="http://www.mlive.com/news/detroit/index.ssf/2016/01/dearborn_police_shoot_man_foll.html" TargetMode="External"/><Relationship Id="rId1609" Type="http://schemas.openxmlformats.org/officeDocument/2006/relationships/hyperlink" Target="http://www.ksla.com/story/31172316/jp-deputies-fatally-shoot-suspect-in-orleans-after-incident-at-oakwood-mall" TargetMode="External"/><Relationship Id="rId480" Type="http://schemas.openxmlformats.org/officeDocument/2006/relationships/hyperlink" Target="http://www.bakersfieldnow.com/news/local/1-shot-killed-by-KC-deputy-in-Lebec-260562651.html" TargetMode="External"/><Relationship Id="rId481" Type="http://schemas.openxmlformats.org/officeDocument/2006/relationships/hyperlink" Target="https://www.facebook.com/curtise.welford" TargetMode="External"/><Relationship Id="rId482" Type="http://schemas.openxmlformats.org/officeDocument/2006/relationships/hyperlink" Target="http://www.expressnews.com/news/local/article/Officer-shoots-kills-woman-who-police-said-5490353.php" TargetMode="External"/><Relationship Id="rId483" Type="http://schemas.openxmlformats.org/officeDocument/2006/relationships/hyperlink" Target="http://nrvnews.com/wp-content/uploads/2014/05/saunders_thomas_neil.jpg" TargetMode="External"/><Relationship Id="rId484" Type="http://schemas.openxmlformats.org/officeDocument/2006/relationships/hyperlink" Target="http://www.wdbj7.com/news/local/developing-story-officerinvolved-shooting-in-giles-county/26045058" TargetMode="External"/><Relationship Id="rId485" Type="http://schemas.openxmlformats.org/officeDocument/2006/relationships/hyperlink" Target="http://www.kansascity.com/2014/05/20/5035276/kck-standoff-suspect-killed-by.html" TargetMode="External"/><Relationship Id="rId486" Type="http://schemas.openxmlformats.org/officeDocument/2006/relationships/hyperlink" Target="http://www.nbcnewyork.com/news/local/NYPD-Shooting-FDR-Drive-96-Street-259556971.html" TargetMode="External"/><Relationship Id="rId487" Type="http://schemas.openxmlformats.org/officeDocument/2006/relationships/hyperlink" Target="http://www.mercurynews.com/my-town/ci_25773669/concord-police-shoot-kill-suspect-thursday-evening" TargetMode="External"/><Relationship Id="rId488" Type="http://schemas.openxmlformats.org/officeDocument/2006/relationships/hyperlink" Target="http://www.houstontx.gov/police/nr/2014/may/nr051314-3.htm" TargetMode="External"/><Relationship Id="rId489" Type="http://schemas.openxmlformats.org/officeDocument/2006/relationships/hyperlink" Target="http://www.dcclothesline.com/2014/05/19/veteran-stopped-front-license-plate-beat-death-5-cops/" TargetMode="External"/><Relationship Id="rId2850" Type="http://schemas.openxmlformats.org/officeDocument/2006/relationships/hyperlink" Target="http://www.nbcconnecticut.com/news/local/State-Police-Responding-to-Incident-in-Montville-412093643.html" TargetMode="External"/><Relationship Id="rId2851" Type="http://schemas.openxmlformats.org/officeDocument/2006/relationships/hyperlink" Target="http://www.modbee.com/news/local/crime/article129760509.html" TargetMode="External"/><Relationship Id="rId2852" Type="http://schemas.openxmlformats.org/officeDocument/2006/relationships/hyperlink" Target="http://www.yourcentralvalley.com/news/fresno-county-officer-involved-shooting-suspect-identified/647272455" TargetMode="External"/><Relationship Id="rId2853" Type="http://schemas.openxmlformats.org/officeDocument/2006/relationships/hyperlink" Target="http://www.mcalesternews.com/news/one-dead-in-kiowa-officer-involved-shooting/article_af628ae0-e717-11e6-a073-37d55a5b7721.html" TargetMode="External"/><Relationship Id="rId2854" Type="http://schemas.openxmlformats.org/officeDocument/2006/relationships/hyperlink" Target="http://www.kiro7.com/news/north-sound-news/officer-involved-shooting-in-lynnwood-closes-sr-99/489277082" TargetMode="External"/><Relationship Id="rId2855" Type="http://schemas.openxmlformats.org/officeDocument/2006/relationships/hyperlink" Target="http://ktla.com/2017/01/31/lapd-responding-to-report-of-stabbing-at-sunset-and-cahuenga-in-hollywood/" TargetMode="External"/><Relationship Id="rId2856" Type="http://schemas.openxmlformats.org/officeDocument/2006/relationships/hyperlink" Target="http://wtvm.images.worldnow.com/images/13036002_G.png" TargetMode="External"/><Relationship Id="rId2857" Type="http://schemas.openxmlformats.org/officeDocument/2006/relationships/hyperlink" Target="http://www.wtvm.com/story/34394591/gbi-investigating-after-lagrange-man-dies-while-in-custody" TargetMode="External"/><Relationship Id="rId2858" Type="http://schemas.openxmlformats.org/officeDocument/2006/relationships/hyperlink" Target="http://kron4.com/2017/02/01/shelter-in-place-in-alameda-due-to-police-activity/" TargetMode="External"/><Relationship Id="rId2859" Type="http://schemas.openxmlformats.org/officeDocument/2006/relationships/hyperlink" Target="http://www.fatalencounters.org/wp-content/uploads/2013/10/MichaelRusso.jpg" TargetMode="External"/><Relationship Id="rId3010" Type="http://schemas.openxmlformats.org/officeDocument/2006/relationships/hyperlink" Target="http://www.khou.com/news/lake-jackson-officials-investigating-officer-involved-shooting-female-suspect-shot/414421601" TargetMode="External"/><Relationship Id="rId3011" Type="http://schemas.openxmlformats.org/officeDocument/2006/relationships/hyperlink" Target="http://www.sacbee.com/news/local/crime/article135013504.html" TargetMode="External"/><Relationship Id="rId3012" Type="http://schemas.openxmlformats.org/officeDocument/2006/relationships/hyperlink" Target="http://www.modbee.com/news/local/crime/article135091754.html" TargetMode="External"/><Relationship Id="rId3013" Type="http://schemas.openxmlformats.org/officeDocument/2006/relationships/hyperlink" Target="http://www.winknews.com/2017/02/26/suspect-killed-in-charlotte-county-deputy-involved-shooting/" TargetMode="External"/><Relationship Id="rId3014" Type="http://schemas.openxmlformats.org/officeDocument/2006/relationships/hyperlink" Target="http://wfla.com/2017/02/26/man-shot-dead-by-deputies-in-citrus-county-after-car-chase-crash/" TargetMode="External"/><Relationship Id="rId3015" Type="http://schemas.openxmlformats.org/officeDocument/2006/relationships/hyperlink" Target="http://www.fatalencounters.org/wp-content/uploads/2013/10/Dvontai-Wright.jpg" TargetMode="External"/><Relationship Id="rId3016" Type="http://schemas.openxmlformats.org/officeDocument/2006/relationships/hyperlink" Target="http://www.nwitimes.com/news/local/lake/update-griffith-man-dies-in-gary-of-gunshot-wounds/article_66d7bc13-dd6e-52da-a43e-a7a634fb130e.html" TargetMode="External"/><Relationship Id="rId3017" Type="http://schemas.openxmlformats.org/officeDocument/2006/relationships/hyperlink" Target="http://www.sltrib.com/home/4987147-155/police-shoot-and-kill-a-man" TargetMode="External"/><Relationship Id="rId3018" Type="http://schemas.openxmlformats.org/officeDocument/2006/relationships/hyperlink" Target="http://www.wcnc.com/news/crime/suspect-killed-by-shelby-officer-police-say/415355405" TargetMode="External"/><Relationship Id="rId3019" Type="http://schemas.openxmlformats.org/officeDocument/2006/relationships/hyperlink" Target="http://www.fatalencounters.org/wp-content/uploads/2013/10/IGERSSHAWN-MICHAEL.png" TargetMode="External"/><Relationship Id="rId2310" Type="http://schemas.openxmlformats.org/officeDocument/2006/relationships/hyperlink" Target="http://www.tdtnews.com/news/article_ab4535e8-7232-11e6-886a-af4ab86e838b.html" TargetMode="External"/><Relationship Id="rId2311" Type="http://schemas.openxmlformats.org/officeDocument/2006/relationships/hyperlink" Target="http://komonews.com/news/local/east-wenatchee-officer-shoots-kills-man" TargetMode="External"/><Relationship Id="rId2312" Type="http://schemas.openxmlformats.org/officeDocument/2006/relationships/hyperlink" Target="http://www.kjct8.com/content/news/BREAKING-Suspect-killed-in-officer-invovled-shooting-Sunday-afternoon-392305851.html" TargetMode="External"/><Relationship Id="rId2313" Type="http://schemas.openxmlformats.org/officeDocument/2006/relationships/hyperlink" Target="http://www.nbcdfw.com/news/local/Ennis-Police-Fatally-Shoot-Driver-During-Traffic-Stop-392404311.html" TargetMode="External"/><Relationship Id="rId2314" Type="http://schemas.openxmlformats.org/officeDocument/2006/relationships/hyperlink" Target="http://keyetv.com/news/local/officer-involved-shooting-in-northeast-austin" TargetMode="External"/><Relationship Id="rId2315" Type="http://schemas.openxmlformats.org/officeDocument/2006/relationships/hyperlink" Target="http://www.fatalencounters.org/wp-content/uploads/2013/10/Dylan-Papa.jpg" TargetMode="External"/><Relationship Id="rId2316" Type="http://schemas.openxmlformats.org/officeDocument/2006/relationships/hyperlink" Target="http://www.abc15.com/news/region-phoenix-metro/central-phoenix/phx-pd-involved-in-fatal-shooting-for-second-time-in-12-hours" TargetMode="External"/><Relationship Id="rId2317" Type="http://schemas.openxmlformats.org/officeDocument/2006/relationships/hyperlink" Target="http://www.fatalencounters.org/wp-content/uploads/2013/10/Steven-Del-Rio.jpg" TargetMode="External"/><Relationship Id="rId2318" Type="http://schemas.openxmlformats.org/officeDocument/2006/relationships/hyperlink" Target="http://www.azcentral.com/story/news/local/phoenix-breaking/2016/09/06/phoenix-police-chase-ends-gunshots-near--10-baseline-road/89925028/" TargetMode="External"/><Relationship Id="rId2319" Type="http://schemas.openxmlformats.org/officeDocument/2006/relationships/hyperlink" Target="http://www.wowt.com/content/news/Reports-Police-respond-to-help-an-officer-call-in-south-Omaha-392488871.html" TargetMode="External"/><Relationship Id="rId3560" Type="http://schemas.openxmlformats.org/officeDocument/2006/relationships/hyperlink" Target="http://www.sbsun.com/general-news/20170531/1-dead-1-wounded-in-police-shooting-outside-hesperia-walmart" TargetMode="External"/><Relationship Id="rId3561" Type="http://schemas.openxmlformats.org/officeDocument/2006/relationships/hyperlink" Target="http://www.fatalencounters.org/wp-content/uploads/2013/10/Francisco-Suarez-Madonado.png" TargetMode="External"/><Relationship Id="rId3562" Type="http://schemas.openxmlformats.org/officeDocument/2006/relationships/hyperlink" Target="https://www.reviewjournal.com/crime/homicides/police-kill-man-after-he-shoots-at-officers-in-east-las-vegas/" TargetMode="External"/><Relationship Id="rId3563" Type="http://schemas.openxmlformats.org/officeDocument/2006/relationships/hyperlink" Target="http://www.wtvy.com/content/news/BREAKING-Officer-involved-shooting-in-Henry-County-426035854.html" TargetMode="External"/><Relationship Id="rId3564" Type="http://schemas.openxmlformats.org/officeDocument/2006/relationships/hyperlink" Target="http://www.actionnewsjax.com/news/local/crash-leads-to-fatal-deputy-involved-shooting-in-nassau-county/529186580" TargetMode="External"/><Relationship Id="rId3565" Type="http://schemas.openxmlformats.org/officeDocument/2006/relationships/hyperlink" Target="http://www.hattiesburgamerican.com/story/news/crime/2017/06/02/man-dies-after-being-shot-police-petal/365606001/" TargetMode="External"/><Relationship Id="rId3566" Type="http://schemas.openxmlformats.org/officeDocument/2006/relationships/hyperlink" Target="http://www.tulsaworld.com/news/crimewatch/officer-fires-at-shooting-suspect-who-pulls-gun-on-officer/article_fa9d352b-726d-5aeb-a434-441e14512c66.html" TargetMode="External"/><Relationship Id="rId3567" Type="http://schemas.openxmlformats.org/officeDocument/2006/relationships/hyperlink" Target="https://www.abqjournal.com/1012327/apd-man-dies-after-police-use-less-lethal-force-during-arrest.html" TargetMode="External"/><Relationship Id="rId3568" Type="http://schemas.openxmlformats.org/officeDocument/2006/relationships/hyperlink" Target="http://www.chicagotribune.com/news/local/breaking/ct-washington-park-police-shooting-20170603-story.html" TargetMode="External"/><Relationship Id="rId3569" Type="http://schemas.openxmlformats.org/officeDocument/2006/relationships/hyperlink" Target="http://www.fatalencounters.org/wp-content/uploads/2013/10/Antonio-Geraldo-Rodriguez.jpg" TargetMode="External"/><Relationship Id="rId1610" Type="http://schemas.openxmlformats.org/officeDocument/2006/relationships/hyperlink" Target="http://www.ksla.com/story/31298829/la-state-police-investigates-deadly-officer-involved-shooting-in-baton-rouge" TargetMode="External"/><Relationship Id="rId1611" Type="http://schemas.openxmlformats.org/officeDocument/2006/relationships/hyperlink" Target="http://www.fatalencounters.org/wp-content/uploads/2013/10/RolandRozayZanie.png" TargetMode="External"/><Relationship Id="rId1612" Type="http://schemas.openxmlformats.org/officeDocument/2006/relationships/hyperlink" Target="http://www.fatalencounters.org/wp-content/uploads/2013/10/Mollique.png" TargetMode="External"/><Relationship Id="rId1613" Type="http://schemas.openxmlformats.org/officeDocument/2006/relationships/hyperlink" Target="http://sanfrancisco.cbslocal.com/2016/02/06/police-chase-ends-in-fiery-fatal-crash-in-sf/" TargetMode="External"/><Relationship Id="rId1614" Type="http://schemas.openxmlformats.org/officeDocument/2006/relationships/hyperlink" Target="http://sanfrancisco.cbslocal.com/2016/02/06/police-chase-ends-in-fiery-fatal-crash-in-sf/" TargetMode="External"/><Relationship Id="rId1615" Type="http://schemas.openxmlformats.org/officeDocument/2006/relationships/hyperlink" Target="http://www.gannett-cdn.com/-mm-/8334042135d7f679c06190b7cdf533ced74a407e/c=15-0-465-600&amp;r=537&amp;c=0-0-534-712/local/-/media/2016/01/24/Brevard/Brevard/635892488771139580-quantarius.jpg.jpeg" TargetMode="External"/><Relationship Id="rId1616" Type="http://schemas.openxmlformats.org/officeDocument/2006/relationships/hyperlink" Target="http://www.floridatoday.com/story/news/2016/01/24/two-people-killed-central-brevard-crash/79262656/" TargetMode="External"/><Relationship Id="rId1617" Type="http://schemas.openxmlformats.org/officeDocument/2006/relationships/hyperlink" Target="http://www.fatalencounters.org/wp-content/uploads/2013/10/Allen.jpg" TargetMode="External"/><Relationship Id="rId1618" Type="http://schemas.openxmlformats.org/officeDocument/2006/relationships/hyperlink" Target="http://www.blueridgenow.com/article/20160426/ARTICLES/160429873/1151?Title=Shooting-victim-s-name-released-had-threatened-suicide-by-cop-" TargetMode="External"/><Relationship Id="rId1619" Type="http://schemas.openxmlformats.org/officeDocument/2006/relationships/hyperlink" Target="http://www.wibw.com/content/news/Multiple-shots-fired-at-Topeka-motel-Law-enforcement-have-area-blocked-off-376872351.html" TargetMode="External"/><Relationship Id="rId490" Type="http://schemas.openxmlformats.org/officeDocument/2006/relationships/hyperlink" Target="http://www.suntimes.com/27377311-761/armed-man-shot-by-police-on-west-side-dies.html" TargetMode="External"/><Relationship Id="rId491" Type="http://schemas.openxmlformats.org/officeDocument/2006/relationships/hyperlink" Target="http://www.10tv.com/content/stories/2014/05/10/columbus-jonathan-drive-officer-involved-shooting.html" TargetMode="External"/><Relationship Id="rId492" Type="http://schemas.openxmlformats.org/officeDocument/2006/relationships/hyperlink" Target="http://www.nbclosangeles.com/news/local/Man-Killed-in-Fatal-Officer-Involved-Shooting-in-Ontario-258815701.html" TargetMode="External"/><Relationship Id="rId493" Type="http://schemas.openxmlformats.org/officeDocument/2006/relationships/hyperlink" Target="http://www.statesmanjournal.com/story/news/crime/2014/05/19/grand-jury-officer-justified-shooting-killing-armed-suspect/9307783/" TargetMode="External"/><Relationship Id="rId494" Type="http://schemas.openxmlformats.org/officeDocument/2006/relationships/hyperlink" Target="http://www.mlive.com/news/grand-rapids/index.ssf/2014/05/two_troopers_one_deputy_on_lea.html" TargetMode="External"/><Relationship Id="rId495" Type="http://schemas.openxmlformats.org/officeDocument/2006/relationships/hyperlink" Target="http://www.nydailynews.com/news/national/fired-fatally-shot-93-year-old-woman-rips-knee-jerk-reaction-article-1.1789207" TargetMode="External"/><Relationship Id="rId496" Type="http://schemas.openxmlformats.org/officeDocument/2006/relationships/hyperlink" Target="http://www.ksla.com/story/25422732/shreveport-police-confirm-man-who-fought-officers-has-died?clienttype=generic&amp;mobilecgbypass&amp;utm_content=buffer598c5&amp;utm_medium=social&amp;utm_source=twitter.com&amp;utm_campaign=buffer" TargetMode="External"/><Relationship Id="rId497" Type="http://schemas.openxmlformats.org/officeDocument/2006/relationships/hyperlink" Target="http://m.union-bulletin.com/news/2014/apr/29/update-investigation-continues-athena-mans-fatal-s/?templates=mobile" TargetMode="External"/><Relationship Id="rId498" Type="http://schemas.openxmlformats.org/officeDocument/2006/relationships/hyperlink" Target="http://www.news-graphic.com/image_5c8d94e0-b110-11e2-af2b-001a4bcf887a.html" TargetMode="External"/><Relationship Id="rId499" Type="http://schemas.openxmlformats.org/officeDocument/2006/relationships/hyperlink" Target="http://www.natchezdemocrat.com/2014/04/25/man-dies-after-stun-gun-shock-state-agency-inspecting-acso-traffic-stop-death/" TargetMode="External"/><Relationship Id="rId2860" Type="http://schemas.openxmlformats.org/officeDocument/2006/relationships/hyperlink" Target="http://www.sbsun.com/general-news/20170202/1-dead-1-injured-following-deputy-involved-shooting-outside-san-manuel-casino-in-highland" TargetMode="External"/><Relationship Id="rId2861" Type="http://schemas.openxmlformats.org/officeDocument/2006/relationships/hyperlink" Target="http://www.fatalencounters.org/wp-content/uploads/2013/10/Tavis-Crane.png" TargetMode="External"/><Relationship Id="rId2862" Type="http://schemas.openxmlformats.org/officeDocument/2006/relationships/hyperlink" Target="http://www.star-telegram.com/news/local/community/arlington/article130274734.html" TargetMode="External"/><Relationship Id="rId2863" Type="http://schemas.openxmlformats.org/officeDocument/2006/relationships/hyperlink" Target="http://www.fatalencounters.org/wp-content/uploads/2013/10/Silva.jpg" TargetMode="External"/><Relationship Id="rId2864" Type="http://schemas.openxmlformats.org/officeDocument/2006/relationships/hyperlink" Target="http://www.kcbd.com/story/34416836/wichita-falls-police-investigating-late-night-hostage-situation" TargetMode="External"/><Relationship Id="rId2865" Type="http://schemas.openxmlformats.org/officeDocument/2006/relationships/hyperlink" Target="http://www.fatalencounters.org/wp-content/uploads/2013/10/MichaelSword.jpg" TargetMode="External"/><Relationship Id="rId2866" Type="http://schemas.openxmlformats.org/officeDocument/2006/relationships/hyperlink" Target="http://www.firstcoastnews.com/news/crime/suspect-shot-and-killed-in-deputy-involved-shooting-in-orange-park/396039090" TargetMode="External"/><Relationship Id="rId2867" Type="http://schemas.openxmlformats.org/officeDocument/2006/relationships/hyperlink" Target="http://www.fatalencounters.org/wp-content/uploads/2013/10/KrisKristi.jpg" TargetMode="External"/><Relationship Id="rId2868" Type="http://schemas.openxmlformats.org/officeDocument/2006/relationships/hyperlink" Target="http://www.cbs58.com/story/34416043/dci-currently-investigating-officer-involved-critical-incident-in-the-town-of-geneva" TargetMode="External"/><Relationship Id="rId2869" Type="http://schemas.openxmlformats.org/officeDocument/2006/relationships/hyperlink" Target="http://mynews4.com/news/local/chp-police-activity-shuts-down-sr-89-from-w-river-rd-to-squaw-valley-rd" TargetMode="External"/><Relationship Id="rId3020" Type="http://schemas.openxmlformats.org/officeDocument/2006/relationships/hyperlink" Target="http://www.wjfw.com/storydetails/20170227215335/breaking_lincoln_county_deputy_involved_in_deadly_critical_incident" TargetMode="External"/><Relationship Id="rId3021" Type="http://schemas.openxmlformats.org/officeDocument/2006/relationships/hyperlink" Target="http://www.wftv.com/news/breaking-news/suspect-killed-sheriffs-deputy-shot-in-florida-officials-say/498298801" TargetMode="External"/><Relationship Id="rId3022" Type="http://schemas.openxmlformats.org/officeDocument/2006/relationships/hyperlink" Target="http://www.fatalencounters.org/wp-content/uploads/2013/10/Earl-Donnell-Riley.jpg" TargetMode="External"/><Relationship Id="rId3023" Type="http://schemas.openxmlformats.org/officeDocument/2006/relationships/hyperlink" Target="http://abc13.com/news/suspect-killed-in-shooting-that-wounded-2-officers/1777497/" TargetMode="External"/><Relationship Id="rId3024" Type="http://schemas.openxmlformats.org/officeDocument/2006/relationships/hyperlink" Target="http://www.fatalencounters.org/wp-content/uploads/2013/10/Jose-Olivares.png" TargetMode="External"/><Relationship Id="rId3025" Type="http://schemas.openxmlformats.org/officeDocument/2006/relationships/hyperlink" Target="http://www.houmatoday.com/news/20170301/man-killed-by-police-tuesday-night" TargetMode="External"/><Relationship Id="rId3026" Type="http://schemas.openxmlformats.org/officeDocument/2006/relationships/hyperlink" Target="http://www.bnd.com/news/local/article135706208.html" TargetMode="External"/><Relationship Id="rId3027" Type="http://schemas.openxmlformats.org/officeDocument/2006/relationships/hyperlink" Target="http://www.fatalencounters.org/wp-content/uploads/2013/10/Epthen-Lamont-Johnson.png" TargetMode="External"/><Relationship Id="rId3028" Type="http://schemas.openxmlformats.org/officeDocument/2006/relationships/hyperlink" Target="http://www.ktre.com/story/34633212/lufkin-pd-officer-shoots-kills-armed-suspect-to-save-assault-victim" TargetMode="External"/><Relationship Id="rId3029" Type="http://schemas.openxmlformats.org/officeDocument/2006/relationships/hyperlink" Target="http://fox5sandiego.com/2017/03/01/driver-killed-in-high-speed-police-chase/" TargetMode="External"/><Relationship Id="rId2320" Type="http://schemas.openxmlformats.org/officeDocument/2006/relationships/hyperlink" Target="http://wjhl.com/2016/09/06/wcso-investigating-shooting-on-moody-lane-in-gray/" TargetMode="External"/><Relationship Id="rId2321" Type="http://schemas.openxmlformats.org/officeDocument/2006/relationships/hyperlink" Target="http://wvmetronews.com/2016/09/06/1-killed-in-officer-involved-shooting-in-roane-county/" TargetMode="External"/><Relationship Id="rId2322" Type="http://schemas.openxmlformats.org/officeDocument/2006/relationships/hyperlink" Target="http://www.fatalencounters.org/wp-content/uploads/2013/10/Donald-Degraw.png" TargetMode="External"/><Relationship Id="rId2323" Type="http://schemas.openxmlformats.org/officeDocument/2006/relationships/hyperlink" Target="http://www.tampabay.com/news/publicsafety/pinellas-sheriffs-office-investigating-death-of-oldsmar-man-under/2292707" TargetMode="External"/><Relationship Id="rId2324" Type="http://schemas.openxmlformats.org/officeDocument/2006/relationships/hyperlink" Target="http://www.fatalencounters.org/wp-content/uploads/2013/10/Francis-Perry.jpg" TargetMode="External"/><Relationship Id="rId2325" Type="http://schemas.openxmlformats.org/officeDocument/2006/relationships/hyperlink" Target="http://www.wesh.com/news/suspect-identified-in-officerinvolved-shooting-in-lakeland/41570036" TargetMode="External"/><Relationship Id="rId2326" Type="http://schemas.openxmlformats.org/officeDocument/2006/relationships/hyperlink" Target="http://www.fatalencounters.org/wp-content/uploads/2013/10/Jessie-Joynt.jpg" TargetMode="External"/><Relationship Id="rId2327" Type="http://schemas.openxmlformats.org/officeDocument/2006/relationships/hyperlink" Target="http://www.floridatoday.com/story/news/2016/09/07/titusville-police-respond-bank-robbery-reports-shots-fired/89955884/" TargetMode="External"/><Relationship Id="rId2328" Type="http://schemas.openxmlformats.org/officeDocument/2006/relationships/hyperlink" Target="http://www.walb.com/story/33035760/officer-stabbed-suspect-dies-after-being-shot" TargetMode="External"/><Relationship Id="rId2329" Type="http://schemas.openxmlformats.org/officeDocument/2006/relationships/hyperlink" Target="http://www.fatalencounters.org/wp-content/uploads/2013/10/Sadiq-Bishara-Abaker-Idris.png" TargetMode="External"/><Relationship Id="rId3570" Type="http://schemas.openxmlformats.org/officeDocument/2006/relationships/hyperlink" Target="http://www.khou.com/news/local/texas/murder-suspect-dead-3-police-officers-wounded-in-laredo-shootout/445335467" TargetMode="External"/><Relationship Id="rId3571" Type="http://schemas.openxmlformats.org/officeDocument/2006/relationships/hyperlink" Target="http://www.abc15.com/news/region-west-valley/avondale/avondale-police-shoot-and-kill-disorderly-person-with-a-gun" TargetMode="External"/><Relationship Id="rId3572" Type="http://schemas.openxmlformats.org/officeDocument/2006/relationships/hyperlink" Target="http://www.kob.com/albuquerque-news/bcso-deputy-involved-in-sunday-pedestrian-fatal-crash/4504623/" TargetMode="External"/><Relationship Id="rId3573" Type="http://schemas.openxmlformats.org/officeDocument/2006/relationships/hyperlink" Target="http://jacksonville.com/news/public-safety/2017-06-05/nassau-county-reports-second-fatal-deputy-involved-shooting-three-days" TargetMode="External"/><Relationship Id="rId3574" Type="http://schemas.openxmlformats.org/officeDocument/2006/relationships/hyperlink" Target="http://www.sandiegouniontribune.com/news/public-safety/sd-me-deputy-fatalshot-20170605-story.html" TargetMode="External"/><Relationship Id="rId3575" Type="http://schemas.openxmlformats.org/officeDocument/2006/relationships/hyperlink" Target="http://www.freep.com/story/news/local/michigan/detroit/2017/06/05/detroit-police-officer-injured-fatal-shoot-out/369739001/" TargetMode="External"/><Relationship Id="rId3576" Type="http://schemas.openxmlformats.org/officeDocument/2006/relationships/hyperlink" Target="http://www.mysanantonio.com/news/local/crime/article/Police-responding-to-scene-of-reported-shooting-11196840.php" TargetMode="External"/><Relationship Id="rId3577" Type="http://schemas.openxmlformats.org/officeDocument/2006/relationships/hyperlink" Target="http://www.fatalencounters.org/wp-content/uploads/2013/10/Charles-Edgar-Mullins.jpg" TargetMode="External"/><Relationship Id="rId3578" Type="http://schemas.openxmlformats.org/officeDocument/2006/relationships/hyperlink" Target="http://www.whas11.com/news/crime/shots-fired-during-early-morning-police-chase/445848015" TargetMode="External"/><Relationship Id="rId3579" Type="http://schemas.openxmlformats.org/officeDocument/2006/relationships/hyperlink" Target="http://www.fatalencounters.org/wp-content/uploads/2013/10/John-Spaulding.jpg" TargetMode="External"/><Relationship Id="rId1620" Type="http://schemas.openxmlformats.org/officeDocument/2006/relationships/hyperlink" Target="http://cbs12.com/news/local/21-year-old-dead-after-officer-involved-shooting" TargetMode="External"/><Relationship Id="rId1621" Type="http://schemas.openxmlformats.org/officeDocument/2006/relationships/hyperlink" Target="http://www.abc15.com/news/region-southeast-valley/chandler/two-officers-shot-in-chandler-walmart-suspect-dead" TargetMode="External"/><Relationship Id="rId1622" Type="http://schemas.openxmlformats.org/officeDocument/2006/relationships/hyperlink" Target="http://www.nbcnews.com/news/us-news/antigo-shooting-least-three-shot-outside-wisconsin-prom-n561196" TargetMode="External"/><Relationship Id="rId1623" Type="http://schemas.openxmlformats.org/officeDocument/2006/relationships/hyperlink" Target="http://www.nbc12.com/story/31818572/police-virginia-man-killed-after-he-fired-at-officers" TargetMode="External"/><Relationship Id="rId1624" Type="http://schemas.openxmlformats.org/officeDocument/2006/relationships/hyperlink" Target="http://www.timesunion.com/local/article/State-troopers-shoot-kill-Berne-man-7305356.php" TargetMode="External"/><Relationship Id="rId1625" Type="http://schemas.openxmlformats.org/officeDocument/2006/relationships/hyperlink" Target="http://www.statesman.com/news/news/crime-law/austin-police-responding-to-officer-involved-shoot/nq9q4/" TargetMode="External"/><Relationship Id="rId1626" Type="http://schemas.openxmlformats.org/officeDocument/2006/relationships/hyperlink" Target="http://www.wcvb.com/news/knifewielding-man-killed-in-officerinvolved-shooting-identified/39171770" TargetMode="External"/><Relationship Id="rId1627" Type="http://schemas.openxmlformats.org/officeDocument/2006/relationships/hyperlink" Target="http://www.local10.com/news/miamidade-police-officer-shoots-kills-shotgunwielding-kidnapping-suspect" TargetMode="External"/><Relationship Id="rId1628" Type="http://schemas.openxmlformats.org/officeDocument/2006/relationships/hyperlink" Target="http://www.stltoday.com/news/local/crime-and-courts/man-fleeing-from-stolen-car-shot-by-st-louis-police/article_e0d7645c-8d67-5335-b84e-678f5b4689c7.html" TargetMode="External"/><Relationship Id="rId1629" Type="http://schemas.openxmlformats.org/officeDocument/2006/relationships/hyperlink" Target="http://www.wcnc.com/news/local/swat-situation-blocks-west-charlotte-road/142535525" TargetMode="External"/><Relationship Id="rId2870" Type="http://schemas.openxmlformats.org/officeDocument/2006/relationships/hyperlink" Target="http://www.local10.com/news/crime/gunman-dies-aventural-hospital-releases-wounded-k-9-police-officer" TargetMode="External"/><Relationship Id="rId2871" Type="http://schemas.openxmlformats.org/officeDocument/2006/relationships/hyperlink" Target="http://www.nbcchicago.com/news/local/Officer-Involved-Shooting-Reported-near-Oak-Park--412755723.html" TargetMode="External"/><Relationship Id="rId2872" Type="http://schemas.openxmlformats.org/officeDocument/2006/relationships/hyperlink" Target="http://abc11.com/news/murder-suspect-killed-in-shootout-with-troopers-on-i-95/1735795/" TargetMode="External"/><Relationship Id="rId2873" Type="http://schemas.openxmlformats.org/officeDocument/2006/relationships/hyperlink" Target="http://www.charlotteobserver.com/news/local/y6df4t/picture130575044/ALTERNATES/FREE_320/2-3-2017%20WHETSTONE,%20WILLIAM%20DAVID" TargetMode="External"/><Relationship Id="rId2874" Type="http://schemas.openxmlformats.org/officeDocument/2006/relationships/hyperlink" Target="http://www.charlotteobserver.com/news/local/article130526329.html" TargetMode="External"/><Relationship Id="rId2875" Type="http://schemas.openxmlformats.org/officeDocument/2006/relationships/hyperlink" Target="http://www.fatalencounters.org/wp-content/uploads/2013/10/Joella-Cyphers.jpg" TargetMode="External"/><Relationship Id="rId2876" Type="http://schemas.openxmlformats.org/officeDocument/2006/relationships/hyperlink" Target="http://www.koco.com/article/crews-responding-to-multi-vehicle-crash-in-oklahoma-city/8672500" TargetMode="External"/><Relationship Id="rId2877" Type="http://schemas.openxmlformats.org/officeDocument/2006/relationships/hyperlink" Target="http://www.newschannel10.com/story/34418064/officer-involved-shooting-in-panhandle-1-suspect-dead" TargetMode="External"/><Relationship Id="rId2878" Type="http://schemas.openxmlformats.org/officeDocument/2006/relationships/hyperlink" Target="http://www.nbcdfw.com/news/local/Officer-Involved-Shooting-Outside-Irving-Hotel-Police-412747883.html" TargetMode="External"/><Relationship Id="rId2879" Type="http://schemas.openxmlformats.org/officeDocument/2006/relationships/hyperlink" Target="http://www.wdtv.com/content/news/Another-possible-shooting-in-Grafton-412700043.html" TargetMode="External"/><Relationship Id="rId3030" Type="http://schemas.openxmlformats.org/officeDocument/2006/relationships/hyperlink" Target="http://www.fatalencounters.org/wp-content/uploads/2013/10/Isidro-Bazan-Jr.png" TargetMode="External"/><Relationship Id="rId3031" Type="http://schemas.openxmlformats.org/officeDocument/2006/relationships/hyperlink" Target="http://www.cbs8.com/story/34646811/suspect-killed-in-deputy-involved-shooting-in-san-marcos" TargetMode="External"/><Relationship Id="rId3032" Type="http://schemas.openxmlformats.org/officeDocument/2006/relationships/hyperlink" Target="http://www.fatalencounters.org/wp-content/uploads/2013/10/JohnHall.png" TargetMode="External"/><Relationship Id="rId3033" Type="http://schemas.openxmlformats.org/officeDocument/2006/relationships/hyperlink" Target="http://www.wausaudailyherald.com/story/news/2017/03/02/marathon-county-deputy-involved-rib-mountain-shooting/98624886/" TargetMode="External"/><Relationship Id="rId3034" Type="http://schemas.openxmlformats.org/officeDocument/2006/relationships/hyperlink" Target="http://www.abc15.com/news/region-phoenix-metro/central-phoenix/officer-involved-shooting-reported-near-sky-harbor" TargetMode="External"/><Relationship Id="rId3035" Type="http://schemas.openxmlformats.org/officeDocument/2006/relationships/hyperlink" Target="http://www.rgj.com/story/news/crime/2017/03/03/officer-hurt-suspect-dies-south-reno-exchange-gunfire/98683212/" TargetMode="External"/><Relationship Id="rId3036" Type="http://schemas.openxmlformats.org/officeDocument/2006/relationships/hyperlink" Target="http://www.northjersey.com/story/news/passaic/paterson/2017/03/16/man-shot-paterson-police-march-2-dies-wounds/99271816/" TargetMode="External"/><Relationship Id="rId3037" Type="http://schemas.openxmlformats.org/officeDocument/2006/relationships/hyperlink" Target="http://www.fatalencounters.org/wp-content/uploads/2013/10/Michael-Kocher.jpg" TargetMode="External"/><Relationship Id="rId3038" Type="http://schemas.openxmlformats.org/officeDocument/2006/relationships/hyperlink" Target="http://englewoodherald.net/stories/Suspect-shot-by-police-in-Englewood-standoff,243773" TargetMode="External"/><Relationship Id="rId3039" Type="http://schemas.openxmlformats.org/officeDocument/2006/relationships/hyperlink" Target="http://abc30.com/news/suspect-in-officer-involved-shooting-near-tachi-palace-dies/1785244/" TargetMode="External"/><Relationship Id="rId2330" Type="http://schemas.openxmlformats.org/officeDocument/2006/relationships/hyperlink" Target="http://wwmt.com/news/local/police-responding-to-incident-in-wyoming" TargetMode="External"/><Relationship Id="rId2331" Type="http://schemas.openxmlformats.org/officeDocument/2006/relationships/hyperlink" Target="http://www.mercedsunstar.com/news/local/crime/article100769527.html" TargetMode="External"/><Relationship Id="rId2332" Type="http://schemas.openxmlformats.org/officeDocument/2006/relationships/hyperlink" Target="http://www.fatalencounters.org/wp-content/uploads/2013/10/tenorio.jpg" TargetMode="External"/><Relationship Id="rId2333" Type="http://schemas.openxmlformats.org/officeDocument/2006/relationships/hyperlink" Target="http://www.commercialappeal.com/news/crime/suspect-who-tried-to-run-over-deputies-shot-to-death-by-authorites-3c11ff98-c8b4-78f4-e053-0100007f0-392861021.html" TargetMode="External"/><Relationship Id="rId2334" Type="http://schemas.openxmlformats.org/officeDocument/2006/relationships/hyperlink" Target="http://www.fatalencounters.org/wp-content/uploads/2013/10/Gregory-Frazier.jpg" TargetMode="External"/><Relationship Id="rId2335" Type="http://schemas.openxmlformats.org/officeDocument/2006/relationships/hyperlink" Target="http://wsvn.com/news/local/bso-investigating-deputy-involved-shooting-in-pompano-beach/" TargetMode="External"/><Relationship Id="rId2336" Type="http://schemas.openxmlformats.org/officeDocument/2006/relationships/hyperlink" Target="http://www.king5.com/news/local/police-investigate-officer-involved-shooting-in-auburn/316387138" TargetMode="External"/><Relationship Id="rId2337" Type="http://schemas.openxmlformats.org/officeDocument/2006/relationships/hyperlink" Target="http://wvmetronews.com/2016/09/10/man-killed-in-officer-involved-shooting-in-mercer-county/" TargetMode="External"/><Relationship Id="rId2338" Type="http://schemas.openxmlformats.org/officeDocument/2006/relationships/hyperlink" Target="http://wjla.com/news/local/one-dead-after-police-involved-shooting-in-dc" TargetMode="External"/><Relationship Id="rId2339" Type="http://schemas.openxmlformats.org/officeDocument/2006/relationships/hyperlink" Target="http://www.sbsun.com/general-news/20160912/colton-police-shoot-kill-man-following-pursuit" TargetMode="External"/><Relationship Id="rId3580" Type="http://schemas.openxmlformats.org/officeDocument/2006/relationships/hyperlink" Target="http://miami.cbslocal.com/2017/06/05/police-involved-shooting-outside-miami-correctional-facility/" TargetMode="External"/><Relationship Id="rId3581" Type="http://schemas.openxmlformats.org/officeDocument/2006/relationships/hyperlink" Target="http://www.fatalencounters.org/wp-content/uploads/2013/10/QuentinCase.jpg" TargetMode="External"/><Relationship Id="rId3582" Type="http://schemas.openxmlformats.org/officeDocument/2006/relationships/hyperlink" Target="http://www.theledger.com/news/20170605/polk-deputy-kills-man-in-lake-wales-shootout" TargetMode="External"/><Relationship Id="rId3583" Type="http://schemas.openxmlformats.org/officeDocument/2006/relationships/hyperlink" Target="http://www.fatalencounters.org/wp-content/uploads/2013/10/Zachary-N.-Bearheels.jpg" TargetMode="External"/><Relationship Id="rId3584" Type="http://schemas.openxmlformats.org/officeDocument/2006/relationships/hyperlink" Target="http://www.omaha.com/news/crime/man-who-was-hit-with-taser-by-omaha-police-early/article_288c7d14-49d7-11e7-9ed4-83fc5e66d19e.html" TargetMode="External"/><Relationship Id="rId3585" Type="http://schemas.openxmlformats.org/officeDocument/2006/relationships/hyperlink" Target="http://www.dothanfirst.com/news/pedestrian-struck-by-houston-county-deputy/732092575" TargetMode="External"/><Relationship Id="rId3586" Type="http://schemas.openxmlformats.org/officeDocument/2006/relationships/hyperlink" Target="http://www.latimes.com/local/lanow/la-me-ln-wilmington-police-shooting-20170607-story.html" TargetMode="External"/><Relationship Id="rId3587" Type="http://schemas.openxmlformats.org/officeDocument/2006/relationships/hyperlink" Target="http://www.columbian.com/news/2017/jun/06/report-of-bank-robbery-pursuit-shots-fired/" TargetMode="External"/><Relationship Id="rId3588" Type="http://schemas.openxmlformats.org/officeDocument/2006/relationships/hyperlink" Target="http://www.fresnobee.com/news/local/crime/article154785919.html" TargetMode="External"/><Relationship Id="rId3589" Type="http://schemas.openxmlformats.org/officeDocument/2006/relationships/hyperlink" Target="http://www.baltimoresun.com/news/maryland/crime/bs-md-co-dundalk-shooting-20170607-story.html" TargetMode="External"/><Relationship Id="rId1630" Type="http://schemas.openxmlformats.org/officeDocument/2006/relationships/hyperlink" Target="http://www.trussvilletribune.com/2016/04/19/blount-county-shooting-spree-leaves-4-wounded-gunman-dead/" TargetMode="External"/><Relationship Id="rId1631" Type="http://schemas.openxmlformats.org/officeDocument/2006/relationships/hyperlink" Target="http://www.11alive.com/news/local/mableton/gas-station-robbery-suspect-shot-after-swat-standoff/140453277" TargetMode="External"/><Relationship Id="rId1632" Type="http://schemas.openxmlformats.org/officeDocument/2006/relationships/hyperlink" Target="http://kxan.com/ap/police-id-man-fatally-shot-after-firing-from-balcony/" TargetMode="External"/><Relationship Id="rId1633" Type="http://schemas.openxmlformats.org/officeDocument/2006/relationships/hyperlink" Target="http://www.courierpostonline.com/story/news/2016/04/17/vineland-police-officers-involved-fatal-shooting-overnight/83154550/" TargetMode="External"/><Relationship Id="rId1634" Type="http://schemas.openxmlformats.org/officeDocument/2006/relationships/hyperlink" Target="http://www.kvia.com/news/officerinvolved-shooting/39071656" TargetMode="External"/><Relationship Id="rId1635" Type="http://schemas.openxmlformats.org/officeDocument/2006/relationships/hyperlink" Target="http://wnyt.com/news/troy-police-traffic-stop-officer-pinned-by-car-suspect-shot/4109350/" TargetMode="External"/><Relationship Id="rId1636" Type="http://schemas.openxmlformats.org/officeDocument/2006/relationships/hyperlink" Target="http://wdtn.com/2016/04/17/woman-killed-in-officer-involved-shooting/" TargetMode="External"/><Relationship Id="rId1637" Type="http://schemas.openxmlformats.org/officeDocument/2006/relationships/hyperlink" Target="http://www.nbcnewyork.com/news/local/NYC-Man-Killed-in-Police-Involved-Shooting-in-Queens-375983101.html" TargetMode="External"/><Relationship Id="rId1638" Type="http://schemas.openxmlformats.org/officeDocument/2006/relationships/hyperlink" Target="http://www.chicagotribune.com/news/local/breaking/ct-bar-and-grill-scene-of-fatal-antioch-shooting-20160416-story.html" TargetMode="External"/><Relationship Id="rId1639" Type="http://schemas.openxmlformats.org/officeDocument/2006/relationships/hyperlink" Target="http://fox59.com/2016/04/15/coronor-releases-name-of-man-killed-in-police-action-shooting-in-muncie/" TargetMode="External"/><Relationship Id="rId2880" Type="http://schemas.openxmlformats.org/officeDocument/2006/relationships/hyperlink" Target="http://www.orlandosentinel.com/news/breaking-news/os-deputy-involved-shooting-deland-lake-county-20170204-story.html" TargetMode="External"/><Relationship Id="rId2881" Type="http://schemas.openxmlformats.org/officeDocument/2006/relationships/hyperlink" Target="http://www.fatalencounters.org/wp-content/uploads/2013/10/Peter-Torres.jpg" TargetMode="External"/><Relationship Id="rId2882" Type="http://schemas.openxmlformats.org/officeDocument/2006/relationships/hyperlink" Target="http://www.walb.com/story/34528983/man-dies-two-weeks-after-deputy-involved-shooting" TargetMode="External"/><Relationship Id="rId2883" Type="http://schemas.openxmlformats.org/officeDocument/2006/relationships/hyperlink" Target="http://www.kansascity.com/news/local/crime/article130813639.html" TargetMode="External"/><Relationship Id="rId2884" Type="http://schemas.openxmlformats.org/officeDocument/2006/relationships/hyperlink" Target="http://www.sfgate.com/bayarea/article/1-dead-in-Fremont-in-officer-involved-shooting-10910394.php" TargetMode="External"/><Relationship Id="rId2885" Type="http://schemas.openxmlformats.org/officeDocument/2006/relationships/hyperlink" Target="http://www.fatalencounters.org/wp-content/uploads/2013/10/Andrew-Byrd.jpg" TargetMode="External"/><Relationship Id="rId2886" Type="http://schemas.openxmlformats.org/officeDocument/2006/relationships/hyperlink" Target="http://www.kktv.com/content/news/Police-shoot-kill-man-who-was-allegedly-threatening-officers-with-car-412821563.html" TargetMode="External"/><Relationship Id="rId2887" Type="http://schemas.openxmlformats.org/officeDocument/2006/relationships/hyperlink" Target="http://www.whio.com/news/local/suspect-shot-englewood-officer-died-multiple-gunshot-wounds/tzxNLkzR6txCkXFQBmykUO/" TargetMode="External"/><Relationship Id="rId2888" Type="http://schemas.openxmlformats.org/officeDocument/2006/relationships/hyperlink" Target="http://www.latimes.com/local/lanow/la-me-ln-santa-monica-ois-20170206-story.html" TargetMode="External"/><Relationship Id="rId2889" Type="http://schemas.openxmlformats.org/officeDocument/2006/relationships/hyperlink" Target="http://www.thedenverchannel.com/news/local-news/police-man-with-gun-dead-after-being-shot-by-officers-in-commerce-city" TargetMode="External"/><Relationship Id="rId3040" Type="http://schemas.openxmlformats.org/officeDocument/2006/relationships/hyperlink" Target="http://www.news9.com/story/34664568/police-investigating-after-reported-officer-involved-shooting-in-se-okc" TargetMode="External"/><Relationship Id="rId3041" Type="http://schemas.openxmlformats.org/officeDocument/2006/relationships/hyperlink" Target="http://www.wyff4.com/article/officer-involved-shooting-in-the-upstate/9091639" TargetMode="External"/><Relationship Id="rId3042" Type="http://schemas.openxmlformats.org/officeDocument/2006/relationships/hyperlink" Target="http://losangeles.cbslocal.com/2017/03/04/officer-involved-shooting-occurs-in-downtown-la/" TargetMode="External"/><Relationship Id="rId3043" Type="http://schemas.openxmlformats.org/officeDocument/2006/relationships/hyperlink" Target="http://www.pe.com/articles/county-826863-sheriff-march.html" TargetMode="External"/><Relationship Id="rId3044" Type="http://schemas.openxmlformats.org/officeDocument/2006/relationships/hyperlink" Target="http://www.spokesman.com/stories/2017/mar/10/former-bank-executive-threatened-wife-hours-before/" TargetMode="External"/><Relationship Id="rId3045" Type="http://schemas.openxmlformats.org/officeDocument/2006/relationships/hyperlink" Target="http://www.courier-journal.com/story/news/crime/2017/03/06/police-chase-ends-near-churchill-downs-deadly-crash/98796570/" TargetMode="External"/><Relationship Id="rId3046" Type="http://schemas.openxmlformats.org/officeDocument/2006/relationships/hyperlink" Target="http://losangeles.cbslocal.com/2017/03/08/deputy-involved-shooting-ladera-heights/" TargetMode="External"/><Relationship Id="rId3047" Type="http://schemas.openxmlformats.org/officeDocument/2006/relationships/hyperlink" Target="http://www.fatalencounters.org/wp-content/uploads/2013/10/Roy-Dale-Evans-Jr..jpg" TargetMode="External"/><Relationship Id="rId3048" Type="http://schemas.openxmlformats.org/officeDocument/2006/relationships/hyperlink" Target="http://www.newsnet5.com/traffic/traffic-news/i-71-southbound-near-i-271-is-closed-due-to-a-police-crash-that-ended-in-a-chase" TargetMode="External"/><Relationship Id="rId3049" Type="http://schemas.openxmlformats.org/officeDocument/2006/relationships/hyperlink" Target="http://www.fatalencounters.org/wp-content/uploads/2013/10/Clifton-Antwone-Watts.jpg" TargetMode="External"/><Relationship Id="rId2340" Type="http://schemas.openxmlformats.org/officeDocument/2006/relationships/hyperlink" Target="http://www.kcrg.com/content/news/393298031.html" TargetMode="External"/><Relationship Id="rId2341" Type="http://schemas.openxmlformats.org/officeDocument/2006/relationships/hyperlink" Target="http://www.fatalencounters.org/wp-content/uploads/2013/10/Reginald-Thomas-Jr..jpg" TargetMode="External"/><Relationship Id="rId2342" Type="http://schemas.openxmlformats.org/officeDocument/2006/relationships/hyperlink" Target="http://ktla.com/2016/09/30/death-of-man-in-pasadena-handed-to-sheriffs-homicide-investigators-police/" TargetMode="External"/><Relationship Id="rId2343" Type="http://schemas.openxmlformats.org/officeDocument/2006/relationships/hyperlink" Target="http://www.fatalencounters.org/wp-content/uploads/2013/10/Jose-Cesar-Viloria.jpg" TargetMode="External"/><Relationship Id="rId2344" Type="http://schemas.openxmlformats.org/officeDocument/2006/relationships/hyperlink" Target="http://www.turnto23.com/news/local-news/suspect-involved-in-sundays-machete-incident-dies-at-hospital?autoplay=true" TargetMode="External"/><Relationship Id="rId2345" Type="http://schemas.openxmlformats.org/officeDocument/2006/relationships/hyperlink" Target="http://abc7.com/news/1-killed-following-officer-involved-shooting-in-south-la/1536579/" TargetMode="External"/><Relationship Id="rId2346" Type="http://schemas.openxmlformats.org/officeDocument/2006/relationships/hyperlink" Target="http://philadelphia.cbslocal.com/2016/10/03/police-shoot-kill-man-following-barricade-situation-in-ventnor/" TargetMode="External"/><Relationship Id="rId2347" Type="http://schemas.openxmlformats.org/officeDocument/2006/relationships/hyperlink" Target="http://www.fatalencounters.org/wp-content/uploads/2013/10/Antoine-L.-Ladeaux.jpg" TargetMode="External"/><Relationship Id="rId2348" Type="http://schemas.openxmlformats.org/officeDocument/2006/relationships/hyperlink" Target="http://www.ketv.com/news/highspeed-crash-leaves-1-dead-3-injured/41962164" TargetMode="External"/><Relationship Id="rId2349" Type="http://schemas.openxmlformats.org/officeDocument/2006/relationships/hyperlink" Target="https://www.bostonglobe.com/metro/2016/10/03/deadly-force-investigation-underway-lynn/jn82Z7uSn1UW38WWTZoJdI/story.html" TargetMode="External"/><Relationship Id="rId3590" Type="http://schemas.openxmlformats.org/officeDocument/2006/relationships/hyperlink" Target="http://www.fatalencounters.org/wp-content/uploads/2013/10/Mark-Ellis.jpg" TargetMode="External"/><Relationship Id="rId3591" Type="http://schemas.openxmlformats.org/officeDocument/2006/relationships/hyperlink" Target="http://wgme.com/news/local/orrington-standoff-ends-with-1-man-dead" TargetMode="External"/><Relationship Id="rId3592" Type="http://schemas.openxmlformats.org/officeDocument/2006/relationships/hyperlink" Target="http://www.fatalencounters.org/wp-content/uploads/2013/10/Isaiah-Hammett.png" TargetMode="External"/><Relationship Id="rId3593" Type="http://schemas.openxmlformats.org/officeDocument/2006/relationships/hyperlink" Target="http://www.kmov.com/story/35611447/suspect-shot-while-exchanging-gunfire-with-officers-police-say" TargetMode="External"/><Relationship Id="rId3594" Type="http://schemas.openxmlformats.org/officeDocument/2006/relationships/hyperlink" Target="http://www.fatalencounters.org/wp-content/uploads/2013/10/Donald-Marcus-Smith.png" TargetMode="External"/><Relationship Id="rId3595" Type="http://schemas.openxmlformats.org/officeDocument/2006/relationships/hyperlink" Target="http://www.wsoctv.com/news/local/caldwell-co-authorities-investigating-deadly-officer-involved-shooting/531177132" TargetMode="External"/><Relationship Id="rId3596" Type="http://schemas.openxmlformats.org/officeDocument/2006/relationships/hyperlink" Target="http://www.fatalencounters.org/wp-content/uploads/2013/10/Michele-Anne-Marie-Rice.png" TargetMode="External"/><Relationship Id="rId3597" Type="http://schemas.openxmlformats.org/officeDocument/2006/relationships/hyperlink" Target="http://abc7.com/news/armed-female-suspect-killed-in-lb-officer-involved-shooting/2071391/" TargetMode="External"/><Relationship Id="rId3598" Type="http://schemas.openxmlformats.org/officeDocument/2006/relationships/hyperlink" Target="http://www.fatalencounters.org/wp-content/uploads/2013/10/Oscar-Junior.jpg" TargetMode="External"/><Relationship Id="rId3599" Type="http://schemas.openxmlformats.org/officeDocument/2006/relationships/hyperlink" Target="http://bakersfieldnow.com/news/local/man-on-roof-with-gun-is-shot-killed-by-7-officers-in-ridgecrest" TargetMode="External"/><Relationship Id="rId700" Type="http://schemas.openxmlformats.org/officeDocument/2006/relationships/hyperlink" Target="http://www.killedbypolice.net/victims/151019.jpg" TargetMode="External"/><Relationship Id="rId701" Type="http://schemas.openxmlformats.org/officeDocument/2006/relationships/hyperlink" Target="http://www.killedbypolice.net/victims/151018.jpg" TargetMode="External"/><Relationship Id="rId702" Type="http://schemas.openxmlformats.org/officeDocument/2006/relationships/hyperlink" Target="http://www.killedbypolice.net/victims/151016.jpg" TargetMode="External"/><Relationship Id="rId703" Type="http://schemas.openxmlformats.org/officeDocument/2006/relationships/hyperlink" Target="http://www.killedbypolice.net/victims/151015.jpg" TargetMode="External"/><Relationship Id="rId704" Type="http://schemas.openxmlformats.org/officeDocument/2006/relationships/hyperlink" Target="http://www.killedbypolice.net/victims/151012.jpg" TargetMode="External"/><Relationship Id="rId705" Type="http://schemas.openxmlformats.org/officeDocument/2006/relationships/hyperlink" Target="http://www.killedbypolice.net/victims/151011.jpg" TargetMode="External"/><Relationship Id="rId706" Type="http://schemas.openxmlformats.org/officeDocument/2006/relationships/hyperlink" Target="http://www.killedbypolice.net/victims/151008.jpg" TargetMode="External"/><Relationship Id="rId707" Type="http://schemas.openxmlformats.org/officeDocument/2006/relationships/hyperlink" Target="http://www.killedbypolice.net/victims/151007.jpg" TargetMode="External"/><Relationship Id="rId708" Type="http://schemas.openxmlformats.org/officeDocument/2006/relationships/hyperlink" Target="http://www.killedbypolice.net/victims/151006.jpg" TargetMode="External"/><Relationship Id="rId709" Type="http://schemas.openxmlformats.org/officeDocument/2006/relationships/hyperlink" Target="http://www.killedbypolice.net/victims/151005.jpg" TargetMode="External"/><Relationship Id="rId1640" Type="http://schemas.openxmlformats.org/officeDocument/2006/relationships/hyperlink" Target="http://patch.com/california/lakeelsinore-wildomar/man-shot-dead-following-bizarre-lake-elsinore-rampage-idd" TargetMode="External"/><Relationship Id="rId1641" Type="http://schemas.openxmlformats.org/officeDocument/2006/relationships/hyperlink" Target="http://www.kwch.com/content/news/KBI-investigating-deputy-involved-shooting-in-McPherson-County-375804401.html" TargetMode="External"/><Relationship Id="rId1642" Type="http://schemas.openxmlformats.org/officeDocument/2006/relationships/hyperlink" Target="http://keyetv.com/news/local/man-shot-and-killed-by-dps-trooper-in-llano-co-was-round-rock-bank-robbery-suspect" TargetMode="External"/><Relationship Id="rId1643" Type="http://schemas.openxmlformats.org/officeDocument/2006/relationships/hyperlink" Target="http://wkrn.com/2016/04/14/suspect-shot-by-deputy-during-pursuit-in-white-county/" TargetMode="External"/><Relationship Id="rId1644" Type="http://schemas.openxmlformats.org/officeDocument/2006/relationships/hyperlink" Target="http://sacramento.cbslocal.com/2016/04/13/stockton-police-kill-carjacking-suspect/" TargetMode="External"/><Relationship Id="rId1645" Type="http://schemas.openxmlformats.org/officeDocument/2006/relationships/hyperlink" Target="http://www.wsiltv.com/story/31708416/isp-suspect-in-chase-killed-by-officers-shots" TargetMode="External"/><Relationship Id="rId1646" Type="http://schemas.openxmlformats.org/officeDocument/2006/relationships/hyperlink" Target="http://www.newsherald.com/news/20160413/update-more-details-released-in-holmes-county-police-chase-fatal-shooting" TargetMode="External"/><Relationship Id="rId1647" Type="http://schemas.openxmlformats.org/officeDocument/2006/relationships/hyperlink" Target="http://www.westword.com/news/dion-damon-bank-robbery-suspect-unarmed-when-killed-by-denver-cop-7805210" TargetMode="External"/><Relationship Id="rId1648" Type="http://schemas.openxmlformats.org/officeDocument/2006/relationships/hyperlink" Target="http://www.lasvegasnow.com/news/police-id-man-killed-in-officer-involved-shooting" TargetMode="External"/><Relationship Id="rId1649" Type="http://schemas.openxmlformats.org/officeDocument/2006/relationships/hyperlink" Target="https://www.dnainfo.com/chicago/20160412/north-lawndale/police-shootout-leaves-person-dead-north-lawndale" TargetMode="External"/><Relationship Id="rId2890" Type="http://schemas.openxmlformats.org/officeDocument/2006/relationships/hyperlink" Target="http://www.fatalencounters.org/wp-content/uploads/2013/10/Jerome-Keith-Allen.png" TargetMode="External"/><Relationship Id="rId2891" Type="http://schemas.openxmlformats.org/officeDocument/2006/relationships/hyperlink" Target="http://www.news4jax.com/news/local/jacksonville/jso-investigating-police-involved-incident-in-northwest-jacksonville" TargetMode="External"/><Relationship Id="rId2892" Type="http://schemas.openxmlformats.org/officeDocument/2006/relationships/hyperlink" Target="http://www.fatalencounters.org/wp-content/uploads/2013/10/Alex-Christopher-Davis.jpg" TargetMode="External"/><Relationship Id="rId2893" Type="http://schemas.openxmlformats.org/officeDocument/2006/relationships/hyperlink" Target="http://whnt.com/2017/02/07/1-person-killed-following-deputy-involved-shooting-in-pisgah/" TargetMode="External"/><Relationship Id="rId2894" Type="http://schemas.openxmlformats.org/officeDocument/2006/relationships/hyperlink" Target="http://www.fatalencounters.org/wp-content/uploads/2013/10/ChadRobertson.png" TargetMode="External"/><Relationship Id="rId2895" Type="http://schemas.openxmlformats.org/officeDocument/2006/relationships/hyperlink" Target="http://www.startribune.com/lawyer-minneapolis-man-shot-by-transit-police-in-chicago-has-died/413884623" TargetMode="External"/><Relationship Id="rId2896" Type="http://schemas.openxmlformats.org/officeDocument/2006/relationships/hyperlink" Target="http://www.fatalencounters.org/wp-content/uploads/2013/10/SamuelPhillips.jpg" TargetMode="External"/><Relationship Id="rId2897" Type="http://schemas.openxmlformats.org/officeDocument/2006/relationships/hyperlink" Target="http://www.wndu.com/content/news/Police-ID-teens-killed-after-wrecking-stolen-SUV-in-South-Bend-413194753.html" TargetMode="External"/><Relationship Id="rId2898" Type="http://schemas.openxmlformats.org/officeDocument/2006/relationships/hyperlink" Target="http://www.lex18.com/story/34527731/man-shot-by-state-trooper-has-died" TargetMode="External"/><Relationship Id="rId2899" Type="http://schemas.openxmlformats.org/officeDocument/2006/relationships/hyperlink" Target="http://www.baltimoresun.com/news/maryland/crime/bs-md-ci-police-shooting-20170207-story.html" TargetMode="External"/><Relationship Id="rId3050" Type="http://schemas.openxmlformats.org/officeDocument/2006/relationships/hyperlink" Target="http://www.roanoke.com/news/crime/roanoke/state-police-investigating-after-man-dies-in-roanoke-police-custody/article_ba509d5a-b2cd-50ca-a41f-cdbec89383eb.html" TargetMode="External"/><Relationship Id="rId3051" Type="http://schemas.openxmlformats.org/officeDocument/2006/relationships/hyperlink" Target="http://www.fatalencounters.org/wp-content/uploads/2013/10/FrankWratney.jpg" TargetMode="External"/><Relationship Id="rId3052" Type="http://schemas.openxmlformats.org/officeDocument/2006/relationships/hyperlink" Target="http://www.post-gazette.com/local/north/2017/03/09/Elderly-man-91-fatally-shot-by-police-in-Lawrence-County-standoff/stories/201703090153" TargetMode="External"/><Relationship Id="rId3053" Type="http://schemas.openxmlformats.org/officeDocument/2006/relationships/hyperlink" Target="http://www.fatalencounters.org/wp-content/uploads/2013/10/Iaroslav-Mosiiuk.png" TargetMode="External"/><Relationship Id="rId3054" Type="http://schemas.openxmlformats.org/officeDocument/2006/relationships/hyperlink" Target="http://www.wbtv.com/story/34698301/man-dead-in-officer-involved-shooting-in-north-charlotte" TargetMode="External"/><Relationship Id="rId3055" Type="http://schemas.openxmlformats.org/officeDocument/2006/relationships/hyperlink" Target="http://www.pe.com/articles/riverside-827068-area-sheriff.html" TargetMode="External"/><Relationship Id="rId3056" Type="http://schemas.openxmlformats.org/officeDocument/2006/relationships/hyperlink" Target="http://www.nbcbayarea.com/news/local/Officer-Involved-Shooting-in-Santa-Clara-Leaves-1-Person-Injured-415828313.html" TargetMode="External"/><Relationship Id="rId3057" Type="http://schemas.openxmlformats.org/officeDocument/2006/relationships/hyperlink" Target="http://abc7.com/news/man-shot-killed-by-huntington-beach-police-at-sports-complex/1793857/" TargetMode="External"/><Relationship Id="rId3058" Type="http://schemas.openxmlformats.org/officeDocument/2006/relationships/hyperlink" Target="http://www.fatalencounters.org/wp-content/uploads/2013/10/ToniCollins.jpg" TargetMode="External"/><Relationship Id="rId3059" Type="http://schemas.openxmlformats.org/officeDocument/2006/relationships/hyperlink" Target="http://www.khou.com/news/local/woman-dies-following-officer-involved-shooting-in-galveston/421321381" TargetMode="External"/><Relationship Id="rId1100" Type="http://schemas.openxmlformats.org/officeDocument/2006/relationships/hyperlink" Target="http://www.nola.com/crime/index.ssf/2015/05/officer-involved_shooting_repo.html" TargetMode="External"/><Relationship Id="rId1101" Type="http://schemas.openxmlformats.org/officeDocument/2006/relationships/hyperlink" Target="http://ktla.com/2015/05/07/apparent-deputy-involved-shooting-prompts-emergency-response-in-cerritos/" TargetMode="External"/><Relationship Id="rId1102" Type="http://schemas.openxmlformats.org/officeDocument/2006/relationships/hyperlink" Target="http://abc7.com/news/man-shot-to-death-by-lapd-in-venice-after-disturbing-the-peace-call/699856/" TargetMode="External"/><Relationship Id="rId1103" Type="http://schemas.openxmlformats.org/officeDocument/2006/relationships/hyperlink" Target="http://www.wfaa.com/story/news/local/2015/05/03/garland-curtis-culwell-center-swat/26848435/" TargetMode="External"/><Relationship Id="rId1104" Type="http://schemas.openxmlformats.org/officeDocument/2006/relationships/hyperlink" Target="http://mugshots.com/search.html?q=alexia%20christian&amp;c=119250" TargetMode="External"/><Relationship Id="rId1105" Type="http://schemas.openxmlformats.org/officeDocument/2006/relationships/hyperlink" Target="http://www.ajc.com/news/news/shots-fired-in-downtown-atlanta/nk6jp/" TargetMode="External"/><Relationship Id="rId1106" Type="http://schemas.openxmlformats.org/officeDocument/2006/relationships/hyperlink" Target="http://wtvr.com/2015/04/30/greensville-county-sheriff-shooting/" TargetMode="External"/><Relationship Id="rId1107" Type="http://schemas.openxmlformats.org/officeDocument/2006/relationships/hyperlink" Target="http://www.13newsnow.com/story/news/local/virginia/2015/04/30/greensville-co-man-killed-in-officer-involved-shooting/26633591/" TargetMode="External"/><Relationship Id="rId1108" Type="http://schemas.openxmlformats.org/officeDocument/2006/relationships/hyperlink" Target="http://www.wwltv.com/story/news/crime/2015/04/28/nopd-on-scene-of-officer-needing-assistance/26555847/" TargetMode="External"/><Relationship Id="rId1109" Type="http://schemas.openxmlformats.org/officeDocument/2006/relationships/hyperlink" Target="http://america.aljazeera.com/articles/2015/4/29/terrance-kellom-shot-dead-in-detroit-by-ice-agent.html" TargetMode="External"/><Relationship Id="rId2350" Type="http://schemas.openxmlformats.org/officeDocument/2006/relationships/hyperlink" Target="http://www.fatalencounters.org/wp-content/uploads/2013/10/Thomas-Wayne-Binkley.jpg" TargetMode="External"/><Relationship Id="rId2351" Type="http://schemas.openxmlformats.org/officeDocument/2006/relationships/hyperlink" Target="http://losangeles.cbslocal.com/2016/10/04/man-dies-after-confrontation-with-burbank-police/" TargetMode="External"/><Relationship Id="rId2352" Type="http://schemas.openxmlformats.org/officeDocument/2006/relationships/hyperlink" Target="http://www.fatalencounters.org/wp-content/uploads/2013/10/Dean-Bruning.jpg" TargetMode="External"/><Relationship Id="rId2353" Type="http://schemas.openxmlformats.org/officeDocument/2006/relationships/hyperlink" Target="http://upnorthlive.com/news/local/state-police-man-dies-after-trooper-involved-shooting" TargetMode="External"/><Relationship Id="rId2354" Type="http://schemas.openxmlformats.org/officeDocument/2006/relationships/hyperlink" Target="http://www.fatalencounters.org/wp-content/uploads/2013/10/Isaias-Salgado.jpg" TargetMode="External"/><Relationship Id="rId2355" Type="http://schemas.openxmlformats.org/officeDocument/2006/relationships/hyperlink" Target="http://www.wtsp.com/news/suspect-shot-by-hillsborough-deputy-after-crash/329024294" TargetMode="External"/><Relationship Id="rId2356" Type="http://schemas.openxmlformats.org/officeDocument/2006/relationships/hyperlink" Target="http://www.fatalencounters.org/wp-content/uploads/2013/10/Zachary-Sutton.jpg" TargetMode="External"/><Relationship Id="rId2357" Type="http://schemas.openxmlformats.org/officeDocument/2006/relationships/hyperlink" Target="http://www.4029tv.com/news/man-dies-following-officerinvolved-shooting-in-springdale/41969442" TargetMode="External"/><Relationship Id="rId2358" Type="http://schemas.openxmlformats.org/officeDocument/2006/relationships/hyperlink" Target="http://www.fatalencounters.org/wp-content/uploads/2013/10/Brandon-Simmons.jpg" TargetMode="External"/><Relationship Id="rId2359" Type="http://schemas.openxmlformats.org/officeDocument/2006/relationships/hyperlink" Target="http://www.dailycamera.com/news/boulder/ci_30437066" TargetMode="External"/><Relationship Id="rId710" Type="http://schemas.openxmlformats.org/officeDocument/2006/relationships/hyperlink" Target="http://www.killedbypolice.net/victims/151003.jpg" TargetMode="External"/><Relationship Id="rId711" Type="http://schemas.openxmlformats.org/officeDocument/2006/relationships/hyperlink" Target="http://www.killedbypolice.net/victims/151002.jpg" TargetMode="External"/><Relationship Id="rId712" Type="http://schemas.openxmlformats.org/officeDocument/2006/relationships/hyperlink" Target="http://www.killedbypolice.net/victims/150998.jpg" TargetMode="External"/><Relationship Id="rId713" Type="http://schemas.openxmlformats.org/officeDocument/2006/relationships/hyperlink" Target="http://www.killedbypolice.net/victims/150997.jpg" TargetMode="External"/><Relationship Id="rId714" Type="http://schemas.openxmlformats.org/officeDocument/2006/relationships/hyperlink" Target="http://www.killedbypolice.net/victims/150996.jpg" TargetMode="External"/><Relationship Id="rId715" Type="http://schemas.openxmlformats.org/officeDocument/2006/relationships/hyperlink" Target="http://www.denverpost.com/news/ci_29182697/aurora-accident-triggers-officer-involved-shooting-closes-roads" TargetMode="External"/><Relationship Id="rId716" Type="http://schemas.openxmlformats.org/officeDocument/2006/relationships/hyperlink" Target="http://journalstar.com/news/local/911/one-dead-five-in-custody-after-officer-involved-shooting/article_e4cfd9fb-e157-53ad-a637-cfa8b1b1468f.html" TargetMode="External"/><Relationship Id="rId717" Type="http://schemas.openxmlformats.org/officeDocument/2006/relationships/hyperlink" Target="http://www.kpho.com/story/30624737/mcso-deputy-shoots-kills-suicidal-man-who-pulled-out-gun" TargetMode="External"/><Relationship Id="rId718" Type="http://schemas.openxmlformats.org/officeDocument/2006/relationships/hyperlink" Target="http://www.kshb.com/news/crime/man-dead-in-officer-involved-shooting-in-dekalb-county-missouri" TargetMode="External"/><Relationship Id="rId719" Type="http://schemas.openxmlformats.org/officeDocument/2006/relationships/hyperlink" Target="http://www.whio.com/news/news/crime-law/person-shot-during-altercation-with-trooper-in-cel/npYFP/" TargetMode="External"/><Relationship Id="rId1650" Type="http://schemas.openxmlformats.org/officeDocument/2006/relationships/hyperlink" Target="http://www.fatalencounters.org/wp-content/uploads/2013/10/LuisSoto.png" TargetMode="External"/><Relationship Id="rId1651" Type="http://schemas.openxmlformats.org/officeDocument/2006/relationships/hyperlink" Target="http://www.twcnews.com/nys/capital-region/news/2016/04/13/rotterdam-officer-involved-fatal-shooting.html" TargetMode="External"/><Relationship Id="rId1652" Type="http://schemas.openxmlformats.org/officeDocument/2006/relationships/hyperlink" Target="http://www.abc10.com/news/local/modesto/armed-man-killed-after-car-chase-shooting-with-modesto-police/127870372" TargetMode="External"/><Relationship Id="rId1653" Type="http://schemas.openxmlformats.org/officeDocument/2006/relationships/hyperlink" Target="http://www.latimes.com/local/lanow/la-me-ln-boyle-heights-shooting-20160411-story.html" TargetMode="External"/><Relationship Id="rId1654" Type="http://schemas.openxmlformats.org/officeDocument/2006/relationships/hyperlink" Target="http://6abc.com/news/off-duty-police-officer-shoots-robbery-suspect-in-olney-/1284067/" TargetMode="External"/><Relationship Id="rId1655" Type="http://schemas.openxmlformats.org/officeDocument/2006/relationships/hyperlink" Target="http://www.nj.com/middlesex/index.ssf/2016/04/police_shoot_kill_man_in_new_brunswick.html" TargetMode="External"/><Relationship Id="rId1656" Type="http://schemas.openxmlformats.org/officeDocument/2006/relationships/hyperlink" Target="http://www.jsonline.com/news/crime/developmentally-disabled-woman-fatally-shot-by-police-at-wal-mart-b99703419z1-375141081.html" TargetMode="External"/><Relationship Id="rId1657" Type="http://schemas.openxmlformats.org/officeDocument/2006/relationships/hyperlink" Target="http://www.freep.com/story/news/local/michigan/2016/04/09/domestic-dispute-kentwood-michigan/82829620/" TargetMode="External"/><Relationship Id="rId1658" Type="http://schemas.openxmlformats.org/officeDocument/2006/relationships/hyperlink" Target="http://www.sacbee.com/news/local/crime/article70938582.html" TargetMode="External"/><Relationship Id="rId1659" Type="http://schemas.openxmlformats.org/officeDocument/2006/relationships/hyperlink" Target="http://www.omaha.com/news/crime/police-identify-known-suspect-shot-dead-by-officer-in-south/article_976e1aee-fd07-11e5-86b8-8f1d6e6f9f14.html" TargetMode="External"/><Relationship Id="rId3060" Type="http://schemas.openxmlformats.org/officeDocument/2006/relationships/hyperlink" Target="http://www.fatalencounters.org/wp-content/uploads/2013/10/Damon-Seitz.jpg" TargetMode="External"/><Relationship Id="rId3061" Type="http://schemas.openxmlformats.org/officeDocument/2006/relationships/hyperlink" Target="http://www.10news.com/news/police-activity-reported-on-james-street-in-escondido-031017" TargetMode="External"/><Relationship Id="rId3062" Type="http://schemas.openxmlformats.org/officeDocument/2006/relationships/hyperlink" Target="http://dfw.cbslocal.com/2017/03/11/midlothian-police-investigating-officer-involved-shooting/" TargetMode="External"/><Relationship Id="rId3063" Type="http://schemas.openxmlformats.org/officeDocument/2006/relationships/hyperlink" Target="http://www.wisn.com/article/one-dead-one-injured-in-milwaukee-shooting/9121734" TargetMode="External"/><Relationship Id="rId3064" Type="http://schemas.openxmlformats.org/officeDocument/2006/relationships/hyperlink" Target="http://www.fatalencounters.org/wp-content/uploads/2013/10/Michael-Anthony-Perez.jpg" TargetMode="External"/><Relationship Id="rId3065" Type="http://schemas.openxmlformats.org/officeDocument/2006/relationships/hyperlink" Target="http://ktla.com/2017/03/13/orange-police-shoot-man-suspected-of-traffic-violation-after-using-fire-hoses-to-force-him-from-van/" TargetMode="External"/><Relationship Id="rId3066" Type="http://schemas.openxmlformats.org/officeDocument/2006/relationships/hyperlink" Target="http://kpug1170.com/news/007700-man-with-knife-shot-killed-by-bellingham-police/" TargetMode="External"/><Relationship Id="rId3067" Type="http://schemas.openxmlformats.org/officeDocument/2006/relationships/hyperlink" Target="http://www.cleveland.com/euclid/index.ssf/2017/03/euclid_police_officer_fatally.html" TargetMode="External"/><Relationship Id="rId3068" Type="http://schemas.openxmlformats.org/officeDocument/2006/relationships/hyperlink" Target="http://napavalleyregister.com/news/local/one-man-fatally-shot-by-napa-police-near-home-depot/article_3e9225b8-2136-55f6-aa98-9e5815824ed3.html" TargetMode="External"/><Relationship Id="rId3069" Type="http://schemas.openxmlformats.org/officeDocument/2006/relationships/hyperlink" Target="http://www.fatalencounters.org/wp-content/uploads/2013/10/Elena-Mondragon.png" TargetMode="External"/><Relationship Id="rId1110" Type="http://schemas.openxmlformats.org/officeDocument/2006/relationships/hyperlink" Target="http://www.democracynow.org/2015/4/27/headlines/new_york_police_kill_mentally_ill_african_american_man" TargetMode="External"/><Relationship Id="rId1111" Type="http://schemas.openxmlformats.org/officeDocument/2006/relationships/hyperlink" Target="http://www.nydailynews.com/new-york/cops-shoot-man-east-village-altercation-police-article-1.2198797" TargetMode="External"/><Relationship Id="rId1112" Type="http://schemas.openxmlformats.org/officeDocument/2006/relationships/hyperlink" Target="http://www.kktv.com/home/headlines/Deadly-Officer-Involved-Shooting-in-Trinidad-301252451.html" TargetMode="External"/><Relationship Id="rId1113" Type="http://schemas.openxmlformats.org/officeDocument/2006/relationships/hyperlink" Target="http://www.midhudsonnews.com/News/2015/April/24/Fishkill_inmate_Harrell-24Apr15.htm" TargetMode="External"/><Relationship Id="rId1114" Type="http://schemas.openxmlformats.org/officeDocument/2006/relationships/hyperlink" Target="http://www.nj.com/middlesex/index.ssf/2015/04/man_killed_by_state_trooper_released_from_state_pr.html" TargetMode="External"/><Relationship Id="rId1115" Type="http://schemas.openxmlformats.org/officeDocument/2006/relationships/hyperlink" Target="http://www.chicagotribune.com/news/local/breaking/chi-man-fatally-shot-by-police-in-south-shore-20150417-story.html" TargetMode="External"/><Relationship Id="rId1116" Type="http://schemas.openxmlformats.org/officeDocument/2006/relationships/hyperlink" Target="http://www.nbcmiami.com/news/local/FDLE-Investigating-Fatal-Police-Involved-Shooting-in-Miami-Dade-300173991.html" TargetMode="External"/><Relationship Id="rId1117" Type="http://schemas.openxmlformats.org/officeDocument/2006/relationships/hyperlink" Target="http://www.brownrobinson.com/obituary/4199/Donte_Noble" TargetMode="External"/><Relationship Id="rId1118" Type="http://schemas.openxmlformats.org/officeDocument/2006/relationships/hyperlink" Target="http://www.wyff4.com/news/police-find-man-stabbing-wife-shoot-kill-him/32384112" TargetMode="External"/><Relationship Id="rId1119" Type="http://schemas.openxmlformats.org/officeDocument/2006/relationships/hyperlink" Target="http://www.recordonline.com/article/20150428/OPINION/150429329/101136/OPINION" TargetMode="External"/><Relationship Id="rId2360" Type="http://schemas.openxmlformats.org/officeDocument/2006/relationships/hyperlink" Target="http://www.wbbjtv.com/2016/10/06/sheriff-confirms-officer-involved-shooting-gibson-county/" TargetMode="External"/><Relationship Id="rId2361" Type="http://schemas.openxmlformats.org/officeDocument/2006/relationships/hyperlink" Target="http://www.fatalencounters.org/wp-content/uploads/2013/10/Lucas-Felkel.png" TargetMode="External"/><Relationship Id="rId2362" Type="http://schemas.openxmlformats.org/officeDocument/2006/relationships/hyperlink" Target="http://www.live5news.com/story/33331129/officials-man-shot-in-exchange-with-deputies-has-died" TargetMode="External"/><Relationship Id="rId2363" Type="http://schemas.openxmlformats.org/officeDocument/2006/relationships/hyperlink" Target="http://www.fatalencounters.org/wp-content/uploads/2013/10/RickyHall.jpg" TargetMode="External"/><Relationship Id="rId2364" Type="http://schemas.openxmlformats.org/officeDocument/2006/relationships/hyperlink" Target="http://www.click2houston.com/news/man-involved-in-deputy-involved-shooting-taken-off-life-support" TargetMode="External"/><Relationship Id="rId2365" Type="http://schemas.openxmlformats.org/officeDocument/2006/relationships/hyperlink" Target="http://www.thetowntalk.com/story/news/2016/10/07/alexandria-man-dies-after-thursday-shooting/91735482/" TargetMode="External"/><Relationship Id="rId2366" Type="http://schemas.openxmlformats.org/officeDocument/2006/relationships/hyperlink" Target="http://www.fatalencounters.org/wp-content/uploads/2013/10/ThomasBurns.jpg" TargetMode="External"/><Relationship Id="rId2367" Type="http://schemas.openxmlformats.org/officeDocument/2006/relationships/hyperlink" Target="http://www.thv11.com/news/local/benton-man-dies-after-being-shot-in-officer-involved-shooting/333415702" TargetMode="External"/><Relationship Id="rId2368" Type="http://schemas.openxmlformats.org/officeDocument/2006/relationships/hyperlink" Target="http://www.fatalencounters.org/wp-content/uploads/2013/10/Joseph-S.-Schroeder.jpg" TargetMode="External"/><Relationship Id="rId2369" Type="http://schemas.openxmlformats.org/officeDocument/2006/relationships/hyperlink" Target="http://www.journalgazette.net/news/local/police-fire/Suspect-in-fatal-police-action-shooting-identified-15658742" TargetMode="External"/><Relationship Id="rId720" Type="http://schemas.openxmlformats.org/officeDocument/2006/relationships/hyperlink" Target="http://www.turnto23.com/news/breaking-news/officer-involved-shooting-near-downtown-restaurant-11292015" TargetMode="External"/><Relationship Id="rId721" Type="http://schemas.openxmlformats.org/officeDocument/2006/relationships/hyperlink" Target="http://www.wfaa.com/story/news/local/dallas-county/2015/11/28/police-kill-suspect-seagoville/76491256/" TargetMode="External"/><Relationship Id="rId722" Type="http://schemas.openxmlformats.org/officeDocument/2006/relationships/hyperlink" Target="http://www.ky3.com/news/local/man-shot-dead-in-confrontation-with-stone-county-deputies/21048998_36683524" TargetMode="External"/><Relationship Id="rId723" Type="http://schemas.openxmlformats.org/officeDocument/2006/relationships/hyperlink" Target="http://www.news-leader.com/story/news/crime/2015/11/26/man-killed-officer-involved-shooting/76409078/" TargetMode="External"/><Relationship Id="rId724" Type="http://schemas.openxmlformats.org/officeDocument/2006/relationships/hyperlink" Target="http://www.ky3.com/news/local/law-enforcement-work-standoff-near-ozarks-square/21048998_36658518" TargetMode="External"/><Relationship Id="rId725" Type="http://schemas.openxmlformats.org/officeDocument/2006/relationships/hyperlink" Target="http://www.wmicentral.com/officer-involved-shooting-in-eagar/article_3c603f82-9534-11e5-99b8-63c3ec52f2de.html" TargetMode="External"/><Relationship Id="rId726" Type="http://schemas.openxmlformats.org/officeDocument/2006/relationships/hyperlink" Target="http://minnesota.cbslocal.com/2015/11/24/reports-of-shots-fired-in-columbia-heights-police-say/" TargetMode="External"/><Relationship Id="rId727" Type="http://schemas.openxmlformats.org/officeDocument/2006/relationships/hyperlink" Target="http://lasvegas.cbslocal.com/2015/11/24/officer-involved-shooting-in-las-vegas/" TargetMode="External"/><Relationship Id="rId728" Type="http://schemas.openxmlformats.org/officeDocument/2006/relationships/hyperlink" Target="http://nbc4i.com/2015/11/23/3-people-reported-dead-after-reported-shooting-on-citys-west-side/" TargetMode="External"/><Relationship Id="rId729" Type="http://schemas.openxmlformats.org/officeDocument/2006/relationships/hyperlink" Target="http://www.kristv.com/story/30582358/concord-st-closed-off" TargetMode="External"/><Relationship Id="rId1660" Type="http://schemas.openxmlformats.org/officeDocument/2006/relationships/hyperlink" Target="http://patch.com/california/san-francisco/alleged-knife-wielding-homeless-man-shot-police-identified-0" TargetMode="External"/><Relationship Id="rId1661" Type="http://schemas.openxmlformats.org/officeDocument/2006/relationships/hyperlink" Target="http://www.tennessean.com/story/news/local/sumner/gallatin/2016/04/07/gallatin-police-release-graphic-video-officer-shooting-woman-ax/82764688/" TargetMode="External"/><Relationship Id="rId1662" Type="http://schemas.openxmlformats.org/officeDocument/2006/relationships/hyperlink" Target="http://www.wsaz.com/content/news/Intruder-shot-and-killed-by-law-enforcement-officer-374750511.html" TargetMode="External"/><Relationship Id="rId1663" Type="http://schemas.openxmlformats.org/officeDocument/2006/relationships/hyperlink" Target="http://www.latimes.com/local/lanow/la-me-ln-man-shot-police-sylmar-identified-20160408-story.html" TargetMode="External"/><Relationship Id="rId1664" Type="http://schemas.openxmlformats.org/officeDocument/2006/relationships/hyperlink" Target="http://www.masslive.com/news/index.ssf/2016/04/peter_doherty_shot_by_west_spr.html" TargetMode="External"/><Relationship Id="rId1665" Type="http://schemas.openxmlformats.org/officeDocument/2006/relationships/hyperlink" Target="http://www.indystar.com/story/news/crime/2016/04/05/police-investigate-officer-involved-shooting-east-side/82682546/" TargetMode="External"/><Relationship Id="rId1666" Type="http://schemas.openxmlformats.org/officeDocument/2006/relationships/hyperlink" Target="http://www.startribune.com/bca-man-killed-by-police-while-stabbing-another-man-had-lunged-at-officers/374933131/" TargetMode="External"/><Relationship Id="rId1667" Type="http://schemas.openxmlformats.org/officeDocument/2006/relationships/hyperlink" Target="http://www.kare11.com/news/local/1-dead-in-officer-involved-shooting-in-eau-claire/117777883" TargetMode="External"/><Relationship Id="rId1668" Type="http://schemas.openxmlformats.org/officeDocument/2006/relationships/hyperlink" Target="http://kxan.com/2016/04/04/injured-apd-officer-identified-suspect-still-not-named/" TargetMode="External"/><Relationship Id="rId1669" Type="http://schemas.openxmlformats.org/officeDocument/2006/relationships/hyperlink" Target="http://www.al.com/news/index.ssf/2016/04/woman_shot_to_death_by_auburn.html" TargetMode="External"/><Relationship Id="rId3070" Type="http://schemas.openxmlformats.org/officeDocument/2006/relationships/hyperlink" Target="http://www.eastbaytimes.com/2017/03/14/hayward-police-investigate-shooting-near-csu-east-bay/" TargetMode="External"/><Relationship Id="rId3071" Type="http://schemas.openxmlformats.org/officeDocument/2006/relationships/hyperlink" Target="http://www.fatalencounters.org/wp-content/uploads/2013/10/Alexander-Meltz.png" TargetMode="External"/><Relationship Id="rId3072" Type="http://schemas.openxmlformats.org/officeDocument/2006/relationships/hyperlink" Target="http://www.denverpost.com/2017/03/14/westminster-officer-involved-shooting/" TargetMode="External"/><Relationship Id="rId3073" Type="http://schemas.openxmlformats.org/officeDocument/2006/relationships/hyperlink" Target="http://www.fatalencounters.org/wp-content/uploads/2013/10/Shawn-Anthony-Dumitras.jpg" TargetMode="External"/><Relationship Id="rId3074" Type="http://schemas.openxmlformats.org/officeDocument/2006/relationships/hyperlink" Target="http://www.wjhg.com/content/news/416191873.html" TargetMode="External"/><Relationship Id="rId3075" Type="http://schemas.openxmlformats.org/officeDocument/2006/relationships/hyperlink" Target="http://www.fatalencounters.org/wp-content/uploads/2013/10/Rashad-Daquan-Opher.jpg" TargetMode="External"/><Relationship Id="rId3076" Type="http://schemas.openxmlformats.org/officeDocument/2006/relationships/hyperlink" Target="http://baltimore.cbslocal.com/2017/03/14/police-investigate-officer-involved-shooting-in-woodlawn-3-suspects-injured/" TargetMode="External"/><Relationship Id="rId3077" Type="http://schemas.openxmlformats.org/officeDocument/2006/relationships/hyperlink" Target="http://www.app.com/story/news/2017/03/14/police-involved-shooting-toms-river-authorities/99171538/" TargetMode="External"/><Relationship Id="rId3078" Type="http://schemas.openxmlformats.org/officeDocument/2006/relationships/hyperlink" Target="http://www.kiro7.com/news/local/one-dead-in-officer-involved-shooting-at-fife-motel-6-parking-lot/502598856" TargetMode="External"/><Relationship Id="rId3079" Type="http://schemas.openxmlformats.org/officeDocument/2006/relationships/hyperlink" Target="http://www.fatalencounters.org/wp-content/uploads/2013/10/Todd-Munson.png" TargetMode="External"/><Relationship Id="rId1120" Type="http://schemas.openxmlformats.org/officeDocument/2006/relationships/hyperlink" Target="http://www.oregonlive.com/portland/index.ssf/2015/04/se_portland_double_murder_susp.html" TargetMode="External"/><Relationship Id="rId1121" Type="http://schemas.openxmlformats.org/officeDocument/2006/relationships/hyperlink" Target="http://www.indystar.com/story/news/crime/2015/04/12/officer-involved-shooting-reported-indys-eastside/25678213/" TargetMode="External"/><Relationship Id="rId1122" Type="http://schemas.openxmlformats.org/officeDocument/2006/relationships/hyperlink" Target="http://www.jconline.com/story/news/2015/05/01/officers-justified-use-lethal-force/26708803/" TargetMode="External"/><Relationship Id="rId1123" Type="http://schemas.openxmlformats.org/officeDocument/2006/relationships/hyperlink" Target="http://www.wctv.tv/home/headlines/Police-Respond-to-Apparent-Shooting-in-Valdosta-299123481.html" TargetMode="External"/><Relationship Id="rId1124" Type="http://schemas.openxmlformats.org/officeDocument/2006/relationships/hyperlink" Target="http://www.wdsu.com/news/local-news/new-orleans/jpso-officer-involved-in-shooting-in-harvey/32215908" TargetMode="External"/><Relationship Id="rId1125" Type="http://schemas.openxmlformats.org/officeDocument/2006/relationships/hyperlink" Target="http://ktla.com/2015/04/05/armed-man-is-fatally-shot-by-anaheim-police-1-day-after-posting-bail/" TargetMode="External"/><Relationship Id="rId1126" Type="http://schemas.openxmlformats.org/officeDocument/2006/relationships/hyperlink" Target="http://www.huffingtonpost.com/2015/04/29/justus-howell_n_7172814.html" TargetMode="External"/><Relationship Id="rId1127" Type="http://schemas.openxmlformats.org/officeDocument/2006/relationships/hyperlink" Target="http://www.killedbypolice.net/victims/150297.jpg" TargetMode="External"/><Relationship Id="rId1128" Type="http://schemas.openxmlformats.org/officeDocument/2006/relationships/hyperlink" Target="http://kwqc.com/2015/04/03/r-i-county-coroner-identifies-man-killed-in-officer-involved-shooting/" TargetMode="External"/><Relationship Id="rId1129" Type="http://schemas.openxmlformats.org/officeDocument/2006/relationships/hyperlink" Target="http://www.timesunion.com/news/article/Taser-victim-Dontay-Ivy-to-be-laid-to-rest-6187858.php" TargetMode="External"/><Relationship Id="rId2370" Type="http://schemas.openxmlformats.org/officeDocument/2006/relationships/hyperlink" Target="http://www.fatalencounters.org/wp-content/uploads/2013/10/EddieCollins.jpg" TargetMode="External"/><Relationship Id="rId2371" Type="http://schemas.openxmlformats.org/officeDocument/2006/relationships/hyperlink" Target="http://www.wect.com/story/33330242/suspect-and-woman-dead-after-being-shot-at-killen-standoff" TargetMode="External"/><Relationship Id="rId2372" Type="http://schemas.openxmlformats.org/officeDocument/2006/relationships/hyperlink" Target="http://wgxa.tv/news/local/man-killed-in-deputy-involved-shooting-in-macon" TargetMode="External"/><Relationship Id="rId2373" Type="http://schemas.openxmlformats.org/officeDocument/2006/relationships/hyperlink" Target="http://q13fox.com/2016/10/08/21-year-old-dead-after-officer-involved-shooting-in-federal-way/" TargetMode="External"/><Relationship Id="rId2374" Type="http://schemas.openxmlformats.org/officeDocument/2006/relationships/hyperlink" Target="http://www.fatalencounters.org/wp-content/uploads/2013/10/Charles-E.-Antrup.jpg" TargetMode="External"/><Relationship Id="rId2375" Type="http://schemas.openxmlformats.org/officeDocument/2006/relationships/hyperlink" Target="http://www.journalgazette.net/news/local/police-fire/Man-with-knife-killed-by-police-15683990" TargetMode="External"/><Relationship Id="rId2376" Type="http://schemas.openxmlformats.org/officeDocument/2006/relationships/hyperlink" Target="http://www.modbee.com/news/local/crime/article106987017.html" TargetMode="External"/><Relationship Id="rId2377" Type="http://schemas.openxmlformats.org/officeDocument/2006/relationships/hyperlink" Target="http://www.fatalencounters.org/wp-content/uploads/2013/10/Dylan-Rogers.jpg" TargetMode="External"/><Relationship Id="rId2378" Type="http://schemas.openxmlformats.org/officeDocument/2006/relationships/hyperlink" Target="http://www.news9.com/story/33348470/osbi-one-dead-after-shooting-in-hughes-county" TargetMode="External"/><Relationship Id="rId2379" Type="http://schemas.openxmlformats.org/officeDocument/2006/relationships/hyperlink" Target="http://www.fatalencounters.org/wp-content/uploads/2013/10/Luis-Michael-Hoff.jpg" TargetMode="External"/><Relationship Id="rId730" Type="http://schemas.openxmlformats.org/officeDocument/2006/relationships/hyperlink" Target="http://www.denverpost.com/news/ci_29154811/denver-police-fatally-shoot-gunman-during-standoff" TargetMode="External"/><Relationship Id="rId731" Type="http://schemas.openxmlformats.org/officeDocument/2006/relationships/hyperlink" Target="http://www.kolotv.com/home/headlines/Reno-Police-One-Person-Shot-on-Grove-St-352960401.html" TargetMode="External"/><Relationship Id="rId732" Type="http://schemas.openxmlformats.org/officeDocument/2006/relationships/hyperlink" Target="http://www.kxii.com/home/headlines/New-details-released-in-officer-involved-shooting-in-Colbert-352955771.html" TargetMode="External"/><Relationship Id="rId733" Type="http://schemas.openxmlformats.org/officeDocument/2006/relationships/hyperlink" Target="http://www.pe.com/articles/report-787263-suspect-officers.html" TargetMode="External"/><Relationship Id="rId734" Type="http://schemas.openxmlformats.org/officeDocument/2006/relationships/hyperlink" Target="http://www.ajc.com/news/news/local/coweta-man-dies-after-being-tasered-by-deputies/npSZB/" TargetMode="External"/><Relationship Id="rId735" Type="http://schemas.openxmlformats.org/officeDocument/2006/relationships/hyperlink" Target="http://ktla.com/2015/11/20/fontana-officer-fatally-shoots-allegedly-armed-man/" TargetMode="External"/><Relationship Id="rId736" Type="http://schemas.openxmlformats.org/officeDocument/2006/relationships/hyperlink" Target="http://www.wsbtv.com/news/news/local/gbi-investigates-deadly-officer-involved-shooting-/npR4n/" TargetMode="External"/><Relationship Id="rId737" Type="http://schemas.openxmlformats.org/officeDocument/2006/relationships/hyperlink" Target="http://www.pressofatlanticcity.com/news/police-shoot-kill-man-in-little-egg-harbor-township/article_a155067e-8d51-11e5-820c-8f51f462e0d1.html" TargetMode="External"/><Relationship Id="rId738" Type="http://schemas.openxmlformats.org/officeDocument/2006/relationships/hyperlink" Target="http://www.walb.com/story/30540752/gbi-one-dead-in-officer-involved-shooting" TargetMode="External"/><Relationship Id="rId739" Type="http://schemas.openxmlformats.org/officeDocument/2006/relationships/hyperlink" Target="http://www.wfaa.com/story/news/crime/2015/11/17/weatherford-officer-fatally-shoots-man-in-patrol-vehicle/75931948/" TargetMode="External"/><Relationship Id="rId1670" Type="http://schemas.openxmlformats.org/officeDocument/2006/relationships/hyperlink" Target="http://www.indystar.com/story/news/crime/2016/04/03/suspect-shot-killed-police-mcdonalds-robbbery/82579924/" TargetMode="External"/><Relationship Id="rId1671" Type="http://schemas.openxmlformats.org/officeDocument/2006/relationships/hyperlink" Target="http://www.newswest9.com/story/31628475/man-killed-in-odessa-shooting-identified" TargetMode="External"/><Relationship Id="rId1672" Type="http://schemas.openxmlformats.org/officeDocument/2006/relationships/hyperlink" Target="http://kxan.com/2016/04/01/lockhart-police-investigating-shooting-behind-a-dairy-queen/" TargetMode="External"/><Relationship Id="rId1673" Type="http://schemas.openxmlformats.org/officeDocument/2006/relationships/hyperlink" Target="http://www.fatalencounters.org/wp-content/uploads/2013/10/OrlandoCollinscopy.jpg" TargetMode="External"/><Relationship Id="rId1674" Type="http://schemas.openxmlformats.org/officeDocument/2006/relationships/hyperlink" Target="http://www.brownsvilleherald.com/news/texas/article_cd4e572b-f2e1-507e-b563-700c2c6893af.html" TargetMode="External"/><Relationship Id="rId1675" Type="http://schemas.openxmlformats.org/officeDocument/2006/relationships/hyperlink" Target="http://www.brownsvilleherald.com/news/texas/article_cd4e572b-f2e1-507e-b563-700c2c6893af.html" TargetMode="External"/><Relationship Id="rId1676" Type="http://schemas.openxmlformats.org/officeDocument/2006/relationships/hyperlink" Target="http://www.necn.com/news/new-england/PD-Man-Shot-Killed-by-Officer-Had-BB-Gun-373844941.html" TargetMode="External"/><Relationship Id="rId1677" Type="http://schemas.openxmlformats.org/officeDocument/2006/relationships/hyperlink" Target="http://www.wcjb.com/local-news/2016/03/16-year-old-dies-after-standoff-police" TargetMode="External"/><Relationship Id="rId1678" Type="http://schemas.openxmlformats.org/officeDocument/2006/relationships/hyperlink" Target="http://wtkr.com/2016/03/19/woman-killed-in-officer-involved-shooting-in-norfolk/" TargetMode="External"/><Relationship Id="rId1679" Type="http://schemas.openxmlformats.org/officeDocument/2006/relationships/hyperlink" Target="http://www.fatalencounters.org/wp-content/uploads/2013/10/Nonny.png" TargetMode="External"/><Relationship Id="rId3080" Type="http://schemas.openxmlformats.org/officeDocument/2006/relationships/hyperlink" Target="http://www.abc15.com/news/region-phoenix-metro/north-phoenix/high-speed-chase-in-phoenix-suspect-down-after-leading-police-on-pursuit" TargetMode="External"/><Relationship Id="rId3081" Type="http://schemas.openxmlformats.org/officeDocument/2006/relationships/hyperlink" Target="http://www.fatalencounters.org/wp-content/uploads/2013/10/Daniel-Kulwicki.jpg" TargetMode="External"/><Relationship Id="rId3082" Type="http://schemas.openxmlformats.org/officeDocument/2006/relationships/hyperlink" Target="http://www.tbreporter.com/crime/deputy-shot-man-killed-lealman-shooting/" TargetMode="External"/><Relationship Id="rId3083" Type="http://schemas.openxmlformats.org/officeDocument/2006/relationships/hyperlink" Target="http://www.fatalencounters.org/wp-content/uploads/2013/10/Cordale-Quinn-Handy.png" TargetMode="External"/><Relationship Id="rId3084" Type="http://schemas.openxmlformats.org/officeDocument/2006/relationships/hyperlink" Target="http://www.startribune.com/authorities-investigate-officer-involved-shooting-in-st-paul/416202434/" TargetMode="External"/><Relationship Id="rId3085" Type="http://schemas.openxmlformats.org/officeDocument/2006/relationships/hyperlink" Target="http://www.fatalencounters.org/wp-content/uploads/2013/10/Daniel-Donarski.jpg" TargetMode="External"/><Relationship Id="rId3086" Type="http://schemas.openxmlformats.org/officeDocument/2006/relationships/hyperlink" Target="http://www.wftv.com/news/local/shotgun-wielding-man-dead-in-volusia-county-deputy-involved-shooting-sheriff-office-says/503409399" TargetMode="External"/><Relationship Id="rId3087" Type="http://schemas.openxmlformats.org/officeDocument/2006/relationships/hyperlink" Target="http://www.wagmtv.com/content/news/An-officer-involved-shooting--416436843.html" TargetMode="External"/><Relationship Id="rId3088" Type="http://schemas.openxmlformats.org/officeDocument/2006/relationships/hyperlink" Target="http://www.detroitnews.com/story/news/local/macomb-county/2017/03/16/us-marshal-involved-warren-shooting/99256676/" TargetMode="External"/><Relationship Id="rId3089" Type="http://schemas.openxmlformats.org/officeDocument/2006/relationships/hyperlink" Target="http://www.fatalencounters.org/wp-content/uploads/2013/10/PatrickGatson.jpg" TargetMode="External"/><Relationship Id="rId1130" Type="http://schemas.openxmlformats.org/officeDocument/2006/relationships/hyperlink" Target="http://www.inquisitr.com/2003038/oklahoma-shooting-videos-reveal-eric-courtney-harris-last-moments-alive/" TargetMode="External"/><Relationship Id="rId1131" Type="http://schemas.openxmlformats.org/officeDocument/2006/relationships/hyperlink" Target="http://www.killedbypolice.net/victims/150292.jpg" TargetMode="External"/><Relationship Id="rId1132" Type="http://schemas.openxmlformats.org/officeDocument/2006/relationships/hyperlink" Target="http://www.nbclosangeles.com/news/local/Fatal-Shooting-May-Have-Started-Over-Laugh-298532211.html" TargetMode="External"/><Relationship Id="rId1133" Type="http://schemas.openxmlformats.org/officeDocument/2006/relationships/hyperlink" Target="http://www.killedbypolice.net/victims/150279.jpg" TargetMode="External"/><Relationship Id="rId1134" Type="http://schemas.openxmlformats.org/officeDocument/2006/relationships/hyperlink" Target="http://www.vcstar.com/news/local-news/oxnard/oxnard-woman-killed-by-police-after-domestic-dispute-call_34372240" TargetMode="External"/><Relationship Id="rId1135" Type="http://schemas.openxmlformats.org/officeDocument/2006/relationships/hyperlink" Target="http://crimeblog.dallasnews.com/2015/03/man-in-arlington-police-custody-hospitazlied.html/" TargetMode="External"/><Relationship Id="rId1136" Type="http://schemas.openxmlformats.org/officeDocument/2006/relationships/hyperlink" Target="http://www.19actionnews.com/story/28380324/one-dead-after-officer-involved-shooting-in-cleveland" TargetMode="External"/><Relationship Id="rId1137" Type="http://schemas.openxmlformats.org/officeDocument/2006/relationships/hyperlink" Target="http://crimeblog.dallasnews.com/2015/02/live-video-dallas-police-on-the-scene-of-officer-involved-shooting-at-bonnie-view-and-i-20.html/" TargetMode="External"/><Relationship Id="rId1138" Type="http://schemas.openxmlformats.org/officeDocument/2006/relationships/hyperlink" Target="http://www.washingtonpost.com/local/crime/woman-dies-after-a-stun-gun-was-used-on-her-in-the-fairfax-county-jail/2015/02/08/14a7f498-4987-4e47-be50-5d31b39825ef_story.html" TargetMode="External"/><Relationship Id="rId1139" Type="http://schemas.openxmlformats.org/officeDocument/2006/relationships/hyperlink" Target="http://www.trbimg.com/img-54da5444/turbine/os-joseph-paffen-20150210/243/243x137" TargetMode="External"/><Relationship Id="rId2380" Type="http://schemas.openxmlformats.org/officeDocument/2006/relationships/hyperlink" Target="http://www.12news.com/news/local/valley/loop-101-reopens-in-scottsdale-after-troopers-chase-shoot-suspect/333205961" TargetMode="External"/><Relationship Id="rId2381" Type="http://schemas.openxmlformats.org/officeDocument/2006/relationships/hyperlink" Target="http://www.fatalencounters.org/wp-content/uploads/2013/10/MatthewVogel.jpg" TargetMode="External"/><Relationship Id="rId2382" Type="http://schemas.openxmlformats.org/officeDocument/2006/relationships/hyperlink" Target="http://www.twincities.com/2016/10/12/driver-victim-in-fatal-police-chase-crash-in-burnsville-are-identified/" TargetMode="External"/><Relationship Id="rId2383" Type="http://schemas.openxmlformats.org/officeDocument/2006/relationships/hyperlink" Target="http://www.fatalencounters.org/wp-content/uploads/2013/10/Tavon-Desean-Jenkins.jpg" TargetMode="External"/><Relationship Id="rId2384" Type="http://schemas.openxmlformats.org/officeDocument/2006/relationships/hyperlink" Target="http://katv.com/news/local/victims-trooper-involved-in-hot-springs-fatal-wreck-identified" TargetMode="External"/><Relationship Id="rId2385" Type="http://schemas.openxmlformats.org/officeDocument/2006/relationships/hyperlink" Target="http://www.fatalencounters.org/wp-content/uploads/2013/10/Mauricio-Barron.jpg" TargetMode="External"/><Relationship Id="rId2386" Type="http://schemas.openxmlformats.org/officeDocument/2006/relationships/hyperlink" Target="http://www.ocregister.com/articles/officer-731773-shot-killed.html" TargetMode="External"/><Relationship Id="rId2387" Type="http://schemas.openxmlformats.org/officeDocument/2006/relationships/hyperlink" Target="http://www.fayobserver.com/news/local/lumberton-man-killed-by-state-trooper-identified/article_2e8c69f7-0bbe-5e21-9f60-28e5e20b939e.html" TargetMode="External"/><Relationship Id="rId2388" Type="http://schemas.openxmlformats.org/officeDocument/2006/relationships/hyperlink" Target="http://www.newswest9.com/story/33360172/man-dies-following-officer-involved-shooting-in-midland" TargetMode="External"/><Relationship Id="rId2389" Type="http://schemas.openxmlformats.org/officeDocument/2006/relationships/hyperlink" Target="http://www.fatalencounters.org/wp-content/uploads/2013/10/Devan-Desnoyers.jpg" TargetMode="External"/><Relationship Id="rId740" Type="http://schemas.openxmlformats.org/officeDocument/2006/relationships/hyperlink" Target="http://www.nbcmontana.com/news/beaverhead-co-sheriffs-office-says-dillon-man-dies-after-officerinvolved-shooting/36485584" TargetMode="External"/><Relationship Id="rId741" Type="http://schemas.openxmlformats.org/officeDocument/2006/relationships/hyperlink" Target="http://www.wdef.com/news/story/Whitfield-Deputy-Fatally-Shoots-Suspect-After-Car/2cVdW_rl30uLVjQAHyWeKw.cspx" TargetMode="External"/><Relationship Id="rId742" Type="http://schemas.openxmlformats.org/officeDocument/2006/relationships/hyperlink" Target="http://www.wral.com/one-dead-in-officer-involved-shooting-in-harnett-county/15110806/" TargetMode="External"/><Relationship Id="rId743" Type="http://schemas.openxmlformats.org/officeDocument/2006/relationships/hyperlink" Target="http://www.pe.com/articles/riverside-786361-area-deputies.html" TargetMode="External"/><Relationship Id="rId744" Type="http://schemas.openxmlformats.org/officeDocument/2006/relationships/hyperlink" Target="http://www.jacksonsun.com/story/news/crime/2015/11/14/tbi-investigating-officer-involved-shooting-trenton/75775108/" TargetMode="External"/><Relationship Id="rId745" Type="http://schemas.openxmlformats.org/officeDocument/2006/relationships/hyperlink" Target="http://www.pe.com/articles/responding-786289-involved-sheriff.html" TargetMode="External"/><Relationship Id="rId746" Type="http://schemas.openxmlformats.org/officeDocument/2006/relationships/hyperlink" Target="http://www.wjcl.com/news/local-news/effingham-co-sheriff-deputy-shot-suspect-killed-after-deputy-involved-shooting/94554359/story" TargetMode="External"/><Relationship Id="rId747" Type="http://schemas.openxmlformats.org/officeDocument/2006/relationships/hyperlink" Target="http://www.mercurynews.com/bay-area-news/ci_29109035/sunnyvale-police-shoot-armed-male-at-apartment-complex" TargetMode="External"/><Relationship Id="rId748" Type="http://schemas.openxmlformats.org/officeDocument/2006/relationships/hyperlink" Target="http://www.live5news.com/story/30496764/sled-investigating-deputy-involved-shooting-in-aiken" TargetMode="External"/><Relationship Id="rId749" Type="http://schemas.openxmlformats.org/officeDocument/2006/relationships/hyperlink" Target="http://sanfrancisco.cbslocal.com/2015/11/11/reports-of-gunman-on-construction-site-near-san-francisco-hospital/" TargetMode="External"/><Relationship Id="rId1680" Type="http://schemas.openxmlformats.org/officeDocument/2006/relationships/hyperlink" Target="http://www.fatalencounters.org/wp-content/uploads/2013/10/Detmond.jpg" TargetMode="External"/><Relationship Id="rId1681" Type="http://schemas.openxmlformats.org/officeDocument/2006/relationships/hyperlink" Target="http://www.fatalencounters.org/wp-content/uploads/2013/10/Beaty.png" TargetMode="External"/><Relationship Id="rId1682" Type="http://schemas.openxmlformats.org/officeDocument/2006/relationships/hyperlink" Target="http://wnct.com/2016/03/28/trooper-fatally-shoots-armed-person-in-kinston/" TargetMode="External"/><Relationship Id="rId1683" Type="http://schemas.openxmlformats.org/officeDocument/2006/relationships/hyperlink" Target="http://www.kctv5.com/story/31554750/robbery-suspect-shot-killed-by-police-outsideblue-springs-walgreens" TargetMode="External"/><Relationship Id="rId1684" Type="http://schemas.openxmlformats.org/officeDocument/2006/relationships/hyperlink" Target="http://www.wmcactionnews5.com/story/31559847/the-latest-police-man-fatally-shot-by-memphis-officer" TargetMode="External"/><Relationship Id="rId1685" Type="http://schemas.openxmlformats.org/officeDocument/2006/relationships/hyperlink" Target="http://chicago.cbslocal.com/2016/03/19/suspect-killed-officer-wounded-in-park-forest-police-involved-shooting/" TargetMode="External"/><Relationship Id="rId1686" Type="http://schemas.openxmlformats.org/officeDocument/2006/relationships/hyperlink" Target="http://www.chicagotribune.com/news/local/breaking/ct-officers-shot-on-west-side-20160314-story.html" TargetMode="External"/><Relationship Id="rId1687" Type="http://schemas.openxmlformats.org/officeDocument/2006/relationships/hyperlink" Target="http://www.fatalencounters.org/wp-content/uploads/2013/10/Deriante-Deon-Miller.jpg" TargetMode="External"/><Relationship Id="rId1688" Type="http://schemas.openxmlformats.org/officeDocument/2006/relationships/hyperlink" Target="http://www.fatalencounters.org/wp-content/uploads/2013/10/Seales.jpg" TargetMode="External"/><Relationship Id="rId1689" Type="http://schemas.openxmlformats.org/officeDocument/2006/relationships/hyperlink" Target="http://www.fatalencounters.org/wp-content/uploads/2013/10/Allen.jpg" TargetMode="External"/><Relationship Id="rId3090" Type="http://schemas.openxmlformats.org/officeDocument/2006/relationships/hyperlink" Target="http://abc11.com/news/fayetteville-standoff-suspect-shot-by-police-dies/1803878/" TargetMode="External"/><Relationship Id="rId3091" Type="http://schemas.openxmlformats.org/officeDocument/2006/relationships/hyperlink" Target="http://www.fatalencounters.org/wp-content/uploads/2013/10/Rodney-James-Hess.png" TargetMode="External"/><Relationship Id="rId3092" Type="http://schemas.openxmlformats.org/officeDocument/2006/relationships/hyperlink" Target="http://www.jacksonsun.com/story/news/crime/2017/03/16/officer-involved-shooting-alamo/99271940/" TargetMode="External"/><Relationship Id="rId3093" Type="http://schemas.openxmlformats.org/officeDocument/2006/relationships/hyperlink" Target="http://www.fatalencounters.org/wp-content/uploads/2013/10/Jermaine-Claybrooks.png" TargetMode="External"/><Relationship Id="rId3094" Type="http://schemas.openxmlformats.org/officeDocument/2006/relationships/hyperlink" Target="http://www.jsonline.com/story/news/local/milwaukee/2017/03/16/suspected-drug-dealer-killed-confrontation-officers-milwaukees-north-side/99285438/" TargetMode="External"/><Relationship Id="rId3095" Type="http://schemas.openxmlformats.org/officeDocument/2006/relationships/hyperlink" Target="http://www.fatalencounters.org/wp-content/uploads/2013/10/Desmond-Phillips.png" TargetMode="External"/><Relationship Id="rId3096" Type="http://schemas.openxmlformats.org/officeDocument/2006/relationships/hyperlink" Target="http://www.krcrtv.com/news/local/butte/chico-police-office-involved-shooting-no-fatality-in-north-campus-area/401951115" TargetMode="External"/><Relationship Id="rId3097" Type="http://schemas.openxmlformats.org/officeDocument/2006/relationships/hyperlink" Target="http://www.denverpost.com/2017/03/17/thornton-police-suspect-tased-dead/" TargetMode="External"/><Relationship Id="rId3098" Type="http://schemas.openxmlformats.org/officeDocument/2006/relationships/hyperlink" Target="http://www.wmcactionnews5.com/story/34939965/woman-shot-by-shelby-county-deputies-in-lakeland" TargetMode="External"/><Relationship Id="rId3099" Type="http://schemas.openxmlformats.org/officeDocument/2006/relationships/hyperlink" Target="http://wdef.com/2017/03/18/gbi-investigates-officer-involved-shooting-polk-county/" TargetMode="External"/><Relationship Id="rId200" Type="http://schemas.openxmlformats.org/officeDocument/2006/relationships/hyperlink" Target="http://jacksonville.com/news/crime/2015-05-21/story/suspect-shot-deputies-st-augustine-beach-has-died" TargetMode="External"/><Relationship Id="rId201" Type="http://schemas.openxmlformats.org/officeDocument/2006/relationships/hyperlink" Target="http://www.postandcourier.com/article/20150521/PC16/150529889/man-shot-last-night-after-cutting-deputy-dies" TargetMode="External"/><Relationship Id="rId202" Type="http://schemas.openxmlformats.org/officeDocument/2006/relationships/hyperlink" Target="http://www.gillettenewsrecord.com/news/local/article_8ce9749e-ffea-11e4-b7e5-5f207815da4f.html" TargetMode="External"/><Relationship Id="rId203" Type="http://schemas.openxmlformats.org/officeDocument/2006/relationships/hyperlink" Target="http://www.thv11.com/story/news/crime/2015/05/19/police-respond-to-cabot-shooting/27627629/" TargetMode="External"/><Relationship Id="rId204" Type="http://schemas.openxmlformats.org/officeDocument/2006/relationships/hyperlink" Target="http://www.newsnet5.com/news/local-news/oh-summit/summit-county-sheriffs-deputy-fatally-shoots-man-with-knife-in-green" TargetMode="External"/><Relationship Id="rId205" Type="http://schemas.openxmlformats.org/officeDocument/2006/relationships/hyperlink" Target="http://www.arlnow.com/2015/05/19/breaking-officer-involved-shooting-in-buckingham/" TargetMode="External"/><Relationship Id="rId206" Type="http://schemas.openxmlformats.org/officeDocument/2006/relationships/hyperlink" Target="http://www.kjct8.com/news/headlines/Officer-involved-shooting-near-downtown-Grand-Junction-304404101.html" TargetMode="External"/><Relationship Id="rId207" Type="http://schemas.openxmlformats.org/officeDocument/2006/relationships/hyperlink" Target="http://k2radio.com/inmate-fought-deputies-before-dying-affidavit-details-bin-williams-last-days/" TargetMode="External"/><Relationship Id="rId208" Type="http://schemas.openxmlformats.org/officeDocument/2006/relationships/hyperlink" Target="http://www.utsandiego.com/news/2015/may/17/sdpd-ois-officer-shot-kearny-mesa-hospital/" TargetMode="External"/><Relationship Id="rId209" Type="http://schemas.openxmlformats.org/officeDocument/2006/relationships/hyperlink" Target="http://www.baynews9.com/content/news/baynews9/news/article.html/content/news/articles/bn9/2015/5/17/st_pete_officer_shot.html" TargetMode="External"/><Relationship Id="rId1140" Type="http://schemas.openxmlformats.org/officeDocument/2006/relationships/hyperlink" Target="http://www.orlandosentinel.com/news/breaking-news/os-sovereign-citizen-deputy-shooting-20150210-story.html" TargetMode="External"/><Relationship Id="rId1141" Type="http://schemas.openxmlformats.org/officeDocument/2006/relationships/hyperlink" Target="http://www.wcnc.com/story/news/crime/2015/02/08/gastoina-police-officer-involved-in-deadly-shooting/23075073/" TargetMode="External"/><Relationship Id="rId1142" Type="http://schemas.openxmlformats.org/officeDocument/2006/relationships/hyperlink" Target="http://www.wacotrib.com/news/traffic/officers-shoot-kill-suspected-waco-area-robber-after-high-speed/article_0ad98762-1641-5888-80b2-3797f0b5c9f6.html" TargetMode="External"/><Relationship Id="rId1143" Type="http://schemas.openxmlformats.org/officeDocument/2006/relationships/hyperlink" Target="http://kfor.com/2015/01/17/update-on-off-duty-officer-shooting-at-garth-brooks-concert-in-tulsa/" TargetMode="External"/><Relationship Id="rId1144" Type="http://schemas.openxmlformats.org/officeDocument/2006/relationships/hyperlink" Target="http://www.greenfieldreporter.com/view/story/f769fa01fc134dab9ebc78994015adf8/AR--Fatal-Pharmacy-Robbery" TargetMode="External"/><Relationship Id="rId1145" Type="http://schemas.openxmlformats.org/officeDocument/2006/relationships/hyperlink" Target="http://www.omaha.com/news/crime/autopsy-results-to-be-released-soon-in-case-of-man/article_57e6f9c6-981e-11e4-84ef-dfff4d2c6e13.html" TargetMode="External"/><Relationship Id="rId1146" Type="http://schemas.openxmlformats.org/officeDocument/2006/relationships/hyperlink" Target="http://www.latimes.com/local/lanow/la-me-ln-taser-death-20150107-story.html" TargetMode="External"/><Relationship Id="rId1147" Type="http://schemas.openxmlformats.org/officeDocument/2006/relationships/hyperlink" Target="http://www.click2houston.com/news/breaking-3-shot-in-northwest-harris-county-life-flight-on-scene/36144374" TargetMode="External"/><Relationship Id="rId1148" Type="http://schemas.openxmlformats.org/officeDocument/2006/relationships/hyperlink" Target="http://www.killedbypolice.net/victims/150988.jpg" TargetMode="External"/><Relationship Id="rId1149" Type="http://schemas.openxmlformats.org/officeDocument/2006/relationships/hyperlink" Target="http://www.killedbypolice.net/victims/150984.jpg" TargetMode="External"/><Relationship Id="rId2390" Type="http://schemas.openxmlformats.org/officeDocument/2006/relationships/hyperlink" Target="http://www.cleveland.com/westlake/index.ssf/2016/10/westlake_police_fatally_shoot.html" TargetMode="External"/><Relationship Id="rId2391" Type="http://schemas.openxmlformats.org/officeDocument/2006/relationships/hyperlink" Target="http://www.fatalencounters.org/wp-content/uploads/2013/10/Dominick-Musulman.jpg" TargetMode="External"/><Relationship Id="rId2392" Type="http://schemas.openxmlformats.org/officeDocument/2006/relationships/hyperlink" Target="http://www.nbcbayarea.com/news/local/Police-Officer-Shoots-Stabbing-Suspect-in-Concord-396722711.html" TargetMode="External"/><Relationship Id="rId2393" Type="http://schemas.openxmlformats.org/officeDocument/2006/relationships/hyperlink" Target="http://www.seattletimes.com/seattle-news/remaining-residents-to-be-moved-out-of-the-jungle/" TargetMode="External"/><Relationship Id="rId2394" Type="http://schemas.openxmlformats.org/officeDocument/2006/relationships/hyperlink" Target="http://www.fatalencounters.org/wp-content/uploads/2013/10/Blaine-Justin-Beason.jpg" TargetMode="External"/><Relationship Id="rId2395" Type="http://schemas.openxmlformats.org/officeDocument/2006/relationships/hyperlink" Target="http://www.nola.com/crime/index.ssf/2016/10/wanted_man_killed_in_deputy-in.html" TargetMode="External"/><Relationship Id="rId2396" Type="http://schemas.openxmlformats.org/officeDocument/2006/relationships/hyperlink" Target="http://www.kentreporter.com/news/396875551.html" TargetMode="External"/><Relationship Id="rId2397" Type="http://schemas.openxmlformats.org/officeDocument/2006/relationships/hyperlink" Target="http://www.fatalencounters.org/wp-content/uploads/2013/10/Rex-Vance-Wilson.jpg" TargetMode="External"/><Relationship Id="rId2398" Type="http://schemas.openxmlformats.org/officeDocument/2006/relationships/hyperlink" Target="http://www.reviewjournal.com/crime/homicides/las-vegas-police-shoot-kill-man-suspected-robberies-carjacking" TargetMode="External"/><Relationship Id="rId2399" Type="http://schemas.openxmlformats.org/officeDocument/2006/relationships/hyperlink" Target="http://www.wtvq.com/2016/10/13/ksp-man-fatally-shot-trooper-morehead/" TargetMode="External"/><Relationship Id="rId750" Type="http://schemas.openxmlformats.org/officeDocument/2006/relationships/hyperlink" Target="http://www.abqjournal.com/673935/abqnewsseeker/bcso-investigates-south-valley-shooting.html" TargetMode="External"/><Relationship Id="rId751" Type="http://schemas.openxmlformats.org/officeDocument/2006/relationships/hyperlink" Target="http://www.dailycamera.com/news/boulder/ci_29097757/suspects-reported-armed-robbery-high-speed-chase-boulder" TargetMode="External"/><Relationship Id="rId752" Type="http://schemas.openxmlformats.org/officeDocument/2006/relationships/hyperlink" Target="http://www.krcrtv.com/news/local/shooting-in-chico-leaves-one-dead/36369296" TargetMode="External"/><Relationship Id="rId753" Type="http://schemas.openxmlformats.org/officeDocument/2006/relationships/hyperlink" Target="http://www.mercurynews.com/crime-courts/ci_29098278/san-jose-authorities-identify-gunman-victim-deadly-cambrian" TargetMode="External"/><Relationship Id="rId754" Type="http://schemas.openxmlformats.org/officeDocument/2006/relationships/hyperlink" Target="http://wvmetronews.com/2015/11/09/one-dead-one-injured-in-police-search-for-fugitives/" TargetMode="External"/><Relationship Id="rId755" Type="http://schemas.openxmlformats.org/officeDocument/2006/relationships/hyperlink" Target="http://yourdailyjournal.com/news/18292/sbi-anson-deputy-shot-killed-domestic-violence-suspect" TargetMode="External"/><Relationship Id="rId756" Type="http://schemas.openxmlformats.org/officeDocument/2006/relationships/hyperlink" Target="http://ktla.com/2015/11/09/authorities-responding-to-possible-police-shooting-in-lake-balboa/" TargetMode="External"/><Relationship Id="rId757" Type="http://schemas.openxmlformats.org/officeDocument/2006/relationships/hyperlink" Target="http://www.lmtonline.com/front-news/article_2cdd3578-870c-11e5-96b2-1fbfed068503.html" TargetMode="External"/><Relationship Id="rId758" Type="http://schemas.openxmlformats.org/officeDocument/2006/relationships/hyperlink" Target="http://www.wftv.com/news/news/local/deputies-deland-police-officer-shoots-kills-uncle-/npHzw/" TargetMode="External"/><Relationship Id="rId759" Type="http://schemas.openxmlformats.org/officeDocument/2006/relationships/hyperlink" Target="http://www.reviewjournal.com/news/las-vegas/school-police-shoot-kill-threatening-driver-south-valley-park" TargetMode="External"/><Relationship Id="rId1690" Type="http://schemas.openxmlformats.org/officeDocument/2006/relationships/hyperlink" Target="http://www.fatalencounters.org/wp-content/uploads/2013/10/Thurman.png" TargetMode="External"/><Relationship Id="rId1691" Type="http://schemas.openxmlformats.org/officeDocument/2006/relationships/hyperlink" Target="http://www.fatalencounters.org/wp-content/uploads/2013/10/harrislamar1.jpg" TargetMode="External"/><Relationship Id="rId1692" Type="http://schemas.openxmlformats.org/officeDocument/2006/relationships/hyperlink" Target="http://wspa.com/2016/03/29/one-killed-in-greenville-co-officer-involved-shooting/" TargetMode="External"/><Relationship Id="rId1693" Type="http://schemas.openxmlformats.org/officeDocument/2006/relationships/hyperlink" Target="http://www.chron.com/houston/article/Deputy-shoots-kills-gun-wielding-man-in-Splendora-7210583.php" TargetMode="External"/><Relationship Id="rId1694" Type="http://schemas.openxmlformats.org/officeDocument/2006/relationships/hyperlink" Target="http://nativenewsonline.net/currents/video-reportedly-shows-navajo-woman-not-raise-scissors-towards-winslow-police-officers/" TargetMode="External"/><Relationship Id="rId1695" Type="http://schemas.openxmlformats.org/officeDocument/2006/relationships/hyperlink" Target="http://krcgtv.com/news/local/police-lees-summit-officer-shoots-kills-man-with-knife" TargetMode="External"/><Relationship Id="rId1696" Type="http://schemas.openxmlformats.org/officeDocument/2006/relationships/hyperlink" Target="http://www.nbc12.com/story/31571097/virginia-state-police-investigate-deadly-force-incident" TargetMode="External"/><Relationship Id="rId1697" Type="http://schemas.openxmlformats.org/officeDocument/2006/relationships/hyperlink" Target="http://www.live5news.com/story/31570846/one-man-dead-after-officer-involved-shooting-in-myrtle-beach" TargetMode="External"/><Relationship Id="rId1698" Type="http://schemas.openxmlformats.org/officeDocument/2006/relationships/hyperlink" Target="http://www.necn.com/news/new-england/Officer-Involved-Shooting-in-Lowell-373665461.html" TargetMode="External"/><Relationship Id="rId1699" Type="http://schemas.openxmlformats.org/officeDocument/2006/relationships/hyperlink" Target="http://www.baynews9.com/content/news/baynews9/news/article.html/content/news/articles/bn9/2016/3/27/new_information_in_o.html" TargetMode="External"/><Relationship Id="rId210" Type="http://schemas.openxmlformats.org/officeDocument/2006/relationships/hyperlink" Target="http://www.kob.com/article/stories/s3798987.shtml" TargetMode="External"/><Relationship Id="rId211" Type="http://schemas.openxmlformats.org/officeDocument/2006/relationships/hyperlink" Target="http://www.kcra.com/news/local-news/news-sacramento/sacramento-police-investigating-officerinvolved-shooting/33053756" TargetMode="External"/><Relationship Id="rId212" Type="http://schemas.openxmlformats.org/officeDocument/2006/relationships/hyperlink" Target="http://www.nydailynews.com/new-york/bronx-man-died-custody-drinking-sources-article-1.2224115" TargetMode="External"/><Relationship Id="rId213" Type="http://schemas.openxmlformats.org/officeDocument/2006/relationships/hyperlink" Target="http://www.wrex.com/story/29079166/2015/05/15/officer-involved-shooting-in-rockford" TargetMode="External"/><Relationship Id="rId214" Type="http://schemas.openxmlformats.org/officeDocument/2006/relationships/hyperlink" Target="http://www.mlive.com/news/kalamazoo/index.ssf/2015/05/police_kill_1_man_injure_anoth.html" TargetMode="External"/><Relationship Id="rId215" Type="http://schemas.openxmlformats.org/officeDocument/2006/relationships/hyperlink" Target="http://www.staradvertiser.com/news/breaking/20150512_Man_fatally_shot_at_Chinatown_Gateway_Plaza.html?id=303517261" TargetMode="External"/><Relationship Id="rId216" Type="http://schemas.openxmlformats.org/officeDocument/2006/relationships/hyperlink" Target="http://www.ocregister.com/articles/santa-661469-involved-margarita.html" TargetMode="External"/><Relationship Id="rId217" Type="http://schemas.openxmlformats.org/officeDocument/2006/relationships/hyperlink" Target="http://www.kpho.com/story/29033947/man-dead-after-officer-involved-shooting-in-kearny" TargetMode="External"/><Relationship Id="rId218" Type="http://schemas.openxmlformats.org/officeDocument/2006/relationships/hyperlink" Target="http://www.news4jax.com/news/st-johns-county-investiges-deputy-involved-shooting/32947972" TargetMode="External"/><Relationship Id="rId219" Type="http://schemas.openxmlformats.org/officeDocument/2006/relationships/hyperlink" Target="http://www.wral.com/man-dies-while-in-police-custody-in-enfield/14637653/" TargetMode="External"/><Relationship Id="rId1150" Type="http://schemas.openxmlformats.org/officeDocument/2006/relationships/hyperlink" Target="http://www.killedbypolice.net/victims/150983.jpg" TargetMode="External"/><Relationship Id="rId1151" Type="http://schemas.openxmlformats.org/officeDocument/2006/relationships/hyperlink" Target="http://www.killedbypolice.net/victims/150981.jpg" TargetMode="External"/><Relationship Id="rId1152" Type="http://schemas.openxmlformats.org/officeDocument/2006/relationships/hyperlink" Target="http://www.killedbypolice.net/victims/150977.jpg" TargetMode="External"/><Relationship Id="rId1153" Type="http://schemas.openxmlformats.org/officeDocument/2006/relationships/hyperlink" Target="http://www.killedbypolice.net/victims/150972.jpg" TargetMode="External"/><Relationship Id="rId1154" Type="http://schemas.openxmlformats.org/officeDocument/2006/relationships/hyperlink" Target="http://www.killedbypolice.net/victims/150969.jpg" TargetMode="External"/><Relationship Id="rId1155" Type="http://schemas.openxmlformats.org/officeDocument/2006/relationships/hyperlink" Target="http://www.killedbypolice.net/victims/150968.jpg" TargetMode="External"/><Relationship Id="rId1156" Type="http://schemas.openxmlformats.org/officeDocument/2006/relationships/hyperlink" Target="http://www.killedbypolice.net/victims/150965.jpg" TargetMode="External"/><Relationship Id="rId1157" Type="http://schemas.openxmlformats.org/officeDocument/2006/relationships/hyperlink" Target="http://www.killedbypolice.net/victims/150964.jpg" TargetMode="External"/><Relationship Id="rId1158" Type="http://schemas.openxmlformats.org/officeDocument/2006/relationships/hyperlink" Target="http://www.killedbypolice.net/victims/150954.jpg" TargetMode="External"/><Relationship Id="rId1159" Type="http://schemas.openxmlformats.org/officeDocument/2006/relationships/hyperlink" Target="http://www.killedbypolice.net/victims/150948.jpg" TargetMode="External"/><Relationship Id="rId760" Type="http://schemas.openxmlformats.org/officeDocument/2006/relationships/hyperlink" Target="http://www.oregonlive.com/portland/index.ssf/2015/11/police_activity_closes_streets.html" TargetMode="External"/><Relationship Id="rId761" Type="http://schemas.openxmlformats.org/officeDocument/2006/relationships/hyperlink" Target="http://www.kmov.com/story/30452751/police-open-fire-on-suspect-charging-at-them-with-weapon" TargetMode="External"/><Relationship Id="rId762" Type="http://schemas.openxmlformats.org/officeDocument/2006/relationships/hyperlink" Target="http://www.postandcourier.com/article/20151105/PC16/151109561" TargetMode="External"/><Relationship Id="rId763" Type="http://schemas.openxmlformats.org/officeDocument/2006/relationships/hyperlink" Target="http://www.wdtv.com/wdtv.cfm?func=view&amp;section=5-News&amp;item=BREAKING-NEWS-One-Person-Killed-in-Police-Involved-Shooting-26608" TargetMode="External"/><Relationship Id="rId764" Type="http://schemas.openxmlformats.org/officeDocument/2006/relationships/hyperlink" Target="http://www.newson6.com/story/30447866/osbi-investigating-officer-involved-shooting-in-osage-county" TargetMode="External"/><Relationship Id="rId765" Type="http://schemas.openxmlformats.org/officeDocument/2006/relationships/hyperlink" Target="http://www.sandiegouniontribune.com/news/2015/nov/04/officer-involved-shooting-pacific-beach/" TargetMode="External"/><Relationship Id="rId766" Type="http://schemas.openxmlformats.org/officeDocument/2006/relationships/hyperlink" Target="http://www.mercedsunstar.com/news/local/education/uc-merced/article42944028.html" TargetMode="External"/><Relationship Id="rId767" Type="http://schemas.openxmlformats.org/officeDocument/2006/relationships/hyperlink" Target="http://www.ozarksfirst.com/news/one-man-dead-in-officer-involved-shooting" TargetMode="External"/><Relationship Id="rId768" Type="http://schemas.openxmlformats.org/officeDocument/2006/relationships/hyperlink" Target="http://www.katc.com/story/30434244/6-year-old-dead-another-in-critical-after-officer-involved-shooting-in-marksville" TargetMode="External"/><Relationship Id="rId769" Type="http://schemas.openxmlformats.org/officeDocument/2006/relationships/hyperlink" Target="http://www.kivitv.com/news/idaho-state-police-investigating-officer-involved-shooting" TargetMode="External"/><Relationship Id="rId220" Type="http://schemas.openxmlformats.org/officeDocument/2006/relationships/hyperlink" Target="http://www.kirotv.com/news/news/tacoma-police-shoot-and-kill-armed-man-outside-his/nmDNM/" TargetMode="External"/><Relationship Id="rId221" Type="http://schemas.openxmlformats.org/officeDocument/2006/relationships/hyperlink" Target="http://www.localsyr.com/story/d/story/authorities-investigating-fatal-officer-involved-s/67882/io8DUgiTsEG_yMWZyCVbHw" TargetMode="External"/><Relationship Id="rId222" Type="http://schemas.openxmlformats.org/officeDocument/2006/relationships/hyperlink" Target="http://www.heraldtribune.com/article/20150507/ARTICLE/150509754/2416/NEWS" TargetMode="External"/><Relationship Id="rId223" Type="http://schemas.openxmlformats.org/officeDocument/2006/relationships/hyperlink" Target="http://www.wsbtv.com/news/news/local/gwinnett-county-police-investigate-officer-involve/nmBY5/" TargetMode="External"/><Relationship Id="rId224" Type="http://schemas.openxmlformats.org/officeDocument/2006/relationships/hyperlink" Target="http://www.wsoctv.com/news/news/local/police-investigate-officer-involved-shooting-wake-/nmBQL/" TargetMode="External"/><Relationship Id="rId225" Type="http://schemas.openxmlformats.org/officeDocument/2006/relationships/hyperlink" Target="http://www.recordonline.com/article/20150507/NEWS/150509481" TargetMode="External"/><Relationship Id="rId226" Type="http://schemas.openxmlformats.org/officeDocument/2006/relationships/hyperlink" Target="http://www.sgvtribune.com/general-news/20150505/2-dead-1-injured-in-south-el-monte-stabbing-deputy-involved-shooting" TargetMode="External"/><Relationship Id="rId227" Type="http://schemas.openxmlformats.org/officeDocument/2006/relationships/hyperlink" Target="http://www.wsls.com/story/28977735/vsp-investigating-officer-involved-shooting-in-pulaski" TargetMode="External"/><Relationship Id="rId228" Type="http://schemas.openxmlformats.org/officeDocument/2006/relationships/hyperlink" Target="http://www.wkyt.com/wymt/home/headlines/Police-investigating-officer-involved-shooting-in-Perry-County-302391481.html" TargetMode="External"/><Relationship Id="rId229" Type="http://schemas.openxmlformats.org/officeDocument/2006/relationships/hyperlink" Target="http://www.keprtv.com/SWAT-on-scene-of-standoff-in-Kennewick-302418671.html" TargetMode="External"/><Relationship Id="rId1160" Type="http://schemas.openxmlformats.org/officeDocument/2006/relationships/hyperlink" Target="http://www.killedbypolice.net/victims/150947.jpg" TargetMode="External"/><Relationship Id="rId1161" Type="http://schemas.openxmlformats.org/officeDocument/2006/relationships/hyperlink" Target="http://www.killedbypolice.net/victims/150946.jpg" TargetMode="External"/><Relationship Id="rId1162" Type="http://schemas.openxmlformats.org/officeDocument/2006/relationships/hyperlink" Target="http://www.killedbypolice.net/victims/150945.jpg" TargetMode="External"/><Relationship Id="rId1163" Type="http://schemas.openxmlformats.org/officeDocument/2006/relationships/hyperlink" Target="http://www.killedbypolice.net/victims/150943.jpg" TargetMode="External"/><Relationship Id="rId1164" Type="http://schemas.openxmlformats.org/officeDocument/2006/relationships/hyperlink" Target="http://www.killedbypolice.net/victims/150937.jpg" TargetMode="External"/><Relationship Id="rId1165" Type="http://schemas.openxmlformats.org/officeDocument/2006/relationships/hyperlink" Target="http://www.killedbypolice.net/victims/150930.jpg" TargetMode="External"/><Relationship Id="rId1166" Type="http://schemas.openxmlformats.org/officeDocument/2006/relationships/hyperlink" Target="http://www.killedbypolice.net/victims/2797.jpg" TargetMode="External"/><Relationship Id="rId1167" Type="http://schemas.openxmlformats.org/officeDocument/2006/relationships/hyperlink" Target="http://www.killedbypolice.net/victims/150916.jpg" TargetMode="External"/><Relationship Id="rId1168" Type="http://schemas.openxmlformats.org/officeDocument/2006/relationships/hyperlink" Target="http://www.news4jax.com/news/policeinvolved-shooting-in-east-arlington/36098444" TargetMode="External"/><Relationship Id="rId1169" Type="http://schemas.openxmlformats.org/officeDocument/2006/relationships/hyperlink" Target="http://www.nbcsandiego.com/news/local/San-Diego-Harbor-Police-Shooting-Fatal-Officer-Involved-337915742.html" TargetMode="External"/><Relationship Id="rId770" Type="http://schemas.openxmlformats.org/officeDocument/2006/relationships/hyperlink" Target="http://www.kare11.com/story/news/2015/11/01/bca-investigating-hutchinson-officer-involved-shooting/75021264/" TargetMode="External"/><Relationship Id="rId771" Type="http://schemas.openxmlformats.org/officeDocument/2006/relationships/hyperlink" Target="http://www.times-standard.com/20151101/chp-officer-shot-alleged-shooter-dead-after-eureka-traffic-stop" TargetMode="External"/><Relationship Id="rId772" Type="http://schemas.openxmlformats.org/officeDocument/2006/relationships/hyperlink" Target="http://www.vnews.com/news/newsletter/17857473-95/haverhill-officers-unnamed-nh-ag-wont-give-any-shooting-details" TargetMode="External"/><Relationship Id="rId773" Type="http://schemas.openxmlformats.org/officeDocument/2006/relationships/hyperlink" Target="http://www.wxii12.com/news/stabbing-standoff-reported-in-stokes-co/34345684" TargetMode="External"/><Relationship Id="rId774" Type="http://schemas.openxmlformats.org/officeDocument/2006/relationships/hyperlink" Target="http://www.kctv5.com/story/29494552/armed-carjacking-suspect-dead-in-police-shooting" TargetMode="External"/><Relationship Id="rId775" Type="http://schemas.openxmlformats.org/officeDocument/2006/relationships/hyperlink" Target="http://www.startribune.com/officer-involved-shooting-at-plymouth-arby-s-leaves-one-man-dead/318383701/" TargetMode="External"/><Relationship Id="rId776" Type="http://schemas.openxmlformats.org/officeDocument/2006/relationships/hyperlink" Target="http://www.redding.com/homepage-showcase/matthew-graham-killed-in-dunsmuir-shootout-with-officers_38935482" TargetMode="External"/><Relationship Id="rId777" Type="http://schemas.openxmlformats.org/officeDocument/2006/relationships/hyperlink" Target="http://abc7.com/news/suspect-holding-knife-killed-in-west-covina-officer-involved-shooting/828284/" TargetMode="External"/><Relationship Id="rId778" Type="http://schemas.openxmlformats.org/officeDocument/2006/relationships/hyperlink" Target="http://www.nbcsandiego.com/news/local/Man-with-Knife-Shot-Killed-by-San-Diego-Police-Officer-Identified-311679131.html" TargetMode="External"/><Relationship Id="rId779" Type="http://schemas.openxmlformats.org/officeDocument/2006/relationships/hyperlink" Target="http://www.ksdk.com/story/news/nation/2015/07/20/man-hogtied-police-death/30433375/" TargetMode="External"/><Relationship Id="rId3300" Type="http://schemas.openxmlformats.org/officeDocument/2006/relationships/hyperlink" Target="https://www.reviewjournal.com/crime/shootings/las-vegas-police-shoot-kill-man-armed-with-axes/" TargetMode="External"/><Relationship Id="rId3301" Type="http://schemas.openxmlformats.org/officeDocument/2006/relationships/hyperlink" Target="http://www.10news.com/news/san-diego-police-investigate-officer-involved-shooting-at-torrey-pines-high-school" TargetMode="External"/><Relationship Id="rId3302" Type="http://schemas.openxmlformats.org/officeDocument/2006/relationships/hyperlink" Target="http://www.fatalencounters.org/wp-content/uploads/2013/10/Nicholas-A.-Provenza.png" TargetMode="External"/><Relationship Id="rId3303" Type="http://schemas.openxmlformats.org/officeDocument/2006/relationships/hyperlink" Target="http://wfla.com/2017/05/06/police-man-dead-after-officer-involved-shooting-in-tarpon-springs/" TargetMode="External"/><Relationship Id="rId3304" Type="http://schemas.openxmlformats.org/officeDocument/2006/relationships/hyperlink" Target="http://www.fatalencounters.org/wp-content/uploads/2013/10/Lance-Wooten.jpg" TargetMode="External"/><Relationship Id="rId3305" Type="http://schemas.openxmlformats.org/officeDocument/2006/relationships/hyperlink" Target="http://www.wrcbtv.com/story/35360247/walker-county-detention-officer-faces-murder-charges" TargetMode="External"/><Relationship Id="rId3306" Type="http://schemas.openxmlformats.org/officeDocument/2006/relationships/hyperlink" Target="http://www.fatalencounters.org/wp-content/uploads/2013/10/Landon-Nobles.png" TargetMode="External"/><Relationship Id="rId3307" Type="http://schemas.openxmlformats.org/officeDocument/2006/relationships/hyperlink" Target="http://www.kvue.com/news/local/one-dead-after-officer-involved-shooting-in-downtown-austin/437567270" TargetMode="External"/><Relationship Id="rId3308" Type="http://schemas.openxmlformats.org/officeDocument/2006/relationships/hyperlink" Target="http://www.fatalencounters.org/wp-content/uploads/2013/10/Jose-Hernandez-Rossy.png" TargetMode="External"/><Relationship Id="rId3309" Type="http://schemas.openxmlformats.org/officeDocument/2006/relationships/hyperlink" Target="http://buffalonews.com/2017/05/07/buffalo-police-officer-struck-by-gunfire-after-shooting-in-black-rock/" TargetMode="External"/></Relationships>
</file>

<file path=xl/worksheets/_rels/sheet3.xml.rels><?xml version="1.0" encoding="UTF-8" standalone="yes"?>
<Relationships xmlns="http://schemas.openxmlformats.org/package/2006/relationships"><Relationship Id="rId46" Type="http://schemas.openxmlformats.org/officeDocument/2006/relationships/hyperlink" Target="http://en.wikipedia.org/wiki/Maine" TargetMode="External"/><Relationship Id="rId47" Type="http://schemas.openxmlformats.org/officeDocument/2006/relationships/hyperlink" Target="http://en.wikipedia.org/wiki/Idaho" TargetMode="External"/><Relationship Id="rId48" Type="http://schemas.openxmlformats.org/officeDocument/2006/relationships/hyperlink" Target="http://en.wikipedia.org/wiki/Montana" TargetMode="External"/><Relationship Id="rId20" Type="http://schemas.openxmlformats.org/officeDocument/2006/relationships/hyperlink" Target="http://en.wikipedia.org/wiki/Pennsylvania" TargetMode="External"/><Relationship Id="rId21" Type="http://schemas.openxmlformats.org/officeDocument/2006/relationships/hyperlink" Target="http://en.wikipedia.org/wiki/Connecticut" TargetMode="External"/><Relationship Id="rId22" Type="http://schemas.openxmlformats.org/officeDocument/2006/relationships/hyperlink" Target="http://en.wikipedia.org/wiki/Indiana" TargetMode="External"/><Relationship Id="rId23" Type="http://schemas.openxmlformats.org/officeDocument/2006/relationships/hyperlink" Target="http://en.wikipedia.org/wiki/Nevada" TargetMode="External"/><Relationship Id="rId24" Type="http://schemas.openxmlformats.org/officeDocument/2006/relationships/hyperlink" Target="http://en.wikipedia.org/wiki/Oklahoma" TargetMode="External"/><Relationship Id="rId25" Type="http://schemas.openxmlformats.org/officeDocument/2006/relationships/hyperlink" Target="http://en.wikipedia.org/wiki/Massachusetts" TargetMode="External"/><Relationship Id="rId26" Type="http://schemas.openxmlformats.org/officeDocument/2006/relationships/hyperlink" Target="http://en.wikipedia.org/wiki/California" TargetMode="External"/><Relationship Id="rId27" Type="http://schemas.openxmlformats.org/officeDocument/2006/relationships/hyperlink" Target="http://en.wikipedia.org/wiki/Rhode_Island" TargetMode="External"/><Relationship Id="rId28" Type="http://schemas.openxmlformats.org/officeDocument/2006/relationships/hyperlink" Target="http://en.wikipedia.org/wiki/Kansas"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2" Type="http://schemas.openxmlformats.org/officeDocument/2006/relationships/hyperlink" Target="http://en.wikipedia.org/wiki/Louisiana" TargetMode="External"/><Relationship Id="rId3" Type="http://schemas.openxmlformats.org/officeDocument/2006/relationships/hyperlink" Target="http://en.wikipedia.org/wiki/Georgia_(U.S._state)" TargetMode="External"/><Relationship Id="rId4" Type="http://schemas.openxmlformats.org/officeDocument/2006/relationships/hyperlink" Target="http://en.wikipedia.org/wiki/Maryland" TargetMode="External"/><Relationship Id="rId5" Type="http://schemas.openxmlformats.org/officeDocument/2006/relationships/hyperlink" Target="http://en.wikipedia.org/wiki/South_Carolina" TargetMode="External"/><Relationship Id="rId30" Type="http://schemas.openxmlformats.org/officeDocument/2006/relationships/hyperlink" Target="http://en.wikipedia.org/wiki/Minnesota" TargetMode="External"/><Relationship Id="rId31" Type="http://schemas.openxmlformats.org/officeDocument/2006/relationships/hyperlink" Target="http://en.wikipedia.org/wiki/Nebraska" TargetMode="External"/><Relationship Id="rId32" Type="http://schemas.openxmlformats.org/officeDocument/2006/relationships/hyperlink" Target="http://en.wikipedia.org/wiki/Colorado" TargetMode="External"/><Relationship Id="rId9" Type="http://schemas.openxmlformats.org/officeDocument/2006/relationships/hyperlink" Target="http://en.wikipedia.org/wiki/Virginia" TargetMode="External"/><Relationship Id="rId6" Type="http://schemas.openxmlformats.org/officeDocument/2006/relationships/hyperlink" Target="http://en.wikipedia.org/wiki/Alabama" TargetMode="External"/><Relationship Id="rId7" Type="http://schemas.openxmlformats.org/officeDocument/2006/relationships/hyperlink" Target="http://en.wikipedia.org/wiki/North_Carolina" TargetMode="External"/><Relationship Id="rId8" Type="http://schemas.openxmlformats.org/officeDocument/2006/relationships/hyperlink" Target="http://en.wikipedia.org/wiki/Delaware" TargetMode="External"/><Relationship Id="rId33" Type="http://schemas.openxmlformats.org/officeDocument/2006/relationships/hyperlink" Target="http://en.wikipedia.org/wiki/Alaska" TargetMode="External"/><Relationship Id="rId34" Type="http://schemas.openxmlformats.org/officeDocument/2006/relationships/hyperlink" Target="http://en.wikipedia.org/wiki/Arizona" TargetMode="External"/><Relationship Id="rId35" Type="http://schemas.openxmlformats.org/officeDocument/2006/relationships/hyperlink" Target="http://en.wikipedia.org/wiki/Washington_(U.S._state)"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1" Type="http://schemas.openxmlformats.org/officeDocument/2006/relationships/hyperlink" Target="http://en.wikipedia.org/wiki/Florida" TargetMode="External"/><Relationship Id="rId12" Type="http://schemas.openxmlformats.org/officeDocument/2006/relationships/hyperlink" Target="http://en.wikipedia.org/wiki/Arkansas" TargetMode="External"/><Relationship Id="rId13" Type="http://schemas.openxmlformats.org/officeDocument/2006/relationships/hyperlink" Target="http://en.wikipedia.org/wiki/New_York" TargetMode="External"/><Relationship Id="rId14" Type="http://schemas.openxmlformats.org/officeDocument/2006/relationships/hyperlink" Target="http://en.wikipedia.org/wiki/Illinois" TargetMode="External"/><Relationship Id="rId15" Type="http://schemas.openxmlformats.org/officeDocument/2006/relationships/hyperlink" Target="http://en.wikipedia.org/wiki/New_Jersey" TargetMode="External"/><Relationship Id="rId16" Type="http://schemas.openxmlformats.org/officeDocument/2006/relationships/hyperlink" Target="http://en.wikipedia.org/wiki/Michigan" TargetMode="External"/><Relationship Id="rId17" Type="http://schemas.openxmlformats.org/officeDocument/2006/relationships/hyperlink" Target="http://en.wikipedia.org/wiki/Ohio" TargetMode="External"/><Relationship Id="rId18" Type="http://schemas.openxmlformats.org/officeDocument/2006/relationships/hyperlink" Target="http://en.wikipedia.org/wiki/Texas" TargetMode="External"/><Relationship Id="rId19" Type="http://schemas.openxmlformats.org/officeDocument/2006/relationships/hyperlink" Target="http://en.wikipedia.org/wiki/Missouri" TargetMode="External"/><Relationship Id="rId37" Type="http://schemas.openxmlformats.org/officeDocument/2006/relationships/hyperlink" Target="http://en.wikipedia.org/wiki/Hawaii" TargetMode="External"/><Relationship Id="rId38" Type="http://schemas.openxmlformats.org/officeDocument/2006/relationships/hyperlink" Target="http://en.wikipedia.org/wiki/New_Mexico" TargetMode="External"/><Relationship Id="rId39" Type="http://schemas.openxmlformats.org/officeDocument/2006/relationships/hyperlink" Target="http://en.wikipedia.org/wiki/Iowa" TargetMode="External"/><Relationship Id="rId40" Type="http://schemas.openxmlformats.org/officeDocument/2006/relationships/hyperlink" Target="http://en.wikipedia.org/wiki/Oregon" TargetMode="External"/><Relationship Id="rId41" Type="http://schemas.openxmlformats.org/officeDocument/2006/relationships/hyperlink" Target="http://en.wikipedia.org/wiki/Wyoming" TargetMode="External"/><Relationship Id="rId42" Type="http://schemas.openxmlformats.org/officeDocument/2006/relationships/hyperlink" Target="http://en.wikipedia.org/wiki/Utah" TargetMode="External"/><Relationship Id="rId43" Type="http://schemas.openxmlformats.org/officeDocument/2006/relationships/hyperlink" Target="http://en.wikipedia.org/wiki/New_Hampshire" TargetMode="External"/><Relationship Id="rId44" Type="http://schemas.openxmlformats.org/officeDocument/2006/relationships/hyperlink" Target="http://en.wikipedia.org/wiki/South_Dakota" TargetMode="External"/><Relationship Id="rId45" Type="http://schemas.openxmlformats.org/officeDocument/2006/relationships/hyperlink" Target="http://en.wikipedia.org/wiki/North_Dako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310"/>
  <sheetViews>
    <sheetView tabSelected="1" zoomScale="125" workbookViewId="0">
      <pane xSplit="1" ySplit="2" topLeftCell="B3" activePane="bottomRight" state="frozen"/>
      <selection pane="topRight" activeCell="B1" sqref="B1"/>
      <selection pane="bottomLeft" activeCell="A2" sqref="A2"/>
      <selection pane="bottomRight" activeCell="C10" sqref="C10"/>
    </sheetView>
  </sheetViews>
  <sheetFormatPr baseColWidth="10" defaultColWidth="17.33203125" defaultRowHeight="12" customHeight="1" x14ac:dyDescent="0.15"/>
  <cols>
    <col min="1" max="1" width="25.1640625" style="1" customWidth="1"/>
    <col min="2" max="2" width="5.33203125" style="1" customWidth="1"/>
    <col min="3" max="3" width="8.83203125" style="1" customWidth="1"/>
    <col min="4" max="4" width="12.83203125" style="1" customWidth="1"/>
    <col min="5" max="5" width="32.33203125" style="1" customWidth="1"/>
    <col min="6" max="6" width="15.5" style="72" customWidth="1"/>
    <col min="7" max="7" width="24.5" style="1" customWidth="1"/>
    <col min="8" max="8" width="17.1640625" style="1" customWidth="1"/>
    <col min="9" max="9" width="10.33203125" style="1" customWidth="1"/>
    <col min="10" max="10" width="10.83203125" style="4" customWidth="1"/>
    <col min="11" max="11" width="27.83203125" style="1" customWidth="1"/>
    <col min="12" max="12" width="53.6640625" style="1" customWidth="1"/>
    <col min="13" max="13" width="14.5" style="1" customWidth="1"/>
    <col min="14" max="14" width="26" style="1" customWidth="1"/>
    <col min="15" max="15" width="19.6640625" style="1" customWidth="1"/>
    <col min="16" max="16" width="19.5" style="1" customWidth="1"/>
    <col min="17" max="17" width="26.83203125" style="63" customWidth="1"/>
    <col min="18" max="18" width="13" style="1" customWidth="1"/>
    <col min="19" max="19" width="17.1640625" style="1" customWidth="1"/>
    <col min="20" max="20" width="17.33203125" style="1" customWidth="1"/>
    <col min="21" max="22" width="17.33203125" style="1"/>
    <col min="23" max="23" width="13.33203125" style="1" customWidth="1"/>
    <col min="24" max="24" width="10.6640625" style="1" customWidth="1"/>
    <col min="25" max="16384" width="17.33203125" style="1"/>
  </cols>
  <sheetData>
    <row r="1" spans="1:63" s="5" customFormat="1" ht="12" customHeight="1" x14ac:dyDescent="0.15">
      <c r="A1" s="5" t="s">
        <v>0</v>
      </c>
      <c r="B1" s="5" t="s">
        <v>1</v>
      </c>
      <c r="C1" s="5" t="s">
        <v>2</v>
      </c>
      <c r="D1" s="5" t="s">
        <v>3</v>
      </c>
      <c r="E1" s="5" t="s">
        <v>4</v>
      </c>
      <c r="F1" s="5" t="s">
        <v>5</v>
      </c>
      <c r="G1" s="5" t="s">
        <v>6</v>
      </c>
      <c r="H1" s="5" t="s">
        <v>7</v>
      </c>
      <c r="I1" s="5" t="s">
        <v>8</v>
      </c>
      <c r="J1" s="6" t="s">
        <v>9</v>
      </c>
      <c r="K1" s="5" t="s">
        <v>10</v>
      </c>
      <c r="L1" s="5" t="s">
        <v>11</v>
      </c>
      <c r="M1" s="5" t="s">
        <v>12</v>
      </c>
      <c r="N1" s="5" t="s">
        <v>13</v>
      </c>
      <c r="O1" s="5" t="s">
        <v>14</v>
      </c>
      <c r="P1" s="5" t="s">
        <v>15</v>
      </c>
      <c r="Q1" s="5" t="s">
        <v>16</v>
      </c>
      <c r="R1" s="5" t="s">
        <v>17</v>
      </c>
      <c r="S1" s="59" t="s">
        <v>18</v>
      </c>
      <c r="T1" s="68" t="s">
        <v>29618</v>
      </c>
      <c r="U1" s="68" t="s">
        <v>29617</v>
      </c>
      <c r="V1" s="68" t="s">
        <v>29619</v>
      </c>
      <c r="W1" s="68" t="s">
        <v>29620</v>
      </c>
      <c r="X1" s="68" t="s">
        <v>29487</v>
      </c>
    </row>
    <row r="2" spans="1:63" ht="12" customHeight="1" x14ac:dyDescent="0.2">
      <c r="A2" s="66" t="s">
        <v>31414</v>
      </c>
      <c r="B2" s="66">
        <v>34</v>
      </c>
      <c r="C2" s="66" t="s">
        <v>20</v>
      </c>
      <c r="D2" s="66" t="s">
        <v>85</v>
      </c>
      <c r="E2" s="76" t="s">
        <v>31413</v>
      </c>
      <c r="F2" s="69">
        <v>42921</v>
      </c>
      <c r="G2" s="66" t="s">
        <v>31412</v>
      </c>
      <c r="H2" s="66" t="s">
        <v>1844</v>
      </c>
      <c r="I2" s="66" t="s">
        <v>423</v>
      </c>
      <c r="J2" s="66">
        <v>10453</v>
      </c>
      <c r="K2" s="66" t="s">
        <v>1844</v>
      </c>
      <c r="L2" s="66" t="s">
        <v>582</v>
      </c>
      <c r="M2" s="66" t="s">
        <v>27</v>
      </c>
      <c r="N2" s="66" t="s">
        <v>31411</v>
      </c>
      <c r="O2" s="66" t="s">
        <v>400</v>
      </c>
      <c r="P2" s="66" t="s">
        <v>30375</v>
      </c>
      <c r="Q2" s="76" t="s">
        <v>31410</v>
      </c>
      <c r="R2" s="66" t="s">
        <v>100</v>
      </c>
      <c r="S2" s="66" t="s">
        <v>28</v>
      </c>
      <c r="T2" s="89" t="s">
        <v>29681</v>
      </c>
      <c r="U2" s="89" t="s">
        <v>29438</v>
      </c>
      <c r="V2" s="89" t="s">
        <v>29440</v>
      </c>
      <c r="W2" s="89" t="s">
        <v>100</v>
      </c>
      <c r="X2" s="89">
        <v>2742</v>
      </c>
      <c r="Y2" s="66"/>
      <c r="Z2" s="66"/>
      <c r="AA2" s="66"/>
      <c r="AB2" s="66"/>
      <c r="AC2" s="66"/>
      <c r="AD2" s="66"/>
      <c r="AE2" s="66"/>
      <c r="AF2" s="66"/>
      <c r="AG2" s="66"/>
      <c r="AH2" s="66"/>
      <c r="AI2" s="66"/>
      <c r="AJ2" s="66"/>
      <c r="AK2" s="66"/>
      <c r="AL2" s="66"/>
      <c r="AM2" s="66"/>
      <c r="AN2" s="66"/>
      <c r="AO2" s="66"/>
      <c r="AP2" s="78"/>
      <c r="AQ2" s="78"/>
      <c r="AR2" s="78"/>
      <c r="AS2" s="78"/>
      <c r="AT2" s="78"/>
      <c r="AU2" s="78"/>
      <c r="AV2" s="78"/>
      <c r="AW2" s="78"/>
      <c r="AX2" s="78"/>
      <c r="AY2" s="78"/>
      <c r="AZ2" s="78"/>
      <c r="BA2" s="78"/>
      <c r="BB2" s="78"/>
      <c r="BC2" s="78"/>
      <c r="BD2" s="78"/>
      <c r="BE2" s="78"/>
      <c r="BF2" s="78"/>
      <c r="BG2" s="78"/>
      <c r="BH2" s="78"/>
      <c r="BI2" s="78"/>
      <c r="BJ2" s="78"/>
      <c r="BK2" s="78"/>
    </row>
    <row r="3" spans="1:63" ht="12" customHeight="1" x14ac:dyDescent="0.2">
      <c r="A3" s="66" t="s">
        <v>31158</v>
      </c>
      <c r="B3" s="66">
        <v>28</v>
      </c>
      <c r="C3" s="66" t="s">
        <v>114</v>
      </c>
      <c r="D3" s="66" t="s">
        <v>37</v>
      </c>
      <c r="E3" s="76"/>
      <c r="F3" s="69">
        <v>42921</v>
      </c>
      <c r="G3" s="66"/>
      <c r="H3" s="66" t="s">
        <v>1862</v>
      </c>
      <c r="I3" s="66" t="s">
        <v>370</v>
      </c>
      <c r="J3" s="66"/>
      <c r="K3" s="66"/>
      <c r="L3" s="66"/>
      <c r="M3" s="66" t="s">
        <v>27</v>
      </c>
      <c r="N3" s="66"/>
      <c r="O3" s="66" t="s">
        <v>400</v>
      </c>
      <c r="P3" s="66" t="s">
        <v>30375</v>
      </c>
      <c r="Q3" s="76"/>
      <c r="R3" s="66" t="s">
        <v>100</v>
      </c>
      <c r="S3" s="66" t="s">
        <v>28</v>
      </c>
      <c r="T3" s="89" t="s">
        <v>29681</v>
      </c>
      <c r="U3" s="89" t="s">
        <v>29438</v>
      </c>
      <c r="V3" s="89" t="s">
        <v>29440</v>
      </c>
      <c r="W3" s="89" t="s">
        <v>555</v>
      </c>
      <c r="X3" s="89">
        <v>2743</v>
      </c>
      <c r="Y3" s="66"/>
      <c r="Z3" s="66"/>
      <c r="AA3" s="66"/>
      <c r="AB3" s="66"/>
      <c r="AC3" s="66"/>
      <c r="AD3" s="66"/>
      <c r="AE3" s="66"/>
      <c r="AF3" s="66"/>
      <c r="AG3" s="66"/>
      <c r="AH3" s="66"/>
      <c r="AI3" s="66"/>
      <c r="AJ3" s="66"/>
      <c r="AK3" s="66"/>
      <c r="AL3" s="66"/>
      <c r="AM3" s="66"/>
      <c r="AN3" s="66"/>
      <c r="AO3" s="66"/>
      <c r="AP3" s="78"/>
      <c r="AQ3" s="78"/>
      <c r="AR3" s="78"/>
      <c r="AS3" s="78"/>
      <c r="AT3" s="78"/>
      <c r="AU3" s="78"/>
      <c r="AV3" s="78"/>
      <c r="AW3" s="78"/>
      <c r="AX3" s="78"/>
      <c r="AY3" s="78"/>
      <c r="AZ3" s="78"/>
      <c r="BA3" s="78"/>
      <c r="BB3" s="78"/>
      <c r="BC3" s="78"/>
      <c r="BD3" s="78"/>
      <c r="BE3" s="78"/>
      <c r="BF3" s="78"/>
      <c r="BG3" s="78"/>
      <c r="BH3" s="78"/>
      <c r="BI3" s="78"/>
      <c r="BJ3" s="78"/>
      <c r="BK3" s="78"/>
    </row>
    <row r="4" spans="1:63" ht="12" customHeight="1" x14ac:dyDescent="0.2">
      <c r="A4" s="66" t="s">
        <v>31342</v>
      </c>
      <c r="B4" s="66">
        <v>36</v>
      </c>
      <c r="C4" s="66" t="s">
        <v>20</v>
      </c>
      <c r="D4" s="66" t="s">
        <v>85</v>
      </c>
      <c r="E4" s="76" t="s">
        <v>31341</v>
      </c>
      <c r="F4" s="69">
        <v>42920</v>
      </c>
      <c r="G4" s="66" t="s">
        <v>31340</v>
      </c>
      <c r="H4" s="66" t="s">
        <v>31339</v>
      </c>
      <c r="I4" s="66" t="s">
        <v>69</v>
      </c>
      <c r="J4" s="66">
        <v>45377</v>
      </c>
      <c r="K4" s="66" t="s">
        <v>1056</v>
      </c>
      <c r="L4" s="66" t="s">
        <v>19149</v>
      </c>
      <c r="M4" s="66" t="s">
        <v>27</v>
      </c>
      <c r="N4" s="66" t="s">
        <v>31338</v>
      </c>
      <c r="O4" s="66" t="s">
        <v>400</v>
      </c>
      <c r="P4" s="66" t="s">
        <v>30375</v>
      </c>
      <c r="Q4" s="76" t="s">
        <v>31337</v>
      </c>
      <c r="R4" s="66" t="s">
        <v>100</v>
      </c>
      <c r="S4" s="66" t="s">
        <v>28</v>
      </c>
      <c r="T4" s="89" t="s">
        <v>29674</v>
      </c>
      <c r="U4" s="89" t="s">
        <v>29438</v>
      </c>
      <c r="V4" s="89" t="s">
        <v>29439</v>
      </c>
      <c r="W4" s="89" t="s">
        <v>100</v>
      </c>
      <c r="X4" s="89">
        <v>2739</v>
      </c>
      <c r="Y4" s="66"/>
      <c r="Z4" s="66"/>
      <c r="AA4" s="66"/>
      <c r="AB4" s="66"/>
      <c r="AC4" s="66"/>
      <c r="AD4" s="66"/>
      <c r="AE4" s="66"/>
      <c r="AF4" s="66"/>
      <c r="AG4" s="66"/>
      <c r="AH4" s="66"/>
      <c r="AI4" s="66"/>
      <c r="AJ4" s="66"/>
      <c r="AK4" s="66"/>
      <c r="AL4" s="66"/>
      <c r="AM4" s="66"/>
      <c r="AN4" s="66"/>
      <c r="AO4" s="66"/>
      <c r="AP4" s="78"/>
      <c r="AQ4" s="78"/>
      <c r="AR4" s="78"/>
      <c r="AS4" s="78"/>
      <c r="AT4" s="78"/>
      <c r="AU4" s="78"/>
      <c r="AV4" s="78"/>
      <c r="AW4" s="78"/>
      <c r="AX4" s="78"/>
      <c r="AY4" s="78"/>
      <c r="AZ4" s="78"/>
      <c r="BA4" s="78"/>
      <c r="BB4" s="78"/>
      <c r="BC4" s="78"/>
      <c r="BD4" s="78"/>
      <c r="BE4" s="78"/>
      <c r="BF4" s="78"/>
      <c r="BG4" s="78"/>
      <c r="BH4" s="78"/>
      <c r="BI4" s="78"/>
      <c r="BJ4" s="78"/>
      <c r="BK4" s="78"/>
    </row>
    <row r="5" spans="1:63" s="78" customFormat="1" ht="12" customHeight="1" x14ac:dyDescent="0.2">
      <c r="A5" s="66" t="s">
        <v>31218</v>
      </c>
      <c r="B5" s="66">
        <v>30</v>
      </c>
      <c r="C5" s="66" t="s">
        <v>20</v>
      </c>
      <c r="D5" s="66" t="s">
        <v>48</v>
      </c>
      <c r="E5" s="66"/>
      <c r="F5" s="69">
        <v>42920</v>
      </c>
      <c r="G5" s="66" t="s">
        <v>31217</v>
      </c>
      <c r="H5" s="66" t="s">
        <v>922</v>
      </c>
      <c r="I5" s="66" t="s">
        <v>195</v>
      </c>
      <c r="J5" s="66">
        <v>87121</v>
      </c>
      <c r="K5" s="66" t="s">
        <v>467</v>
      </c>
      <c r="L5" s="66" t="s">
        <v>5424</v>
      </c>
      <c r="M5" s="66" t="s">
        <v>27</v>
      </c>
      <c r="N5" s="66" t="s">
        <v>31216</v>
      </c>
      <c r="O5" s="66" t="s">
        <v>400</v>
      </c>
      <c r="P5" s="66" t="s">
        <v>30375</v>
      </c>
      <c r="Q5" s="76" t="s">
        <v>31215</v>
      </c>
      <c r="R5" s="66" t="s">
        <v>100</v>
      </c>
      <c r="S5" s="66" t="s">
        <v>28</v>
      </c>
      <c r="T5" s="89" t="s">
        <v>29681</v>
      </c>
      <c r="U5" s="89" t="s">
        <v>29441</v>
      </c>
      <c r="V5" s="89" t="s">
        <v>21212</v>
      </c>
      <c r="W5" s="89" t="s">
        <v>100</v>
      </c>
      <c r="X5" s="89">
        <v>2737</v>
      </c>
      <c r="Y5" s="66"/>
      <c r="Z5" s="66"/>
      <c r="AA5" s="66"/>
      <c r="AB5" s="66"/>
      <c r="AC5" s="66"/>
      <c r="AD5" s="66"/>
      <c r="AE5" s="66"/>
      <c r="AF5" s="66"/>
      <c r="AG5" s="66"/>
      <c r="AH5" s="66"/>
      <c r="AI5" s="66"/>
      <c r="AJ5" s="66"/>
      <c r="AK5" s="66"/>
      <c r="AL5" s="66"/>
      <c r="AM5" s="66"/>
      <c r="AN5" s="66"/>
      <c r="AO5" s="66"/>
    </row>
    <row r="6" spans="1:63" s="78" customFormat="1" ht="12" customHeight="1" x14ac:dyDescent="0.2">
      <c r="A6" s="66" t="s">
        <v>3252</v>
      </c>
      <c r="B6" s="66" t="s">
        <v>29</v>
      </c>
      <c r="C6" s="66" t="s">
        <v>20</v>
      </c>
      <c r="D6" s="66" t="s">
        <v>30</v>
      </c>
      <c r="E6" s="66"/>
      <c r="F6" s="69">
        <v>42920</v>
      </c>
      <c r="G6" s="66" t="s">
        <v>31145</v>
      </c>
      <c r="H6" s="66" t="s">
        <v>11892</v>
      </c>
      <c r="I6" s="66" t="s">
        <v>209</v>
      </c>
      <c r="J6" s="66">
        <v>80260</v>
      </c>
      <c r="K6" s="66" t="s">
        <v>1924</v>
      </c>
      <c r="L6" s="66" t="s">
        <v>11894</v>
      </c>
      <c r="M6" s="66" t="s">
        <v>27</v>
      </c>
      <c r="N6" s="66" t="s">
        <v>31144</v>
      </c>
      <c r="O6" s="66" t="s">
        <v>400</v>
      </c>
      <c r="P6" s="66" t="s">
        <v>30375</v>
      </c>
      <c r="Q6" s="76" t="s">
        <v>31143</v>
      </c>
      <c r="R6" s="66" t="s">
        <v>100</v>
      </c>
      <c r="S6" s="66" t="s">
        <v>28</v>
      </c>
      <c r="T6" s="89" t="s">
        <v>29681</v>
      </c>
      <c r="U6" s="89" t="s">
        <v>29441</v>
      </c>
      <c r="V6" s="89" t="s">
        <v>29439</v>
      </c>
      <c r="W6" s="89" t="s">
        <v>100</v>
      </c>
      <c r="X6" s="89">
        <v>2735</v>
      </c>
      <c r="Y6" s="66"/>
      <c r="Z6" s="66"/>
      <c r="AA6" s="66"/>
      <c r="AB6" s="66"/>
      <c r="AC6" s="66"/>
      <c r="AD6" s="66"/>
      <c r="AE6" s="66"/>
      <c r="AF6" s="66"/>
      <c r="AG6" s="66"/>
      <c r="AH6" s="66"/>
      <c r="AI6" s="66"/>
      <c r="AJ6" s="66"/>
      <c r="AK6" s="66"/>
      <c r="AL6" s="66"/>
      <c r="AM6" s="66"/>
      <c r="AN6" s="66"/>
      <c r="AO6" s="66"/>
    </row>
    <row r="7" spans="1:63" s="78" customFormat="1" ht="12" customHeight="1" x14ac:dyDescent="0.2">
      <c r="A7" s="66" t="s">
        <v>31055</v>
      </c>
      <c r="B7" s="66">
        <v>53</v>
      </c>
      <c r="C7" s="66" t="s">
        <v>20</v>
      </c>
      <c r="D7" s="66" t="s">
        <v>30</v>
      </c>
      <c r="E7" s="66"/>
      <c r="F7" s="69">
        <v>42920</v>
      </c>
      <c r="G7" s="66" t="s">
        <v>31054</v>
      </c>
      <c r="H7" s="66" t="s">
        <v>31053</v>
      </c>
      <c r="I7" s="66" t="s">
        <v>209</v>
      </c>
      <c r="J7" s="66">
        <v>81331</v>
      </c>
      <c r="K7" s="66" t="s">
        <v>31052</v>
      </c>
      <c r="L7" s="66" t="s">
        <v>31051</v>
      </c>
      <c r="M7" s="66" t="s">
        <v>27</v>
      </c>
      <c r="N7" s="66" t="s">
        <v>31050</v>
      </c>
      <c r="O7" s="66" t="s">
        <v>400</v>
      </c>
      <c r="P7" s="66" t="s">
        <v>30375</v>
      </c>
      <c r="Q7" s="76" t="s">
        <v>31049</v>
      </c>
      <c r="R7" s="66" t="s">
        <v>100</v>
      </c>
      <c r="S7" s="66" t="s">
        <v>28</v>
      </c>
      <c r="T7" s="89" t="s">
        <v>29681</v>
      </c>
      <c r="U7" s="89"/>
      <c r="V7" s="89"/>
      <c r="W7" s="89"/>
      <c r="X7" s="66"/>
      <c r="Y7" s="66"/>
      <c r="Z7" s="66"/>
      <c r="AA7" s="66"/>
      <c r="AB7" s="66"/>
      <c r="AC7" s="66"/>
      <c r="AD7" s="66"/>
      <c r="AE7" s="66"/>
      <c r="AF7" s="66"/>
      <c r="AG7" s="66"/>
      <c r="AH7" s="66"/>
      <c r="AI7" s="66"/>
      <c r="AJ7" s="66"/>
      <c r="AK7" s="66"/>
      <c r="AL7" s="66"/>
      <c r="AM7" s="66"/>
      <c r="AN7" s="66"/>
      <c r="AO7" s="66"/>
    </row>
    <row r="8" spans="1:63" s="78" customFormat="1" ht="12" customHeight="1" x14ac:dyDescent="0.2">
      <c r="A8" s="66" t="s">
        <v>31347</v>
      </c>
      <c r="B8" s="66">
        <v>32</v>
      </c>
      <c r="C8" s="66" t="s">
        <v>20</v>
      </c>
      <c r="D8" s="66" t="s">
        <v>37</v>
      </c>
      <c r="E8" s="76" t="s">
        <v>31346</v>
      </c>
      <c r="F8" s="69">
        <v>42920</v>
      </c>
      <c r="G8" s="66" t="s">
        <v>31345</v>
      </c>
      <c r="H8" s="66" t="s">
        <v>12547</v>
      </c>
      <c r="I8" s="66" t="s">
        <v>240</v>
      </c>
      <c r="J8" s="66">
        <v>84025</v>
      </c>
      <c r="K8" s="66" t="s">
        <v>5002</v>
      </c>
      <c r="L8" s="66" t="s">
        <v>10498</v>
      </c>
      <c r="M8" s="66" t="s">
        <v>27</v>
      </c>
      <c r="N8" s="66" t="s">
        <v>31344</v>
      </c>
      <c r="O8" s="66" t="s">
        <v>400</v>
      </c>
      <c r="P8" s="66" t="s">
        <v>30375</v>
      </c>
      <c r="Q8" s="76" t="s">
        <v>31343</v>
      </c>
      <c r="R8" s="66" t="s">
        <v>555</v>
      </c>
      <c r="S8" s="66" t="s">
        <v>379</v>
      </c>
      <c r="T8" s="89" t="s">
        <v>29773</v>
      </c>
      <c r="U8" s="89" t="s">
        <v>29441</v>
      </c>
      <c r="V8" s="89" t="s">
        <v>29437</v>
      </c>
      <c r="W8" s="89" t="s">
        <v>100</v>
      </c>
      <c r="X8" s="89">
        <v>2740</v>
      </c>
      <c r="Y8" s="66"/>
      <c r="Z8" s="66"/>
      <c r="AA8" s="66"/>
      <c r="AB8" s="66"/>
      <c r="AC8" s="66"/>
      <c r="AD8" s="66"/>
      <c r="AE8" s="66"/>
      <c r="AF8" s="66"/>
      <c r="AG8" s="66"/>
      <c r="AH8" s="66"/>
      <c r="AI8" s="66"/>
      <c r="AJ8" s="66"/>
      <c r="AK8" s="66"/>
      <c r="AL8" s="66"/>
      <c r="AM8" s="66"/>
      <c r="AN8" s="66"/>
      <c r="AO8" s="66"/>
    </row>
    <row r="9" spans="1:63" s="78" customFormat="1" ht="12" customHeight="1" x14ac:dyDescent="0.2">
      <c r="A9" s="66" t="s">
        <v>31313</v>
      </c>
      <c r="B9" s="66">
        <v>39</v>
      </c>
      <c r="C9" s="66" t="s">
        <v>20</v>
      </c>
      <c r="D9" s="66" t="s">
        <v>37</v>
      </c>
      <c r="E9" s="66"/>
      <c r="F9" s="69">
        <v>42920</v>
      </c>
      <c r="G9" s="66" t="s">
        <v>31312</v>
      </c>
      <c r="H9" s="66" t="s">
        <v>15433</v>
      </c>
      <c r="I9" s="66" t="s">
        <v>44</v>
      </c>
      <c r="J9" s="66">
        <v>62226</v>
      </c>
      <c r="K9" s="66" t="s">
        <v>22231</v>
      </c>
      <c r="L9" s="66" t="s">
        <v>15435</v>
      </c>
      <c r="M9" s="66" t="s">
        <v>27</v>
      </c>
      <c r="N9" s="66" t="s">
        <v>31311</v>
      </c>
      <c r="O9" s="66" t="s">
        <v>400</v>
      </c>
      <c r="P9" s="66" t="s">
        <v>30375</v>
      </c>
      <c r="Q9" s="76" t="s">
        <v>31310</v>
      </c>
      <c r="R9" s="66" t="s">
        <v>555</v>
      </c>
      <c r="S9" s="66" t="s">
        <v>28</v>
      </c>
      <c r="T9" s="89" t="s">
        <v>29681</v>
      </c>
      <c r="U9" s="89" t="s">
        <v>29438</v>
      </c>
      <c r="V9" s="89" t="s">
        <v>29439</v>
      </c>
      <c r="W9" s="89" t="s">
        <v>100</v>
      </c>
      <c r="X9" s="89">
        <v>2741</v>
      </c>
      <c r="Y9" s="66"/>
      <c r="Z9" s="66"/>
      <c r="AA9" s="66"/>
      <c r="AB9" s="66"/>
      <c r="AC9" s="66"/>
      <c r="AD9" s="66"/>
      <c r="AE9" s="66"/>
      <c r="AF9" s="66"/>
      <c r="AG9" s="66"/>
      <c r="AH9" s="66"/>
      <c r="AI9" s="66"/>
      <c r="AJ9" s="66"/>
      <c r="AK9" s="66"/>
      <c r="AL9" s="66"/>
      <c r="AM9" s="66"/>
      <c r="AN9" s="66"/>
      <c r="AO9" s="66"/>
    </row>
    <row r="10" spans="1:63" s="78" customFormat="1" ht="12" customHeight="1" x14ac:dyDescent="0.2">
      <c r="A10" s="66" t="s">
        <v>31357</v>
      </c>
      <c r="B10" s="66">
        <v>45</v>
      </c>
      <c r="C10" s="66" t="s">
        <v>20</v>
      </c>
      <c r="D10" s="66" t="s">
        <v>30</v>
      </c>
      <c r="E10" s="66"/>
      <c r="F10" s="69">
        <v>42919</v>
      </c>
      <c r="G10" s="66" t="s">
        <v>31356</v>
      </c>
      <c r="H10" s="66" t="s">
        <v>31355</v>
      </c>
      <c r="I10" s="66" t="s">
        <v>173</v>
      </c>
      <c r="J10" s="66">
        <v>31005</v>
      </c>
      <c r="K10" s="66" t="s">
        <v>723</v>
      </c>
      <c r="L10" s="66" t="s">
        <v>30885</v>
      </c>
      <c r="M10" s="66" t="s">
        <v>27</v>
      </c>
      <c r="N10" s="66" t="s">
        <v>31354</v>
      </c>
      <c r="O10" s="66" t="s">
        <v>400</v>
      </c>
      <c r="P10" s="66" t="s">
        <v>30375</v>
      </c>
      <c r="Q10" s="76" t="s">
        <v>31353</v>
      </c>
      <c r="R10" s="66" t="s">
        <v>100</v>
      </c>
      <c r="S10" s="66" t="s">
        <v>28</v>
      </c>
      <c r="T10" s="89" t="s">
        <v>29681</v>
      </c>
      <c r="U10" s="89" t="s">
        <v>29441</v>
      </c>
      <c r="V10" s="89" t="s">
        <v>29439</v>
      </c>
      <c r="W10" s="89" t="s">
        <v>100</v>
      </c>
      <c r="X10" s="89">
        <v>2738</v>
      </c>
      <c r="Y10" s="66"/>
      <c r="Z10" s="66"/>
      <c r="AA10" s="66"/>
      <c r="AB10" s="66"/>
      <c r="AC10" s="66"/>
      <c r="AD10" s="66"/>
      <c r="AE10" s="66"/>
      <c r="AF10" s="66"/>
      <c r="AG10" s="66"/>
      <c r="AH10" s="66"/>
      <c r="AI10" s="66"/>
      <c r="AJ10" s="66"/>
      <c r="AK10" s="66"/>
      <c r="AL10" s="66"/>
      <c r="AM10" s="66"/>
      <c r="AN10" s="66"/>
      <c r="AO10" s="66"/>
    </row>
    <row r="11" spans="1:63" s="78" customFormat="1" ht="12" customHeight="1" x14ac:dyDescent="0.2">
      <c r="A11" s="66" t="s">
        <v>31336</v>
      </c>
      <c r="B11" s="66">
        <v>53</v>
      </c>
      <c r="C11" s="66" t="s">
        <v>20</v>
      </c>
      <c r="D11" s="66" t="s">
        <v>30</v>
      </c>
      <c r="E11" s="66"/>
      <c r="F11" s="69">
        <v>42919</v>
      </c>
      <c r="G11" s="66" t="s">
        <v>31335</v>
      </c>
      <c r="H11" s="66" t="s">
        <v>838</v>
      </c>
      <c r="I11" s="66" t="s">
        <v>303</v>
      </c>
      <c r="J11" s="66">
        <v>99223</v>
      </c>
      <c r="K11" s="66" t="s">
        <v>838</v>
      </c>
      <c r="L11" s="66" t="s">
        <v>839</v>
      </c>
      <c r="M11" s="66" t="s">
        <v>27</v>
      </c>
      <c r="N11" s="66" t="s">
        <v>31334</v>
      </c>
      <c r="O11" s="66" t="s">
        <v>400</v>
      </c>
      <c r="P11" s="66" t="s">
        <v>30375</v>
      </c>
      <c r="Q11" s="76" t="s">
        <v>31333</v>
      </c>
      <c r="R11" s="66" t="s">
        <v>100</v>
      </c>
      <c r="S11" s="66" t="s">
        <v>28</v>
      </c>
      <c r="T11" s="89" t="s">
        <v>29681</v>
      </c>
      <c r="U11" s="89" t="s">
        <v>29436</v>
      </c>
      <c r="V11" s="89" t="s">
        <v>29439</v>
      </c>
      <c r="W11" s="89" t="s">
        <v>555</v>
      </c>
      <c r="X11" s="89">
        <v>2729</v>
      </c>
      <c r="Y11" s="66"/>
      <c r="Z11" s="66"/>
      <c r="AA11" s="66"/>
      <c r="AB11" s="66"/>
      <c r="AC11" s="66"/>
      <c r="AD11" s="66"/>
      <c r="AE11" s="66"/>
      <c r="AF11" s="66"/>
      <c r="AG11" s="66"/>
      <c r="AH11" s="66"/>
      <c r="AI11" s="66"/>
      <c r="AJ11" s="66"/>
      <c r="AK11" s="66"/>
      <c r="AL11" s="66"/>
      <c r="AM11" s="66"/>
      <c r="AN11" s="66"/>
      <c r="AO11" s="66"/>
    </row>
    <row r="12" spans="1:63" s="78" customFormat="1" ht="12" customHeight="1" x14ac:dyDescent="0.2">
      <c r="A12" s="66" t="s">
        <v>31300</v>
      </c>
      <c r="B12" s="66">
        <v>25</v>
      </c>
      <c r="C12" s="66" t="s">
        <v>20</v>
      </c>
      <c r="D12" s="66" t="s">
        <v>30</v>
      </c>
      <c r="E12" s="66"/>
      <c r="F12" s="69">
        <v>42919</v>
      </c>
      <c r="G12" s="66" t="s">
        <v>31299</v>
      </c>
      <c r="H12" s="66" t="s">
        <v>13423</v>
      </c>
      <c r="I12" s="66" t="s">
        <v>117</v>
      </c>
      <c r="J12" s="66">
        <v>97124</v>
      </c>
      <c r="K12" s="66" t="s">
        <v>118</v>
      </c>
      <c r="L12" s="66" t="s">
        <v>13425</v>
      </c>
      <c r="M12" s="66" t="s">
        <v>27</v>
      </c>
      <c r="N12" s="66" t="s">
        <v>31298</v>
      </c>
      <c r="O12" s="66" t="s">
        <v>400</v>
      </c>
      <c r="P12" s="66" t="s">
        <v>30375</v>
      </c>
      <c r="Q12" s="76" t="s">
        <v>31297</v>
      </c>
      <c r="R12" s="66" t="s">
        <v>100</v>
      </c>
      <c r="S12" s="66" t="s">
        <v>28</v>
      </c>
      <c r="T12" s="89" t="s">
        <v>29681</v>
      </c>
      <c r="U12" s="89" t="s">
        <v>29438</v>
      </c>
      <c r="V12" s="89" t="s">
        <v>29440</v>
      </c>
      <c r="W12" s="89" t="s">
        <v>100</v>
      </c>
      <c r="X12" s="89">
        <v>2736</v>
      </c>
      <c r="Y12" s="66"/>
      <c r="Z12" s="66"/>
      <c r="AA12" s="66"/>
      <c r="AB12" s="66"/>
      <c r="AC12" s="66"/>
      <c r="AD12" s="66"/>
      <c r="AE12" s="66"/>
      <c r="AF12" s="66"/>
      <c r="AG12" s="66"/>
      <c r="AH12" s="66"/>
      <c r="AI12" s="66"/>
      <c r="AJ12" s="66"/>
      <c r="AK12" s="66"/>
      <c r="AL12" s="66"/>
      <c r="AM12" s="66"/>
      <c r="AN12" s="66"/>
      <c r="AO12" s="66"/>
    </row>
    <row r="13" spans="1:63" s="78" customFormat="1" ht="12" customHeight="1" x14ac:dyDescent="0.2">
      <c r="A13" s="66" t="s">
        <v>31113</v>
      </c>
      <c r="B13" s="66">
        <v>30</v>
      </c>
      <c r="C13" s="66" t="s">
        <v>20</v>
      </c>
      <c r="D13" s="66" t="s">
        <v>85</v>
      </c>
      <c r="E13" s="76" t="s">
        <v>31112</v>
      </c>
      <c r="F13" s="69">
        <v>42919</v>
      </c>
      <c r="G13" s="66" t="s">
        <v>31111</v>
      </c>
      <c r="H13" s="66" t="s">
        <v>12160</v>
      </c>
      <c r="I13" s="66" t="s">
        <v>173</v>
      </c>
      <c r="J13" s="66">
        <v>31520</v>
      </c>
      <c r="K13" s="66" t="s">
        <v>31110</v>
      </c>
      <c r="L13" s="66" t="s">
        <v>31109</v>
      </c>
      <c r="M13" s="66" t="s">
        <v>27</v>
      </c>
      <c r="N13" s="66" t="s">
        <v>31108</v>
      </c>
      <c r="O13" s="66" t="s">
        <v>400</v>
      </c>
      <c r="P13" s="66" t="s">
        <v>30375</v>
      </c>
      <c r="Q13" s="76" t="s">
        <v>31107</v>
      </c>
      <c r="R13" s="66" t="s">
        <v>100</v>
      </c>
      <c r="S13" s="66" t="s">
        <v>28</v>
      </c>
      <c r="T13" s="89" t="s">
        <v>29674</v>
      </c>
      <c r="U13" s="89"/>
      <c r="V13" s="89"/>
      <c r="W13" s="89"/>
      <c r="X13" s="66"/>
      <c r="Y13" s="66"/>
      <c r="Z13" s="66"/>
      <c r="AA13" s="66"/>
      <c r="AB13" s="66"/>
      <c r="AC13" s="66"/>
      <c r="AD13" s="66"/>
      <c r="AE13" s="66"/>
      <c r="AF13" s="66"/>
      <c r="AG13" s="66"/>
      <c r="AH13" s="66"/>
      <c r="AI13" s="66"/>
      <c r="AJ13" s="66"/>
      <c r="AK13" s="66"/>
      <c r="AL13" s="66"/>
      <c r="AM13" s="66"/>
      <c r="AN13" s="66"/>
      <c r="AO13" s="66"/>
    </row>
    <row r="14" spans="1:63" s="78" customFormat="1" ht="12" customHeight="1" x14ac:dyDescent="0.2">
      <c r="A14" s="66" t="s">
        <v>3252</v>
      </c>
      <c r="B14" s="66">
        <v>42</v>
      </c>
      <c r="C14" s="66" t="s">
        <v>20</v>
      </c>
      <c r="D14" s="66" t="s">
        <v>30</v>
      </c>
      <c r="E14" s="66"/>
      <c r="F14" s="69">
        <v>42919</v>
      </c>
      <c r="G14" s="66" t="s">
        <v>31092</v>
      </c>
      <c r="H14" s="66" t="s">
        <v>878</v>
      </c>
      <c r="I14" s="66" t="s">
        <v>45</v>
      </c>
      <c r="J14" s="66">
        <v>94509</v>
      </c>
      <c r="K14" s="66" t="s">
        <v>4500</v>
      </c>
      <c r="L14" s="66" t="s">
        <v>14509</v>
      </c>
      <c r="M14" s="66" t="s">
        <v>27</v>
      </c>
      <c r="N14" s="66" t="s">
        <v>31091</v>
      </c>
      <c r="O14" s="66" t="s">
        <v>400</v>
      </c>
      <c r="P14" s="66" t="s">
        <v>30375</v>
      </c>
      <c r="Q14" s="76" t="s">
        <v>31090</v>
      </c>
      <c r="R14" s="66" t="s">
        <v>100</v>
      </c>
      <c r="S14" s="66" t="s">
        <v>28</v>
      </c>
      <c r="T14" s="89" t="s">
        <v>29681</v>
      </c>
      <c r="U14" s="89"/>
      <c r="V14" s="89"/>
      <c r="W14" s="89"/>
      <c r="X14" s="66"/>
      <c r="Y14" s="66"/>
      <c r="Z14" s="66"/>
      <c r="AA14" s="66"/>
      <c r="AB14" s="66"/>
      <c r="AC14" s="66"/>
      <c r="AD14" s="66"/>
      <c r="AE14" s="66"/>
      <c r="AF14" s="66"/>
      <c r="AG14" s="66"/>
      <c r="AH14" s="66"/>
      <c r="AI14" s="66"/>
      <c r="AJ14" s="66"/>
      <c r="AK14" s="66"/>
      <c r="AL14" s="66"/>
      <c r="AM14" s="66"/>
      <c r="AN14" s="66"/>
      <c r="AO14" s="66"/>
    </row>
    <row r="15" spans="1:63" s="78" customFormat="1" ht="12" customHeight="1" x14ac:dyDescent="0.2">
      <c r="A15" s="66" t="s">
        <v>31260</v>
      </c>
      <c r="B15" s="66">
        <v>51</v>
      </c>
      <c r="C15" s="66" t="s">
        <v>20</v>
      </c>
      <c r="D15" s="66" t="s">
        <v>30</v>
      </c>
      <c r="E15" s="66"/>
      <c r="F15" s="69">
        <v>42919</v>
      </c>
      <c r="G15" s="66" t="s">
        <v>31259</v>
      </c>
      <c r="H15" s="66" t="s">
        <v>31258</v>
      </c>
      <c r="I15" s="66" t="s">
        <v>217</v>
      </c>
      <c r="J15" s="66">
        <v>46038</v>
      </c>
      <c r="K15" s="66" t="s">
        <v>548</v>
      </c>
      <c r="L15" s="66" t="s">
        <v>31257</v>
      </c>
      <c r="M15" s="66" t="s">
        <v>27</v>
      </c>
      <c r="N15" s="66" t="s">
        <v>31256</v>
      </c>
      <c r="O15" s="66" t="s">
        <v>400</v>
      </c>
      <c r="P15" s="66" t="s">
        <v>30375</v>
      </c>
      <c r="Q15" s="76" t="s">
        <v>31255</v>
      </c>
      <c r="R15" s="66" t="s">
        <v>555</v>
      </c>
      <c r="S15" s="66" t="s">
        <v>28</v>
      </c>
      <c r="T15" s="89" t="s">
        <v>29681</v>
      </c>
      <c r="U15" s="89" t="s">
        <v>29438</v>
      </c>
      <c r="V15" s="89" t="s">
        <v>29439</v>
      </c>
      <c r="W15" s="89" t="s">
        <v>100</v>
      </c>
      <c r="X15" s="89">
        <v>2732</v>
      </c>
      <c r="Y15" s="66"/>
      <c r="Z15" s="66"/>
      <c r="AA15" s="66"/>
      <c r="AB15" s="66"/>
      <c r="AC15" s="66"/>
      <c r="AD15" s="66"/>
      <c r="AE15" s="66"/>
      <c r="AF15" s="66"/>
      <c r="AG15" s="66"/>
      <c r="AH15" s="66"/>
      <c r="AI15" s="66"/>
      <c r="AJ15" s="66"/>
      <c r="AK15" s="66"/>
      <c r="AL15" s="66"/>
      <c r="AM15" s="66"/>
      <c r="AN15" s="66"/>
      <c r="AO15" s="66"/>
    </row>
    <row r="16" spans="1:63" s="78" customFormat="1" ht="12" customHeight="1" x14ac:dyDescent="0.2">
      <c r="A16" s="66" t="s">
        <v>3252</v>
      </c>
      <c r="B16" s="66" t="s">
        <v>29</v>
      </c>
      <c r="C16" s="66" t="s">
        <v>20</v>
      </c>
      <c r="D16" s="66" t="s">
        <v>30</v>
      </c>
      <c r="E16" s="66"/>
      <c r="F16" s="69">
        <v>42918</v>
      </c>
      <c r="G16" s="66" t="s">
        <v>31139</v>
      </c>
      <c r="H16" s="66" t="s">
        <v>3317</v>
      </c>
      <c r="I16" s="66" t="s">
        <v>244</v>
      </c>
      <c r="J16" s="66">
        <v>23518</v>
      </c>
      <c r="K16" s="66" t="s">
        <v>16595</v>
      </c>
      <c r="L16" s="66" t="s">
        <v>5050</v>
      </c>
      <c r="M16" s="66" t="s">
        <v>27</v>
      </c>
      <c r="N16" s="66" t="s">
        <v>31138</v>
      </c>
      <c r="O16" s="66" t="s">
        <v>400</v>
      </c>
      <c r="P16" s="66" t="s">
        <v>30375</v>
      </c>
      <c r="Q16" s="76" t="s">
        <v>31137</v>
      </c>
      <c r="R16" s="66" t="s">
        <v>100</v>
      </c>
      <c r="S16" s="66" t="s">
        <v>28</v>
      </c>
      <c r="T16" s="89" t="s">
        <v>29681</v>
      </c>
      <c r="U16" s="89" t="s">
        <v>29438</v>
      </c>
      <c r="V16" s="89" t="s">
        <v>29439</v>
      </c>
      <c r="W16" s="89" t="s">
        <v>100</v>
      </c>
      <c r="X16" s="89">
        <v>2728</v>
      </c>
      <c r="Y16" s="66"/>
      <c r="Z16" s="66"/>
      <c r="AA16" s="66"/>
      <c r="AB16" s="66"/>
      <c r="AC16" s="66"/>
      <c r="AD16" s="66"/>
      <c r="AE16" s="66"/>
      <c r="AF16" s="66"/>
      <c r="AG16" s="66"/>
      <c r="AH16" s="66"/>
      <c r="AI16" s="66"/>
      <c r="AJ16" s="66"/>
      <c r="AK16" s="66"/>
      <c r="AL16" s="66"/>
      <c r="AM16" s="66"/>
      <c r="AN16" s="66"/>
      <c r="AO16" s="66"/>
    </row>
    <row r="17" spans="1:41" s="78" customFormat="1" ht="12" customHeight="1" x14ac:dyDescent="0.2">
      <c r="A17" s="66" t="s">
        <v>3252</v>
      </c>
      <c r="B17" s="66" t="s">
        <v>29</v>
      </c>
      <c r="C17" s="66" t="s">
        <v>20</v>
      </c>
      <c r="D17" s="66" t="s">
        <v>30</v>
      </c>
      <c r="E17" s="66"/>
      <c r="F17" s="69">
        <v>42917</v>
      </c>
      <c r="G17" s="66" t="s">
        <v>31089</v>
      </c>
      <c r="H17" s="66" t="s">
        <v>213</v>
      </c>
      <c r="I17" s="66" t="s">
        <v>62</v>
      </c>
      <c r="J17" s="66">
        <v>33130</v>
      </c>
      <c r="K17" s="66" t="s">
        <v>161</v>
      </c>
      <c r="L17" s="66" t="s">
        <v>456</v>
      </c>
      <c r="M17" s="66" t="s">
        <v>30988</v>
      </c>
      <c r="N17" s="66" t="s">
        <v>31088</v>
      </c>
      <c r="O17" s="66" t="s">
        <v>400</v>
      </c>
      <c r="P17" s="66" t="s">
        <v>30375</v>
      </c>
      <c r="Q17" s="76" t="s">
        <v>31087</v>
      </c>
      <c r="R17" s="66" t="s">
        <v>964</v>
      </c>
      <c r="S17" s="66" t="s">
        <v>35</v>
      </c>
      <c r="T17" s="89" t="s">
        <v>29441</v>
      </c>
      <c r="U17" s="89"/>
      <c r="V17" s="89"/>
      <c r="W17" s="89"/>
      <c r="X17" s="66"/>
      <c r="Y17" s="66"/>
      <c r="Z17" s="66"/>
      <c r="AA17" s="66"/>
      <c r="AB17" s="66"/>
      <c r="AC17" s="66"/>
      <c r="AD17" s="66"/>
      <c r="AE17" s="66"/>
      <c r="AF17" s="66"/>
      <c r="AG17" s="66"/>
      <c r="AH17" s="66"/>
      <c r="AI17" s="66"/>
      <c r="AJ17" s="66"/>
      <c r="AK17" s="66"/>
      <c r="AL17" s="66"/>
      <c r="AM17" s="66"/>
      <c r="AN17" s="66"/>
      <c r="AO17" s="66"/>
    </row>
    <row r="18" spans="1:41" s="78" customFormat="1" ht="12" customHeight="1" x14ac:dyDescent="0.2">
      <c r="A18" s="66" t="s">
        <v>3252</v>
      </c>
      <c r="B18" s="66">
        <v>57</v>
      </c>
      <c r="C18" s="66" t="s">
        <v>20</v>
      </c>
      <c r="D18" s="66" t="s">
        <v>30</v>
      </c>
      <c r="E18" s="66"/>
      <c r="F18" s="69">
        <v>42917</v>
      </c>
      <c r="G18" s="66" t="s">
        <v>31086</v>
      </c>
      <c r="H18" s="66" t="s">
        <v>31085</v>
      </c>
      <c r="I18" s="66" t="s">
        <v>303</v>
      </c>
      <c r="J18" s="66">
        <v>98557</v>
      </c>
      <c r="K18" s="66" t="s">
        <v>27602</v>
      </c>
      <c r="L18" s="66" t="s">
        <v>31084</v>
      </c>
      <c r="M18" s="66" t="s">
        <v>391</v>
      </c>
      <c r="N18" s="66" t="s">
        <v>31083</v>
      </c>
      <c r="O18" s="66" t="s">
        <v>400</v>
      </c>
      <c r="P18" s="66" t="s">
        <v>30375</v>
      </c>
      <c r="Q18" s="76" t="s">
        <v>31082</v>
      </c>
      <c r="R18" s="66" t="s">
        <v>964</v>
      </c>
      <c r="S18" s="66" t="s">
        <v>18</v>
      </c>
      <c r="T18" s="89" t="s">
        <v>29760</v>
      </c>
      <c r="U18" s="89"/>
      <c r="V18" s="89"/>
      <c r="W18" s="89"/>
      <c r="X18" s="66"/>
      <c r="Y18" s="66"/>
      <c r="Z18" s="66"/>
      <c r="AA18" s="66"/>
      <c r="AB18" s="66"/>
      <c r="AC18" s="66"/>
      <c r="AD18" s="66"/>
      <c r="AE18" s="66"/>
      <c r="AF18" s="66"/>
      <c r="AG18" s="66"/>
      <c r="AH18" s="66"/>
      <c r="AI18" s="66"/>
      <c r="AJ18" s="66"/>
      <c r="AK18" s="66"/>
      <c r="AL18" s="66"/>
      <c r="AM18" s="66"/>
      <c r="AN18" s="66"/>
      <c r="AO18" s="66"/>
    </row>
    <row r="19" spans="1:41" s="78" customFormat="1" ht="12" customHeight="1" x14ac:dyDescent="0.2">
      <c r="A19" s="66" t="s">
        <v>31278</v>
      </c>
      <c r="B19" s="66">
        <v>19</v>
      </c>
      <c r="C19" s="66" t="s">
        <v>20</v>
      </c>
      <c r="D19" s="66" t="s">
        <v>30</v>
      </c>
      <c r="E19" s="66"/>
      <c r="F19" s="69">
        <v>42917</v>
      </c>
      <c r="G19" s="66" t="s">
        <v>31277</v>
      </c>
      <c r="H19" s="66" t="s">
        <v>1171</v>
      </c>
      <c r="I19" s="66" t="s">
        <v>209</v>
      </c>
      <c r="J19" s="66">
        <v>80526</v>
      </c>
      <c r="K19" s="66" t="s">
        <v>553</v>
      </c>
      <c r="L19" s="66" t="s">
        <v>31276</v>
      </c>
      <c r="M19" s="66" t="s">
        <v>27</v>
      </c>
      <c r="N19" s="66" t="s">
        <v>31275</v>
      </c>
      <c r="O19" s="66" t="s">
        <v>400</v>
      </c>
      <c r="P19" s="66" t="s">
        <v>30375</v>
      </c>
      <c r="Q19" s="76" t="s">
        <v>31274</v>
      </c>
      <c r="R19" s="66" t="s">
        <v>100</v>
      </c>
      <c r="S19" s="66" t="s">
        <v>35</v>
      </c>
      <c r="T19" s="89" t="s">
        <v>29442</v>
      </c>
      <c r="U19" s="89" t="s">
        <v>29441</v>
      </c>
      <c r="V19" s="89"/>
      <c r="W19" s="89" t="s">
        <v>555</v>
      </c>
      <c r="X19" s="89">
        <v>2733</v>
      </c>
      <c r="Y19" s="66"/>
      <c r="Z19" s="66"/>
      <c r="AA19" s="66"/>
      <c r="AB19" s="66"/>
      <c r="AC19" s="66"/>
      <c r="AD19" s="66"/>
      <c r="AE19" s="66"/>
      <c r="AF19" s="66"/>
      <c r="AG19" s="66"/>
      <c r="AH19" s="66"/>
      <c r="AI19" s="66"/>
      <c r="AJ19" s="66"/>
      <c r="AK19" s="66"/>
      <c r="AL19" s="66"/>
      <c r="AM19" s="66"/>
      <c r="AN19" s="66"/>
      <c r="AO19" s="66"/>
    </row>
    <row r="20" spans="1:41" s="78" customFormat="1" ht="12" customHeight="1" x14ac:dyDescent="0.2">
      <c r="A20" s="66" t="s">
        <v>31203</v>
      </c>
      <c r="B20" s="66">
        <v>23</v>
      </c>
      <c r="C20" s="66" t="s">
        <v>20</v>
      </c>
      <c r="D20" s="66" t="s">
        <v>48</v>
      </c>
      <c r="E20" s="66"/>
      <c r="F20" s="69">
        <v>42917</v>
      </c>
      <c r="G20" s="66" t="s">
        <v>31202</v>
      </c>
      <c r="H20" s="66" t="s">
        <v>3324</v>
      </c>
      <c r="I20" s="66" t="s">
        <v>123</v>
      </c>
      <c r="J20" s="66">
        <v>85303</v>
      </c>
      <c r="K20" s="66" t="s">
        <v>633</v>
      </c>
      <c r="L20" s="66" t="s">
        <v>3327</v>
      </c>
      <c r="M20" s="66" t="s">
        <v>27</v>
      </c>
      <c r="N20" s="66" t="s">
        <v>31201</v>
      </c>
      <c r="O20" s="66" t="s">
        <v>400</v>
      </c>
      <c r="P20" s="66" t="s">
        <v>30375</v>
      </c>
      <c r="Q20" s="76" t="s">
        <v>31200</v>
      </c>
      <c r="R20" s="66" t="s">
        <v>100</v>
      </c>
      <c r="S20" s="66" t="s">
        <v>28</v>
      </c>
      <c r="T20" s="89" t="s">
        <v>29681</v>
      </c>
      <c r="U20" s="89" t="s">
        <v>29436</v>
      </c>
      <c r="V20" s="89" t="s">
        <v>29439</v>
      </c>
      <c r="W20" s="89" t="s">
        <v>555</v>
      </c>
      <c r="X20" s="89">
        <v>2727</v>
      </c>
      <c r="Y20" s="66"/>
      <c r="Z20" s="66"/>
      <c r="AA20" s="66"/>
      <c r="AB20" s="66"/>
      <c r="AC20" s="66"/>
      <c r="AD20" s="66"/>
      <c r="AE20" s="66"/>
      <c r="AF20" s="66"/>
      <c r="AG20" s="66"/>
      <c r="AH20" s="66"/>
      <c r="AI20" s="66"/>
      <c r="AJ20" s="66"/>
      <c r="AK20" s="66"/>
      <c r="AL20" s="66"/>
      <c r="AM20" s="66"/>
      <c r="AN20" s="66"/>
      <c r="AO20" s="66"/>
    </row>
    <row r="21" spans="1:41" s="78" customFormat="1" ht="12" customHeight="1" x14ac:dyDescent="0.2">
      <c r="A21" s="66" t="s">
        <v>31195</v>
      </c>
      <c r="B21" s="66">
        <v>37</v>
      </c>
      <c r="C21" s="66" t="s">
        <v>20</v>
      </c>
      <c r="D21" s="66" t="s">
        <v>85</v>
      </c>
      <c r="E21" s="76" t="s">
        <v>31194</v>
      </c>
      <c r="F21" s="69">
        <v>42917</v>
      </c>
      <c r="G21" s="66" t="s">
        <v>31193</v>
      </c>
      <c r="H21" s="66" t="s">
        <v>87</v>
      </c>
      <c r="I21" s="66" t="s">
        <v>44</v>
      </c>
      <c r="J21" s="66">
        <v>60623</v>
      </c>
      <c r="K21" s="66" t="s">
        <v>88</v>
      </c>
      <c r="L21" s="66" t="s">
        <v>89</v>
      </c>
      <c r="M21" s="66" t="s">
        <v>27</v>
      </c>
      <c r="N21" s="66" t="s">
        <v>31192</v>
      </c>
      <c r="O21" s="66" t="s">
        <v>400</v>
      </c>
      <c r="P21" s="66" t="s">
        <v>30375</v>
      </c>
      <c r="Q21" s="76" t="s">
        <v>31191</v>
      </c>
      <c r="R21" s="66" t="s">
        <v>100</v>
      </c>
      <c r="S21" s="66" t="s">
        <v>28</v>
      </c>
      <c r="T21" s="89" t="s">
        <v>29681</v>
      </c>
      <c r="U21" s="89" t="s">
        <v>29436</v>
      </c>
      <c r="V21" s="89" t="s">
        <v>29439</v>
      </c>
      <c r="W21" s="89" t="s">
        <v>555</v>
      </c>
      <c r="X21" s="89">
        <v>2730</v>
      </c>
      <c r="Y21" s="66"/>
      <c r="Z21" s="66"/>
      <c r="AA21" s="66"/>
      <c r="AB21" s="66"/>
      <c r="AC21" s="66"/>
      <c r="AD21" s="66"/>
      <c r="AE21" s="66"/>
      <c r="AF21" s="66"/>
      <c r="AG21" s="66"/>
      <c r="AH21" s="66"/>
      <c r="AI21" s="66"/>
      <c r="AJ21" s="66"/>
      <c r="AK21" s="66"/>
      <c r="AL21" s="66"/>
      <c r="AM21" s="66"/>
      <c r="AN21" s="66"/>
      <c r="AO21" s="66"/>
    </row>
    <row r="22" spans="1:41" s="78" customFormat="1" ht="12" customHeight="1" x14ac:dyDescent="0.2">
      <c r="A22" s="66" t="s">
        <v>31375</v>
      </c>
      <c r="B22" s="66">
        <v>33</v>
      </c>
      <c r="C22" s="66" t="s">
        <v>20</v>
      </c>
      <c r="D22" s="66" t="s">
        <v>48</v>
      </c>
      <c r="E22" s="76" t="s">
        <v>31374</v>
      </c>
      <c r="F22" s="69">
        <v>42916</v>
      </c>
      <c r="G22" s="66" t="s">
        <v>31373</v>
      </c>
      <c r="H22" s="66" t="s">
        <v>23256</v>
      </c>
      <c r="I22" s="66" t="s">
        <v>209</v>
      </c>
      <c r="J22" s="66">
        <v>80030</v>
      </c>
      <c r="K22" s="66" t="s">
        <v>1924</v>
      </c>
      <c r="L22" s="66" t="s">
        <v>23257</v>
      </c>
      <c r="M22" s="66" t="s">
        <v>27</v>
      </c>
      <c r="N22" s="66" t="s">
        <v>31372</v>
      </c>
      <c r="O22" s="66" t="s">
        <v>400</v>
      </c>
      <c r="P22" s="66" t="s">
        <v>30375</v>
      </c>
      <c r="Q22" s="76" t="s">
        <v>31371</v>
      </c>
      <c r="R22" s="66" t="s">
        <v>100</v>
      </c>
      <c r="S22" s="66" t="s">
        <v>28</v>
      </c>
      <c r="T22" s="89" t="s">
        <v>29681</v>
      </c>
      <c r="U22" s="89" t="s">
        <v>29436</v>
      </c>
      <c r="V22" s="89" t="s">
        <v>29440</v>
      </c>
      <c r="W22" s="89" t="s">
        <v>100</v>
      </c>
      <c r="X22" s="89">
        <v>2726</v>
      </c>
      <c r="Y22" s="66"/>
      <c r="Z22" s="66"/>
      <c r="AA22" s="66"/>
      <c r="AB22" s="66"/>
      <c r="AC22" s="66"/>
      <c r="AD22" s="66"/>
      <c r="AE22" s="66"/>
      <c r="AF22" s="66"/>
      <c r="AG22" s="66"/>
      <c r="AH22" s="66"/>
      <c r="AI22" s="66"/>
      <c r="AJ22" s="66"/>
      <c r="AK22" s="66"/>
      <c r="AL22" s="66"/>
      <c r="AM22" s="66"/>
      <c r="AN22" s="66"/>
      <c r="AO22" s="66"/>
    </row>
    <row r="23" spans="1:41" s="78" customFormat="1" ht="12" customHeight="1" x14ac:dyDescent="0.2">
      <c r="A23" s="66" t="s">
        <v>31361</v>
      </c>
      <c r="B23" s="66">
        <v>23</v>
      </c>
      <c r="C23" s="66" t="s">
        <v>20</v>
      </c>
      <c r="D23" s="66" t="s">
        <v>37</v>
      </c>
      <c r="E23" s="66"/>
      <c r="F23" s="69">
        <v>42916</v>
      </c>
      <c r="G23" s="66" t="s">
        <v>31360</v>
      </c>
      <c r="H23" s="66" t="s">
        <v>1171</v>
      </c>
      <c r="I23" s="66" t="s">
        <v>209</v>
      </c>
      <c r="J23" s="66">
        <v>80528</v>
      </c>
      <c r="K23" s="66" t="s">
        <v>553</v>
      </c>
      <c r="L23" s="66" t="s">
        <v>21779</v>
      </c>
      <c r="M23" s="66" t="s">
        <v>27</v>
      </c>
      <c r="N23" s="66" t="s">
        <v>31359</v>
      </c>
      <c r="O23" s="66" t="s">
        <v>400</v>
      </c>
      <c r="P23" s="66" t="s">
        <v>30375</v>
      </c>
      <c r="Q23" s="76" t="s">
        <v>31358</v>
      </c>
      <c r="R23" s="66" t="s">
        <v>100</v>
      </c>
      <c r="S23" s="66" t="s">
        <v>35</v>
      </c>
      <c r="T23" s="89" t="s">
        <v>29441</v>
      </c>
      <c r="U23" s="89" t="s">
        <v>29438</v>
      </c>
      <c r="V23" s="89" t="s">
        <v>29440</v>
      </c>
      <c r="W23" s="89" t="s">
        <v>100</v>
      </c>
      <c r="X23" s="89">
        <v>2725</v>
      </c>
      <c r="Y23" s="66"/>
      <c r="Z23" s="66"/>
      <c r="AA23" s="66"/>
      <c r="AB23" s="66"/>
      <c r="AC23" s="66"/>
      <c r="AD23" s="66"/>
      <c r="AE23" s="66"/>
      <c r="AF23" s="66"/>
      <c r="AG23" s="66"/>
      <c r="AH23" s="66"/>
      <c r="AI23" s="66"/>
      <c r="AJ23" s="66"/>
      <c r="AK23" s="66"/>
      <c r="AL23" s="66"/>
      <c r="AM23" s="66"/>
      <c r="AN23" s="66"/>
      <c r="AO23" s="66"/>
    </row>
    <row r="24" spans="1:41" s="78" customFormat="1" ht="12" customHeight="1" x14ac:dyDescent="0.2">
      <c r="A24" s="66" t="s">
        <v>31151</v>
      </c>
      <c r="B24" s="66">
        <v>32</v>
      </c>
      <c r="C24" s="66" t="s">
        <v>114</v>
      </c>
      <c r="D24" s="66" t="s">
        <v>48</v>
      </c>
      <c r="E24" s="76" t="s">
        <v>31150</v>
      </c>
      <c r="F24" s="69">
        <v>42916</v>
      </c>
      <c r="G24" s="66" t="s">
        <v>31149</v>
      </c>
      <c r="H24" s="66" t="s">
        <v>27953</v>
      </c>
      <c r="I24" s="66" t="s">
        <v>209</v>
      </c>
      <c r="J24" s="66">
        <v>80223</v>
      </c>
      <c r="K24" s="66" t="s">
        <v>1298</v>
      </c>
      <c r="L24" s="66" t="s">
        <v>31148</v>
      </c>
      <c r="M24" s="66" t="s">
        <v>27</v>
      </c>
      <c r="N24" s="66" t="s">
        <v>31147</v>
      </c>
      <c r="O24" s="66" t="s">
        <v>400</v>
      </c>
      <c r="P24" s="66" t="s">
        <v>30375</v>
      </c>
      <c r="Q24" s="76" t="s">
        <v>31146</v>
      </c>
      <c r="R24" s="66" t="s">
        <v>100</v>
      </c>
      <c r="S24" s="66" t="s">
        <v>28</v>
      </c>
      <c r="T24" s="89" t="s">
        <v>29681</v>
      </c>
      <c r="U24" s="89" t="s">
        <v>29438</v>
      </c>
      <c r="V24" s="89" t="s">
        <v>29437</v>
      </c>
      <c r="W24" s="89" t="s">
        <v>100</v>
      </c>
      <c r="X24" s="89">
        <v>2721</v>
      </c>
      <c r="Y24" s="66"/>
      <c r="Z24" s="66"/>
      <c r="AA24" s="66"/>
      <c r="AB24" s="66"/>
      <c r="AC24" s="66"/>
      <c r="AD24" s="66"/>
      <c r="AE24" s="66"/>
      <c r="AF24" s="66"/>
      <c r="AG24" s="66"/>
      <c r="AH24" s="66"/>
      <c r="AI24" s="66"/>
      <c r="AJ24" s="66"/>
      <c r="AK24" s="66"/>
      <c r="AL24" s="66"/>
      <c r="AM24" s="66"/>
      <c r="AN24" s="66"/>
      <c r="AO24" s="66"/>
    </row>
    <row r="25" spans="1:41" s="78" customFormat="1" ht="12" customHeight="1" x14ac:dyDescent="0.2">
      <c r="A25" s="66" t="s">
        <v>31072</v>
      </c>
      <c r="B25" s="66">
        <v>37</v>
      </c>
      <c r="C25" s="66" t="s">
        <v>20</v>
      </c>
      <c r="D25" s="66" t="s">
        <v>37</v>
      </c>
      <c r="E25" s="76" t="s">
        <v>31071</v>
      </c>
      <c r="F25" s="69">
        <v>42916</v>
      </c>
      <c r="G25" s="66" t="s">
        <v>7433</v>
      </c>
      <c r="H25" s="66" t="s">
        <v>31070</v>
      </c>
      <c r="I25" s="66" t="s">
        <v>319</v>
      </c>
      <c r="J25" s="66">
        <v>38501</v>
      </c>
      <c r="K25" s="66" t="s">
        <v>2095</v>
      </c>
      <c r="L25" s="66" t="s">
        <v>31069</v>
      </c>
      <c r="M25" s="66" t="s">
        <v>30988</v>
      </c>
      <c r="N25" s="66" t="s">
        <v>31068</v>
      </c>
      <c r="O25" s="66" t="s">
        <v>400</v>
      </c>
      <c r="P25" s="66" t="s">
        <v>30375</v>
      </c>
      <c r="Q25" s="76" t="s">
        <v>31067</v>
      </c>
      <c r="R25" s="66" t="s">
        <v>29</v>
      </c>
      <c r="S25" s="66" t="s">
        <v>18</v>
      </c>
      <c r="T25" s="89" t="s">
        <v>29760</v>
      </c>
      <c r="U25" s="89"/>
      <c r="V25" s="89"/>
      <c r="W25" s="89"/>
      <c r="X25" s="66"/>
      <c r="Y25" s="66"/>
      <c r="Z25" s="66"/>
      <c r="AA25" s="66"/>
      <c r="AB25" s="66"/>
      <c r="AC25" s="66"/>
      <c r="AD25" s="66"/>
      <c r="AE25" s="66"/>
      <c r="AF25" s="66"/>
      <c r="AG25" s="66"/>
      <c r="AH25" s="66"/>
      <c r="AI25" s="66"/>
      <c r="AJ25" s="66"/>
      <c r="AK25" s="66"/>
      <c r="AL25" s="66"/>
      <c r="AM25" s="66"/>
      <c r="AN25" s="66"/>
      <c r="AO25" s="66"/>
    </row>
    <row r="26" spans="1:41" s="78" customFormat="1" ht="12" customHeight="1" x14ac:dyDescent="0.2">
      <c r="A26" s="66" t="s">
        <v>31254</v>
      </c>
      <c r="B26" s="66">
        <v>37</v>
      </c>
      <c r="C26" s="66" t="s">
        <v>20</v>
      </c>
      <c r="D26" s="66" t="s">
        <v>48</v>
      </c>
      <c r="E26" s="76" t="s">
        <v>31253</v>
      </c>
      <c r="F26" s="69">
        <v>42915</v>
      </c>
      <c r="G26" s="66" t="s">
        <v>31252</v>
      </c>
      <c r="H26" s="66" t="s">
        <v>3889</v>
      </c>
      <c r="I26" s="66" t="s">
        <v>62</v>
      </c>
      <c r="J26" s="66">
        <v>32725</v>
      </c>
      <c r="K26" s="66" t="s">
        <v>3891</v>
      </c>
      <c r="L26" s="66" t="s">
        <v>261</v>
      </c>
      <c r="M26" s="66" t="s">
        <v>27</v>
      </c>
      <c r="N26" s="66" t="s">
        <v>31251</v>
      </c>
      <c r="O26" s="66" t="s">
        <v>400</v>
      </c>
      <c r="P26" s="66" t="s">
        <v>30375</v>
      </c>
      <c r="Q26" s="76" t="s">
        <v>31250</v>
      </c>
      <c r="R26" s="66" t="s">
        <v>964</v>
      </c>
      <c r="S26" s="66" t="s">
        <v>18</v>
      </c>
      <c r="T26" s="89" t="s">
        <v>31249</v>
      </c>
      <c r="U26" s="89" t="s">
        <v>29436</v>
      </c>
      <c r="V26" s="89" t="s">
        <v>29439</v>
      </c>
      <c r="W26" s="89" t="s">
        <v>100</v>
      </c>
      <c r="X26" s="89">
        <v>2724</v>
      </c>
      <c r="Y26" s="66"/>
      <c r="Z26" s="66"/>
      <c r="AA26" s="66"/>
      <c r="AB26" s="66"/>
      <c r="AC26" s="66"/>
      <c r="AD26" s="66"/>
      <c r="AE26" s="66"/>
      <c r="AF26" s="66"/>
      <c r="AG26" s="66"/>
      <c r="AH26" s="66"/>
      <c r="AI26" s="66"/>
      <c r="AJ26" s="66"/>
      <c r="AK26" s="66"/>
      <c r="AL26" s="66"/>
      <c r="AM26" s="66"/>
      <c r="AN26" s="66"/>
      <c r="AO26" s="66"/>
    </row>
    <row r="27" spans="1:41" s="78" customFormat="1" ht="12" customHeight="1" x14ac:dyDescent="0.2">
      <c r="A27" s="66" t="s">
        <v>31419</v>
      </c>
      <c r="B27" s="66">
        <v>45</v>
      </c>
      <c r="C27" s="66" t="s">
        <v>20</v>
      </c>
      <c r="D27" s="66" t="s">
        <v>85</v>
      </c>
      <c r="E27" s="76" t="s">
        <v>31418</v>
      </c>
      <c r="F27" s="69">
        <v>42915</v>
      </c>
      <c r="G27" s="66" t="s">
        <v>31417</v>
      </c>
      <c r="H27" s="66" t="s">
        <v>216</v>
      </c>
      <c r="I27" s="66" t="s">
        <v>217</v>
      </c>
      <c r="J27" s="66">
        <v>46208</v>
      </c>
      <c r="K27" s="66" t="s">
        <v>420</v>
      </c>
      <c r="L27" s="66" t="s">
        <v>218</v>
      </c>
      <c r="M27" s="66" t="s">
        <v>27</v>
      </c>
      <c r="N27" s="66" t="s">
        <v>31416</v>
      </c>
      <c r="O27" s="66" t="s">
        <v>400</v>
      </c>
      <c r="P27" s="66" t="s">
        <v>30375</v>
      </c>
      <c r="Q27" s="76" t="s">
        <v>31415</v>
      </c>
      <c r="R27" s="66" t="s">
        <v>100</v>
      </c>
      <c r="S27" s="66" t="s">
        <v>18</v>
      </c>
      <c r="T27" s="89" t="s">
        <v>29760</v>
      </c>
      <c r="U27" s="89" t="s">
        <v>29436</v>
      </c>
      <c r="V27" s="89" t="s">
        <v>29437</v>
      </c>
      <c r="W27" s="89" t="s">
        <v>100</v>
      </c>
      <c r="X27" s="89">
        <v>2717</v>
      </c>
      <c r="Y27" s="66"/>
      <c r="Z27" s="66"/>
      <c r="AA27" s="66"/>
      <c r="AB27" s="66"/>
      <c r="AC27" s="66"/>
      <c r="AD27" s="66"/>
      <c r="AE27" s="66"/>
      <c r="AF27" s="66"/>
      <c r="AG27" s="66"/>
      <c r="AH27" s="66"/>
      <c r="AI27" s="66"/>
      <c r="AJ27" s="66"/>
      <c r="AK27" s="66"/>
      <c r="AL27" s="66"/>
      <c r="AM27" s="66"/>
      <c r="AN27" s="66"/>
      <c r="AO27" s="66"/>
    </row>
    <row r="28" spans="1:41" s="78" customFormat="1" ht="12" customHeight="1" x14ac:dyDescent="0.2">
      <c r="A28" s="66" t="s">
        <v>31265</v>
      </c>
      <c r="B28" s="66">
        <v>23</v>
      </c>
      <c r="C28" s="66" t="s">
        <v>20</v>
      </c>
      <c r="D28" s="66" t="s">
        <v>85</v>
      </c>
      <c r="E28" s="66"/>
      <c r="F28" s="69">
        <v>42915</v>
      </c>
      <c r="G28" s="66" t="s">
        <v>31264</v>
      </c>
      <c r="H28" s="66" t="s">
        <v>6277</v>
      </c>
      <c r="I28" s="66" t="s">
        <v>173</v>
      </c>
      <c r="J28" s="66">
        <v>30067</v>
      </c>
      <c r="K28" s="66" t="s">
        <v>3309</v>
      </c>
      <c r="L28" s="66" t="s">
        <v>31263</v>
      </c>
      <c r="M28" s="66" t="s">
        <v>27</v>
      </c>
      <c r="N28" s="66" t="s">
        <v>31262</v>
      </c>
      <c r="O28" s="66" t="s">
        <v>400</v>
      </c>
      <c r="P28" s="66" t="s">
        <v>30375</v>
      </c>
      <c r="Q28" s="76" t="s">
        <v>31261</v>
      </c>
      <c r="R28" s="66" t="s">
        <v>100</v>
      </c>
      <c r="S28" s="66" t="s">
        <v>379</v>
      </c>
      <c r="T28" s="89" t="s">
        <v>29773</v>
      </c>
      <c r="U28" s="89" t="s">
        <v>29436</v>
      </c>
      <c r="V28" s="89" t="s">
        <v>29439</v>
      </c>
      <c r="W28" s="89" t="s">
        <v>100</v>
      </c>
      <c r="X28" s="89">
        <v>2723</v>
      </c>
      <c r="Y28" s="66"/>
      <c r="Z28" s="66"/>
      <c r="AA28" s="66"/>
      <c r="AB28" s="66"/>
      <c r="AC28" s="66"/>
      <c r="AD28" s="66"/>
      <c r="AE28" s="66"/>
      <c r="AF28" s="66"/>
      <c r="AG28" s="66"/>
      <c r="AH28" s="66"/>
      <c r="AI28" s="66"/>
      <c r="AJ28" s="66"/>
      <c r="AK28" s="66"/>
      <c r="AL28" s="66"/>
      <c r="AM28" s="66"/>
      <c r="AN28" s="66"/>
      <c r="AO28" s="66"/>
    </row>
    <row r="29" spans="1:41" s="78" customFormat="1" ht="12" customHeight="1" x14ac:dyDescent="0.2">
      <c r="A29" s="66" t="s">
        <v>31239</v>
      </c>
      <c r="B29" s="66">
        <v>41</v>
      </c>
      <c r="C29" s="66" t="s">
        <v>20</v>
      </c>
      <c r="D29" s="66" t="s">
        <v>48</v>
      </c>
      <c r="E29" s="66"/>
      <c r="F29" s="69">
        <v>42915</v>
      </c>
      <c r="G29" s="66" t="s">
        <v>31238</v>
      </c>
      <c r="H29" s="66" t="s">
        <v>3870</v>
      </c>
      <c r="I29" s="66" t="s">
        <v>45</v>
      </c>
      <c r="J29" s="66">
        <v>91504</v>
      </c>
      <c r="K29" s="66" t="s">
        <v>98</v>
      </c>
      <c r="L29" s="66" t="s">
        <v>31237</v>
      </c>
      <c r="M29" s="66" t="s">
        <v>27</v>
      </c>
      <c r="N29" s="66" t="s">
        <v>31236</v>
      </c>
      <c r="O29" s="66" t="s">
        <v>400</v>
      </c>
      <c r="P29" s="66" t="s">
        <v>30375</v>
      </c>
      <c r="Q29" s="76" t="s">
        <v>31235</v>
      </c>
      <c r="R29" s="66" t="s">
        <v>100</v>
      </c>
      <c r="S29" s="66" t="s">
        <v>35</v>
      </c>
      <c r="T29" s="89" t="s">
        <v>29441</v>
      </c>
      <c r="U29" s="89" t="s">
        <v>29441</v>
      </c>
      <c r="V29" s="89" t="s">
        <v>29439</v>
      </c>
      <c r="W29" s="89" t="s">
        <v>100</v>
      </c>
      <c r="X29" s="89">
        <v>2720</v>
      </c>
      <c r="Y29" s="66"/>
      <c r="Z29" s="66"/>
      <c r="AA29" s="66"/>
      <c r="AB29" s="66"/>
      <c r="AC29" s="66"/>
      <c r="AD29" s="66"/>
      <c r="AE29" s="66"/>
      <c r="AF29" s="66"/>
      <c r="AG29" s="66"/>
      <c r="AH29" s="66"/>
      <c r="AI29" s="66"/>
      <c r="AJ29" s="66"/>
      <c r="AK29" s="66"/>
      <c r="AL29" s="66"/>
      <c r="AM29" s="66"/>
      <c r="AN29" s="66"/>
      <c r="AO29" s="66"/>
    </row>
    <row r="30" spans="1:41" s="78" customFormat="1" ht="12" customHeight="1" x14ac:dyDescent="0.2">
      <c r="A30" s="66" t="s">
        <v>31174</v>
      </c>
      <c r="B30" s="66">
        <v>37</v>
      </c>
      <c r="C30" s="66" t="s">
        <v>20</v>
      </c>
      <c r="D30" s="66" t="s">
        <v>85</v>
      </c>
      <c r="E30" s="66"/>
      <c r="F30" s="69">
        <v>42914</v>
      </c>
      <c r="G30" s="66" t="s">
        <v>31173</v>
      </c>
      <c r="H30" s="66" t="s">
        <v>2028</v>
      </c>
      <c r="I30" s="66" t="s">
        <v>319</v>
      </c>
      <c r="J30" s="66">
        <v>37204</v>
      </c>
      <c r="K30" s="66" t="s">
        <v>879</v>
      </c>
      <c r="L30" s="66" t="s">
        <v>31172</v>
      </c>
      <c r="M30" s="66" t="s">
        <v>27</v>
      </c>
      <c r="N30" s="66" t="s">
        <v>31171</v>
      </c>
      <c r="O30" s="66" t="s">
        <v>400</v>
      </c>
      <c r="P30" s="66" t="s">
        <v>30375</v>
      </c>
      <c r="Q30" s="76" t="s">
        <v>31170</v>
      </c>
      <c r="R30" s="66" t="s">
        <v>100</v>
      </c>
      <c r="S30" s="66" t="s">
        <v>35</v>
      </c>
      <c r="T30" s="89" t="s">
        <v>29452</v>
      </c>
      <c r="U30" s="89" t="s">
        <v>29438</v>
      </c>
      <c r="V30" s="89" t="s">
        <v>29439</v>
      </c>
      <c r="W30" s="89" t="s">
        <v>100</v>
      </c>
      <c r="X30" s="89">
        <v>2718</v>
      </c>
      <c r="Y30" s="66"/>
      <c r="Z30" s="66"/>
      <c r="AA30" s="66"/>
      <c r="AB30" s="66"/>
      <c r="AC30" s="66"/>
      <c r="AD30" s="66"/>
      <c r="AE30" s="66"/>
      <c r="AF30" s="66"/>
      <c r="AG30" s="66"/>
      <c r="AH30" s="66"/>
      <c r="AI30" s="66"/>
      <c r="AJ30" s="66"/>
      <c r="AK30" s="66"/>
      <c r="AL30" s="66"/>
      <c r="AM30" s="66"/>
      <c r="AN30" s="66"/>
      <c r="AO30" s="66"/>
    </row>
    <row r="31" spans="1:41" s="78" customFormat="1" ht="12" customHeight="1" x14ac:dyDescent="0.2">
      <c r="A31" s="66" t="s">
        <v>31060</v>
      </c>
      <c r="B31" s="66">
        <v>28</v>
      </c>
      <c r="C31" s="66" t="s">
        <v>20</v>
      </c>
      <c r="D31" s="66" t="s">
        <v>48</v>
      </c>
      <c r="E31" s="76" t="s">
        <v>31059</v>
      </c>
      <c r="F31" s="69">
        <v>42914</v>
      </c>
      <c r="G31" s="66" t="s">
        <v>31058</v>
      </c>
      <c r="H31" s="66" t="s">
        <v>1760</v>
      </c>
      <c r="I31" s="66" t="s">
        <v>45</v>
      </c>
      <c r="J31" s="66">
        <v>95206</v>
      </c>
      <c r="K31" s="66" t="s">
        <v>1762</v>
      </c>
      <c r="L31" s="66" t="s">
        <v>1763</v>
      </c>
      <c r="M31" s="66" t="s">
        <v>379</v>
      </c>
      <c r="N31" s="66" t="s">
        <v>31057</v>
      </c>
      <c r="O31" s="66" t="s">
        <v>400</v>
      </c>
      <c r="P31" s="66" t="s">
        <v>30375</v>
      </c>
      <c r="Q31" s="76" t="s">
        <v>31056</v>
      </c>
      <c r="R31" s="66" t="s">
        <v>100</v>
      </c>
      <c r="S31" s="66" t="s">
        <v>379</v>
      </c>
      <c r="T31" s="89" t="s">
        <v>29773</v>
      </c>
      <c r="U31" s="89"/>
      <c r="V31" s="89"/>
      <c r="W31" s="89"/>
      <c r="X31" s="66"/>
      <c r="Y31" s="66"/>
      <c r="Z31" s="66"/>
      <c r="AA31" s="66"/>
      <c r="AB31" s="66"/>
      <c r="AC31" s="66"/>
      <c r="AD31" s="66"/>
      <c r="AE31" s="66"/>
      <c r="AF31" s="66"/>
      <c r="AG31" s="66"/>
      <c r="AH31" s="66"/>
      <c r="AI31" s="66"/>
      <c r="AJ31" s="66"/>
      <c r="AK31" s="66"/>
      <c r="AL31" s="66"/>
      <c r="AM31" s="66"/>
      <c r="AN31" s="66"/>
      <c r="AO31" s="66"/>
    </row>
    <row r="32" spans="1:41" s="78" customFormat="1" ht="12" customHeight="1" x14ac:dyDescent="0.2">
      <c r="A32" s="66" t="s">
        <v>3252</v>
      </c>
      <c r="B32" s="66" t="s">
        <v>29</v>
      </c>
      <c r="C32" s="66" t="s">
        <v>20</v>
      </c>
      <c r="D32" s="66" t="s">
        <v>30</v>
      </c>
      <c r="E32" s="66"/>
      <c r="F32" s="69">
        <v>42914</v>
      </c>
      <c r="G32" s="66" t="s">
        <v>31154</v>
      </c>
      <c r="H32" s="66" t="s">
        <v>98</v>
      </c>
      <c r="I32" s="66" t="s">
        <v>45</v>
      </c>
      <c r="J32" s="66">
        <v>90017</v>
      </c>
      <c r="K32" s="66" t="s">
        <v>98</v>
      </c>
      <c r="L32" s="66" t="s">
        <v>99</v>
      </c>
      <c r="M32" s="66" t="s">
        <v>27</v>
      </c>
      <c r="N32" s="66" t="s">
        <v>31153</v>
      </c>
      <c r="O32" s="66" t="s">
        <v>400</v>
      </c>
      <c r="P32" s="66" t="s">
        <v>30375</v>
      </c>
      <c r="Q32" s="76" t="s">
        <v>31152</v>
      </c>
      <c r="R32" s="66" t="s">
        <v>555</v>
      </c>
      <c r="S32" s="66" t="s">
        <v>28</v>
      </c>
      <c r="T32" s="89" t="s">
        <v>29681</v>
      </c>
      <c r="U32" s="89" t="s">
        <v>29438</v>
      </c>
      <c r="V32" s="89" t="s">
        <v>29439</v>
      </c>
      <c r="W32" s="89" t="s">
        <v>555</v>
      </c>
      <c r="X32" s="89">
        <v>2716</v>
      </c>
      <c r="Y32" s="66"/>
      <c r="Z32" s="66"/>
      <c r="AA32" s="66"/>
      <c r="AB32" s="66"/>
      <c r="AC32" s="66"/>
      <c r="AD32" s="66"/>
      <c r="AE32" s="66"/>
      <c r="AF32" s="66"/>
      <c r="AG32" s="66"/>
      <c r="AH32" s="66"/>
      <c r="AI32" s="66"/>
      <c r="AJ32" s="66"/>
      <c r="AK32" s="66"/>
      <c r="AL32" s="66"/>
      <c r="AM32" s="66"/>
      <c r="AN32" s="66"/>
      <c r="AO32" s="66"/>
    </row>
    <row r="33" spans="1:41" s="78" customFormat="1" ht="12" customHeight="1" x14ac:dyDescent="0.2">
      <c r="A33" s="66" t="s">
        <v>31283</v>
      </c>
      <c r="B33" s="66">
        <v>35</v>
      </c>
      <c r="C33" s="66" t="s">
        <v>20</v>
      </c>
      <c r="D33" s="66" t="s">
        <v>48</v>
      </c>
      <c r="E33" s="76" t="s">
        <v>31282</v>
      </c>
      <c r="F33" s="69">
        <v>42913</v>
      </c>
      <c r="G33" s="66" t="s">
        <v>31281</v>
      </c>
      <c r="H33" s="66" t="s">
        <v>127</v>
      </c>
      <c r="I33" s="66" t="s">
        <v>73</v>
      </c>
      <c r="J33" s="66">
        <v>79104</v>
      </c>
      <c r="K33" s="66" t="s">
        <v>15496</v>
      </c>
      <c r="L33" s="66" t="s">
        <v>15497</v>
      </c>
      <c r="M33" s="66" t="s">
        <v>5411</v>
      </c>
      <c r="N33" s="66" t="s">
        <v>31280</v>
      </c>
      <c r="O33" s="66" t="s">
        <v>400</v>
      </c>
      <c r="P33" s="66" t="s">
        <v>30375</v>
      </c>
      <c r="Q33" s="76" t="s">
        <v>31279</v>
      </c>
      <c r="R33" s="66" t="s">
        <v>100</v>
      </c>
      <c r="S33" s="66" t="s">
        <v>28</v>
      </c>
      <c r="T33" s="89" t="s">
        <v>29681</v>
      </c>
      <c r="U33" s="89" t="s">
        <v>29438</v>
      </c>
      <c r="V33" s="89" t="s">
        <v>29440</v>
      </c>
      <c r="W33" s="89" t="s">
        <v>100</v>
      </c>
      <c r="X33" s="89">
        <v>2705</v>
      </c>
      <c r="Y33" s="66"/>
      <c r="Z33" s="66"/>
      <c r="AA33" s="66"/>
      <c r="AB33" s="66"/>
      <c r="AC33" s="66"/>
      <c r="AD33" s="66"/>
      <c r="AE33" s="66"/>
      <c r="AF33" s="66"/>
      <c r="AG33" s="66"/>
      <c r="AH33" s="66"/>
      <c r="AI33" s="66"/>
      <c r="AJ33" s="66"/>
      <c r="AK33" s="66"/>
      <c r="AL33" s="66"/>
      <c r="AM33" s="66"/>
      <c r="AN33" s="66"/>
      <c r="AO33" s="66"/>
    </row>
    <row r="34" spans="1:41" s="78" customFormat="1" ht="12" customHeight="1" x14ac:dyDescent="0.2">
      <c r="A34" s="66" t="s">
        <v>31124</v>
      </c>
      <c r="B34" s="66">
        <v>27</v>
      </c>
      <c r="C34" s="66" t="s">
        <v>114</v>
      </c>
      <c r="D34" s="66" t="s">
        <v>85</v>
      </c>
      <c r="E34" s="76" t="s">
        <v>31123</v>
      </c>
      <c r="F34" s="69">
        <v>42913</v>
      </c>
      <c r="G34" s="66" t="s">
        <v>31122</v>
      </c>
      <c r="H34" s="66" t="s">
        <v>87</v>
      </c>
      <c r="I34" s="66" t="s">
        <v>44</v>
      </c>
      <c r="J34" s="66">
        <v>60624</v>
      </c>
      <c r="K34" s="66" t="s">
        <v>88</v>
      </c>
      <c r="L34" s="66" t="s">
        <v>89</v>
      </c>
      <c r="M34" s="66" t="s">
        <v>379</v>
      </c>
      <c r="N34" s="66" t="s">
        <v>31121</v>
      </c>
      <c r="O34" s="66" t="s">
        <v>1010</v>
      </c>
      <c r="P34" s="66" t="s">
        <v>30375</v>
      </c>
      <c r="Q34" s="76" t="s">
        <v>31120</v>
      </c>
      <c r="R34" s="66" t="s">
        <v>100</v>
      </c>
      <c r="S34" s="66" t="s">
        <v>379</v>
      </c>
      <c r="T34" s="89" t="s">
        <v>29773</v>
      </c>
      <c r="U34" s="89"/>
      <c r="V34" s="89"/>
      <c r="W34" s="89"/>
      <c r="X34" s="66"/>
      <c r="Y34" s="66"/>
      <c r="Z34" s="66"/>
      <c r="AA34" s="66"/>
      <c r="AB34" s="66"/>
      <c r="AC34" s="66"/>
      <c r="AD34" s="66"/>
      <c r="AE34" s="66"/>
      <c r="AF34" s="66"/>
      <c r="AG34" s="66"/>
      <c r="AH34" s="66"/>
      <c r="AI34" s="66"/>
      <c r="AJ34" s="66"/>
      <c r="AK34" s="66"/>
      <c r="AL34" s="66"/>
      <c r="AM34" s="66"/>
      <c r="AN34" s="66"/>
      <c r="AO34" s="66"/>
    </row>
    <row r="35" spans="1:41" s="78" customFormat="1" ht="12" customHeight="1" x14ac:dyDescent="0.2">
      <c r="A35" s="66" t="s">
        <v>31106</v>
      </c>
      <c r="B35" s="66">
        <v>48</v>
      </c>
      <c r="C35" s="66" t="s">
        <v>20</v>
      </c>
      <c r="D35" s="66" t="s">
        <v>30</v>
      </c>
      <c r="E35" s="66"/>
      <c r="F35" s="69">
        <v>42913</v>
      </c>
      <c r="G35" s="66" t="s">
        <v>31105</v>
      </c>
      <c r="H35" s="66" t="s">
        <v>6544</v>
      </c>
      <c r="I35" s="66" t="s">
        <v>52</v>
      </c>
      <c r="J35" s="66">
        <v>20746</v>
      </c>
      <c r="K35" s="66" t="s">
        <v>2377</v>
      </c>
      <c r="L35" s="66" t="s">
        <v>759</v>
      </c>
      <c r="M35" s="66" t="s">
        <v>379</v>
      </c>
      <c r="N35" s="66" t="s">
        <v>31104</v>
      </c>
      <c r="O35" s="66" t="s">
        <v>400</v>
      </c>
      <c r="P35" s="66" t="s">
        <v>30375</v>
      </c>
      <c r="Q35" s="76" t="s">
        <v>31103</v>
      </c>
      <c r="R35" s="66" t="s">
        <v>100</v>
      </c>
      <c r="S35" s="66" t="s">
        <v>379</v>
      </c>
      <c r="T35" s="89" t="s">
        <v>29773</v>
      </c>
      <c r="U35" s="89"/>
      <c r="V35" s="89"/>
      <c r="W35" s="89"/>
      <c r="X35" s="66"/>
      <c r="Y35" s="66"/>
      <c r="Z35" s="66"/>
      <c r="AA35" s="66"/>
      <c r="AB35" s="66"/>
      <c r="AC35" s="66"/>
      <c r="AD35" s="66"/>
      <c r="AE35" s="66"/>
      <c r="AF35" s="66"/>
      <c r="AG35" s="66"/>
      <c r="AH35" s="66"/>
      <c r="AI35" s="66"/>
      <c r="AJ35" s="66"/>
      <c r="AK35" s="66"/>
      <c r="AL35" s="66"/>
      <c r="AM35" s="66"/>
      <c r="AN35" s="66"/>
      <c r="AO35" s="66"/>
    </row>
    <row r="36" spans="1:41" s="78" customFormat="1" ht="12" customHeight="1" x14ac:dyDescent="0.2">
      <c r="A36" s="66" t="s">
        <v>31081</v>
      </c>
      <c r="B36" s="66">
        <v>42</v>
      </c>
      <c r="C36" s="66" t="s">
        <v>20</v>
      </c>
      <c r="D36" s="66" t="s">
        <v>30</v>
      </c>
      <c r="E36" s="66"/>
      <c r="F36" s="69">
        <v>42913</v>
      </c>
      <c r="G36" s="66" t="s">
        <v>31080</v>
      </c>
      <c r="H36" s="66" t="s">
        <v>189</v>
      </c>
      <c r="I36" s="66" t="s">
        <v>25</v>
      </c>
      <c r="J36" s="66">
        <v>70806</v>
      </c>
      <c r="K36" s="66" t="s">
        <v>3743</v>
      </c>
      <c r="L36" s="66" t="s">
        <v>1683</v>
      </c>
      <c r="M36" s="66" t="s">
        <v>379</v>
      </c>
      <c r="N36" s="66" t="s">
        <v>31079</v>
      </c>
      <c r="O36" s="66" t="s">
        <v>400</v>
      </c>
      <c r="P36" s="66" t="s">
        <v>30375</v>
      </c>
      <c r="Q36" s="76" t="s">
        <v>31078</v>
      </c>
      <c r="R36" s="66" t="s">
        <v>100</v>
      </c>
      <c r="S36" s="66" t="s">
        <v>18</v>
      </c>
      <c r="T36" s="89" t="s">
        <v>29760</v>
      </c>
      <c r="U36" s="89"/>
      <c r="V36" s="89"/>
      <c r="W36" s="89"/>
      <c r="X36" s="66"/>
      <c r="Y36" s="66"/>
      <c r="Z36" s="66"/>
      <c r="AA36" s="66"/>
      <c r="AB36" s="66"/>
      <c r="AC36" s="66"/>
      <c r="AD36" s="66"/>
      <c r="AE36" s="66"/>
      <c r="AF36" s="66"/>
      <c r="AG36" s="66"/>
      <c r="AH36" s="66"/>
      <c r="AI36" s="66"/>
      <c r="AJ36" s="66"/>
      <c r="AK36" s="66"/>
      <c r="AL36" s="66"/>
      <c r="AM36" s="66"/>
      <c r="AN36" s="66"/>
      <c r="AO36" s="66"/>
    </row>
    <row r="37" spans="1:41" s="78" customFormat="1" ht="12" customHeight="1" x14ac:dyDescent="0.2">
      <c r="A37" s="66" t="s">
        <v>31102</v>
      </c>
      <c r="B37" s="66">
        <v>53</v>
      </c>
      <c r="C37" s="66" t="s">
        <v>20</v>
      </c>
      <c r="D37" s="66" t="s">
        <v>30</v>
      </c>
      <c r="E37" s="66"/>
      <c r="F37" s="69">
        <v>42912</v>
      </c>
      <c r="G37" s="66" t="s">
        <v>31101</v>
      </c>
      <c r="H37" s="66" t="s">
        <v>31100</v>
      </c>
      <c r="I37" s="66" t="s">
        <v>32</v>
      </c>
      <c r="J37" s="66">
        <v>29385</v>
      </c>
      <c r="K37" s="66" t="s">
        <v>2863</v>
      </c>
      <c r="L37" s="66" t="s">
        <v>31099</v>
      </c>
      <c r="M37" s="66" t="s">
        <v>30988</v>
      </c>
      <c r="N37" s="66" t="s">
        <v>31098</v>
      </c>
      <c r="O37" s="66" t="s">
        <v>400</v>
      </c>
      <c r="P37" s="66" t="s">
        <v>30375</v>
      </c>
      <c r="Q37" s="76" t="s">
        <v>31097</v>
      </c>
      <c r="R37" s="66" t="s">
        <v>29</v>
      </c>
      <c r="S37" s="66" t="s">
        <v>35</v>
      </c>
      <c r="T37" s="89" t="s">
        <v>29441</v>
      </c>
      <c r="U37" s="89"/>
      <c r="V37" s="89"/>
      <c r="W37" s="89"/>
      <c r="X37" s="66"/>
      <c r="Y37" s="66"/>
      <c r="Z37" s="66"/>
      <c r="AA37" s="66"/>
      <c r="AB37" s="66"/>
      <c r="AC37" s="66"/>
      <c r="AD37" s="66"/>
      <c r="AE37" s="66"/>
      <c r="AF37" s="66"/>
      <c r="AG37" s="66"/>
      <c r="AH37" s="66"/>
      <c r="AI37" s="66"/>
      <c r="AJ37" s="66"/>
      <c r="AK37" s="66"/>
      <c r="AL37" s="66"/>
      <c r="AM37" s="66"/>
      <c r="AN37" s="66"/>
      <c r="AO37" s="66"/>
    </row>
    <row r="38" spans="1:41" s="78" customFormat="1" ht="12" customHeight="1" x14ac:dyDescent="0.2">
      <c r="A38" s="66" t="s">
        <v>31317</v>
      </c>
      <c r="B38" s="66">
        <v>24</v>
      </c>
      <c r="C38" s="66" t="s">
        <v>20</v>
      </c>
      <c r="D38" s="66" t="s">
        <v>85</v>
      </c>
      <c r="E38" s="66"/>
      <c r="F38" s="69">
        <v>42911</v>
      </c>
      <c r="G38" s="66" t="s">
        <v>31316</v>
      </c>
      <c r="H38" s="66" t="s">
        <v>1094</v>
      </c>
      <c r="I38" s="66" t="s">
        <v>395</v>
      </c>
      <c r="J38" s="66">
        <v>73109</v>
      </c>
      <c r="K38" s="66" t="s">
        <v>1095</v>
      </c>
      <c r="L38" s="66" t="s">
        <v>1096</v>
      </c>
      <c r="M38" s="66" t="s">
        <v>27</v>
      </c>
      <c r="N38" s="66" t="s">
        <v>31315</v>
      </c>
      <c r="O38" s="66" t="s">
        <v>400</v>
      </c>
      <c r="P38" s="66" t="s">
        <v>30375</v>
      </c>
      <c r="Q38" s="76" t="s">
        <v>31314</v>
      </c>
      <c r="R38" s="66" t="s">
        <v>100</v>
      </c>
      <c r="S38" s="66" t="s">
        <v>28</v>
      </c>
      <c r="T38" s="89" t="s">
        <v>29681</v>
      </c>
      <c r="U38" s="89" t="s">
        <v>29438</v>
      </c>
      <c r="V38" s="89" t="s">
        <v>29439</v>
      </c>
      <c r="W38" s="89" t="s">
        <v>555</v>
      </c>
      <c r="X38" s="89">
        <v>2695</v>
      </c>
      <c r="Y38" s="66"/>
      <c r="Z38" s="66"/>
      <c r="AA38" s="66"/>
      <c r="AB38" s="66"/>
      <c r="AC38" s="66"/>
      <c r="AD38" s="66"/>
      <c r="AE38" s="66"/>
      <c r="AF38" s="66"/>
      <c r="AG38" s="66"/>
      <c r="AH38" s="66"/>
      <c r="AI38" s="66"/>
      <c r="AJ38" s="66"/>
      <c r="AK38" s="66"/>
      <c r="AL38" s="66"/>
      <c r="AM38" s="66"/>
      <c r="AN38" s="66"/>
      <c r="AO38" s="66"/>
    </row>
    <row r="39" spans="1:41" s="78" customFormat="1" ht="12" customHeight="1" x14ac:dyDescent="0.2">
      <c r="A39" s="66" t="s">
        <v>31244</v>
      </c>
      <c r="B39" s="66">
        <v>56</v>
      </c>
      <c r="C39" s="66" t="s">
        <v>20</v>
      </c>
      <c r="D39" s="66" t="s">
        <v>85</v>
      </c>
      <c r="E39" s="76" t="s">
        <v>31243</v>
      </c>
      <c r="F39" s="69">
        <v>42911</v>
      </c>
      <c r="G39" s="66" t="s">
        <v>31242</v>
      </c>
      <c r="H39" s="66" t="s">
        <v>3077</v>
      </c>
      <c r="I39" s="66" t="s">
        <v>32</v>
      </c>
      <c r="J39" s="66">
        <v>29406</v>
      </c>
      <c r="K39" s="66" t="s">
        <v>2216</v>
      </c>
      <c r="L39" s="66" t="s">
        <v>2239</v>
      </c>
      <c r="M39" s="66" t="s">
        <v>27</v>
      </c>
      <c r="N39" s="66" t="s">
        <v>31241</v>
      </c>
      <c r="O39" s="66" t="s">
        <v>400</v>
      </c>
      <c r="P39" s="66" t="s">
        <v>30375</v>
      </c>
      <c r="Q39" s="76" t="s">
        <v>31240</v>
      </c>
      <c r="R39" s="66" t="s">
        <v>100</v>
      </c>
      <c r="S39" s="66" t="s">
        <v>28</v>
      </c>
      <c r="T39" s="89" t="s">
        <v>29681</v>
      </c>
      <c r="U39" s="89" t="s">
        <v>29441</v>
      </c>
      <c r="V39" s="89" t="s">
        <v>29440</v>
      </c>
      <c r="W39" s="89" t="s">
        <v>100</v>
      </c>
      <c r="X39" s="89">
        <v>2692</v>
      </c>
      <c r="Y39" s="66"/>
      <c r="Z39" s="66"/>
      <c r="AA39" s="66"/>
      <c r="AB39" s="66"/>
      <c r="AC39" s="66"/>
      <c r="AD39" s="66"/>
      <c r="AE39" s="66"/>
      <c r="AF39" s="66"/>
      <c r="AG39" s="66"/>
      <c r="AH39" s="66"/>
      <c r="AI39" s="66"/>
      <c r="AJ39" s="66"/>
      <c r="AK39" s="66"/>
      <c r="AL39" s="66"/>
      <c r="AM39" s="66"/>
      <c r="AN39" s="66"/>
      <c r="AO39" s="66"/>
    </row>
    <row r="40" spans="1:41" s="78" customFormat="1" ht="12" customHeight="1" x14ac:dyDescent="0.2">
      <c r="A40" s="66" t="s">
        <v>31209</v>
      </c>
      <c r="B40" s="66">
        <v>47</v>
      </c>
      <c r="C40" s="66" t="s">
        <v>20</v>
      </c>
      <c r="D40" s="66" t="s">
        <v>37</v>
      </c>
      <c r="E40" s="76" t="s">
        <v>31208</v>
      </c>
      <c r="F40" s="69">
        <v>42911</v>
      </c>
      <c r="G40" s="66" t="s">
        <v>31207</v>
      </c>
      <c r="H40" s="66" t="s">
        <v>31206</v>
      </c>
      <c r="I40" s="66" t="s">
        <v>123</v>
      </c>
      <c r="J40" s="66">
        <v>85331</v>
      </c>
      <c r="K40" s="66" t="s">
        <v>633</v>
      </c>
      <c r="L40" s="66" t="s">
        <v>634</v>
      </c>
      <c r="M40" s="66" t="s">
        <v>27</v>
      </c>
      <c r="N40" s="66" t="s">
        <v>31205</v>
      </c>
      <c r="O40" s="66" t="s">
        <v>400</v>
      </c>
      <c r="P40" s="66" t="s">
        <v>30375</v>
      </c>
      <c r="Q40" s="76" t="s">
        <v>31204</v>
      </c>
      <c r="R40" s="66" t="s">
        <v>100</v>
      </c>
      <c r="S40" s="66" t="s">
        <v>28</v>
      </c>
      <c r="T40" s="89" t="s">
        <v>29681</v>
      </c>
      <c r="U40" s="89" t="s">
        <v>29438</v>
      </c>
      <c r="V40" s="89" t="s">
        <v>29439</v>
      </c>
      <c r="W40" s="89" t="s">
        <v>100</v>
      </c>
      <c r="X40" s="89">
        <v>2696</v>
      </c>
      <c r="Y40" s="66"/>
      <c r="Z40" s="66"/>
      <c r="AA40" s="66"/>
      <c r="AB40" s="66"/>
      <c r="AC40" s="66"/>
      <c r="AD40" s="66"/>
      <c r="AE40" s="66"/>
      <c r="AF40" s="66"/>
      <c r="AG40" s="66"/>
      <c r="AH40" s="66"/>
      <c r="AI40" s="66"/>
      <c r="AJ40" s="66"/>
      <c r="AK40" s="66"/>
      <c r="AL40" s="66"/>
      <c r="AM40" s="66"/>
      <c r="AN40" s="66"/>
      <c r="AO40" s="66"/>
    </row>
    <row r="41" spans="1:41" s="78" customFormat="1" ht="12" customHeight="1" x14ac:dyDescent="0.2">
      <c r="A41" s="66" t="s">
        <v>3252</v>
      </c>
      <c r="B41" s="66" t="s">
        <v>29</v>
      </c>
      <c r="C41" s="66" t="s">
        <v>20</v>
      </c>
      <c r="D41" s="66" t="s">
        <v>30</v>
      </c>
      <c r="E41" s="66"/>
      <c r="F41" s="69">
        <v>42911</v>
      </c>
      <c r="G41" s="66" t="s">
        <v>31142</v>
      </c>
      <c r="H41" s="66" t="s">
        <v>655</v>
      </c>
      <c r="I41" s="66" t="s">
        <v>269</v>
      </c>
      <c r="J41" s="66">
        <v>89108</v>
      </c>
      <c r="K41" s="66" t="s">
        <v>570</v>
      </c>
      <c r="L41" s="66" t="s">
        <v>571</v>
      </c>
      <c r="M41" s="66" t="s">
        <v>27</v>
      </c>
      <c r="N41" s="66" t="s">
        <v>31141</v>
      </c>
      <c r="O41" s="66" t="s">
        <v>400</v>
      </c>
      <c r="P41" s="66" t="s">
        <v>30375</v>
      </c>
      <c r="Q41" s="76" t="s">
        <v>31140</v>
      </c>
      <c r="R41" s="66" t="s">
        <v>100</v>
      </c>
      <c r="S41" s="66" t="s">
        <v>28</v>
      </c>
      <c r="T41" s="89" t="s">
        <v>29681</v>
      </c>
      <c r="U41" s="89" t="s">
        <v>29438</v>
      </c>
      <c r="V41" s="89" t="s">
        <v>29439</v>
      </c>
      <c r="W41" s="89" t="s">
        <v>100</v>
      </c>
      <c r="X41" s="89">
        <v>2698</v>
      </c>
      <c r="Y41" s="66"/>
      <c r="Z41" s="66"/>
      <c r="AA41" s="66"/>
      <c r="AB41" s="66"/>
      <c r="AC41" s="66"/>
      <c r="AD41" s="66"/>
      <c r="AE41" s="66"/>
      <c r="AF41" s="66"/>
      <c r="AG41" s="66"/>
      <c r="AH41" s="66"/>
      <c r="AI41" s="66"/>
      <c r="AJ41" s="66"/>
      <c r="AK41" s="66"/>
      <c r="AL41" s="66"/>
      <c r="AM41" s="66"/>
      <c r="AN41" s="66"/>
      <c r="AO41" s="66"/>
    </row>
    <row r="42" spans="1:41" s="78" customFormat="1" ht="12" customHeight="1" x14ac:dyDescent="0.2">
      <c r="A42" s="66" t="s">
        <v>31066</v>
      </c>
      <c r="B42" s="66">
        <v>45</v>
      </c>
      <c r="C42" s="66" t="s">
        <v>20</v>
      </c>
      <c r="D42" s="66" t="s">
        <v>30</v>
      </c>
      <c r="E42" s="66"/>
      <c r="F42" s="69">
        <v>42911</v>
      </c>
      <c r="G42" s="66" t="s">
        <v>31065</v>
      </c>
      <c r="H42" s="66" t="s">
        <v>31064</v>
      </c>
      <c r="I42" s="66" t="s">
        <v>217</v>
      </c>
      <c r="J42" s="66">
        <v>46347</v>
      </c>
      <c r="K42" s="66" t="s">
        <v>21203</v>
      </c>
      <c r="L42" s="66" t="s">
        <v>31063</v>
      </c>
      <c r="M42" s="66" t="s">
        <v>379</v>
      </c>
      <c r="N42" s="66" t="s">
        <v>31062</v>
      </c>
      <c r="O42" s="66" t="s">
        <v>400</v>
      </c>
      <c r="P42" s="66" t="s">
        <v>30375</v>
      </c>
      <c r="Q42" s="76" t="s">
        <v>31061</v>
      </c>
      <c r="R42" s="66" t="s">
        <v>100</v>
      </c>
      <c r="S42" s="66" t="s">
        <v>379</v>
      </c>
      <c r="T42" s="89" t="s">
        <v>29773</v>
      </c>
      <c r="U42" s="89"/>
      <c r="V42" s="89"/>
      <c r="W42" s="89"/>
      <c r="X42" s="66"/>
      <c r="Y42" s="66"/>
      <c r="Z42" s="66"/>
      <c r="AA42" s="66"/>
      <c r="AB42" s="66"/>
      <c r="AC42" s="66"/>
      <c r="AD42" s="66"/>
      <c r="AE42" s="66"/>
      <c r="AF42" s="66"/>
      <c r="AG42" s="66"/>
      <c r="AH42" s="66"/>
      <c r="AI42" s="66"/>
      <c r="AJ42" s="66"/>
      <c r="AK42" s="66"/>
      <c r="AL42" s="66"/>
      <c r="AM42" s="66"/>
      <c r="AN42" s="66"/>
      <c r="AO42" s="66"/>
    </row>
    <row r="43" spans="1:41" s="78" customFormat="1" ht="12" customHeight="1" x14ac:dyDescent="0.2">
      <c r="A43" s="66" t="s">
        <v>31190</v>
      </c>
      <c r="B43" s="66">
        <v>36</v>
      </c>
      <c r="C43" s="66" t="s">
        <v>20</v>
      </c>
      <c r="D43" s="66" t="s">
        <v>30</v>
      </c>
      <c r="E43" s="66"/>
      <c r="F43" s="69">
        <v>42911</v>
      </c>
      <c r="G43" s="66" t="s">
        <v>31189</v>
      </c>
      <c r="H43" s="66" t="s">
        <v>31188</v>
      </c>
      <c r="I43" s="66" t="s">
        <v>195</v>
      </c>
      <c r="J43" s="66">
        <v>87552</v>
      </c>
      <c r="K43" s="66" t="s">
        <v>9998</v>
      </c>
      <c r="L43" s="66" t="s">
        <v>3085</v>
      </c>
      <c r="M43" s="66" t="s">
        <v>27</v>
      </c>
      <c r="N43" s="66" t="s">
        <v>31187</v>
      </c>
      <c r="O43" s="66" t="s">
        <v>400</v>
      </c>
      <c r="P43" s="66" t="s">
        <v>30375</v>
      </c>
      <c r="Q43" s="76" t="s">
        <v>31186</v>
      </c>
      <c r="R43" s="66" t="s">
        <v>555</v>
      </c>
      <c r="S43" s="66" t="s">
        <v>28</v>
      </c>
      <c r="T43" s="89" t="s">
        <v>29681</v>
      </c>
      <c r="U43" s="89" t="s">
        <v>29438</v>
      </c>
      <c r="V43" s="89" t="s">
        <v>29439</v>
      </c>
      <c r="W43" s="89" t="s">
        <v>100</v>
      </c>
      <c r="X43" s="89">
        <v>2694</v>
      </c>
      <c r="Y43" s="66"/>
      <c r="Z43" s="66"/>
      <c r="AA43" s="66"/>
      <c r="AB43" s="66"/>
      <c r="AC43" s="66"/>
      <c r="AD43" s="66"/>
      <c r="AE43" s="66"/>
      <c r="AF43" s="66"/>
      <c r="AG43" s="66"/>
      <c r="AH43" s="66"/>
      <c r="AI43" s="66"/>
      <c r="AJ43" s="66"/>
      <c r="AK43" s="66"/>
      <c r="AL43" s="66"/>
      <c r="AM43" s="66"/>
      <c r="AN43" s="66"/>
      <c r="AO43" s="66"/>
    </row>
    <row r="44" spans="1:41" s="78" customFormat="1" ht="12" customHeight="1" x14ac:dyDescent="0.2">
      <c r="A44" s="66" t="s">
        <v>31352</v>
      </c>
      <c r="B44" s="66" t="s">
        <v>29</v>
      </c>
      <c r="C44" s="66" t="s">
        <v>20</v>
      </c>
      <c r="D44" s="66" t="s">
        <v>30</v>
      </c>
      <c r="E44" s="66"/>
      <c r="F44" s="69">
        <v>42910</v>
      </c>
      <c r="G44" s="66" t="s">
        <v>31351</v>
      </c>
      <c r="H44" s="66" t="s">
        <v>31350</v>
      </c>
      <c r="I44" s="66" t="s">
        <v>94</v>
      </c>
      <c r="J44" s="66">
        <v>36529</v>
      </c>
      <c r="K44" s="66" t="s">
        <v>118</v>
      </c>
      <c r="L44" s="66" t="s">
        <v>10719</v>
      </c>
      <c r="M44" s="66" t="s">
        <v>27</v>
      </c>
      <c r="N44" s="66" t="s">
        <v>31349</v>
      </c>
      <c r="O44" s="66" t="s">
        <v>400</v>
      </c>
      <c r="P44" s="66" t="s">
        <v>30375</v>
      </c>
      <c r="Q44" s="76" t="s">
        <v>31348</v>
      </c>
      <c r="R44" s="66" t="s">
        <v>100</v>
      </c>
      <c r="S44" s="66" t="s">
        <v>35</v>
      </c>
      <c r="T44" s="89" t="s">
        <v>29441</v>
      </c>
      <c r="U44" s="89" t="s">
        <v>29441</v>
      </c>
      <c r="V44" s="89" t="s">
        <v>29439</v>
      </c>
      <c r="W44" s="89" t="s">
        <v>100</v>
      </c>
      <c r="X44" s="89">
        <v>2701</v>
      </c>
      <c r="Y44" s="66"/>
      <c r="Z44" s="66"/>
      <c r="AA44" s="66"/>
      <c r="AB44" s="66"/>
      <c r="AC44" s="66"/>
      <c r="AD44" s="66"/>
      <c r="AE44" s="66"/>
      <c r="AF44" s="66"/>
      <c r="AG44" s="66"/>
      <c r="AH44" s="66"/>
      <c r="AI44" s="66"/>
      <c r="AJ44" s="66"/>
      <c r="AK44" s="66"/>
      <c r="AL44" s="66"/>
      <c r="AM44" s="66"/>
      <c r="AN44" s="66"/>
      <c r="AO44" s="66"/>
    </row>
    <row r="45" spans="1:41" s="78" customFormat="1" ht="12" customHeight="1" x14ac:dyDescent="0.2">
      <c r="A45" s="66" t="s">
        <v>31309</v>
      </c>
      <c r="B45" s="66">
        <v>20</v>
      </c>
      <c r="C45" s="66" t="s">
        <v>20</v>
      </c>
      <c r="D45" s="66" t="s">
        <v>85</v>
      </c>
      <c r="E45" s="66"/>
      <c r="F45" s="69">
        <v>42910</v>
      </c>
      <c r="G45" s="66" t="s">
        <v>31308</v>
      </c>
      <c r="H45" s="66" t="s">
        <v>2534</v>
      </c>
      <c r="I45" s="66" t="s">
        <v>303</v>
      </c>
      <c r="J45" s="66">
        <v>98030</v>
      </c>
      <c r="K45" s="66" t="s">
        <v>1209</v>
      </c>
      <c r="L45" s="66" t="s">
        <v>3467</v>
      </c>
      <c r="M45" s="66" t="s">
        <v>27</v>
      </c>
      <c r="N45" s="66" t="s">
        <v>31307</v>
      </c>
      <c r="O45" s="66" t="s">
        <v>400</v>
      </c>
      <c r="P45" s="66" t="s">
        <v>30375</v>
      </c>
      <c r="Q45" s="76" t="s">
        <v>31306</v>
      </c>
      <c r="R45" s="66" t="s">
        <v>100</v>
      </c>
      <c r="S45" s="66" t="s">
        <v>379</v>
      </c>
      <c r="T45" s="89" t="s">
        <v>29773</v>
      </c>
      <c r="U45" s="89" t="s">
        <v>29436</v>
      </c>
      <c r="V45" s="89" t="s">
        <v>29437</v>
      </c>
      <c r="W45" s="89" t="s">
        <v>100</v>
      </c>
      <c r="X45" s="89">
        <v>2703</v>
      </c>
      <c r="Y45" s="66"/>
      <c r="Z45" s="66"/>
      <c r="AA45" s="66"/>
      <c r="AB45" s="66"/>
      <c r="AC45" s="66"/>
      <c r="AD45" s="66"/>
      <c r="AE45" s="66"/>
      <c r="AF45" s="66"/>
      <c r="AG45" s="66"/>
      <c r="AH45" s="66"/>
      <c r="AI45" s="66"/>
      <c r="AJ45" s="66"/>
      <c r="AK45" s="66"/>
      <c r="AL45" s="66"/>
      <c r="AM45" s="66"/>
      <c r="AN45" s="66"/>
      <c r="AO45" s="66"/>
    </row>
    <row r="46" spans="1:41" s="78" customFormat="1" ht="12" customHeight="1" x14ac:dyDescent="0.2">
      <c r="A46" s="66" t="s">
        <v>31269</v>
      </c>
      <c r="B46" s="66">
        <v>47</v>
      </c>
      <c r="C46" s="66" t="s">
        <v>20</v>
      </c>
      <c r="D46" s="66" t="s">
        <v>37</v>
      </c>
      <c r="E46" s="66"/>
      <c r="F46" s="69">
        <v>42910</v>
      </c>
      <c r="G46" s="66" t="s">
        <v>31268</v>
      </c>
      <c r="H46" s="66" t="s">
        <v>2487</v>
      </c>
      <c r="I46" s="66" t="s">
        <v>395</v>
      </c>
      <c r="J46" s="66">
        <v>74128</v>
      </c>
      <c r="K46" s="66" t="s">
        <v>2487</v>
      </c>
      <c r="L46" s="66" t="s">
        <v>3379</v>
      </c>
      <c r="M46" s="66" t="s">
        <v>27</v>
      </c>
      <c r="N46" s="66" t="s">
        <v>31267</v>
      </c>
      <c r="O46" s="66" t="s">
        <v>400</v>
      </c>
      <c r="P46" s="66" t="s">
        <v>30375</v>
      </c>
      <c r="Q46" s="76" t="s">
        <v>31266</v>
      </c>
      <c r="R46" s="66" t="s">
        <v>100</v>
      </c>
      <c r="S46" s="66" t="s">
        <v>28</v>
      </c>
      <c r="T46" s="89" t="s">
        <v>29681</v>
      </c>
      <c r="U46" s="89" t="s">
        <v>29438</v>
      </c>
      <c r="V46" s="89" t="s">
        <v>29440</v>
      </c>
      <c r="W46" s="89" t="s">
        <v>100</v>
      </c>
      <c r="X46" s="89">
        <v>2702</v>
      </c>
      <c r="Y46" s="66"/>
      <c r="Z46" s="66"/>
      <c r="AA46" s="66"/>
      <c r="AB46" s="66"/>
      <c r="AC46" s="66"/>
      <c r="AD46" s="66"/>
      <c r="AE46" s="66"/>
      <c r="AF46" s="66"/>
      <c r="AG46" s="66"/>
      <c r="AH46" s="66"/>
      <c r="AI46" s="66"/>
      <c r="AJ46" s="66"/>
      <c r="AK46" s="66"/>
      <c r="AL46" s="66"/>
      <c r="AM46" s="66"/>
      <c r="AN46" s="66"/>
      <c r="AO46" s="66"/>
    </row>
    <row r="47" spans="1:41" s="78" customFormat="1" ht="12" customHeight="1" x14ac:dyDescent="0.2">
      <c r="A47" s="66" t="s">
        <v>31370</v>
      </c>
      <c r="B47" s="66">
        <v>37</v>
      </c>
      <c r="C47" s="66" t="s">
        <v>20</v>
      </c>
      <c r="D47" s="66" t="s">
        <v>37</v>
      </c>
      <c r="E47" s="66"/>
      <c r="F47" s="69">
        <v>42910</v>
      </c>
      <c r="G47" s="66" t="s">
        <v>31369</v>
      </c>
      <c r="H47" s="66" t="s">
        <v>3296</v>
      </c>
      <c r="I47" s="66" t="s">
        <v>117</v>
      </c>
      <c r="J47" s="66">
        <v>97439</v>
      </c>
      <c r="K47" s="66" t="s">
        <v>3196</v>
      </c>
      <c r="L47" s="66" t="s">
        <v>19212</v>
      </c>
      <c r="M47" s="66" t="s">
        <v>27</v>
      </c>
      <c r="N47" s="66" t="s">
        <v>31368</v>
      </c>
      <c r="O47" s="66" t="s">
        <v>400</v>
      </c>
      <c r="P47" s="66" t="s">
        <v>30375</v>
      </c>
      <c r="Q47" s="76" t="s">
        <v>31367</v>
      </c>
      <c r="R47" s="66" t="s">
        <v>555</v>
      </c>
      <c r="S47" s="66" t="s">
        <v>28</v>
      </c>
      <c r="T47" s="89" t="s">
        <v>29681</v>
      </c>
      <c r="U47" s="89" t="s">
        <v>29438</v>
      </c>
      <c r="V47" s="89" t="s">
        <v>29437</v>
      </c>
      <c r="W47" s="89" t="s">
        <v>100</v>
      </c>
      <c r="X47" s="89">
        <v>2699</v>
      </c>
      <c r="Y47" s="66"/>
      <c r="Z47" s="66"/>
      <c r="AA47" s="66"/>
      <c r="AB47" s="66"/>
      <c r="AC47" s="66"/>
      <c r="AD47" s="66"/>
      <c r="AE47" s="66"/>
      <c r="AF47" s="66"/>
      <c r="AG47" s="66"/>
      <c r="AH47" s="66"/>
      <c r="AI47" s="66"/>
      <c r="AJ47" s="66"/>
      <c r="AK47" s="66"/>
      <c r="AL47" s="66"/>
      <c r="AM47" s="66"/>
      <c r="AN47" s="66"/>
      <c r="AO47" s="66"/>
    </row>
    <row r="48" spans="1:41" s="78" customFormat="1" ht="12" customHeight="1" x14ac:dyDescent="0.2">
      <c r="A48" s="66" t="s">
        <v>31273</v>
      </c>
      <c r="B48" s="66">
        <v>34</v>
      </c>
      <c r="C48" s="66" t="s">
        <v>20</v>
      </c>
      <c r="D48" s="66" t="s">
        <v>48</v>
      </c>
      <c r="E48" s="66"/>
      <c r="F48" s="69">
        <v>42909</v>
      </c>
      <c r="G48" s="66" t="s">
        <v>31272</v>
      </c>
      <c r="H48" s="66" t="s">
        <v>632</v>
      </c>
      <c r="I48" s="66" t="s">
        <v>123</v>
      </c>
      <c r="J48" s="66">
        <v>85034</v>
      </c>
      <c r="K48" s="66" t="s">
        <v>633</v>
      </c>
      <c r="L48" s="66" t="s">
        <v>634</v>
      </c>
      <c r="M48" s="66" t="s">
        <v>27</v>
      </c>
      <c r="N48" s="66" t="s">
        <v>31271</v>
      </c>
      <c r="O48" s="66" t="s">
        <v>400</v>
      </c>
      <c r="P48" s="66" t="s">
        <v>30375</v>
      </c>
      <c r="Q48" s="76" t="s">
        <v>31270</v>
      </c>
      <c r="R48" s="66" t="s">
        <v>100</v>
      </c>
      <c r="S48" s="66" t="s">
        <v>379</v>
      </c>
      <c r="T48" s="89" t="s">
        <v>29773</v>
      </c>
      <c r="U48" s="89" t="s">
        <v>29438</v>
      </c>
      <c r="V48" s="89" t="s">
        <v>29437</v>
      </c>
      <c r="W48" s="89" t="s">
        <v>100</v>
      </c>
      <c r="X48" s="89">
        <v>2704</v>
      </c>
      <c r="Y48" s="66"/>
      <c r="Z48" s="66"/>
      <c r="AA48" s="66"/>
      <c r="AB48" s="66"/>
      <c r="AC48" s="66"/>
      <c r="AD48" s="66"/>
      <c r="AE48" s="66"/>
      <c r="AF48" s="66"/>
      <c r="AG48" s="66"/>
      <c r="AH48" s="66"/>
      <c r="AI48" s="66"/>
      <c r="AJ48" s="66"/>
      <c r="AK48" s="66"/>
      <c r="AL48" s="66"/>
      <c r="AM48" s="66"/>
      <c r="AN48" s="66"/>
      <c r="AO48" s="66"/>
    </row>
    <row r="49" spans="1:57" s="78" customFormat="1" ht="12" customHeight="1" x14ac:dyDescent="0.2">
      <c r="A49" s="66" t="s">
        <v>31405</v>
      </c>
      <c r="B49" s="66">
        <v>17</v>
      </c>
      <c r="C49" s="66" t="s">
        <v>20</v>
      </c>
      <c r="D49" s="66" t="s">
        <v>48</v>
      </c>
      <c r="E49" s="76" t="s">
        <v>31404</v>
      </c>
      <c r="F49" s="69">
        <v>42908</v>
      </c>
      <c r="G49" s="66" t="s">
        <v>31403</v>
      </c>
      <c r="H49" s="66" t="s">
        <v>6234</v>
      </c>
      <c r="I49" s="66" t="s">
        <v>45</v>
      </c>
      <c r="J49" s="66">
        <v>93550</v>
      </c>
      <c r="K49" s="66" t="s">
        <v>98</v>
      </c>
      <c r="L49" s="66" t="s">
        <v>414</v>
      </c>
      <c r="M49" s="66" t="s">
        <v>27</v>
      </c>
      <c r="N49" s="66" t="s">
        <v>31402</v>
      </c>
      <c r="O49" s="66" t="s">
        <v>400</v>
      </c>
      <c r="P49" s="66" t="s">
        <v>30375</v>
      </c>
      <c r="Q49" s="76" t="s">
        <v>31401</v>
      </c>
      <c r="R49" s="66" t="s">
        <v>100</v>
      </c>
      <c r="S49" s="66" t="s">
        <v>18</v>
      </c>
      <c r="T49" s="89" t="s">
        <v>29760</v>
      </c>
      <c r="U49" s="89" t="s">
        <v>29436</v>
      </c>
      <c r="V49" s="89" t="s">
        <v>29439</v>
      </c>
      <c r="W49" s="89" t="s">
        <v>100</v>
      </c>
      <c r="X49" s="89">
        <v>2691</v>
      </c>
      <c r="Y49" s="66"/>
      <c r="Z49" s="66"/>
      <c r="AA49" s="66"/>
      <c r="AB49" s="66"/>
      <c r="AC49" s="66"/>
      <c r="AD49" s="66"/>
      <c r="AE49" s="66"/>
      <c r="AF49" s="66"/>
      <c r="AG49" s="66"/>
      <c r="AH49" s="66"/>
      <c r="AI49" s="66"/>
      <c r="AJ49" s="66"/>
      <c r="AK49" s="66"/>
      <c r="AL49" s="66"/>
      <c r="AM49" s="66"/>
      <c r="AN49" s="66"/>
      <c r="AO49" s="66"/>
    </row>
    <row r="50" spans="1:57" s="78" customFormat="1" ht="12" customHeight="1" x14ac:dyDescent="0.2">
      <c r="A50" s="66" t="s">
        <v>31169</v>
      </c>
      <c r="B50" s="66">
        <v>20</v>
      </c>
      <c r="C50" s="66" t="s">
        <v>20</v>
      </c>
      <c r="D50" s="66" t="s">
        <v>48</v>
      </c>
      <c r="E50" s="76" t="s">
        <v>31168</v>
      </c>
      <c r="F50" s="69">
        <v>42908</v>
      </c>
      <c r="G50" s="66" t="s">
        <v>31167</v>
      </c>
      <c r="H50" s="66" t="s">
        <v>98</v>
      </c>
      <c r="I50" s="66" t="s">
        <v>45</v>
      </c>
      <c r="J50" s="66">
        <v>90046</v>
      </c>
      <c r="K50" s="66" t="s">
        <v>98</v>
      </c>
      <c r="L50" s="66" t="s">
        <v>99</v>
      </c>
      <c r="M50" s="66" t="s">
        <v>27</v>
      </c>
      <c r="N50" s="66" t="s">
        <v>31166</v>
      </c>
      <c r="O50" s="66" t="s">
        <v>400</v>
      </c>
      <c r="P50" s="66" t="s">
        <v>30375</v>
      </c>
      <c r="Q50" s="76" t="s">
        <v>31165</v>
      </c>
      <c r="R50" s="66" t="s">
        <v>100</v>
      </c>
      <c r="S50" s="66" t="s">
        <v>28</v>
      </c>
      <c r="T50" s="89" t="s">
        <v>29681</v>
      </c>
      <c r="U50" s="89" t="s">
        <v>29438</v>
      </c>
      <c r="V50" s="89" t="s">
        <v>29439</v>
      </c>
      <c r="W50" s="89" t="s">
        <v>100</v>
      </c>
      <c r="X50" s="89">
        <v>2693</v>
      </c>
      <c r="Y50" s="66"/>
      <c r="Z50" s="66"/>
      <c r="AA50" s="66"/>
      <c r="AB50" s="66"/>
      <c r="AC50" s="66"/>
      <c r="AD50" s="66"/>
      <c r="AE50" s="66"/>
      <c r="AF50" s="66"/>
      <c r="AG50" s="66"/>
      <c r="AH50" s="66"/>
      <c r="AI50" s="66"/>
      <c r="AJ50" s="66"/>
      <c r="AK50" s="66"/>
      <c r="AL50" s="66"/>
      <c r="AM50" s="66"/>
      <c r="AN50" s="66"/>
      <c r="AO50" s="66"/>
    </row>
    <row r="51" spans="1:57" s="78" customFormat="1" ht="12" customHeight="1" x14ac:dyDescent="0.2">
      <c r="A51" s="66" t="s">
        <v>31381</v>
      </c>
      <c r="B51" s="66">
        <v>33</v>
      </c>
      <c r="C51" s="66" t="s">
        <v>20</v>
      </c>
      <c r="D51" s="66" t="s">
        <v>37</v>
      </c>
      <c r="E51" s="66"/>
      <c r="F51" s="69">
        <v>42907</v>
      </c>
      <c r="G51" s="66" t="s">
        <v>31380</v>
      </c>
      <c r="H51" s="66" t="s">
        <v>20586</v>
      </c>
      <c r="I51" s="66" t="s">
        <v>431</v>
      </c>
      <c r="J51" s="66">
        <v>64772</v>
      </c>
      <c r="K51" s="66" t="s">
        <v>31379</v>
      </c>
      <c r="L51" s="66" t="s">
        <v>31378</v>
      </c>
      <c r="M51" s="66" t="s">
        <v>27</v>
      </c>
      <c r="N51" s="66" t="s">
        <v>31377</v>
      </c>
      <c r="O51" s="66" t="s">
        <v>400</v>
      </c>
      <c r="P51" s="66" t="s">
        <v>30375</v>
      </c>
      <c r="Q51" s="76" t="s">
        <v>31376</v>
      </c>
      <c r="R51" s="66" t="s">
        <v>100</v>
      </c>
      <c r="S51" s="66" t="s">
        <v>379</v>
      </c>
      <c r="T51" s="89" t="s">
        <v>29773</v>
      </c>
      <c r="U51" s="89" t="s">
        <v>29441</v>
      </c>
      <c r="V51" s="89" t="s">
        <v>29437</v>
      </c>
      <c r="W51" s="89" t="s">
        <v>100</v>
      </c>
      <c r="X51" s="89">
        <v>2688</v>
      </c>
      <c r="Y51" s="66"/>
      <c r="Z51" s="66"/>
      <c r="AA51" s="66"/>
      <c r="AB51" s="66"/>
      <c r="AC51" s="66"/>
      <c r="AD51" s="66"/>
      <c r="AE51" s="66"/>
      <c r="AF51" s="66"/>
      <c r="AG51" s="66"/>
      <c r="AH51" s="66"/>
      <c r="AI51" s="66"/>
      <c r="AJ51" s="66"/>
      <c r="AK51" s="66"/>
      <c r="AL51" s="66"/>
      <c r="AM51" s="66"/>
      <c r="AN51" s="66"/>
      <c r="AO51" s="66"/>
    </row>
    <row r="52" spans="1:57" s="78" customFormat="1" ht="12" customHeight="1" x14ac:dyDescent="0.2">
      <c r="A52" s="66" t="s">
        <v>31332</v>
      </c>
      <c r="B52" s="66">
        <v>37</v>
      </c>
      <c r="C52" s="66" t="s">
        <v>20</v>
      </c>
      <c r="D52" s="66" t="s">
        <v>48</v>
      </c>
      <c r="E52" s="66"/>
      <c r="F52" s="69">
        <v>42907</v>
      </c>
      <c r="G52" s="66" t="s">
        <v>31331</v>
      </c>
      <c r="H52" s="66" t="s">
        <v>31330</v>
      </c>
      <c r="I52" s="66" t="s">
        <v>395</v>
      </c>
      <c r="J52" s="66">
        <v>74750</v>
      </c>
      <c r="K52" s="66" t="s">
        <v>25995</v>
      </c>
      <c r="L52" s="66" t="s">
        <v>31329</v>
      </c>
      <c r="M52" s="66" t="s">
        <v>27</v>
      </c>
      <c r="N52" s="66" t="s">
        <v>31328</v>
      </c>
      <c r="O52" s="66" t="s">
        <v>400</v>
      </c>
      <c r="P52" s="66" t="s">
        <v>30375</v>
      </c>
      <c r="Q52" s="76" t="s">
        <v>31327</v>
      </c>
      <c r="R52" s="66" t="s">
        <v>100</v>
      </c>
      <c r="S52" s="66" t="s">
        <v>28</v>
      </c>
      <c r="T52" s="89" t="s">
        <v>29674</v>
      </c>
      <c r="U52" s="89" t="s">
        <v>29436</v>
      </c>
      <c r="V52" s="89" t="s">
        <v>29439</v>
      </c>
      <c r="W52" s="89" t="s">
        <v>100</v>
      </c>
      <c r="X52" s="89">
        <v>2690</v>
      </c>
      <c r="Y52" s="66"/>
      <c r="Z52" s="66"/>
      <c r="AA52" s="66"/>
      <c r="AB52" s="66"/>
      <c r="AC52" s="66"/>
      <c r="AD52" s="66"/>
      <c r="AE52" s="66"/>
      <c r="AF52" s="66"/>
      <c r="AG52" s="66"/>
      <c r="AH52" s="66"/>
      <c r="AI52" s="66"/>
      <c r="AJ52" s="66"/>
      <c r="AK52" s="66"/>
      <c r="AL52" s="66"/>
      <c r="AM52" s="66"/>
      <c r="AN52" s="66"/>
      <c r="AO52" s="66"/>
    </row>
    <row r="53" spans="1:57" s="78" customFormat="1" ht="12" customHeight="1" x14ac:dyDescent="0.2">
      <c r="A53" s="66" t="s">
        <v>31326</v>
      </c>
      <c r="B53" s="66">
        <v>40</v>
      </c>
      <c r="C53" s="66" t="s">
        <v>20</v>
      </c>
      <c r="D53" s="66" t="s">
        <v>37</v>
      </c>
      <c r="E53" s="66"/>
      <c r="F53" s="69">
        <v>42906</v>
      </c>
      <c r="G53" s="66" t="s">
        <v>31325</v>
      </c>
      <c r="H53" s="66" t="s">
        <v>1288</v>
      </c>
      <c r="I53" s="66" t="s">
        <v>319</v>
      </c>
      <c r="J53" s="66">
        <v>37064</v>
      </c>
      <c r="K53" s="66" t="s">
        <v>2583</v>
      </c>
      <c r="L53" s="66" t="s">
        <v>31324</v>
      </c>
      <c r="M53" s="66" t="s">
        <v>27</v>
      </c>
      <c r="N53" s="66" t="s">
        <v>31323</v>
      </c>
      <c r="O53" s="66" t="s">
        <v>400</v>
      </c>
      <c r="P53" s="66" t="s">
        <v>30375</v>
      </c>
      <c r="Q53" s="76" t="s">
        <v>31322</v>
      </c>
      <c r="R53" s="66" t="s">
        <v>100</v>
      </c>
      <c r="S53" s="66" t="s">
        <v>28</v>
      </c>
      <c r="T53" s="89" t="s">
        <v>29681</v>
      </c>
      <c r="U53" s="89" t="s">
        <v>29438</v>
      </c>
      <c r="V53" s="89" t="s">
        <v>29437</v>
      </c>
      <c r="W53" s="89" t="s">
        <v>100</v>
      </c>
      <c r="X53" s="89">
        <v>2685</v>
      </c>
      <c r="Y53" s="66"/>
      <c r="Z53" s="66"/>
      <c r="AA53" s="66"/>
      <c r="AB53" s="66"/>
      <c r="AC53" s="66"/>
      <c r="AD53" s="66"/>
      <c r="AE53" s="66"/>
      <c r="AF53" s="66"/>
      <c r="AG53" s="66"/>
      <c r="AH53" s="66"/>
      <c r="AI53" s="66"/>
      <c r="AJ53" s="66"/>
      <c r="AK53" s="66"/>
      <c r="AL53" s="66"/>
      <c r="AM53" s="66"/>
      <c r="AN53" s="66"/>
      <c r="AO53" s="66"/>
    </row>
    <row r="54" spans="1:57" s="78" customFormat="1" ht="12" customHeight="1" x14ac:dyDescent="0.2">
      <c r="A54" s="66" t="s">
        <v>31321</v>
      </c>
      <c r="B54" s="66">
        <v>36</v>
      </c>
      <c r="C54" s="66" t="s">
        <v>20</v>
      </c>
      <c r="D54" s="66" t="s">
        <v>30</v>
      </c>
      <c r="E54" s="66"/>
      <c r="F54" s="69">
        <v>42906</v>
      </c>
      <c r="G54" s="66" t="s">
        <v>31320</v>
      </c>
      <c r="H54" s="66" t="s">
        <v>3697</v>
      </c>
      <c r="I54" s="66" t="s">
        <v>45</v>
      </c>
      <c r="J54" s="66">
        <v>90280</v>
      </c>
      <c r="K54" s="66" t="s">
        <v>98</v>
      </c>
      <c r="L54" s="66" t="s">
        <v>3699</v>
      </c>
      <c r="M54" s="66" t="s">
        <v>27</v>
      </c>
      <c r="N54" s="66" t="s">
        <v>31319</v>
      </c>
      <c r="O54" s="66" t="s">
        <v>400</v>
      </c>
      <c r="P54" s="66" t="s">
        <v>30375</v>
      </c>
      <c r="Q54" s="76" t="s">
        <v>31318</v>
      </c>
      <c r="R54" s="66" t="s">
        <v>100</v>
      </c>
      <c r="S54" s="66" t="s">
        <v>18</v>
      </c>
      <c r="T54" s="89" t="s">
        <v>30116</v>
      </c>
      <c r="U54" s="89" t="s">
        <v>29438</v>
      </c>
      <c r="V54" s="89" t="s">
        <v>21212</v>
      </c>
      <c r="W54" s="89" t="s">
        <v>100</v>
      </c>
      <c r="X54" s="89">
        <v>2684</v>
      </c>
      <c r="Y54" s="66"/>
      <c r="Z54" s="66"/>
      <c r="AA54" s="66"/>
      <c r="AB54" s="66"/>
      <c r="AC54" s="66"/>
      <c r="AD54" s="66"/>
      <c r="AE54" s="66"/>
      <c r="AF54" s="66"/>
      <c r="AG54" s="66"/>
      <c r="AH54" s="66"/>
      <c r="AI54" s="66"/>
      <c r="AJ54" s="66"/>
      <c r="AK54" s="66"/>
      <c r="AL54" s="66"/>
      <c r="AM54" s="66"/>
      <c r="AN54" s="66"/>
      <c r="AO54" s="66"/>
    </row>
    <row r="55" spans="1:57" s="78" customFormat="1" ht="12" customHeight="1" x14ac:dyDescent="0.2">
      <c r="A55" s="66" t="s">
        <v>31199</v>
      </c>
      <c r="B55" s="66">
        <v>28</v>
      </c>
      <c r="C55" s="66" t="s">
        <v>20</v>
      </c>
      <c r="D55" s="66" t="s">
        <v>48</v>
      </c>
      <c r="E55" s="66"/>
      <c r="F55" s="69">
        <v>42906</v>
      </c>
      <c r="G55" s="66" t="s">
        <v>31198</v>
      </c>
      <c r="H55" s="66" t="s">
        <v>655</v>
      </c>
      <c r="I55" s="66" t="s">
        <v>269</v>
      </c>
      <c r="J55" s="66">
        <v>89117</v>
      </c>
      <c r="K55" s="66" t="s">
        <v>570</v>
      </c>
      <c r="L55" s="66" t="s">
        <v>571</v>
      </c>
      <c r="M55" s="66" t="s">
        <v>5411</v>
      </c>
      <c r="N55" s="66" t="s">
        <v>31197</v>
      </c>
      <c r="O55" s="66" t="s">
        <v>400</v>
      </c>
      <c r="P55" s="66" t="s">
        <v>30375</v>
      </c>
      <c r="Q55" s="76" t="s">
        <v>31196</v>
      </c>
      <c r="R55" s="66" t="s">
        <v>100</v>
      </c>
      <c r="S55" s="66" t="s">
        <v>28</v>
      </c>
      <c r="T55" s="89" t="s">
        <v>29674</v>
      </c>
      <c r="U55" s="89" t="s">
        <v>29436</v>
      </c>
      <c r="V55" s="89" t="s">
        <v>29439</v>
      </c>
      <c r="W55" s="89" t="s">
        <v>100</v>
      </c>
      <c r="X55" s="89">
        <v>2683</v>
      </c>
      <c r="Y55" s="66"/>
      <c r="Z55" s="66"/>
      <c r="AA55" s="66"/>
      <c r="AB55" s="66"/>
      <c r="AC55" s="66"/>
      <c r="AD55" s="66"/>
      <c r="AE55" s="66"/>
      <c r="AF55" s="66"/>
      <c r="AG55" s="66"/>
      <c r="AH55" s="66"/>
      <c r="AI55" s="66"/>
      <c r="AJ55" s="66"/>
      <c r="AK55" s="66"/>
      <c r="AL55" s="66"/>
      <c r="AM55" s="66"/>
      <c r="AN55" s="66"/>
      <c r="AO55" s="66"/>
    </row>
    <row r="56" spans="1:57" s="78" customFormat="1" ht="12" customHeight="1" x14ac:dyDescent="0.2">
      <c r="A56" s="66" t="s">
        <v>31296</v>
      </c>
      <c r="B56" s="66">
        <v>32</v>
      </c>
      <c r="C56" s="66" t="s">
        <v>20</v>
      </c>
      <c r="D56" s="66" t="s">
        <v>37</v>
      </c>
      <c r="E56" s="66"/>
      <c r="F56" s="69">
        <v>42906</v>
      </c>
      <c r="G56" s="66" t="s">
        <v>31295</v>
      </c>
      <c r="H56" s="66" t="s">
        <v>548</v>
      </c>
      <c r="I56" s="66" t="s">
        <v>69</v>
      </c>
      <c r="J56" s="66">
        <v>45011</v>
      </c>
      <c r="K56" s="66" t="s">
        <v>5515</v>
      </c>
      <c r="L56" s="66" t="s">
        <v>31294</v>
      </c>
      <c r="M56" s="66" t="s">
        <v>27</v>
      </c>
      <c r="N56" s="66" t="s">
        <v>31293</v>
      </c>
      <c r="O56" s="66" t="s">
        <v>400</v>
      </c>
      <c r="P56" s="66" t="s">
        <v>30375</v>
      </c>
      <c r="Q56" s="76" t="s">
        <v>31292</v>
      </c>
      <c r="R56" s="66" t="s">
        <v>555</v>
      </c>
      <c r="S56" s="66" t="s">
        <v>28</v>
      </c>
      <c r="T56" s="89" t="s">
        <v>29681</v>
      </c>
      <c r="U56" s="89" t="s">
        <v>29438</v>
      </c>
      <c r="V56" s="89" t="s">
        <v>21212</v>
      </c>
      <c r="W56" s="89" t="s">
        <v>100</v>
      </c>
      <c r="X56" s="89">
        <v>2686</v>
      </c>
      <c r="Y56" s="66"/>
      <c r="Z56" s="66"/>
      <c r="AA56" s="66"/>
      <c r="AB56" s="66"/>
      <c r="AC56" s="66"/>
      <c r="AD56" s="66"/>
      <c r="AE56" s="66"/>
      <c r="AF56" s="66"/>
      <c r="AG56" s="66"/>
      <c r="AH56" s="66"/>
      <c r="AI56" s="66"/>
      <c r="AJ56" s="66"/>
      <c r="AK56" s="66"/>
      <c r="AL56" s="66"/>
      <c r="AM56" s="66"/>
      <c r="AN56" s="66"/>
      <c r="AO56" s="66"/>
    </row>
    <row r="57" spans="1:57" s="78" customFormat="1" ht="12" customHeight="1" x14ac:dyDescent="0.2">
      <c r="A57" s="66" t="s">
        <v>31185</v>
      </c>
      <c r="B57" s="66">
        <v>50</v>
      </c>
      <c r="C57" s="66" t="s">
        <v>20</v>
      </c>
      <c r="D57" s="66" t="s">
        <v>37</v>
      </c>
      <c r="E57" s="66"/>
      <c r="F57" s="69">
        <v>42906</v>
      </c>
      <c r="G57" s="66" t="s">
        <v>31184</v>
      </c>
      <c r="H57" s="66" t="s">
        <v>4087</v>
      </c>
      <c r="I57" s="66" t="s">
        <v>363</v>
      </c>
      <c r="J57" s="66">
        <v>67073</v>
      </c>
      <c r="K57" s="66" t="s">
        <v>420</v>
      </c>
      <c r="L57" s="66" t="s">
        <v>7488</v>
      </c>
      <c r="M57" s="66" t="s">
        <v>27</v>
      </c>
      <c r="N57" s="66" t="s">
        <v>31183</v>
      </c>
      <c r="O57" s="66" t="s">
        <v>400</v>
      </c>
      <c r="P57" s="66" t="s">
        <v>30375</v>
      </c>
      <c r="Q57" s="76" t="s">
        <v>31182</v>
      </c>
      <c r="R57" s="66" t="s">
        <v>555</v>
      </c>
      <c r="S57" s="66" t="s">
        <v>28</v>
      </c>
      <c r="T57" s="89" t="s">
        <v>29681</v>
      </c>
      <c r="U57" s="89" t="s">
        <v>29436</v>
      </c>
      <c r="V57" s="89" t="s">
        <v>29439</v>
      </c>
      <c r="W57" s="89" t="s">
        <v>100</v>
      </c>
      <c r="X57" s="89">
        <v>2687</v>
      </c>
      <c r="Y57" s="66"/>
      <c r="Z57" s="66"/>
      <c r="AA57" s="66"/>
      <c r="AB57" s="66"/>
      <c r="AC57" s="66"/>
      <c r="AD57" s="66"/>
      <c r="AE57" s="66"/>
      <c r="AF57" s="66"/>
      <c r="AG57" s="66"/>
      <c r="AH57" s="66"/>
      <c r="AI57" s="66"/>
      <c r="AJ57" s="66"/>
      <c r="AK57" s="66"/>
      <c r="AL57" s="66"/>
      <c r="AM57" s="66"/>
      <c r="AN57" s="66"/>
      <c r="AO57" s="66"/>
    </row>
    <row r="58" spans="1:57" s="78" customFormat="1" ht="12" customHeight="1" x14ac:dyDescent="0.2">
      <c r="A58" s="89" t="s">
        <v>31409</v>
      </c>
      <c r="B58" s="66">
        <v>28</v>
      </c>
      <c r="C58" s="66" t="s">
        <v>20</v>
      </c>
      <c r="D58" s="66" t="s">
        <v>37</v>
      </c>
      <c r="E58" s="66"/>
      <c r="F58" s="69">
        <v>42905</v>
      </c>
      <c r="G58" s="66" t="s">
        <v>31408</v>
      </c>
      <c r="H58" s="66" t="s">
        <v>285</v>
      </c>
      <c r="I58" s="66" t="s">
        <v>73</v>
      </c>
      <c r="J58" s="66">
        <v>75217</v>
      </c>
      <c r="K58" s="66" t="s">
        <v>285</v>
      </c>
      <c r="L58" s="66" t="s">
        <v>286</v>
      </c>
      <c r="M58" s="66" t="s">
        <v>27</v>
      </c>
      <c r="N58" s="66" t="s">
        <v>31407</v>
      </c>
      <c r="O58" s="66" t="s">
        <v>400</v>
      </c>
      <c r="P58" s="66" t="s">
        <v>30375</v>
      </c>
      <c r="Q58" s="76" t="s">
        <v>31406</v>
      </c>
      <c r="R58" s="66" t="s">
        <v>100</v>
      </c>
      <c r="S58" s="66" t="s">
        <v>28</v>
      </c>
      <c r="T58" s="89" t="s">
        <v>29681</v>
      </c>
      <c r="U58" s="89" t="s">
        <v>29436</v>
      </c>
      <c r="V58" s="89" t="s">
        <v>29439</v>
      </c>
      <c r="W58" s="89" t="s">
        <v>100</v>
      </c>
      <c r="X58" s="89">
        <v>2681</v>
      </c>
      <c r="Y58" s="66"/>
      <c r="Z58" s="66"/>
      <c r="AA58" s="66"/>
      <c r="AB58" s="66"/>
      <c r="AC58" s="66"/>
      <c r="AD58" s="66"/>
      <c r="AE58" s="66"/>
      <c r="AF58" s="66"/>
      <c r="AG58" s="66"/>
      <c r="AH58" s="66"/>
      <c r="AI58" s="66"/>
      <c r="AJ58" s="66"/>
      <c r="AK58" s="66"/>
      <c r="AL58" s="66"/>
      <c r="AM58" s="66"/>
      <c r="AN58" s="66"/>
      <c r="AO58" s="66"/>
    </row>
    <row r="59" spans="1:57" s="78" customFormat="1" ht="12" customHeight="1" x14ac:dyDescent="0.2">
      <c r="A59" s="66" t="s">
        <v>31234</v>
      </c>
      <c r="B59" s="66">
        <v>21</v>
      </c>
      <c r="C59" s="66" t="s">
        <v>20</v>
      </c>
      <c r="D59" s="66" t="s">
        <v>139</v>
      </c>
      <c r="E59" s="66"/>
      <c r="F59" s="69">
        <v>42905</v>
      </c>
      <c r="G59" s="66" t="s">
        <v>31233</v>
      </c>
      <c r="H59" s="66" t="s">
        <v>329</v>
      </c>
      <c r="I59" s="66" t="s">
        <v>330</v>
      </c>
      <c r="J59" s="66">
        <v>99701</v>
      </c>
      <c r="K59" s="66" t="s">
        <v>19984</v>
      </c>
      <c r="L59" s="66" t="s">
        <v>25177</v>
      </c>
      <c r="M59" s="66" t="s">
        <v>27</v>
      </c>
      <c r="N59" s="66" t="s">
        <v>31232</v>
      </c>
      <c r="O59" s="66" t="s">
        <v>400</v>
      </c>
      <c r="P59" s="66" t="s">
        <v>30375</v>
      </c>
      <c r="Q59" s="76" t="s">
        <v>31231</v>
      </c>
      <c r="R59" s="66" t="s">
        <v>555</v>
      </c>
      <c r="S59" s="66" t="s">
        <v>28</v>
      </c>
      <c r="T59" s="89" t="s">
        <v>29681</v>
      </c>
      <c r="U59" s="89" t="s">
        <v>29438</v>
      </c>
      <c r="V59" s="89" t="s">
        <v>29440</v>
      </c>
      <c r="W59" s="89" t="s">
        <v>100</v>
      </c>
      <c r="X59" s="89">
        <v>2680</v>
      </c>
      <c r="Y59" s="66"/>
      <c r="Z59" s="66"/>
      <c r="AA59" s="66"/>
      <c r="AB59" s="66"/>
      <c r="AC59" s="66"/>
      <c r="AD59" s="66"/>
      <c r="AE59" s="66"/>
      <c r="AF59" s="66"/>
      <c r="AG59" s="66"/>
      <c r="AH59" s="66"/>
      <c r="AI59" s="66"/>
      <c r="AJ59" s="66"/>
      <c r="AK59" s="66"/>
      <c r="AL59" s="66"/>
      <c r="AM59" s="66"/>
      <c r="AN59" s="66"/>
      <c r="AO59" s="66"/>
    </row>
    <row r="60" spans="1:57" s="78" customFormat="1" ht="12" customHeight="1" x14ac:dyDescent="0.2">
      <c r="A60" s="66" t="s">
        <v>31119</v>
      </c>
      <c r="B60" s="66">
        <v>30</v>
      </c>
      <c r="C60" s="66" t="s">
        <v>20</v>
      </c>
      <c r="D60" s="66" t="s">
        <v>48</v>
      </c>
      <c r="E60" s="76" t="s">
        <v>31118</v>
      </c>
      <c r="F60" s="69">
        <v>42904</v>
      </c>
      <c r="G60" s="66" t="s">
        <v>31117</v>
      </c>
      <c r="H60" s="66" t="s">
        <v>1393</v>
      </c>
      <c r="I60" s="66" t="s">
        <v>73</v>
      </c>
      <c r="J60" s="66">
        <v>78539</v>
      </c>
      <c r="K60" s="66" t="s">
        <v>1394</v>
      </c>
      <c r="L60" s="66" t="s">
        <v>31116</v>
      </c>
      <c r="M60" s="66" t="s">
        <v>30988</v>
      </c>
      <c r="N60" s="66" t="s">
        <v>31115</v>
      </c>
      <c r="O60" s="66" t="s">
        <v>400</v>
      </c>
      <c r="P60" s="66" t="s">
        <v>30375</v>
      </c>
      <c r="Q60" s="76" t="s">
        <v>31114</v>
      </c>
      <c r="R60" s="66" t="s">
        <v>964</v>
      </c>
      <c r="S60" s="66" t="s">
        <v>18</v>
      </c>
      <c r="T60" s="89" t="s">
        <v>29760</v>
      </c>
      <c r="U60" s="89"/>
      <c r="V60" s="89"/>
      <c r="W60" s="89"/>
      <c r="X60" s="66"/>
      <c r="Y60" s="66"/>
      <c r="Z60" s="66"/>
      <c r="AA60" s="66"/>
      <c r="AB60" s="66"/>
      <c r="AC60" s="66"/>
      <c r="AD60" s="66"/>
      <c r="AE60" s="66"/>
      <c r="AF60" s="66"/>
      <c r="AG60" s="66"/>
      <c r="AH60" s="66"/>
      <c r="AI60" s="66"/>
      <c r="AJ60" s="66"/>
      <c r="AK60" s="66"/>
      <c r="AL60" s="66"/>
      <c r="AM60" s="66"/>
      <c r="AN60" s="66"/>
      <c r="AO60" s="66"/>
    </row>
    <row r="61" spans="1:57" s="78" customFormat="1" ht="12" customHeight="1" x14ac:dyDescent="0.2">
      <c r="A61" s="66" t="s">
        <v>30985</v>
      </c>
      <c r="B61" s="66">
        <v>30</v>
      </c>
      <c r="C61" s="66" t="s">
        <v>114</v>
      </c>
      <c r="D61" s="66" t="s">
        <v>85</v>
      </c>
      <c r="E61" s="66"/>
      <c r="F61" s="69">
        <v>42904</v>
      </c>
      <c r="G61" s="66"/>
      <c r="H61" s="66" t="s">
        <v>1208</v>
      </c>
      <c r="I61" s="66" t="s">
        <v>303</v>
      </c>
      <c r="J61" s="66"/>
      <c r="K61" s="66" t="s">
        <v>1209</v>
      </c>
      <c r="L61" s="66" t="s">
        <v>1210</v>
      </c>
      <c r="M61" s="66" t="s">
        <v>27</v>
      </c>
      <c r="N61" s="66" t="s">
        <v>30986</v>
      </c>
      <c r="O61" s="66" t="s">
        <v>400</v>
      </c>
      <c r="P61" s="66" t="s">
        <v>30375</v>
      </c>
      <c r="Q61" s="76" t="s">
        <v>30987</v>
      </c>
      <c r="R61" s="66" t="s">
        <v>555</v>
      </c>
      <c r="S61" s="66" t="s">
        <v>28</v>
      </c>
      <c r="T61" s="89" t="s">
        <v>29674</v>
      </c>
      <c r="U61" s="89" t="s">
        <v>29436</v>
      </c>
      <c r="V61" s="89" t="s">
        <v>29439</v>
      </c>
      <c r="W61" s="89" t="s">
        <v>100</v>
      </c>
      <c r="X61" s="89">
        <v>2672</v>
      </c>
      <c r="Y61" s="66"/>
      <c r="Z61" s="66"/>
      <c r="AA61" s="66"/>
      <c r="AB61" s="66"/>
      <c r="AC61" s="66"/>
      <c r="AD61" s="66"/>
      <c r="AE61" s="66"/>
      <c r="AF61" s="66"/>
      <c r="AG61" s="66"/>
      <c r="AH61" s="66"/>
      <c r="AI61" s="66"/>
      <c r="AJ61" s="66"/>
      <c r="AK61" s="66"/>
      <c r="AL61" s="66"/>
      <c r="AM61" s="66"/>
      <c r="AN61" s="66"/>
      <c r="AO61" s="66"/>
      <c r="BE61" s="1"/>
    </row>
    <row r="62" spans="1:57" s="78" customFormat="1" ht="12" customHeight="1" x14ac:dyDescent="0.2">
      <c r="A62" s="89" t="s">
        <v>31130</v>
      </c>
      <c r="B62" s="89">
        <v>64</v>
      </c>
      <c r="C62" s="66" t="s">
        <v>20</v>
      </c>
      <c r="D62" s="66" t="s">
        <v>37</v>
      </c>
      <c r="E62" s="66"/>
      <c r="F62" s="69">
        <v>42904</v>
      </c>
      <c r="G62" s="66" t="s">
        <v>31129</v>
      </c>
      <c r="H62" s="66" t="s">
        <v>31128</v>
      </c>
      <c r="I62" s="66" t="s">
        <v>438</v>
      </c>
      <c r="J62" s="66">
        <v>53188</v>
      </c>
      <c r="K62" s="66" t="s">
        <v>31128</v>
      </c>
      <c r="L62" s="66" t="s">
        <v>31127</v>
      </c>
      <c r="M62" s="66" t="s">
        <v>27</v>
      </c>
      <c r="N62" s="66" t="s">
        <v>31126</v>
      </c>
      <c r="O62" s="66" t="s">
        <v>400</v>
      </c>
      <c r="P62" s="66" t="s">
        <v>30375</v>
      </c>
      <c r="Q62" s="76" t="s">
        <v>31125</v>
      </c>
      <c r="R62" s="66" t="s">
        <v>555</v>
      </c>
      <c r="S62" s="66" t="s">
        <v>28</v>
      </c>
      <c r="T62" s="89" t="s">
        <v>29681</v>
      </c>
      <c r="U62" s="89" t="s">
        <v>29436</v>
      </c>
      <c r="V62" s="89" t="s">
        <v>29439</v>
      </c>
      <c r="W62" s="89" t="s">
        <v>100</v>
      </c>
      <c r="X62" s="89">
        <v>2675</v>
      </c>
      <c r="Y62" s="66"/>
      <c r="Z62" s="66"/>
      <c r="AA62" s="66"/>
      <c r="AB62" s="66"/>
      <c r="AC62" s="66"/>
      <c r="AD62" s="66"/>
      <c r="AE62" s="66"/>
      <c r="AF62" s="66"/>
      <c r="AG62" s="66"/>
      <c r="AH62" s="66"/>
      <c r="AI62" s="66"/>
      <c r="AJ62" s="66"/>
      <c r="AK62" s="66"/>
      <c r="AL62" s="66"/>
      <c r="AM62" s="66"/>
      <c r="AN62" s="66"/>
      <c r="AO62" s="66"/>
    </row>
    <row r="63" spans="1:57" s="78" customFormat="1" ht="12" customHeight="1" x14ac:dyDescent="0.2">
      <c r="A63" s="66" t="s">
        <v>31248</v>
      </c>
      <c r="B63" s="66">
        <v>48</v>
      </c>
      <c r="C63" s="66" t="s">
        <v>20</v>
      </c>
      <c r="D63" s="66" t="s">
        <v>30</v>
      </c>
      <c r="E63" s="66"/>
      <c r="F63" s="69">
        <v>42903</v>
      </c>
      <c r="G63" s="66" t="s">
        <v>31247</v>
      </c>
      <c r="H63" s="66" t="s">
        <v>142</v>
      </c>
      <c r="I63" s="66" t="s">
        <v>143</v>
      </c>
      <c r="J63" s="66">
        <v>57701</v>
      </c>
      <c r="K63" s="66" t="s">
        <v>144</v>
      </c>
      <c r="L63" s="66" t="s">
        <v>145</v>
      </c>
      <c r="M63" s="66" t="s">
        <v>27</v>
      </c>
      <c r="N63" s="66" t="s">
        <v>31246</v>
      </c>
      <c r="O63" s="66" t="s">
        <v>400</v>
      </c>
      <c r="P63" s="66" t="s">
        <v>30375</v>
      </c>
      <c r="Q63" s="76" t="s">
        <v>31245</v>
      </c>
      <c r="R63" s="66" t="s">
        <v>100</v>
      </c>
      <c r="S63" s="66" t="s">
        <v>28</v>
      </c>
      <c r="T63" s="89" t="s">
        <v>29681</v>
      </c>
      <c r="U63" s="89" t="s">
        <v>29438</v>
      </c>
      <c r="V63" s="89" t="s">
        <v>29439</v>
      </c>
      <c r="W63" s="89" t="s">
        <v>100</v>
      </c>
      <c r="X63" s="89">
        <v>2674</v>
      </c>
      <c r="Y63" s="66"/>
      <c r="Z63" s="66"/>
      <c r="AA63" s="66"/>
      <c r="AB63" s="66"/>
      <c r="AC63" s="66"/>
      <c r="AD63" s="66"/>
      <c r="AE63" s="66"/>
      <c r="AF63" s="66"/>
      <c r="AG63" s="66"/>
      <c r="AH63" s="66"/>
      <c r="AI63" s="66"/>
      <c r="AJ63" s="66"/>
      <c r="AK63" s="66"/>
      <c r="AL63" s="66"/>
      <c r="AM63" s="66"/>
      <c r="AN63" s="66"/>
      <c r="AO63" s="66"/>
    </row>
    <row r="64" spans="1:57" s="78" customFormat="1" ht="12" customHeight="1" x14ac:dyDescent="0.2">
      <c r="A64" s="66" t="s">
        <v>3252</v>
      </c>
      <c r="B64" s="89">
        <v>28</v>
      </c>
      <c r="C64" s="66" t="s">
        <v>114</v>
      </c>
      <c r="D64" s="66" t="s">
        <v>30</v>
      </c>
      <c r="E64" s="66"/>
      <c r="F64" s="69">
        <v>42903</v>
      </c>
      <c r="G64" s="66" t="s">
        <v>31157</v>
      </c>
      <c r="H64" s="66" t="s">
        <v>16647</v>
      </c>
      <c r="I64" s="66" t="s">
        <v>45</v>
      </c>
      <c r="J64" s="66">
        <v>90640</v>
      </c>
      <c r="K64" s="66" t="s">
        <v>98</v>
      </c>
      <c r="L64" s="66" t="s">
        <v>16649</v>
      </c>
      <c r="M64" s="66" t="s">
        <v>27</v>
      </c>
      <c r="N64" s="66" t="s">
        <v>31156</v>
      </c>
      <c r="O64" s="66" t="s">
        <v>400</v>
      </c>
      <c r="P64" s="66" t="s">
        <v>30375</v>
      </c>
      <c r="Q64" s="76" t="s">
        <v>31155</v>
      </c>
      <c r="R64" s="66" t="s">
        <v>100</v>
      </c>
      <c r="S64" s="66" t="s">
        <v>379</v>
      </c>
      <c r="T64" s="89" t="s">
        <v>29773</v>
      </c>
      <c r="U64" s="89" t="s">
        <v>29436</v>
      </c>
      <c r="V64" s="89" t="s">
        <v>29439</v>
      </c>
      <c r="W64" s="89" t="s">
        <v>100</v>
      </c>
      <c r="X64" s="89">
        <v>2673</v>
      </c>
      <c r="Y64" s="66"/>
      <c r="Z64" s="66"/>
      <c r="AA64" s="66"/>
      <c r="AB64" s="66"/>
      <c r="AC64" s="66"/>
      <c r="AD64" s="66"/>
      <c r="AE64" s="66"/>
      <c r="AF64" s="66"/>
      <c r="AG64" s="66"/>
      <c r="AH64" s="66"/>
      <c r="AI64" s="66"/>
      <c r="AJ64" s="66"/>
      <c r="AK64" s="66"/>
      <c r="AL64" s="66"/>
      <c r="AM64" s="66"/>
      <c r="AN64" s="66"/>
      <c r="AO64" s="66"/>
    </row>
    <row r="65" spans="1:57" s="78" customFormat="1" ht="12" customHeight="1" x14ac:dyDescent="0.2">
      <c r="A65" s="66" t="s">
        <v>31077</v>
      </c>
      <c r="B65" s="66">
        <v>71</v>
      </c>
      <c r="C65" s="66" t="s">
        <v>20</v>
      </c>
      <c r="D65" s="66" t="s">
        <v>48</v>
      </c>
      <c r="E65" s="76" t="s">
        <v>31076</v>
      </c>
      <c r="F65" s="69">
        <v>42903</v>
      </c>
      <c r="G65" s="66" t="s">
        <v>31075</v>
      </c>
      <c r="H65" s="66" t="s">
        <v>213</v>
      </c>
      <c r="I65" s="66" t="s">
        <v>62</v>
      </c>
      <c r="J65" s="66">
        <v>33130</v>
      </c>
      <c r="K65" s="66" t="s">
        <v>161</v>
      </c>
      <c r="L65" s="66" t="s">
        <v>456</v>
      </c>
      <c r="M65" s="66" t="s">
        <v>379</v>
      </c>
      <c r="N65" s="66" t="s">
        <v>31074</v>
      </c>
      <c r="O65" s="66" t="s">
        <v>400</v>
      </c>
      <c r="P65" s="66" t="s">
        <v>30375</v>
      </c>
      <c r="Q65" s="76" t="s">
        <v>31073</v>
      </c>
      <c r="R65" s="66" t="s">
        <v>100</v>
      </c>
      <c r="S65" s="66" t="s">
        <v>379</v>
      </c>
      <c r="T65" s="89" t="s">
        <v>29773</v>
      </c>
      <c r="U65" s="89"/>
      <c r="V65" s="89"/>
      <c r="W65" s="89"/>
      <c r="X65" s="66"/>
      <c r="Y65" s="66"/>
      <c r="Z65" s="66"/>
      <c r="AA65" s="66"/>
      <c r="AB65" s="66"/>
      <c r="AC65" s="66"/>
      <c r="AD65" s="66"/>
      <c r="AE65" s="66"/>
      <c r="AF65" s="66"/>
      <c r="AG65" s="66"/>
      <c r="AH65" s="66"/>
      <c r="AI65" s="66"/>
      <c r="AJ65" s="66"/>
      <c r="AK65" s="66"/>
      <c r="AL65" s="66"/>
      <c r="AM65" s="66"/>
      <c r="AN65" s="66"/>
      <c r="AO65" s="66"/>
    </row>
    <row r="66" spans="1:57" s="78" customFormat="1" ht="12" customHeight="1" x14ac:dyDescent="0.2">
      <c r="A66" s="66" t="s">
        <v>31305</v>
      </c>
      <c r="B66" s="66">
        <v>30</v>
      </c>
      <c r="C66" s="66" t="s">
        <v>20</v>
      </c>
      <c r="D66" s="66" t="s">
        <v>48</v>
      </c>
      <c r="E66" s="76" t="s">
        <v>31304</v>
      </c>
      <c r="F66" s="69">
        <v>42902</v>
      </c>
      <c r="G66" s="66" t="s">
        <v>31303</v>
      </c>
      <c r="H66" s="66" t="s">
        <v>109</v>
      </c>
      <c r="I66" s="66" t="s">
        <v>45</v>
      </c>
      <c r="J66" s="66">
        <v>92376</v>
      </c>
      <c r="K66" s="66" t="s">
        <v>309</v>
      </c>
      <c r="L66" s="66" t="s">
        <v>111</v>
      </c>
      <c r="M66" s="66" t="s">
        <v>27</v>
      </c>
      <c r="N66" s="66" t="s">
        <v>31302</v>
      </c>
      <c r="O66" s="66" t="s">
        <v>400</v>
      </c>
      <c r="P66" s="66" t="s">
        <v>30375</v>
      </c>
      <c r="Q66" s="76" t="s">
        <v>31301</v>
      </c>
      <c r="R66" s="66" t="s">
        <v>100</v>
      </c>
      <c r="S66" s="66" t="s">
        <v>28</v>
      </c>
      <c r="T66" s="89" t="s">
        <v>29681</v>
      </c>
      <c r="U66" s="89" t="s">
        <v>29436</v>
      </c>
      <c r="V66" s="89" t="s">
        <v>29439</v>
      </c>
      <c r="W66" s="89" t="s">
        <v>555</v>
      </c>
      <c r="X66" s="89">
        <v>2670</v>
      </c>
      <c r="Y66" s="66"/>
      <c r="Z66" s="66"/>
      <c r="AA66" s="66"/>
      <c r="AB66" s="66"/>
      <c r="AC66" s="66"/>
      <c r="AD66" s="66"/>
      <c r="AE66" s="66"/>
      <c r="AF66" s="66"/>
      <c r="AG66" s="66"/>
      <c r="AH66" s="66"/>
      <c r="AI66" s="66"/>
      <c r="AJ66" s="66"/>
      <c r="AK66" s="66"/>
      <c r="AL66" s="66"/>
      <c r="AM66" s="66"/>
      <c r="AN66" s="66"/>
      <c r="AO66" s="66"/>
    </row>
    <row r="67" spans="1:57" s="78" customFormat="1" ht="12" customHeight="1" x14ac:dyDescent="0.2">
      <c r="A67" s="66" t="s">
        <v>31285</v>
      </c>
      <c r="B67" s="66">
        <v>24</v>
      </c>
      <c r="C67" s="66" t="s">
        <v>114</v>
      </c>
      <c r="D67" s="66" t="s">
        <v>37</v>
      </c>
      <c r="E67" s="76" t="s">
        <v>31284</v>
      </c>
      <c r="F67" s="69">
        <v>42902</v>
      </c>
      <c r="G67" s="66" t="s">
        <v>31179</v>
      </c>
      <c r="H67" s="66" t="s">
        <v>31178</v>
      </c>
      <c r="I67" s="66" t="s">
        <v>669</v>
      </c>
      <c r="J67" s="66">
        <v>38965</v>
      </c>
      <c r="K67" s="66" t="s">
        <v>13560</v>
      </c>
      <c r="L67" s="66" t="s">
        <v>31177</v>
      </c>
      <c r="M67" s="66" t="s">
        <v>27</v>
      </c>
      <c r="N67" s="66" t="s">
        <v>31176</v>
      </c>
      <c r="O67" s="66" t="s">
        <v>400</v>
      </c>
      <c r="P67" s="66" t="s">
        <v>30375</v>
      </c>
      <c r="Q67" s="76" t="s">
        <v>31175</v>
      </c>
      <c r="R67" s="66" t="s">
        <v>100</v>
      </c>
      <c r="S67" s="66" t="s">
        <v>35</v>
      </c>
      <c r="T67" s="89" t="s">
        <v>29441</v>
      </c>
      <c r="U67" s="89" t="s">
        <v>29441</v>
      </c>
      <c r="V67" s="89" t="s">
        <v>29437</v>
      </c>
      <c r="W67" s="89" t="s">
        <v>100</v>
      </c>
      <c r="X67" s="89">
        <v>2677</v>
      </c>
      <c r="Y67" s="66"/>
      <c r="Z67" s="66"/>
      <c r="AA67" s="66"/>
      <c r="AB67" s="66"/>
      <c r="AC67" s="66"/>
      <c r="AD67" s="66"/>
      <c r="AE67" s="66"/>
      <c r="AF67" s="66"/>
      <c r="AG67" s="66"/>
      <c r="AH67" s="66"/>
      <c r="AI67" s="66"/>
      <c r="AJ67" s="66"/>
      <c r="AK67" s="66"/>
      <c r="AL67" s="66"/>
      <c r="AM67" s="66"/>
      <c r="AN67" s="66"/>
      <c r="AO67" s="66"/>
    </row>
    <row r="68" spans="1:57" s="78" customFormat="1" ht="12" customHeight="1" x14ac:dyDescent="0.2">
      <c r="A68" s="66" t="s">
        <v>31214</v>
      </c>
      <c r="B68" s="66">
        <v>37</v>
      </c>
      <c r="C68" s="66" t="s">
        <v>20</v>
      </c>
      <c r="D68" s="66" t="s">
        <v>37</v>
      </c>
      <c r="E68" s="76" t="s">
        <v>31213</v>
      </c>
      <c r="F68" s="69">
        <v>42902</v>
      </c>
      <c r="G68" s="66" t="s">
        <v>31212</v>
      </c>
      <c r="H68" s="66" t="s">
        <v>878</v>
      </c>
      <c r="I68" s="66" t="s">
        <v>45</v>
      </c>
      <c r="J68" s="66">
        <v>94509</v>
      </c>
      <c r="K68" s="66" t="s">
        <v>4500</v>
      </c>
      <c r="L68" s="66" t="s">
        <v>14509</v>
      </c>
      <c r="M68" s="66" t="s">
        <v>27</v>
      </c>
      <c r="N68" s="66" t="s">
        <v>31211</v>
      </c>
      <c r="O68" s="66" t="s">
        <v>400</v>
      </c>
      <c r="P68" s="66" t="s">
        <v>30375</v>
      </c>
      <c r="Q68" s="76" t="s">
        <v>31210</v>
      </c>
      <c r="R68" s="66" t="s">
        <v>100</v>
      </c>
      <c r="S68" s="66" t="s">
        <v>28</v>
      </c>
      <c r="T68" s="89" t="s">
        <v>29681</v>
      </c>
      <c r="U68" s="89" t="s">
        <v>29436</v>
      </c>
      <c r="V68" s="89" t="s">
        <v>29440</v>
      </c>
      <c r="W68" s="89" t="s">
        <v>100</v>
      </c>
      <c r="X68" s="89">
        <v>2678</v>
      </c>
      <c r="Y68" s="66"/>
      <c r="Z68" s="66"/>
      <c r="AA68" s="66"/>
      <c r="AB68" s="66"/>
      <c r="AC68" s="66"/>
      <c r="AD68" s="66"/>
      <c r="AE68" s="66"/>
      <c r="AF68" s="66"/>
      <c r="AG68" s="66"/>
      <c r="AH68" s="66"/>
      <c r="AI68" s="66"/>
      <c r="AJ68" s="66"/>
      <c r="AK68" s="66"/>
      <c r="AL68" s="66"/>
      <c r="AM68" s="66"/>
      <c r="AN68" s="66"/>
      <c r="AO68" s="66"/>
    </row>
    <row r="69" spans="1:57" s="78" customFormat="1" ht="12" customHeight="1" x14ac:dyDescent="0.2">
      <c r="A69" s="66" t="s">
        <v>31181</v>
      </c>
      <c r="B69" s="66">
        <v>41</v>
      </c>
      <c r="C69" s="66" t="s">
        <v>20</v>
      </c>
      <c r="D69" s="66" t="s">
        <v>37</v>
      </c>
      <c r="E69" s="76" t="s">
        <v>31180</v>
      </c>
      <c r="F69" s="69">
        <v>42902</v>
      </c>
      <c r="G69" s="66" t="s">
        <v>31179</v>
      </c>
      <c r="H69" s="66" t="s">
        <v>31178</v>
      </c>
      <c r="I69" s="66" t="s">
        <v>669</v>
      </c>
      <c r="J69" s="66">
        <v>38965</v>
      </c>
      <c r="K69" s="66" t="s">
        <v>13560</v>
      </c>
      <c r="L69" s="66" t="s">
        <v>31177</v>
      </c>
      <c r="M69" s="66" t="s">
        <v>27</v>
      </c>
      <c r="N69" s="66" t="s">
        <v>31176</v>
      </c>
      <c r="O69" s="66" t="s">
        <v>400</v>
      </c>
      <c r="P69" s="66" t="s">
        <v>30375</v>
      </c>
      <c r="Q69" s="76" t="s">
        <v>31175</v>
      </c>
      <c r="R69" s="66" t="s">
        <v>100</v>
      </c>
      <c r="S69" s="66" t="s">
        <v>28</v>
      </c>
      <c r="T69" s="89" t="s">
        <v>29681</v>
      </c>
      <c r="U69" s="89" t="s">
        <v>29438</v>
      </c>
      <c r="V69" s="89" t="s">
        <v>29437</v>
      </c>
      <c r="W69" s="89" t="s">
        <v>100</v>
      </c>
      <c r="X69" s="89">
        <v>2669</v>
      </c>
      <c r="Y69" s="66"/>
      <c r="Z69" s="66"/>
      <c r="AA69" s="66"/>
      <c r="AB69" s="66"/>
      <c r="AC69" s="66"/>
      <c r="AD69" s="66"/>
      <c r="AE69" s="66"/>
      <c r="AF69" s="66"/>
      <c r="AG69" s="66"/>
      <c r="AH69" s="66"/>
      <c r="AI69" s="66"/>
      <c r="AJ69" s="66"/>
      <c r="AK69" s="66"/>
      <c r="AL69" s="66"/>
      <c r="AM69" s="66"/>
      <c r="AN69" s="66"/>
      <c r="AO69" s="66"/>
    </row>
    <row r="70" spans="1:57" s="78" customFormat="1" ht="12" customHeight="1" x14ac:dyDescent="0.2">
      <c r="A70" s="66" t="s">
        <v>31096</v>
      </c>
      <c r="B70" s="66">
        <v>25</v>
      </c>
      <c r="C70" s="66" t="s">
        <v>20</v>
      </c>
      <c r="D70" s="66" t="s">
        <v>85</v>
      </c>
      <c r="E70" s="66"/>
      <c r="F70" s="69">
        <v>42902</v>
      </c>
      <c r="G70" s="66" t="s">
        <v>31095</v>
      </c>
      <c r="H70" s="66" t="s">
        <v>705</v>
      </c>
      <c r="I70" s="66" t="s">
        <v>94</v>
      </c>
      <c r="J70" s="66">
        <v>35401</v>
      </c>
      <c r="K70" s="66" t="s">
        <v>705</v>
      </c>
      <c r="L70" s="66" t="s">
        <v>9279</v>
      </c>
      <c r="M70" s="66" t="s">
        <v>391</v>
      </c>
      <c r="N70" s="66" t="s">
        <v>31094</v>
      </c>
      <c r="O70" s="66" t="s">
        <v>400</v>
      </c>
      <c r="P70" s="66" t="s">
        <v>30375</v>
      </c>
      <c r="Q70" s="76" t="s">
        <v>31093</v>
      </c>
      <c r="R70" s="66" t="s">
        <v>100</v>
      </c>
      <c r="S70" s="66" t="s">
        <v>18</v>
      </c>
      <c r="T70" s="89" t="s">
        <v>29760</v>
      </c>
      <c r="U70" s="89"/>
      <c r="V70" s="89"/>
      <c r="W70" s="89"/>
      <c r="X70" s="66"/>
      <c r="Y70" s="66"/>
      <c r="Z70" s="66"/>
      <c r="AA70" s="66"/>
      <c r="AB70" s="66"/>
      <c r="AC70" s="66"/>
      <c r="AD70" s="66"/>
      <c r="AE70" s="66"/>
      <c r="AF70" s="66"/>
      <c r="AG70" s="66"/>
      <c r="AH70" s="66"/>
      <c r="AI70" s="66"/>
      <c r="AJ70" s="66"/>
      <c r="AK70" s="66"/>
      <c r="AL70" s="66"/>
      <c r="AM70" s="66"/>
      <c r="AN70" s="66"/>
      <c r="AO70" s="66"/>
    </row>
    <row r="71" spans="1:57" s="78" customFormat="1" ht="12" customHeight="1" x14ac:dyDescent="0.2">
      <c r="A71" s="66" t="s">
        <v>31164</v>
      </c>
      <c r="B71" s="66">
        <v>32</v>
      </c>
      <c r="C71" s="66" t="s">
        <v>20</v>
      </c>
      <c r="D71" s="66" t="s">
        <v>48</v>
      </c>
      <c r="E71" s="76" t="s">
        <v>31163</v>
      </c>
      <c r="F71" s="69">
        <v>42902</v>
      </c>
      <c r="G71" s="66" t="s">
        <v>31162</v>
      </c>
      <c r="H71" s="66" t="s">
        <v>18313</v>
      </c>
      <c r="I71" s="66" t="s">
        <v>45</v>
      </c>
      <c r="J71" s="66">
        <v>93638</v>
      </c>
      <c r="K71" s="66" t="s">
        <v>18313</v>
      </c>
      <c r="L71" s="66" t="s">
        <v>31161</v>
      </c>
      <c r="M71" s="66" t="s">
        <v>27</v>
      </c>
      <c r="N71" s="66" t="s">
        <v>31160</v>
      </c>
      <c r="O71" s="66" t="s">
        <v>400</v>
      </c>
      <c r="P71" s="66" t="s">
        <v>30375</v>
      </c>
      <c r="Q71" s="76" t="s">
        <v>31159</v>
      </c>
      <c r="R71" s="66" t="s">
        <v>555</v>
      </c>
      <c r="S71" s="66" t="s">
        <v>28</v>
      </c>
      <c r="T71" s="89" t="s">
        <v>29459</v>
      </c>
      <c r="U71" s="89" t="s">
        <v>29436</v>
      </c>
      <c r="V71" s="89" t="s">
        <v>29439</v>
      </c>
      <c r="W71" s="89" t="s">
        <v>100</v>
      </c>
      <c r="X71" s="89">
        <v>2676</v>
      </c>
      <c r="Y71" s="66"/>
      <c r="Z71" s="66"/>
      <c r="AA71" s="66"/>
      <c r="AB71" s="66"/>
      <c r="AC71" s="66"/>
      <c r="AD71" s="66"/>
      <c r="AE71" s="66"/>
      <c r="AF71" s="66"/>
      <c r="AG71" s="66"/>
      <c r="AH71" s="66"/>
      <c r="AI71" s="66"/>
      <c r="AJ71" s="66"/>
      <c r="AK71" s="66"/>
      <c r="AL71" s="66"/>
      <c r="AM71" s="66"/>
      <c r="AN71" s="66"/>
      <c r="AO71" s="66"/>
    </row>
    <row r="72" spans="1:57" s="78" customFormat="1" ht="12" customHeight="1" x14ac:dyDescent="0.2">
      <c r="A72" s="66" t="s">
        <v>8017</v>
      </c>
      <c r="B72" s="66">
        <v>40</v>
      </c>
      <c r="C72" s="66" t="s">
        <v>20</v>
      </c>
      <c r="D72" s="66" t="s">
        <v>37</v>
      </c>
      <c r="E72" s="76" t="s">
        <v>31230</v>
      </c>
      <c r="F72" s="69">
        <v>42901</v>
      </c>
      <c r="G72" s="66" t="s">
        <v>31229</v>
      </c>
      <c r="H72" s="66" t="s">
        <v>1338</v>
      </c>
      <c r="I72" s="66" t="s">
        <v>506</v>
      </c>
      <c r="J72" s="66">
        <v>3858</v>
      </c>
      <c r="K72" s="66" t="s">
        <v>4759</v>
      </c>
      <c r="L72" s="66" t="s">
        <v>31228</v>
      </c>
      <c r="M72" s="66" t="s">
        <v>27</v>
      </c>
      <c r="N72" s="66" t="s">
        <v>31227</v>
      </c>
      <c r="O72" s="66" t="s">
        <v>400</v>
      </c>
      <c r="P72" s="66" t="s">
        <v>30375</v>
      </c>
      <c r="Q72" s="76" t="s">
        <v>31226</v>
      </c>
      <c r="R72" s="66" t="s">
        <v>100</v>
      </c>
      <c r="S72" s="66" t="s">
        <v>28</v>
      </c>
      <c r="T72" s="89" t="s">
        <v>29681</v>
      </c>
      <c r="U72" s="89" t="s">
        <v>29441</v>
      </c>
      <c r="V72" s="89" t="s">
        <v>29437</v>
      </c>
      <c r="W72" s="89" t="s">
        <v>100</v>
      </c>
      <c r="X72" s="89">
        <v>2671</v>
      </c>
      <c r="Y72" s="66"/>
      <c r="Z72" s="66"/>
      <c r="AA72" s="66"/>
      <c r="AB72" s="66"/>
      <c r="AC72" s="66"/>
      <c r="AD72" s="66"/>
      <c r="AE72" s="66"/>
      <c r="AF72" s="66"/>
      <c r="AG72" s="66"/>
      <c r="AH72" s="66"/>
      <c r="AI72" s="66"/>
      <c r="AJ72" s="66"/>
      <c r="AK72" s="66"/>
      <c r="AL72" s="66"/>
      <c r="AM72" s="66"/>
      <c r="AN72" s="66"/>
      <c r="AO72" s="66"/>
    </row>
    <row r="73" spans="1:57" s="78" customFormat="1" ht="12" customHeight="1" x14ac:dyDescent="0.2">
      <c r="A73" s="66" t="s">
        <v>31291</v>
      </c>
      <c r="B73" s="66">
        <v>66</v>
      </c>
      <c r="C73" s="66" t="s">
        <v>20</v>
      </c>
      <c r="D73" s="66" t="s">
        <v>37</v>
      </c>
      <c r="E73" s="76" t="s">
        <v>31290</v>
      </c>
      <c r="F73" s="69">
        <v>42900</v>
      </c>
      <c r="G73" s="66" t="s">
        <v>31289</v>
      </c>
      <c r="H73" s="66" t="s">
        <v>339</v>
      </c>
      <c r="I73" s="66" t="s">
        <v>244</v>
      </c>
      <c r="J73" s="66">
        <v>22301</v>
      </c>
      <c r="K73" s="66" t="s">
        <v>16562</v>
      </c>
      <c r="L73" s="66" t="s">
        <v>31288</v>
      </c>
      <c r="M73" s="66" t="s">
        <v>27</v>
      </c>
      <c r="N73" s="66" t="s">
        <v>31287</v>
      </c>
      <c r="O73" s="66" t="s">
        <v>400</v>
      </c>
      <c r="P73" s="66" t="s">
        <v>30375</v>
      </c>
      <c r="Q73" s="76" t="s">
        <v>31286</v>
      </c>
      <c r="R73" s="66" t="s">
        <v>100</v>
      </c>
      <c r="S73" s="66" t="s">
        <v>28</v>
      </c>
      <c r="T73" s="89" t="s">
        <v>29681</v>
      </c>
      <c r="U73" s="89" t="s">
        <v>29438</v>
      </c>
      <c r="V73" s="89" t="s">
        <v>29439</v>
      </c>
      <c r="W73" s="89" t="s">
        <v>100</v>
      </c>
      <c r="X73" s="89">
        <v>2667</v>
      </c>
      <c r="Y73" s="66"/>
      <c r="Z73" s="66"/>
      <c r="AA73" s="66"/>
      <c r="AB73" s="66"/>
      <c r="AC73" s="66"/>
      <c r="AD73" s="66"/>
      <c r="AE73" s="66"/>
      <c r="AF73" s="66"/>
      <c r="AG73" s="66"/>
      <c r="AH73" s="66"/>
      <c r="AI73" s="66"/>
      <c r="AJ73" s="66"/>
      <c r="AK73" s="66"/>
      <c r="AL73" s="66"/>
      <c r="AM73" s="66"/>
      <c r="AN73" s="66"/>
      <c r="AO73" s="66"/>
    </row>
    <row r="74" spans="1:57" s="78" customFormat="1" ht="12" customHeight="1" x14ac:dyDescent="0.2">
      <c r="A74" s="66" t="s">
        <v>31225</v>
      </c>
      <c r="B74" s="66">
        <v>54</v>
      </c>
      <c r="C74" s="66" t="s">
        <v>20</v>
      </c>
      <c r="D74" s="66" t="s">
        <v>37</v>
      </c>
      <c r="E74" s="76" t="s">
        <v>31224</v>
      </c>
      <c r="F74" s="69">
        <v>42900</v>
      </c>
      <c r="G74" s="66" t="s">
        <v>31223</v>
      </c>
      <c r="H74" s="66" t="s">
        <v>31222</v>
      </c>
      <c r="I74" s="66" t="s">
        <v>319</v>
      </c>
      <c r="J74" s="66">
        <v>38068</v>
      </c>
      <c r="K74" s="66" t="s">
        <v>1516</v>
      </c>
      <c r="L74" s="66" t="s">
        <v>31221</v>
      </c>
      <c r="M74" s="66" t="s">
        <v>27</v>
      </c>
      <c r="N74" s="66" t="s">
        <v>31220</v>
      </c>
      <c r="O74" s="66" t="s">
        <v>400</v>
      </c>
      <c r="P74" s="66" t="s">
        <v>30375</v>
      </c>
      <c r="Q74" s="76" t="s">
        <v>31219</v>
      </c>
      <c r="R74" s="66" t="s">
        <v>555</v>
      </c>
      <c r="S74" s="66" t="s">
        <v>28</v>
      </c>
      <c r="T74" s="89" t="s">
        <v>29674</v>
      </c>
      <c r="U74" s="89" t="s">
        <v>29436</v>
      </c>
      <c r="V74" s="89" t="s">
        <v>29439</v>
      </c>
      <c r="W74" s="89" t="s">
        <v>100</v>
      </c>
      <c r="X74" s="89">
        <v>2668</v>
      </c>
      <c r="Y74" s="66"/>
      <c r="Z74" s="66"/>
      <c r="AA74" s="66"/>
      <c r="AB74" s="66"/>
      <c r="AC74" s="66"/>
      <c r="AD74" s="66"/>
      <c r="AE74" s="66"/>
      <c r="AF74" s="66"/>
      <c r="AG74" s="66"/>
      <c r="AH74" s="66"/>
      <c r="AI74" s="66"/>
      <c r="AJ74" s="66"/>
      <c r="AK74" s="66"/>
      <c r="AL74" s="66"/>
      <c r="AM74" s="66"/>
      <c r="AN74" s="66"/>
      <c r="AO74" s="66"/>
    </row>
    <row r="75" spans="1:57" s="78" customFormat="1" ht="12" customHeight="1" x14ac:dyDescent="0.2">
      <c r="A75" s="66" t="s">
        <v>31136</v>
      </c>
      <c r="B75" s="66">
        <v>20</v>
      </c>
      <c r="C75" s="66" t="s">
        <v>20</v>
      </c>
      <c r="D75" s="66" t="s">
        <v>21</v>
      </c>
      <c r="E75" s="66"/>
      <c r="F75" s="69">
        <v>42900</v>
      </c>
      <c r="G75" s="66" t="s">
        <v>31135</v>
      </c>
      <c r="H75" s="66" t="s">
        <v>7997</v>
      </c>
      <c r="I75" s="66" t="s">
        <v>303</v>
      </c>
      <c r="J75" s="91">
        <v>98168</v>
      </c>
      <c r="K75" s="91" t="s">
        <v>1209</v>
      </c>
      <c r="L75" s="91" t="s">
        <v>31134</v>
      </c>
      <c r="M75" s="66" t="s">
        <v>5411</v>
      </c>
      <c r="N75" s="66" t="s">
        <v>31133</v>
      </c>
      <c r="O75" s="66" t="s">
        <v>400</v>
      </c>
      <c r="P75" s="66" t="s">
        <v>30375</v>
      </c>
      <c r="Q75" s="76" t="s">
        <v>31132</v>
      </c>
      <c r="R75" s="66" t="s">
        <v>555</v>
      </c>
      <c r="S75" s="66" t="s">
        <v>18</v>
      </c>
      <c r="T75" s="89" t="s">
        <v>31131</v>
      </c>
      <c r="U75" s="89" t="s">
        <v>29438</v>
      </c>
      <c r="V75" s="89" t="s">
        <v>29439</v>
      </c>
      <c r="W75" s="89" t="s">
        <v>100</v>
      </c>
      <c r="X75" s="89">
        <v>2666</v>
      </c>
      <c r="Y75" s="66"/>
      <c r="Z75" s="66"/>
      <c r="AA75" s="66"/>
      <c r="AB75" s="66"/>
      <c r="AC75" s="66"/>
      <c r="AD75" s="66"/>
      <c r="AE75" s="66"/>
      <c r="AF75" s="66"/>
      <c r="AG75" s="66"/>
      <c r="AH75" s="66"/>
      <c r="AI75" s="66"/>
      <c r="AJ75" s="66"/>
      <c r="AK75" s="66"/>
      <c r="AL75" s="66"/>
      <c r="AM75" s="66"/>
      <c r="AN75" s="66"/>
      <c r="AO75" s="66"/>
    </row>
    <row r="76" spans="1:57" s="78" customFormat="1" ht="12" customHeight="1" x14ac:dyDescent="0.2">
      <c r="A76" s="66" t="s">
        <v>31386</v>
      </c>
      <c r="B76" s="66">
        <v>36</v>
      </c>
      <c r="C76" s="66" t="s">
        <v>20</v>
      </c>
      <c r="D76" s="66" t="s">
        <v>37</v>
      </c>
      <c r="E76" s="76" t="s">
        <v>31385</v>
      </c>
      <c r="F76" s="69">
        <v>42899</v>
      </c>
      <c r="G76" s="66" t="s">
        <v>2473</v>
      </c>
      <c r="H76" s="66" t="s">
        <v>8387</v>
      </c>
      <c r="I76" s="66" t="s">
        <v>506</v>
      </c>
      <c r="J76" s="66">
        <v>3842</v>
      </c>
      <c r="K76" s="66" t="s">
        <v>4759</v>
      </c>
      <c r="L76" s="66" t="s">
        <v>31384</v>
      </c>
      <c r="M76" s="66" t="s">
        <v>27</v>
      </c>
      <c r="N76" s="66" t="s">
        <v>31383</v>
      </c>
      <c r="O76" s="66" t="s">
        <v>400</v>
      </c>
      <c r="P76" s="66" t="s">
        <v>30375</v>
      </c>
      <c r="Q76" s="76" t="s">
        <v>31382</v>
      </c>
      <c r="R76" s="66" t="s">
        <v>964</v>
      </c>
      <c r="S76" s="66" t="s">
        <v>28</v>
      </c>
      <c r="T76" s="89" t="s">
        <v>29681</v>
      </c>
      <c r="U76" s="89" t="s">
        <v>29436</v>
      </c>
      <c r="V76" s="89" t="s">
        <v>29439</v>
      </c>
      <c r="W76" s="89" t="s">
        <v>100</v>
      </c>
      <c r="X76" s="89">
        <v>2662</v>
      </c>
      <c r="Y76" s="66"/>
      <c r="Z76" s="66"/>
      <c r="AA76" s="66"/>
      <c r="AB76" s="66"/>
      <c r="AC76" s="66"/>
      <c r="AD76" s="66"/>
      <c r="AE76" s="66"/>
      <c r="AF76" s="66"/>
      <c r="AG76" s="66"/>
      <c r="AH76" s="66"/>
      <c r="AI76" s="66"/>
      <c r="AJ76" s="66"/>
      <c r="AK76" s="66"/>
      <c r="AL76" s="66"/>
      <c r="AM76" s="66"/>
      <c r="AN76" s="66"/>
      <c r="AO76" s="66"/>
    </row>
    <row r="77" spans="1:57" s="78" customFormat="1" ht="12" customHeight="1" x14ac:dyDescent="0.2">
      <c r="A77" s="66" t="s">
        <v>30741</v>
      </c>
      <c r="B77" s="66">
        <v>36</v>
      </c>
      <c r="C77" s="66" t="s">
        <v>20</v>
      </c>
      <c r="D77" s="66" t="s">
        <v>85</v>
      </c>
      <c r="E77" s="66"/>
      <c r="F77" s="69">
        <v>42899</v>
      </c>
      <c r="G77" s="66" t="s">
        <v>30742</v>
      </c>
      <c r="H77" s="66" t="s">
        <v>189</v>
      </c>
      <c r="I77" s="66" t="s">
        <v>25</v>
      </c>
      <c r="J77" s="66">
        <v>70808</v>
      </c>
      <c r="K77" s="66" t="s">
        <v>962</v>
      </c>
      <c r="L77" s="66" t="s">
        <v>1683</v>
      </c>
      <c r="M77" s="66" t="s">
        <v>27</v>
      </c>
      <c r="N77" s="66" t="s">
        <v>30743</v>
      </c>
      <c r="O77" s="66" t="s">
        <v>400</v>
      </c>
      <c r="P77" s="66" t="s">
        <v>30375</v>
      </c>
      <c r="Q77" s="76" t="s">
        <v>30744</v>
      </c>
      <c r="R77" s="66" t="s">
        <v>100</v>
      </c>
      <c r="S77" s="66" t="s">
        <v>28</v>
      </c>
      <c r="T77" s="89" t="s">
        <v>29681</v>
      </c>
      <c r="U77" s="89" t="s">
        <v>29436</v>
      </c>
      <c r="V77" s="89" t="s">
        <v>29439</v>
      </c>
      <c r="W77" s="89" t="s">
        <v>100</v>
      </c>
      <c r="X77" s="89">
        <v>2664</v>
      </c>
      <c r="Y77" s="66"/>
      <c r="Z77" s="66"/>
      <c r="AA77" s="66"/>
      <c r="AB77" s="66"/>
      <c r="AC77" s="66"/>
      <c r="AD77" s="66"/>
      <c r="AE77" s="66"/>
      <c r="AF77" s="66"/>
      <c r="AG77" s="66"/>
      <c r="AH77" s="66"/>
      <c r="AI77" s="66"/>
      <c r="AJ77" s="66"/>
      <c r="AK77" s="66"/>
      <c r="AL77" s="66"/>
      <c r="AM77" s="66"/>
      <c r="AN77" s="66"/>
      <c r="AO77" s="66"/>
      <c r="BE77" s="1"/>
    </row>
    <row r="78" spans="1:57" s="78" customFormat="1" ht="12" customHeight="1" x14ac:dyDescent="0.2">
      <c r="A78" s="66" t="s">
        <v>30971</v>
      </c>
      <c r="B78" s="66">
        <v>19</v>
      </c>
      <c r="C78" s="66" t="s">
        <v>20</v>
      </c>
      <c r="D78" s="66" t="s">
        <v>85</v>
      </c>
      <c r="E78" s="66"/>
      <c r="F78" s="69">
        <v>42899</v>
      </c>
      <c r="G78" s="66" t="s">
        <v>31046</v>
      </c>
      <c r="H78" s="66" t="s">
        <v>887</v>
      </c>
      <c r="I78" s="66" t="s">
        <v>438</v>
      </c>
      <c r="J78" s="66">
        <v>53211</v>
      </c>
      <c r="K78" s="66" t="s">
        <v>887</v>
      </c>
      <c r="L78" s="66" t="s">
        <v>31047</v>
      </c>
      <c r="M78" s="66" t="s">
        <v>27</v>
      </c>
      <c r="N78" s="66" t="s">
        <v>31048</v>
      </c>
      <c r="O78" s="66" t="s">
        <v>400</v>
      </c>
      <c r="P78" s="66" t="s">
        <v>30375</v>
      </c>
      <c r="Q78" s="76" t="s">
        <v>30972</v>
      </c>
      <c r="R78" s="66" t="s">
        <v>100</v>
      </c>
      <c r="S78" s="66" t="s">
        <v>35</v>
      </c>
      <c r="T78" s="89" t="s">
        <v>29441</v>
      </c>
      <c r="U78" s="89" t="s">
        <v>29436</v>
      </c>
      <c r="V78" s="89" t="s">
        <v>29437</v>
      </c>
      <c r="W78" s="89" t="s">
        <v>100</v>
      </c>
      <c r="X78" s="89">
        <v>2661</v>
      </c>
      <c r="Y78" s="66"/>
      <c r="Z78" s="66"/>
      <c r="AA78" s="66"/>
      <c r="AB78" s="66"/>
      <c r="AC78" s="66"/>
      <c r="AD78" s="66"/>
      <c r="AE78" s="66"/>
      <c r="AF78" s="66"/>
      <c r="AG78" s="66"/>
      <c r="AH78" s="66"/>
      <c r="AI78" s="66"/>
      <c r="AJ78" s="66"/>
      <c r="AK78" s="66"/>
      <c r="AL78" s="66"/>
      <c r="AM78" s="66"/>
      <c r="AN78" s="66"/>
      <c r="AO78" s="66"/>
      <c r="BE78" s="1"/>
    </row>
    <row r="79" spans="1:57" s="78" customFormat="1" ht="12" customHeight="1" x14ac:dyDescent="0.2">
      <c r="A79" s="66" t="s">
        <v>31400</v>
      </c>
      <c r="B79" s="66">
        <v>24</v>
      </c>
      <c r="C79" s="66" t="s">
        <v>20</v>
      </c>
      <c r="D79" s="66" t="s">
        <v>37</v>
      </c>
      <c r="E79" s="76" t="s">
        <v>31399</v>
      </c>
      <c r="F79" s="69">
        <v>42899</v>
      </c>
      <c r="G79" s="66" t="s">
        <v>31398</v>
      </c>
      <c r="H79" s="66" t="s">
        <v>31397</v>
      </c>
      <c r="I79" s="66" t="s">
        <v>44</v>
      </c>
      <c r="J79" s="66">
        <v>62052</v>
      </c>
      <c r="K79" s="66" t="s">
        <v>31396</v>
      </c>
      <c r="L79" s="66" t="s">
        <v>31395</v>
      </c>
      <c r="M79" s="66" t="s">
        <v>27</v>
      </c>
      <c r="N79" s="66" t="s">
        <v>31394</v>
      </c>
      <c r="O79" s="66" t="s">
        <v>400</v>
      </c>
      <c r="P79" s="66" t="s">
        <v>30375</v>
      </c>
      <c r="Q79" s="76" t="s">
        <v>31393</v>
      </c>
      <c r="R79" s="66" t="s">
        <v>100</v>
      </c>
      <c r="S79" s="66" t="s">
        <v>28</v>
      </c>
      <c r="T79" s="89" t="s">
        <v>29681</v>
      </c>
      <c r="U79" s="89" t="s">
        <v>29438</v>
      </c>
      <c r="V79" s="89" t="s">
        <v>29440</v>
      </c>
      <c r="W79" s="89" t="s">
        <v>100</v>
      </c>
      <c r="X79" s="89">
        <v>2657</v>
      </c>
      <c r="Y79" s="66"/>
      <c r="Z79" s="66"/>
      <c r="AA79" s="66"/>
      <c r="AB79" s="66"/>
      <c r="AC79" s="66"/>
      <c r="AD79" s="66"/>
      <c r="AE79" s="66"/>
      <c r="AF79" s="66"/>
      <c r="AG79" s="66"/>
      <c r="AH79" s="66"/>
      <c r="AI79" s="66"/>
      <c r="AJ79" s="66"/>
      <c r="AK79" s="66"/>
      <c r="AL79" s="66"/>
      <c r="AM79" s="66"/>
      <c r="AN79" s="66"/>
      <c r="AO79" s="66"/>
    </row>
    <row r="80" spans="1:57" s="78" customFormat="1" ht="12" customHeight="1" x14ac:dyDescent="0.2">
      <c r="A80" s="66" t="s">
        <v>31366</v>
      </c>
      <c r="B80" s="66">
        <v>33</v>
      </c>
      <c r="C80" s="66" t="s">
        <v>20</v>
      </c>
      <c r="D80" s="66" t="s">
        <v>85</v>
      </c>
      <c r="E80" s="76" t="s">
        <v>31365</v>
      </c>
      <c r="F80" s="69">
        <v>42899</v>
      </c>
      <c r="G80" s="66" t="s">
        <v>31364</v>
      </c>
      <c r="H80" s="66" t="s">
        <v>709</v>
      </c>
      <c r="I80" s="66" t="s">
        <v>431</v>
      </c>
      <c r="J80" s="66">
        <v>63118</v>
      </c>
      <c r="K80" s="66" t="s">
        <v>20282</v>
      </c>
      <c r="L80" s="66" t="s">
        <v>4516</v>
      </c>
      <c r="M80" s="66" t="s">
        <v>27</v>
      </c>
      <c r="N80" s="66" t="s">
        <v>31363</v>
      </c>
      <c r="O80" s="66" t="s">
        <v>400</v>
      </c>
      <c r="P80" s="66" t="s">
        <v>30375</v>
      </c>
      <c r="Q80" s="76" t="s">
        <v>31362</v>
      </c>
      <c r="R80" s="66" t="s">
        <v>100</v>
      </c>
      <c r="S80" s="66" t="s">
        <v>28</v>
      </c>
      <c r="T80" s="89" t="s">
        <v>29681</v>
      </c>
      <c r="U80" s="89" t="s">
        <v>29438</v>
      </c>
      <c r="V80" s="89" t="s">
        <v>29439</v>
      </c>
      <c r="W80" s="89" t="s">
        <v>100</v>
      </c>
      <c r="X80" s="89">
        <v>2665</v>
      </c>
      <c r="Y80" s="66"/>
      <c r="Z80" s="66"/>
      <c r="AA80" s="66"/>
      <c r="AB80" s="66"/>
      <c r="AC80" s="66"/>
      <c r="AD80" s="66"/>
      <c r="AE80" s="66"/>
      <c r="AF80" s="66"/>
      <c r="AG80" s="66"/>
      <c r="AH80" s="66"/>
      <c r="AI80" s="66"/>
      <c r="AJ80" s="66"/>
      <c r="AK80" s="66"/>
      <c r="AL80" s="66"/>
      <c r="AM80" s="66"/>
      <c r="AN80" s="66"/>
      <c r="AO80" s="66"/>
    </row>
    <row r="81" spans="1:63" s="78" customFormat="1" ht="12" customHeight="1" x14ac:dyDescent="0.2">
      <c r="A81" s="66" t="s">
        <v>31392</v>
      </c>
      <c r="B81" s="66">
        <v>35</v>
      </c>
      <c r="C81" s="66" t="s">
        <v>20</v>
      </c>
      <c r="D81" s="66" t="s">
        <v>85</v>
      </c>
      <c r="E81" s="76" t="s">
        <v>31391</v>
      </c>
      <c r="F81" s="69">
        <v>42898</v>
      </c>
      <c r="G81" s="66" t="s">
        <v>31390</v>
      </c>
      <c r="H81" s="66" t="s">
        <v>31389</v>
      </c>
      <c r="I81" s="66" t="s">
        <v>25</v>
      </c>
      <c r="J81" s="66">
        <v>70518</v>
      </c>
      <c r="K81" s="66" t="s">
        <v>11370</v>
      </c>
      <c r="L81" s="66" t="s">
        <v>12315</v>
      </c>
      <c r="M81" s="66" t="s">
        <v>27</v>
      </c>
      <c r="N81" s="66" t="s">
        <v>31388</v>
      </c>
      <c r="O81" s="66" t="s">
        <v>400</v>
      </c>
      <c r="P81" s="66" t="s">
        <v>30375</v>
      </c>
      <c r="Q81" s="76" t="s">
        <v>31387</v>
      </c>
      <c r="R81" s="66" t="s">
        <v>100</v>
      </c>
      <c r="S81" s="66" t="s">
        <v>28</v>
      </c>
      <c r="T81" s="89" t="s">
        <v>29681</v>
      </c>
      <c r="U81" s="89" t="s">
        <v>29436</v>
      </c>
      <c r="V81" s="89" t="s">
        <v>29439</v>
      </c>
      <c r="W81" s="89" t="s">
        <v>100</v>
      </c>
      <c r="X81" s="89">
        <v>2663</v>
      </c>
      <c r="Y81" s="66"/>
      <c r="Z81" s="66"/>
      <c r="AA81" s="66"/>
      <c r="AB81" s="66"/>
      <c r="AC81" s="66"/>
      <c r="AD81" s="66"/>
      <c r="AE81" s="66"/>
      <c r="AF81" s="66"/>
      <c r="AG81" s="66"/>
      <c r="AH81" s="66"/>
      <c r="AI81" s="66"/>
      <c r="AJ81" s="66"/>
      <c r="AK81" s="66"/>
      <c r="AL81" s="66"/>
      <c r="AM81" s="66"/>
      <c r="AN81" s="66"/>
      <c r="AO81" s="66"/>
    </row>
    <row r="82" spans="1:63" ht="12" customHeight="1" x14ac:dyDescent="0.2">
      <c r="A82" s="66" t="s">
        <v>30745</v>
      </c>
      <c r="B82" s="66">
        <v>45</v>
      </c>
      <c r="C82" s="66" t="s">
        <v>20</v>
      </c>
      <c r="D82" s="66" t="s">
        <v>48</v>
      </c>
      <c r="E82" s="66"/>
      <c r="F82" s="69">
        <v>42898</v>
      </c>
      <c r="G82" s="66" t="s">
        <v>30746</v>
      </c>
      <c r="H82" s="66" t="s">
        <v>12702</v>
      </c>
      <c r="I82" s="66" t="s">
        <v>45</v>
      </c>
      <c r="J82" s="66">
        <v>93662</v>
      </c>
      <c r="K82" s="66" t="s">
        <v>200</v>
      </c>
      <c r="L82" s="66" t="s">
        <v>12704</v>
      </c>
      <c r="M82" s="66" t="s">
        <v>5411</v>
      </c>
      <c r="N82" s="66" t="s">
        <v>30747</v>
      </c>
      <c r="O82" s="66" t="s">
        <v>400</v>
      </c>
      <c r="P82" s="66" t="s">
        <v>30375</v>
      </c>
      <c r="Q82" s="76" t="s">
        <v>30748</v>
      </c>
      <c r="R82" s="66" t="s">
        <v>100</v>
      </c>
      <c r="S82" s="66" t="s">
        <v>28</v>
      </c>
      <c r="T82" s="89" t="s">
        <v>29674</v>
      </c>
      <c r="U82" s="89" t="s">
        <v>29436</v>
      </c>
      <c r="V82" s="89" t="s">
        <v>29439</v>
      </c>
      <c r="W82" s="89" t="s">
        <v>100</v>
      </c>
      <c r="X82" s="89">
        <v>2656</v>
      </c>
      <c r="Y82" s="66"/>
      <c r="Z82" s="66"/>
      <c r="AA82" s="66"/>
      <c r="AB82" s="66"/>
      <c r="AC82" s="66"/>
      <c r="AD82" s="66"/>
      <c r="AE82" s="66"/>
      <c r="AF82" s="66"/>
      <c r="AG82" s="66"/>
      <c r="AH82" s="66"/>
      <c r="AI82" s="66"/>
      <c r="AJ82" s="66"/>
      <c r="AK82" s="66"/>
      <c r="AL82" s="66"/>
      <c r="AM82" s="66"/>
      <c r="AN82" s="66"/>
      <c r="AO82" s="66"/>
      <c r="AP82" s="78"/>
      <c r="AQ82" s="78"/>
      <c r="AR82" s="78"/>
      <c r="AS82" s="78"/>
      <c r="AT82" s="78"/>
      <c r="AU82" s="78"/>
      <c r="AV82" s="78"/>
      <c r="AW82" s="78"/>
      <c r="AX82" s="78"/>
      <c r="AY82" s="78"/>
      <c r="AZ82" s="78"/>
      <c r="BA82" s="78"/>
      <c r="BB82" s="78"/>
      <c r="BC82" s="78"/>
      <c r="BD82" s="78"/>
      <c r="BF82" s="78"/>
      <c r="BG82" s="78"/>
      <c r="BH82" s="78"/>
      <c r="BI82" s="78"/>
      <c r="BJ82" s="78"/>
      <c r="BK82" s="78"/>
    </row>
    <row r="83" spans="1:63" ht="12" customHeight="1" x14ac:dyDescent="0.2">
      <c r="A83" s="66" t="s">
        <v>30754</v>
      </c>
      <c r="B83" s="66">
        <v>63</v>
      </c>
      <c r="C83" s="66" t="s">
        <v>20</v>
      </c>
      <c r="D83" s="66" t="s">
        <v>48</v>
      </c>
      <c r="E83" s="66"/>
      <c r="F83" s="69">
        <v>42898</v>
      </c>
      <c r="G83" s="66" t="s">
        <v>30755</v>
      </c>
      <c r="H83" s="66" t="s">
        <v>21223</v>
      </c>
      <c r="I83" s="66" t="s">
        <v>73</v>
      </c>
      <c r="J83" s="66">
        <v>75024</v>
      </c>
      <c r="K83" s="66" t="s">
        <v>19851</v>
      </c>
      <c r="L83" s="66" t="s">
        <v>21224</v>
      </c>
      <c r="M83" s="66" t="s">
        <v>27</v>
      </c>
      <c r="N83" s="66" t="s">
        <v>30756</v>
      </c>
      <c r="O83" s="66" t="s">
        <v>400</v>
      </c>
      <c r="P83" s="66" t="s">
        <v>30375</v>
      </c>
      <c r="Q83" s="76" t="s">
        <v>30757</v>
      </c>
      <c r="R83" s="66" t="s">
        <v>100</v>
      </c>
      <c r="S83" s="66" t="s">
        <v>28</v>
      </c>
      <c r="T83" s="89" t="s">
        <v>29681</v>
      </c>
      <c r="U83" s="89" t="s">
        <v>29438</v>
      </c>
      <c r="V83" s="89" t="s">
        <v>29439</v>
      </c>
      <c r="W83" s="89" t="s">
        <v>100</v>
      </c>
      <c r="X83" s="89">
        <v>2658</v>
      </c>
      <c r="Y83" s="66"/>
      <c r="Z83" s="66"/>
      <c r="AA83" s="66"/>
      <c r="AB83" s="66"/>
      <c r="AC83" s="66"/>
      <c r="AD83" s="66"/>
      <c r="AE83" s="66"/>
      <c r="AF83" s="66"/>
      <c r="AG83" s="66"/>
      <c r="AH83" s="66"/>
      <c r="AI83" s="66"/>
      <c r="AJ83" s="66"/>
      <c r="AK83" s="66"/>
      <c r="AL83" s="66"/>
      <c r="AM83" s="66"/>
      <c r="AN83" s="66"/>
      <c r="AO83" s="66"/>
      <c r="AP83" s="78"/>
      <c r="AQ83" s="78"/>
      <c r="AR83" s="78"/>
      <c r="AS83" s="78"/>
      <c r="AT83" s="78"/>
      <c r="AU83" s="78"/>
      <c r="AV83" s="78"/>
      <c r="AW83" s="78"/>
      <c r="AX83" s="78"/>
      <c r="AY83" s="78"/>
      <c r="AZ83" s="78"/>
      <c r="BA83" s="78"/>
      <c r="BB83" s="78"/>
      <c r="BC83" s="78"/>
      <c r="BD83" s="78"/>
      <c r="BF83" s="78"/>
      <c r="BG83" s="78"/>
      <c r="BH83" s="78"/>
      <c r="BI83" s="78"/>
      <c r="BJ83" s="78"/>
      <c r="BK83" s="78"/>
    </row>
    <row r="84" spans="1:63" ht="12" customHeight="1" x14ac:dyDescent="0.2">
      <c r="A84" s="66" t="s">
        <v>30749</v>
      </c>
      <c r="B84" s="66">
        <v>50</v>
      </c>
      <c r="C84" s="66" t="s">
        <v>20</v>
      </c>
      <c r="D84" s="66" t="s">
        <v>37</v>
      </c>
      <c r="E84" s="66"/>
      <c r="F84" s="69">
        <v>42898</v>
      </c>
      <c r="G84" s="66" t="s">
        <v>30750</v>
      </c>
      <c r="H84" s="66" t="s">
        <v>30751</v>
      </c>
      <c r="I84" s="66" t="s">
        <v>315</v>
      </c>
      <c r="J84" s="66">
        <v>40906</v>
      </c>
      <c r="K84" s="66" t="s">
        <v>2681</v>
      </c>
      <c r="L84" s="66" t="s">
        <v>2682</v>
      </c>
      <c r="M84" s="66" t="s">
        <v>27</v>
      </c>
      <c r="N84" s="66" t="s">
        <v>30752</v>
      </c>
      <c r="O84" s="66" t="s">
        <v>400</v>
      </c>
      <c r="P84" s="66" t="s">
        <v>30375</v>
      </c>
      <c r="Q84" s="76" t="s">
        <v>30753</v>
      </c>
      <c r="R84" s="66" t="s">
        <v>100</v>
      </c>
      <c r="S84" s="66" t="s">
        <v>28</v>
      </c>
      <c r="T84" s="89" t="s">
        <v>29681</v>
      </c>
      <c r="U84" s="89" t="s">
        <v>29438</v>
      </c>
      <c r="V84" s="89" t="s">
        <v>29439</v>
      </c>
      <c r="W84" s="89" t="s">
        <v>100</v>
      </c>
      <c r="X84" s="89">
        <v>2659</v>
      </c>
      <c r="Y84" s="66"/>
      <c r="Z84" s="66"/>
      <c r="AA84" s="66"/>
      <c r="AB84" s="66"/>
      <c r="AC84" s="66"/>
      <c r="AD84" s="66"/>
      <c r="AE84" s="66"/>
      <c r="AF84" s="66"/>
      <c r="AG84" s="66"/>
      <c r="AH84" s="66"/>
      <c r="AI84" s="66"/>
      <c r="AJ84" s="66"/>
      <c r="AK84" s="66"/>
      <c r="AL84" s="66"/>
      <c r="AM84" s="66"/>
      <c r="AN84" s="66"/>
      <c r="AO84" s="66"/>
      <c r="AP84" s="78"/>
      <c r="AQ84" s="78"/>
      <c r="AR84" s="78"/>
      <c r="AS84" s="78"/>
      <c r="AT84" s="78"/>
      <c r="AU84" s="78"/>
      <c r="AV84" s="78"/>
      <c r="AW84" s="78"/>
      <c r="AX84" s="78"/>
      <c r="AY84" s="78"/>
      <c r="AZ84" s="78"/>
      <c r="BA84" s="78"/>
      <c r="BB84" s="78"/>
      <c r="BC84" s="78"/>
      <c r="BD84" s="78"/>
      <c r="BF84" s="78"/>
      <c r="BG84" s="78"/>
      <c r="BH84" s="78"/>
      <c r="BI84" s="78"/>
      <c r="BJ84" s="78"/>
      <c r="BK84" s="78"/>
    </row>
    <row r="85" spans="1:63" ht="12" customHeight="1" x14ac:dyDescent="0.2">
      <c r="A85" s="66" t="s">
        <v>30758</v>
      </c>
      <c r="B85" s="66">
        <v>60</v>
      </c>
      <c r="C85" s="66" t="s">
        <v>20</v>
      </c>
      <c r="D85" s="66" t="s">
        <v>37</v>
      </c>
      <c r="E85" s="66"/>
      <c r="F85" s="69">
        <v>42897</v>
      </c>
      <c r="G85" s="66" t="s">
        <v>30759</v>
      </c>
      <c r="H85" s="66" t="s">
        <v>7291</v>
      </c>
      <c r="I85" s="66" t="s">
        <v>73</v>
      </c>
      <c r="J85" s="66">
        <v>79602</v>
      </c>
      <c r="K85" s="66" t="s">
        <v>7293</v>
      </c>
      <c r="L85" s="66" t="s">
        <v>11730</v>
      </c>
      <c r="M85" s="66" t="s">
        <v>27</v>
      </c>
      <c r="N85" s="66" t="s">
        <v>30760</v>
      </c>
      <c r="O85" s="66" t="s">
        <v>400</v>
      </c>
      <c r="P85" s="66" t="s">
        <v>30375</v>
      </c>
      <c r="Q85" s="76" t="s">
        <v>30761</v>
      </c>
      <c r="R85" s="66" t="s">
        <v>555</v>
      </c>
      <c r="S85" s="66" t="s">
        <v>28</v>
      </c>
      <c r="T85" s="89" t="s">
        <v>29674</v>
      </c>
      <c r="U85" s="89" t="s">
        <v>29436</v>
      </c>
      <c r="V85" s="89" t="s">
        <v>29439</v>
      </c>
      <c r="W85" s="89" t="s">
        <v>100</v>
      </c>
      <c r="X85" s="89">
        <v>2660</v>
      </c>
      <c r="Y85" s="66"/>
      <c r="Z85" s="66"/>
      <c r="AA85" s="66"/>
      <c r="AB85" s="66"/>
      <c r="AC85" s="66"/>
      <c r="AD85" s="66"/>
      <c r="AE85" s="66"/>
      <c r="AF85" s="66"/>
      <c r="AG85" s="66"/>
      <c r="AH85" s="66"/>
      <c r="AI85" s="66"/>
      <c r="AJ85" s="66"/>
      <c r="AK85" s="66"/>
      <c r="AL85" s="66"/>
      <c r="AM85" s="66"/>
      <c r="AN85" s="66"/>
      <c r="AO85" s="66"/>
      <c r="AP85" s="78"/>
      <c r="AQ85" s="78"/>
      <c r="AR85" s="78"/>
      <c r="AS85" s="78"/>
      <c r="AT85" s="78"/>
      <c r="AU85" s="78"/>
      <c r="AV85" s="78"/>
      <c r="AW85" s="78"/>
      <c r="AX85" s="78"/>
      <c r="AY85" s="78"/>
      <c r="AZ85" s="78"/>
      <c r="BA85" s="78"/>
      <c r="BB85" s="78"/>
      <c r="BC85" s="78"/>
      <c r="BD85" s="78"/>
      <c r="BF85" s="78"/>
      <c r="BG85" s="78"/>
      <c r="BH85" s="78"/>
      <c r="BI85" s="78"/>
      <c r="BJ85" s="78"/>
      <c r="BK85" s="78"/>
    </row>
    <row r="86" spans="1:63" ht="12" customHeight="1" x14ac:dyDescent="0.2">
      <c r="A86" s="66" t="s">
        <v>30766</v>
      </c>
      <c r="B86" s="66">
        <v>53</v>
      </c>
      <c r="C86" s="66" t="s">
        <v>20</v>
      </c>
      <c r="D86" s="66" t="s">
        <v>37</v>
      </c>
      <c r="E86" s="66"/>
      <c r="F86" s="69">
        <v>42896</v>
      </c>
      <c r="G86" s="66" t="s">
        <v>30767</v>
      </c>
      <c r="H86" s="66" t="s">
        <v>30768</v>
      </c>
      <c r="I86" s="66" t="s">
        <v>370</v>
      </c>
      <c r="J86" s="66">
        <v>52316</v>
      </c>
      <c r="K86" s="66" t="s">
        <v>30769</v>
      </c>
      <c r="L86" s="66" t="s">
        <v>30770</v>
      </c>
      <c r="M86" s="66" t="s">
        <v>27</v>
      </c>
      <c r="N86" s="66" t="s">
        <v>30771</v>
      </c>
      <c r="O86" s="66" t="s">
        <v>400</v>
      </c>
      <c r="P86" s="66" t="s">
        <v>30375</v>
      </c>
      <c r="Q86" s="76" t="s">
        <v>30772</v>
      </c>
      <c r="R86" s="66" t="s">
        <v>100</v>
      </c>
      <c r="S86" s="66" t="s">
        <v>28</v>
      </c>
      <c r="T86" s="89" t="s">
        <v>29681</v>
      </c>
      <c r="U86" s="89" t="s">
        <v>29436</v>
      </c>
      <c r="V86" s="89" t="s">
        <v>29439</v>
      </c>
      <c r="W86" s="89" t="s">
        <v>100</v>
      </c>
      <c r="X86" s="89">
        <v>2655</v>
      </c>
      <c r="Y86" s="66"/>
      <c r="Z86" s="66"/>
      <c r="AA86" s="66"/>
      <c r="AB86" s="66"/>
      <c r="AC86" s="66"/>
      <c r="AD86" s="66"/>
      <c r="AE86" s="66"/>
      <c r="AF86" s="66"/>
      <c r="AG86" s="66"/>
      <c r="AH86" s="66"/>
      <c r="AI86" s="66"/>
      <c r="AJ86" s="66"/>
      <c r="AK86" s="66"/>
      <c r="AL86" s="66"/>
      <c r="AM86" s="66"/>
      <c r="AN86" s="66"/>
      <c r="AO86" s="66"/>
      <c r="AP86" s="78"/>
      <c r="AQ86" s="78"/>
      <c r="AR86" s="78"/>
      <c r="AS86" s="78"/>
      <c r="AT86" s="78"/>
      <c r="AU86" s="78"/>
      <c r="AV86" s="78"/>
      <c r="AW86" s="78"/>
      <c r="AX86" s="78"/>
      <c r="AY86" s="78"/>
      <c r="AZ86" s="78"/>
      <c r="BA86" s="78"/>
      <c r="BB86" s="78"/>
      <c r="BC86" s="78"/>
      <c r="BD86" s="78"/>
      <c r="BF86" s="78"/>
      <c r="BG86" s="78"/>
      <c r="BH86" s="78"/>
      <c r="BI86" s="78"/>
      <c r="BJ86" s="78"/>
      <c r="BK86" s="78"/>
    </row>
    <row r="87" spans="1:63" ht="12" customHeight="1" x14ac:dyDescent="0.2">
      <c r="A87" s="66" t="s">
        <v>3252</v>
      </c>
      <c r="B87" s="66" t="s">
        <v>29</v>
      </c>
      <c r="C87" s="66" t="s">
        <v>20</v>
      </c>
      <c r="D87" s="66" t="s">
        <v>30</v>
      </c>
      <c r="E87" s="66"/>
      <c r="F87" s="69">
        <v>42896</v>
      </c>
      <c r="G87" s="66" t="s">
        <v>30773</v>
      </c>
      <c r="H87" s="66" t="s">
        <v>5372</v>
      </c>
      <c r="I87" s="66" t="s">
        <v>303</v>
      </c>
      <c r="J87" s="66">
        <v>98002</v>
      </c>
      <c r="K87" s="66" t="s">
        <v>1209</v>
      </c>
      <c r="L87" s="66" t="s">
        <v>11586</v>
      </c>
      <c r="M87" s="66" t="s">
        <v>27</v>
      </c>
      <c r="N87" s="66" t="s">
        <v>30774</v>
      </c>
      <c r="O87" s="66" t="s">
        <v>400</v>
      </c>
      <c r="P87" s="66" t="s">
        <v>30375</v>
      </c>
      <c r="Q87" s="76" t="s">
        <v>30775</v>
      </c>
      <c r="R87" s="66" t="s">
        <v>100</v>
      </c>
      <c r="S87" s="66" t="s">
        <v>35</v>
      </c>
      <c r="T87" s="89" t="s">
        <v>29441</v>
      </c>
      <c r="U87" s="89" t="s">
        <v>29441</v>
      </c>
      <c r="V87" s="89" t="s">
        <v>29437</v>
      </c>
      <c r="W87" s="89" t="s">
        <v>100</v>
      </c>
      <c r="X87" s="89">
        <v>2654</v>
      </c>
      <c r="Y87" s="66"/>
      <c r="Z87" s="66"/>
      <c r="AA87" s="66"/>
      <c r="AB87" s="66"/>
      <c r="AC87" s="66"/>
      <c r="AD87" s="66"/>
      <c r="AE87" s="66"/>
      <c r="AF87" s="66"/>
      <c r="AG87" s="66"/>
      <c r="AH87" s="66"/>
      <c r="AI87" s="66"/>
      <c r="AJ87" s="66"/>
      <c r="AK87" s="66"/>
      <c r="AL87" s="66"/>
      <c r="AM87" s="66"/>
      <c r="AN87" s="66"/>
      <c r="AO87" s="66"/>
      <c r="AP87" s="78"/>
      <c r="AQ87" s="78"/>
      <c r="AR87" s="78"/>
      <c r="AS87" s="78"/>
      <c r="AT87" s="78"/>
      <c r="AU87" s="78"/>
      <c r="AV87" s="78"/>
      <c r="AW87" s="78"/>
      <c r="AX87" s="78"/>
      <c r="AY87" s="78"/>
      <c r="AZ87" s="78"/>
      <c r="BA87" s="78"/>
      <c r="BB87" s="78"/>
      <c r="BC87" s="78"/>
      <c r="BD87" s="78"/>
      <c r="BF87" s="78"/>
      <c r="BG87" s="78"/>
      <c r="BH87" s="78"/>
      <c r="BI87" s="78"/>
      <c r="BJ87" s="78"/>
      <c r="BK87" s="78"/>
    </row>
    <row r="88" spans="1:63" ht="12" customHeight="1" x14ac:dyDescent="0.2">
      <c r="A88" s="66" t="s">
        <v>30762</v>
      </c>
      <c r="B88" s="66">
        <v>82</v>
      </c>
      <c r="C88" s="66" t="s">
        <v>20</v>
      </c>
      <c r="D88" s="66" t="s">
        <v>37</v>
      </c>
      <c r="E88" s="66"/>
      <c r="F88" s="69">
        <v>42896</v>
      </c>
      <c r="G88" s="66" t="s">
        <v>30763</v>
      </c>
      <c r="H88" s="66" t="s">
        <v>213</v>
      </c>
      <c r="I88" s="66" t="s">
        <v>62</v>
      </c>
      <c r="J88" s="66">
        <v>33156</v>
      </c>
      <c r="K88" s="66" t="s">
        <v>161</v>
      </c>
      <c r="L88" s="66" t="s">
        <v>162</v>
      </c>
      <c r="M88" s="66" t="s">
        <v>27</v>
      </c>
      <c r="N88" s="66" t="s">
        <v>30764</v>
      </c>
      <c r="O88" s="66" t="s">
        <v>400</v>
      </c>
      <c r="P88" s="66" t="s">
        <v>30375</v>
      </c>
      <c r="Q88" s="76" t="s">
        <v>30765</v>
      </c>
      <c r="R88" s="66" t="s">
        <v>555</v>
      </c>
      <c r="S88" s="66" t="s">
        <v>28</v>
      </c>
      <c r="T88" s="89" t="s">
        <v>29681</v>
      </c>
      <c r="U88" s="89" t="s">
        <v>29438</v>
      </c>
      <c r="V88" s="89"/>
      <c r="W88" s="89" t="s">
        <v>100</v>
      </c>
      <c r="X88" s="89">
        <v>2653</v>
      </c>
      <c r="Y88" s="66"/>
      <c r="Z88" s="66"/>
      <c r="AA88" s="66"/>
      <c r="AB88" s="66"/>
      <c r="AC88" s="66"/>
      <c r="AD88" s="66"/>
      <c r="AE88" s="66"/>
      <c r="AF88" s="66"/>
      <c r="AG88" s="66"/>
      <c r="AH88" s="66"/>
      <c r="AI88" s="66"/>
      <c r="AJ88" s="66"/>
      <c r="AK88" s="66"/>
      <c r="AL88" s="66"/>
      <c r="AM88" s="66"/>
      <c r="AN88" s="66"/>
      <c r="AO88" s="66"/>
      <c r="AP88" s="78"/>
      <c r="AQ88" s="78"/>
      <c r="AR88" s="78"/>
      <c r="AS88" s="78"/>
      <c r="AT88" s="78"/>
      <c r="AU88" s="78"/>
      <c r="AV88" s="78"/>
      <c r="AW88" s="78"/>
      <c r="AX88" s="78"/>
      <c r="AY88" s="78"/>
      <c r="AZ88" s="78"/>
      <c r="BA88" s="78"/>
      <c r="BB88" s="78"/>
      <c r="BC88" s="78"/>
      <c r="BD88" s="78"/>
      <c r="BF88" s="78"/>
      <c r="BG88" s="78"/>
      <c r="BH88" s="78"/>
      <c r="BI88" s="78"/>
      <c r="BJ88" s="78"/>
      <c r="BK88" s="78"/>
    </row>
    <row r="89" spans="1:63" ht="12" customHeight="1" x14ac:dyDescent="0.2">
      <c r="A89" s="66" t="s">
        <v>30776</v>
      </c>
      <c r="B89" s="66">
        <v>44</v>
      </c>
      <c r="C89" s="66" t="s">
        <v>20</v>
      </c>
      <c r="D89" s="66" t="s">
        <v>48</v>
      </c>
      <c r="E89" s="66"/>
      <c r="F89" s="69">
        <v>42895</v>
      </c>
      <c r="G89" s="66" t="s">
        <v>30777</v>
      </c>
      <c r="H89" s="66" t="s">
        <v>30778</v>
      </c>
      <c r="I89" s="66" t="s">
        <v>44</v>
      </c>
      <c r="J89" s="66">
        <v>60534</v>
      </c>
      <c r="K89" s="66" t="s">
        <v>88</v>
      </c>
      <c r="L89" s="66" t="s">
        <v>22029</v>
      </c>
      <c r="M89" s="66" t="s">
        <v>27</v>
      </c>
      <c r="N89" s="66" t="s">
        <v>30779</v>
      </c>
      <c r="O89" s="66" t="s">
        <v>400</v>
      </c>
      <c r="P89" s="66" t="s">
        <v>30375</v>
      </c>
      <c r="Q89" s="76" t="s">
        <v>30780</v>
      </c>
      <c r="R89" s="66" t="s">
        <v>100</v>
      </c>
      <c r="S89" s="66" t="s">
        <v>28</v>
      </c>
      <c r="T89" s="89" t="s">
        <v>29681</v>
      </c>
      <c r="U89" s="89" t="s">
        <v>29438</v>
      </c>
      <c r="V89" s="89" t="s">
        <v>29437</v>
      </c>
      <c r="W89" s="89" t="s">
        <v>100</v>
      </c>
      <c r="X89" s="89">
        <v>2652</v>
      </c>
      <c r="Y89" s="66"/>
      <c r="Z89" s="66"/>
      <c r="AA89" s="66"/>
      <c r="AB89" s="66"/>
      <c r="AC89" s="66"/>
      <c r="AD89" s="66"/>
      <c r="AE89" s="66"/>
      <c r="AF89" s="66"/>
      <c r="AG89" s="66"/>
      <c r="AH89" s="66"/>
      <c r="AI89" s="66"/>
      <c r="AJ89" s="66"/>
      <c r="AK89" s="66"/>
      <c r="AL89" s="66"/>
      <c r="AM89" s="66"/>
      <c r="AN89" s="66"/>
      <c r="AO89" s="66"/>
      <c r="AP89" s="78"/>
      <c r="AQ89" s="78"/>
      <c r="AR89" s="78"/>
      <c r="AS89" s="78"/>
      <c r="AT89" s="78"/>
      <c r="AU89" s="78"/>
      <c r="AV89" s="78"/>
      <c r="AW89" s="78"/>
      <c r="AX89" s="78"/>
      <c r="AY89" s="78"/>
      <c r="AZ89" s="78"/>
      <c r="BA89" s="78"/>
      <c r="BB89" s="78"/>
      <c r="BC89" s="78"/>
      <c r="BD89" s="78"/>
      <c r="BF89" s="78"/>
      <c r="BG89" s="78"/>
      <c r="BH89" s="78"/>
      <c r="BI89" s="78"/>
      <c r="BJ89" s="78"/>
      <c r="BK89" s="78"/>
    </row>
    <row r="90" spans="1:63" ht="12" customHeight="1" x14ac:dyDescent="0.2">
      <c r="A90" s="66" t="s">
        <v>30781</v>
      </c>
      <c r="B90" s="66">
        <v>29</v>
      </c>
      <c r="C90" s="66" t="s">
        <v>20</v>
      </c>
      <c r="D90" s="66" t="s">
        <v>85</v>
      </c>
      <c r="E90" s="66" t="s">
        <v>30782</v>
      </c>
      <c r="F90" s="69">
        <v>42895</v>
      </c>
      <c r="G90" s="66" t="s">
        <v>30783</v>
      </c>
      <c r="H90" s="66" t="s">
        <v>2487</v>
      </c>
      <c r="I90" s="66" t="s">
        <v>395</v>
      </c>
      <c r="J90" s="66">
        <v>74106</v>
      </c>
      <c r="K90" s="66" t="s">
        <v>2487</v>
      </c>
      <c r="L90" s="66" t="s">
        <v>30784</v>
      </c>
      <c r="M90" s="66" t="s">
        <v>5411</v>
      </c>
      <c r="N90" s="66" t="s">
        <v>30785</v>
      </c>
      <c r="O90" s="66" t="s">
        <v>400</v>
      </c>
      <c r="P90" s="66" t="s">
        <v>30375</v>
      </c>
      <c r="Q90" s="76" t="s">
        <v>30786</v>
      </c>
      <c r="R90" s="66" t="s">
        <v>555</v>
      </c>
      <c r="S90" s="66" t="s">
        <v>28</v>
      </c>
      <c r="T90" s="89" t="s">
        <v>29674</v>
      </c>
      <c r="U90" s="89" t="s">
        <v>29436</v>
      </c>
      <c r="V90" s="89" t="s">
        <v>29439</v>
      </c>
      <c r="W90" s="89" t="s">
        <v>100</v>
      </c>
      <c r="X90" s="89">
        <v>2651</v>
      </c>
      <c r="Y90" s="66"/>
      <c r="Z90" s="66"/>
      <c r="AA90" s="66"/>
      <c r="AB90" s="66"/>
      <c r="AC90" s="66"/>
      <c r="AD90" s="66"/>
      <c r="AE90" s="66"/>
      <c r="AF90" s="66"/>
      <c r="AG90" s="66"/>
      <c r="AH90" s="66"/>
      <c r="AI90" s="66"/>
      <c r="AJ90" s="66"/>
      <c r="AK90" s="66"/>
      <c r="AL90" s="66"/>
      <c r="AM90" s="66"/>
      <c r="AN90" s="66"/>
      <c r="AO90" s="66"/>
      <c r="AP90" s="78"/>
      <c r="AQ90" s="78"/>
      <c r="AR90" s="78"/>
      <c r="AS90" s="78"/>
      <c r="AT90" s="78"/>
      <c r="AU90" s="78"/>
      <c r="AV90" s="78"/>
      <c r="AW90" s="78"/>
      <c r="AX90" s="78"/>
      <c r="AY90" s="78"/>
      <c r="AZ90" s="78"/>
      <c r="BA90" s="78"/>
      <c r="BB90" s="78"/>
      <c r="BC90" s="78"/>
      <c r="BD90" s="78"/>
      <c r="BF90" s="78"/>
      <c r="BG90" s="78"/>
      <c r="BH90" s="78"/>
      <c r="BI90" s="78"/>
      <c r="BJ90" s="78"/>
      <c r="BK90" s="78"/>
    </row>
    <row r="91" spans="1:63" ht="12" customHeight="1" x14ac:dyDescent="0.2">
      <c r="A91" s="66" t="s">
        <v>30809</v>
      </c>
      <c r="B91" s="66">
        <v>32</v>
      </c>
      <c r="C91" s="66" t="s">
        <v>20</v>
      </c>
      <c r="D91" s="66" t="s">
        <v>85</v>
      </c>
      <c r="E91" s="66" t="s">
        <v>30810</v>
      </c>
      <c r="F91" s="69">
        <v>42894</v>
      </c>
      <c r="G91" s="66" t="s">
        <v>30811</v>
      </c>
      <c r="H91" s="66" t="s">
        <v>1100</v>
      </c>
      <c r="I91" s="66" t="s">
        <v>404</v>
      </c>
      <c r="J91" s="66">
        <v>19124</v>
      </c>
      <c r="K91" s="66" t="s">
        <v>1100</v>
      </c>
      <c r="L91" s="66" t="s">
        <v>1101</v>
      </c>
      <c r="M91" s="66" t="s">
        <v>5411</v>
      </c>
      <c r="N91" s="66" t="s">
        <v>30812</v>
      </c>
      <c r="O91" s="66" t="s">
        <v>400</v>
      </c>
      <c r="P91" s="66" t="s">
        <v>30375</v>
      </c>
      <c r="Q91" s="76" t="s">
        <v>30813</v>
      </c>
      <c r="R91" s="66" t="s">
        <v>100</v>
      </c>
      <c r="S91" s="66" t="s">
        <v>28</v>
      </c>
      <c r="T91" s="89" t="s">
        <v>29681</v>
      </c>
      <c r="U91" s="89" t="s">
        <v>29436</v>
      </c>
      <c r="V91" s="89" t="s">
        <v>29440</v>
      </c>
      <c r="W91" s="89" t="s">
        <v>100</v>
      </c>
      <c r="X91" s="89">
        <v>2648</v>
      </c>
      <c r="Y91" s="66"/>
      <c r="Z91" s="66"/>
      <c r="AA91" s="66"/>
      <c r="AB91" s="66"/>
      <c r="AC91" s="66"/>
      <c r="AD91" s="66"/>
      <c r="AE91" s="66"/>
      <c r="AF91" s="66"/>
      <c r="AG91" s="66"/>
      <c r="AH91" s="66"/>
      <c r="AI91" s="66"/>
      <c r="AJ91" s="66"/>
      <c r="AK91" s="66"/>
      <c r="AL91" s="66"/>
      <c r="AM91" s="66"/>
      <c r="AN91" s="66"/>
      <c r="AO91" s="66"/>
      <c r="AP91" s="78"/>
      <c r="AQ91" s="78"/>
      <c r="AR91" s="78"/>
      <c r="AS91" s="78"/>
      <c r="AT91" s="78"/>
      <c r="AU91" s="78"/>
      <c r="AV91" s="78"/>
      <c r="AW91" s="78"/>
      <c r="AX91" s="78"/>
      <c r="AY91" s="78"/>
      <c r="AZ91" s="78"/>
      <c r="BA91" s="78"/>
      <c r="BB91" s="78"/>
      <c r="BC91" s="78"/>
      <c r="BD91" s="78"/>
      <c r="BF91" s="78"/>
      <c r="BG91" s="78"/>
      <c r="BH91" s="78"/>
      <c r="BI91" s="78"/>
      <c r="BJ91" s="78"/>
      <c r="BK91" s="78"/>
    </row>
    <row r="92" spans="1:63" ht="12" customHeight="1" x14ac:dyDescent="0.2">
      <c r="A92" s="66" t="s">
        <v>30792</v>
      </c>
      <c r="B92" s="66">
        <v>45</v>
      </c>
      <c r="C92" s="66" t="s">
        <v>20</v>
      </c>
      <c r="D92" s="66" t="s">
        <v>48</v>
      </c>
      <c r="E92" s="66" t="s">
        <v>30793</v>
      </c>
      <c r="F92" s="69">
        <v>42894</v>
      </c>
      <c r="G92" s="66" t="s">
        <v>30794</v>
      </c>
      <c r="H92" s="66" t="s">
        <v>13431</v>
      </c>
      <c r="I92" s="66" t="s">
        <v>45</v>
      </c>
      <c r="J92" s="66">
        <v>93555</v>
      </c>
      <c r="K92" s="66" t="s">
        <v>680</v>
      </c>
      <c r="L92" s="66" t="s">
        <v>30795</v>
      </c>
      <c r="M92" s="66" t="s">
        <v>27</v>
      </c>
      <c r="N92" s="66" t="s">
        <v>30796</v>
      </c>
      <c r="O92" s="66" t="s">
        <v>400</v>
      </c>
      <c r="P92" s="66" t="s">
        <v>30375</v>
      </c>
      <c r="Q92" s="76" t="s">
        <v>30797</v>
      </c>
      <c r="R92" s="66" t="s">
        <v>100</v>
      </c>
      <c r="S92" s="66" t="s">
        <v>28</v>
      </c>
      <c r="T92" s="89" t="s">
        <v>29681</v>
      </c>
      <c r="U92" s="89" t="s">
        <v>29438</v>
      </c>
      <c r="V92" s="89" t="s">
        <v>29439</v>
      </c>
      <c r="W92" s="89" t="s">
        <v>100</v>
      </c>
      <c r="X92" s="89">
        <v>2647</v>
      </c>
      <c r="Y92" s="66"/>
      <c r="Z92" s="66"/>
      <c r="AA92" s="66"/>
      <c r="AB92" s="66"/>
      <c r="AC92" s="66"/>
      <c r="AD92" s="66"/>
      <c r="AE92" s="66"/>
      <c r="AF92" s="66"/>
      <c r="AG92" s="66"/>
      <c r="AH92" s="66"/>
      <c r="AI92" s="66"/>
      <c r="AJ92" s="66"/>
      <c r="AK92" s="66"/>
      <c r="AL92" s="66"/>
      <c r="AM92" s="66"/>
      <c r="AN92" s="66"/>
      <c r="AO92" s="66"/>
      <c r="AP92" s="78"/>
      <c r="AQ92" s="78"/>
      <c r="AR92" s="78"/>
      <c r="AS92" s="78"/>
      <c r="AT92" s="78"/>
      <c r="AU92" s="78"/>
      <c r="AV92" s="78"/>
      <c r="AW92" s="78"/>
      <c r="AX92" s="78"/>
      <c r="AY92" s="78"/>
      <c r="AZ92" s="78"/>
      <c r="BA92" s="78"/>
      <c r="BB92" s="78"/>
      <c r="BC92" s="78"/>
      <c r="BD92" s="78"/>
      <c r="BF92" s="78"/>
      <c r="BG92" s="78"/>
      <c r="BH92" s="78"/>
      <c r="BI92" s="78"/>
      <c r="BJ92" s="78"/>
      <c r="BK92" s="78"/>
    </row>
    <row r="93" spans="1:63" ht="12" customHeight="1" x14ac:dyDescent="0.2">
      <c r="A93" s="66" t="s">
        <v>30814</v>
      </c>
      <c r="B93" s="66">
        <v>38</v>
      </c>
      <c r="C93" s="66" t="s">
        <v>20</v>
      </c>
      <c r="D93" s="66" t="s">
        <v>48</v>
      </c>
      <c r="E93" s="66" t="s">
        <v>30815</v>
      </c>
      <c r="F93" s="69">
        <v>42894</v>
      </c>
      <c r="G93" s="66" t="s">
        <v>30816</v>
      </c>
      <c r="H93" s="66" t="s">
        <v>30817</v>
      </c>
      <c r="I93" s="66" t="s">
        <v>73</v>
      </c>
      <c r="J93" s="66">
        <v>78586</v>
      </c>
      <c r="K93" s="66" t="s">
        <v>1199</v>
      </c>
      <c r="L93" s="66" t="s">
        <v>30818</v>
      </c>
      <c r="M93" s="66" t="s">
        <v>27</v>
      </c>
      <c r="N93" s="66" t="s">
        <v>30819</v>
      </c>
      <c r="O93" s="66" t="s">
        <v>400</v>
      </c>
      <c r="P93" s="66" t="s">
        <v>30375</v>
      </c>
      <c r="Q93" s="76" t="s">
        <v>30820</v>
      </c>
      <c r="R93" s="66" t="s">
        <v>100</v>
      </c>
      <c r="S93" s="66" t="s">
        <v>28</v>
      </c>
      <c r="T93" s="89"/>
      <c r="U93" s="89"/>
      <c r="V93" s="89"/>
      <c r="W93" s="89"/>
      <c r="X93" s="89"/>
      <c r="Y93" s="66"/>
      <c r="Z93" s="66"/>
      <c r="AA93" s="66"/>
      <c r="AB93" s="66"/>
      <c r="AC93" s="66"/>
      <c r="AD93" s="66"/>
      <c r="AE93" s="66"/>
      <c r="AF93" s="66"/>
      <c r="AG93" s="66"/>
      <c r="AH93" s="66"/>
      <c r="AI93" s="66"/>
      <c r="AJ93" s="66"/>
      <c r="AK93" s="66"/>
      <c r="AL93" s="66"/>
      <c r="AM93" s="66"/>
      <c r="AN93" s="66"/>
      <c r="AO93" s="66"/>
      <c r="AP93" s="78"/>
      <c r="AQ93" s="78"/>
      <c r="AR93" s="78"/>
      <c r="AS93" s="78"/>
      <c r="AT93" s="78"/>
      <c r="AU93" s="78"/>
      <c r="AV93" s="78"/>
      <c r="AW93" s="78"/>
      <c r="AX93" s="78"/>
      <c r="AY93" s="78"/>
      <c r="AZ93" s="78"/>
      <c r="BA93" s="78"/>
      <c r="BB93" s="78"/>
      <c r="BC93" s="78"/>
      <c r="BD93" s="78"/>
      <c r="BF93" s="78"/>
      <c r="BG93" s="78"/>
      <c r="BH93" s="78"/>
      <c r="BI93" s="78"/>
      <c r="BJ93" s="78"/>
      <c r="BK93" s="78"/>
    </row>
    <row r="94" spans="1:63" ht="12" customHeight="1" x14ac:dyDescent="0.2">
      <c r="A94" s="66" t="s">
        <v>30787</v>
      </c>
      <c r="B94" s="66">
        <v>33</v>
      </c>
      <c r="C94" s="66" t="s">
        <v>114</v>
      </c>
      <c r="D94" s="66" t="s">
        <v>37</v>
      </c>
      <c r="E94" s="66" t="s">
        <v>30788</v>
      </c>
      <c r="F94" s="69">
        <v>42894</v>
      </c>
      <c r="G94" s="66" t="s">
        <v>30789</v>
      </c>
      <c r="H94" s="66" t="s">
        <v>489</v>
      </c>
      <c r="I94" s="66" t="s">
        <v>45</v>
      </c>
      <c r="J94" s="66">
        <v>90808</v>
      </c>
      <c r="K94" s="66" t="s">
        <v>98</v>
      </c>
      <c r="L94" s="66" t="s">
        <v>957</v>
      </c>
      <c r="M94" s="66" t="s">
        <v>27</v>
      </c>
      <c r="N94" s="66" t="s">
        <v>30790</v>
      </c>
      <c r="O94" s="66" t="s">
        <v>400</v>
      </c>
      <c r="P94" s="66" t="s">
        <v>30375</v>
      </c>
      <c r="Q94" s="76" t="s">
        <v>30791</v>
      </c>
      <c r="R94" s="66" t="s">
        <v>100</v>
      </c>
      <c r="S94" s="66" t="s">
        <v>28</v>
      </c>
      <c r="T94" s="89" t="s">
        <v>29681</v>
      </c>
      <c r="U94" s="89" t="s">
        <v>29438</v>
      </c>
      <c r="V94" s="89" t="s">
        <v>29439</v>
      </c>
      <c r="W94" s="89" t="s">
        <v>100</v>
      </c>
      <c r="X94" s="89">
        <v>2646</v>
      </c>
      <c r="Y94" s="66"/>
      <c r="Z94" s="66"/>
      <c r="AA94" s="66"/>
      <c r="AB94" s="66"/>
      <c r="AC94" s="66"/>
      <c r="AD94" s="66"/>
      <c r="AE94" s="66"/>
      <c r="AF94" s="66"/>
      <c r="AG94" s="66"/>
      <c r="AH94" s="66"/>
      <c r="AI94" s="66"/>
      <c r="AJ94" s="66"/>
      <c r="AK94" s="66"/>
      <c r="AL94" s="66"/>
      <c r="AM94" s="66"/>
      <c r="AN94" s="66"/>
      <c r="AO94" s="66"/>
      <c r="AP94" s="78"/>
      <c r="AQ94" s="78"/>
      <c r="AR94" s="78"/>
      <c r="AS94" s="78"/>
      <c r="AT94" s="78"/>
      <c r="AU94" s="78"/>
      <c r="AV94" s="78"/>
      <c r="AW94" s="78"/>
      <c r="AX94" s="78"/>
      <c r="AY94" s="78"/>
      <c r="AZ94" s="78"/>
      <c r="BA94" s="78"/>
      <c r="BB94" s="78"/>
      <c r="BC94" s="78"/>
      <c r="BD94" s="78"/>
      <c r="BF94" s="78"/>
      <c r="BG94" s="78"/>
      <c r="BH94" s="78"/>
      <c r="BI94" s="78"/>
      <c r="BJ94" s="78"/>
      <c r="BK94" s="78"/>
    </row>
    <row r="95" spans="1:63" ht="12" customHeight="1" x14ac:dyDescent="0.2">
      <c r="A95" s="66" t="s">
        <v>30798</v>
      </c>
      <c r="B95" s="66">
        <v>48</v>
      </c>
      <c r="C95" s="66" t="s">
        <v>20</v>
      </c>
      <c r="D95" s="66" t="s">
        <v>37</v>
      </c>
      <c r="E95" s="66"/>
      <c r="F95" s="69">
        <v>42894</v>
      </c>
      <c r="G95" s="66" t="s">
        <v>30799</v>
      </c>
      <c r="H95" s="66" t="s">
        <v>552</v>
      </c>
      <c r="I95" s="66" t="s">
        <v>209</v>
      </c>
      <c r="J95" s="66">
        <v>80537</v>
      </c>
      <c r="K95" s="66" t="s">
        <v>553</v>
      </c>
      <c r="L95" s="66" t="s">
        <v>554</v>
      </c>
      <c r="M95" s="66" t="s">
        <v>27</v>
      </c>
      <c r="N95" s="66" t="s">
        <v>30800</v>
      </c>
      <c r="O95" s="66" t="s">
        <v>400</v>
      </c>
      <c r="P95" s="66" t="s">
        <v>30375</v>
      </c>
      <c r="Q95" s="76" t="s">
        <v>30801</v>
      </c>
      <c r="R95" s="66" t="s">
        <v>100</v>
      </c>
      <c r="S95" s="66" t="s">
        <v>28</v>
      </c>
      <c r="T95" s="89" t="s">
        <v>29681</v>
      </c>
      <c r="U95" s="89" t="s">
        <v>29438</v>
      </c>
      <c r="V95" s="89"/>
      <c r="W95" s="89" t="s">
        <v>100</v>
      </c>
      <c r="X95" s="89">
        <v>2649</v>
      </c>
      <c r="Y95" s="66"/>
      <c r="Z95" s="66"/>
      <c r="AA95" s="66"/>
      <c r="AB95" s="66"/>
      <c r="AC95" s="66"/>
      <c r="AD95" s="66"/>
      <c r="AE95" s="66"/>
      <c r="AF95" s="66"/>
      <c r="AG95" s="66"/>
      <c r="AH95" s="66"/>
      <c r="AI95" s="66"/>
      <c r="AJ95" s="66"/>
      <c r="AK95" s="66"/>
      <c r="AL95" s="66"/>
      <c r="AM95" s="66"/>
      <c r="AN95" s="66"/>
      <c r="AO95" s="66"/>
      <c r="AP95" s="78"/>
      <c r="AQ95" s="78"/>
      <c r="AR95" s="78"/>
      <c r="AS95" s="78"/>
      <c r="AT95" s="78"/>
      <c r="AU95" s="78"/>
      <c r="AV95" s="78"/>
      <c r="AW95" s="78"/>
      <c r="AX95" s="78"/>
      <c r="AY95" s="78"/>
      <c r="AZ95" s="78"/>
      <c r="BA95" s="78"/>
      <c r="BB95" s="78"/>
      <c r="BC95" s="78"/>
      <c r="BD95" s="78"/>
      <c r="BF95" s="78"/>
      <c r="BG95" s="78"/>
      <c r="BH95" s="78"/>
      <c r="BI95" s="78"/>
      <c r="BJ95" s="78"/>
      <c r="BK95" s="78"/>
    </row>
    <row r="96" spans="1:63" ht="12" customHeight="1" x14ac:dyDescent="0.2">
      <c r="A96" s="66" t="s">
        <v>30802</v>
      </c>
      <c r="B96" s="66">
        <v>57</v>
      </c>
      <c r="C96" s="66" t="s">
        <v>20</v>
      </c>
      <c r="D96" s="66" t="s">
        <v>37</v>
      </c>
      <c r="E96" s="66" t="s">
        <v>30803</v>
      </c>
      <c r="F96" s="69">
        <v>42894</v>
      </c>
      <c r="G96" s="66"/>
      <c r="H96" s="66" t="s">
        <v>30804</v>
      </c>
      <c r="I96" s="66" t="s">
        <v>395</v>
      </c>
      <c r="J96" s="66">
        <v>74954</v>
      </c>
      <c r="K96" s="66" t="s">
        <v>30805</v>
      </c>
      <c r="L96" s="66" t="s">
        <v>30806</v>
      </c>
      <c r="M96" s="66" t="s">
        <v>27</v>
      </c>
      <c r="N96" s="66" t="s">
        <v>30807</v>
      </c>
      <c r="O96" s="66" t="s">
        <v>400</v>
      </c>
      <c r="P96" s="66" t="s">
        <v>30375</v>
      </c>
      <c r="Q96" s="76" t="s">
        <v>30808</v>
      </c>
      <c r="R96" s="66" t="s">
        <v>555</v>
      </c>
      <c r="S96" s="66" t="s">
        <v>28</v>
      </c>
      <c r="T96" s="89" t="s">
        <v>29681</v>
      </c>
      <c r="U96" s="89" t="s">
        <v>29438</v>
      </c>
      <c r="V96" s="89" t="s">
        <v>29439</v>
      </c>
      <c r="W96" s="89" t="s">
        <v>100</v>
      </c>
      <c r="X96" s="89">
        <v>2650</v>
      </c>
      <c r="Y96" s="66"/>
      <c r="Z96" s="66"/>
      <c r="AA96" s="66"/>
      <c r="AB96" s="66"/>
      <c r="AC96" s="66"/>
      <c r="AD96" s="66"/>
      <c r="AE96" s="66"/>
      <c r="AF96" s="66"/>
      <c r="AG96" s="66"/>
      <c r="AH96" s="66"/>
      <c r="AI96" s="66"/>
      <c r="AJ96" s="66"/>
      <c r="AK96" s="66"/>
      <c r="AL96" s="66"/>
      <c r="AM96" s="66"/>
      <c r="AN96" s="66"/>
      <c r="AO96" s="66"/>
      <c r="AP96" s="78"/>
      <c r="AQ96" s="78"/>
      <c r="AR96" s="78"/>
      <c r="AS96" s="78"/>
      <c r="AT96" s="78"/>
      <c r="AU96" s="78"/>
      <c r="AV96" s="78"/>
      <c r="AW96" s="78"/>
      <c r="AX96" s="78"/>
      <c r="AY96" s="78"/>
      <c r="AZ96" s="78"/>
      <c r="BA96" s="78"/>
      <c r="BB96" s="78"/>
      <c r="BC96" s="78"/>
      <c r="BD96" s="78"/>
      <c r="BF96" s="78"/>
      <c r="BG96" s="78"/>
      <c r="BH96" s="78"/>
      <c r="BI96" s="78"/>
      <c r="BJ96" s="78"/>
      <c r="BK96" s="78"/>
    </row>
    <row r="97" spans="1:63" ht="12" customHeight="1" x14ac:dyDescent="0.2">
      <c r="A97" s="66" t="s">
        <v>30821</v>
      </c>
      <c r="B97" s="66">
        <v>21</v>
      </c>
      <c r="C97" s="66" t="s">
        <v>20</v>
      </c>
      <c r="D97" s="66" t="s">
        <v>48</v>
      </c>
      <c r="E97" s="66"/>
      <c r="F97" s="69">
        <v>42893</v>
      </c>
      <c r="G97" s="66" t="s">
        <v>30822</v>
      </c>
      <c r="H97" s="66" t="s">
        <v>200</v>
      </c>
      <c r="I97" s="66" t="s">
        <v>45</v>
      </c>
      <c r="J97" s="66">
        <v>93705</v>
      </c>
      <c r="K97" s="66" t="s">
        <v>200</v>
      </c>
      <c r="L97" s="66" t="s">
        <v>201</v>
      </c>
      <c r="M97" s="66" t="s">
        <v>27</v>
      </c>
      <c r="N97" s="66" t="s">
        <v>30823</v>
      </c>
      <c r="O97" s="66" t="s">
        <v>400</v>
      </c>
      <c r="P97" s="66" t="s">
        <v>30375</v>
      </c>
      <c r="Q97" s="76" t="s">
        <v>30824</v>
      </c>
      <c r="R97" s="66" t="s">
        <v>100</v>
      </c>
      <c r="S97" s="66" t="s">
        <v>28</v>
      </c>
      <c r="T97" s="89" t="s">
        <v>29681</v>
      </c>
      <c r="U97" s="89" t="s">
        <v>29438</v>
      </c>
      <c r="V97" s="89"/>
      <c r="W97" s="89" t="s">
        <v>555</v>
      </c>
      <c r="X97" s="89">
        <v>2639</v>
      </c>
      <c r="Y97" s="66"/>
      <c r="Z97" s="66"/>
      <c r="AA97" s="66"/>
      <c r="AB97" s="66"/>
      <c r="AC97" s="66"/>
      <c r="AD97" s="66"/>
      <c r="AE97" s="66"/>
      <c r="AF97" s="66"/>
      <c r="AG97" s="66"/>
      <c r="AH97" s="66"/>
      <c r="AI97" s="66"/>
      <c r="AJ97" s="66"/>
      <c r="AK97" s="66"/>
      <c r="AL97" s="66"/>
      <c r="AM97" s="66"/>
      <c r="AN97" s="66"/>
      <c r="AO97" s="66"/>
      <c r="AP97" s="78"/>
      <c r="AQ97" s="78"/>
      <c r="AR97" s="78"/>
      <c r="AS97" s="78"/>
      <c r="AT97" s="78"/>
      <c r="AU97" s="78"/>
      <c r="AV97" s="78"/>
      <c r="AW97" s="78"/>
      <c r="AX97" s="78"/>
      <c r="AY97" s="78"/>
      <c r="AZ97" s="78"/>
      <c r="BA97" s="78"/>
      <c r="BB97" s="78"/>
      <c r="BC97" s="78"/>
      <c r="BD97" s="78"/>
      <c r="BF97" s="78"/>
      <c r="BG97" s="78"/>
      <c r="BH97" s="78"/>
      <c r="BI97" s="78"/>
      <c r="BJ97" s="78"/>
      <c r="BK97" s="78"/>
    </row>
    <row r="98" spans="1:63" ht="12" customHeight="1" x14ac:dyDescent="0.2">
      <c r="A98" s="66" t="s">
        <v>30825</v>
      </c>
      <c r="B98" s="66">
        <v>35</v>
      </c>
      <c r="C98" s="66" t="s">
        <v>20</v>
      </c>
      <c r="D98" s="66" t="s">
        <v>37</v>
      </c>
      <c r="E98" s="66"/>
      <c r="F98" s="69">
        <v>42893</v>
      </c>
      <c r="G98" s="66" t="s">
        <v>30826</v>
      </c>
      <c r="H98" s="66" t="s">
        <v>30827</v>
      </c>
      <c r="I98" s="66" t="s">
        <v>52</v>
      </c>
      <c r="J98" s="66">
        <v>21222</v>
      </c>
      <c r="K98" s="66" t="s">
        <v>1592</v>
      </c>
      <c r="L98" s="66" t="s">
        <v>231</v>
      </c>
      <c r="M98" s="66" t="s">
        <v>27</v>
      </c>
      <c r="N98" s="66" t="s">
        <v>30828</v>
      </c>
      <c r="O98" s="66" t="s">
        <v>400</v>
      </c>
      <c r="P98" s="66" t="s">
        <v>30375</v>
      </c>
      <c r="Q98" s="76" t="s">
        <v>30829</v>
      </c>
      <c r="R98" s="66" t="s">
        <v>100</v>
      </c>
      <c r="S98" s="66" t="s">
        <v>28</v>
      </c>
      <c r="T98" s="89" t="s">
        <v>29681</v>
      </c>
      <c r="U98" s="89" t="s">
        <v>29438</v>
      </c>
      <c r="V98" s="89" t="s">
        <v>29439</v>
      </c>
      <c r="W98" s="89" t="s">
        <v>555</v>
      </c>
      <c r="X98" s="89">
        <v>2644</v>
      </c>
      <c r="Y98" s="66"/>
      <c r="Z98" s="66"/>
      <c r="AA98" s="66"/>
      <c r="AB98" s="66"/>
      <c r="AC98" s="66"/>
      <c r="AD98" s="66"/>
      <c r="AE98" s="66"/>
      <c r="AF98" s="66"/>
      <c r="AG98" s="66"/>
      <c r="AH98" s="66"/>
      <c r="AI98" s="66"/>
      <c r="AJ98" s="66"/>
      <c r="AK98" s="66"/>
      <c r="AL98" s="66"/>
      <c r="AM98" s="66"/>
      <c r="AN98" s="66"/>
      <c r="AO98" s="66"/>
      <c r="AP98" s="78"/>
      <c r="AQ98" s="78"/>
      <c r="AR98" s="78"/>
      <c r="AS98" s="78"/>
      <c r="AT98" s="78"/>
      <c r="AU98" s="78"/>
      <c r="AV98" s="78"/>
      <c r="AW98" s="78"/>
      <c r="AX98" s="78"/>
      <c r="AY98" s="78"/>
      <c r="AZ98" s="78"/>
      <c r="BA98" s="78"/>
      <c r="BB98" s="78"/>
      <c r="BC98" s="78"/>
      <c r="BD98" s="78"/>
      <c r="BF98" s="78"/>
      <c r="BG98" s="78"/>
      <c r="BH98" s="78"/>
      <c r="BI98" s="78"/>
      <c r="BJ98" s="78"/>
      <c r="BK98" s="78"/>
    </row>
    <row r="99" spans="1:63" ht="12" customHeight="1" x14ac:dyDescent="0.2">
      <c r="A99" s="66" t="s">
        <v>30830</v>
      </c>
      <c r="B99" s="66">
        <v>54</v>
      </c>
      <c r="C99" s="66" t="s">
        <v>20</v>
      </c>
      <c r="D99" s="66" t="s">
        <v>37</v>
      </c>
      <c r="E99" s="66" t="s">
        <v>30831</v>
      </c>
      <c r="F99" s="69">
        <v>42893</v>
      </c>
      <c r="G99" s="66" t="s">
        <v>30832</v>
      </c>
      <c r="H99" s="66" t="s">
        <v>30833</v>
      </c>
      <c r="I99" s="66" t="s">
        <v>4371</v>
      </c>
      <c r="J99" s="66">
        <v>4474</v>
      </c>
      <c r="K99" s="66" t="s">
        <v>6987</v>
      </c>
      <c r="L99" s="66" t="s">
        <v>30834</v>
      </c>
      <c r="M99" s="66" t="s">
        <v>27</v>
      </c>
      <c r="N99" s="66" t="s">
        <v>30835</v>
      </c>
      <c r="O99" s="66" t="s">
        <v>400</v>
      </c>
      <c r="P99" s="66" t="s">
        <v>30375</v>
      </c>
      <c r="Q99" s="76" t="s">
        <v>30836</v>
      </c>
      <c r="R99" s="66" t="s">
        <v>100</v>
      </c>
      <c r="S99" s="66" t="s">
        <v>28</v>
      </c>
      <c r="T99" s="89" t="s">
        <v>29681</v>
      </c>
      <c r="U99" s="89" t="s">
        <v>29438</v>
      </c>
      <c r="V99" s="89" t="s">
        <v>29439</v>
      </c>
      <c r="W99" s="89" t="s">
        <v>100</v>
      </c>
      <c r="X99" s="89">
        <v>2640</v>
      </c>
      <c r="Y99" s="66"/>
      <c r="Z99" s="66"/>
      <c r="AA99" s="66"/>
      <c r="AB99" s="66"/>
      <c r="AC99" s="66"/>
      <c r="AD99" s="66"/>
      <c r="AE99" s="66"/>
      <c r="AF99" s="66"/>
      <c r="AG99" s="66"/>
      <c r="AH99" s="66"/>
      <c r="AI99" s="66"/>
      <c r="AJ99" s="66"/>
      <c r="AK99" s="66"/>
      <c r="AL99" s="66"/>
      <c r="AM99" s="66"/>
      <c r="AN99" s="66"/>
      <c r="AO99" s="66"/>
      <c r="AP99" s="78"/>
      <c r="AQ99" s="78"/>
      <c r="AR99" s="78"/>
      <c r="AS99" s="78"/>
      <c r="AT99" s="78"/>
      <c r="AU99" s="78"/>
      <c r="AV99" s="78"/>
      <c r="AW99" s="78"/>
      <c r="AX99" s="78"/>
      <c r="AY99" s="78"/>
      <c r="AZ99" s="78"/>
      <c r="BA99" s="78"/>
      <c r="BB99" s="78"/>
      <c r="BC99" s="78"/>
      <c r="BD99" s="78"/>
      <c r="BF99" s="78"/>
      <c r="BG99" s="78"/>
      <c r="BH99" s="78"/>
      <c r="BI99" s="78"/>
      <c r="BJ99" s="78"/>
      <c r="BK99" s="78"/>
    </row>
    <row r="100" spans="1:63" ht="12" customHeight="1" x14ac:dyDescent="0.2">
      <c r="A100" s="66" t="s">
        <v>30837</v>
      </c>
      <c r="B100" s="66">
        <v>21</v>
      </c>
      <c r="C100" s="66" t="s">
        <v>20</v>
      </c>
      <c r="D100" s="66" t="s">
        <v>37</v>
      </c>
      <c r="E100" s="66" t="s">
        <v>30838</v>
      </c>
      <c r="F100" s="69">
        <v>42893</v>
      </c>
      <c r="G100" s="66" t="s">
        <v>30839</v>
      </c>
      <c r="H100" s="66" t="s">
        <v>709</v>
      </c>
      <c r="I100" s="66" t="s">
        <v>431</v>
      </c>
      <c r="J100" s="66">
        <v>63109</v>
      </c>
      <c r="K100" s="66" t="s">
        <v>20282</v>
      </c>
      <c r="L100" s="66" t="s">
        <v>4516</v>
      </c>
      <c r="M100" s="66" t="s">
        <v>27</v>
      </c>
      <c r="N100" s="66" t="s">
        <v>30840</v>
      </c>
      <c r="O100" s="66" t="s">
        <v>400</v>
      </c>
      <c r="P100" s="66" t="s">
        <v>30375</v>
      </c>
      <c r="Q100" s="76" t="s">
        <v>30841</v>
      </c>
      <c r="R100" s="66" t="s">
        <v>100</v>
      </c>
      <c r="S100" s="66" t="s">
        <v>28</v>
      </c>
      <c r="T100" s="89" t="s">
        <v>29681</v>
      </c>
      <c r="U100" s="89" t="s">
        <v>29438</v>
      </c>
      <c r="V100" s="89" t="s">
        <v>29439</v>
      </c>
      <c r="W100" s="89" t="s">
        <v>100</v>
      </c>
      <c r="X100" s="89">
        <v>2642</v>
      </c>
      <c r="Y100" s="66"/>
      <c r="Z100" s="66"/>
      <c r="AA100" s="66"/>
      <c r="AB100" s="66"/>
      <c r="AC100" s="66"/>
      <c r="AD100" s="66"/>
      <c r="AE100" s="66"/>
      <c r="AF100" s="66"/>
      <c r="AG100" s="66"/>
      <c r="AH100" s="66"/>
      <c r="AI100" s="66"/>
      <c r="AJ100" s="66"/>
      <c r="AK100" s="66"/>
      <c r="AL100" s="66"/>
      <c r="AM100" s="66"/>
      <c r="AN100" s="66"/>
      <c r="AO100" s="66"/>
      <c r="AP100" s="78"/>
      <c r="AQ100" s="78"/>
      <c r="AR100" s="78"/>
      <c r="AS100" s="78"/>
      <c r="AT100" s="78"/>
      <c r="AU100" s="78"/>
      <c r="AV100" s="78"/>
      <c r="AW100" s="78"/>
      <c r="AX100" s="78"/>
      <c r="AY100" s="78"/>
      <c r="AZ100" s="78"/>
      <c r="BA100" s="78"/>
      <c r="BB100" s="78"/>
      <c r="BC100" s="78"/>
      <c r="BD100" s="78"/>
      <c r="BF100" s="78"/>
      <c r="BG100" s="78"/>
      <c r="BH100" s="78"/>
      <c r="BI100" s="78"/>
      <c r="BJ100" s="78"/>
      <c r="BK100" s="78"/>
    </row>
    <row r="101" spans="1:63" ht="12" customHeight="1" x14ac:dyDescent="0.2">
      <c r="A101" s="66" t="s">
        <v>30842</v>
      </c>
      <c r="B101" s="66">
        <v>75</v>
      </c>
      <c r="C101" s="66" t="s">
        <v>20</v>
      </c>
      <c r="D101" s="66" t="s">
        <v>37</v>
      </c>
      <c r="E101" s="66" t="s">
        <v>30843</v>
      </c>
      <c r="F101" s="69">
        <v>42893</v>
      </c>
      <c r="G101" s="66" t="s">
        <v>30844</v>
      </c>
      <c r="H101" s="66" t="s">
        <v>30845</v>
      </c>
      <c r="I101" s="66" t="s">
        <v>366</v>
      </c>
      <c r="J101" s="66">
        <v>28630</v>
      </c>
      <c r="K101" s="66" t="s">
        <v>8639</v>
      </c>
      <c r="L101" s="66" t="s">
        <v>27222</v>
      </c>
      <c r="M101" s="66" t="s">
        <v>27</v>
      </c>
      <c r="N101" s="66" t="s">
        <v>30846</v>
      </c>
      <c r="O101" s="66" t="s">
        <v>400</v>
      </c>
      <c r="P101" s="66" t="s">
        <v>30375</v>
      </c>
      <c r="Q101" s="76" t="s">
        <v>30847</v>
      </c>
      <c r="R101" s="66" t="s">
        <v>555</v>
      </c>
      <c r="S101" s="66" t="s">
        <v>35</v>
      </c>
      <c r="T101" s="89" t="s">
        <v>29441</v>
      </c>
      <c r="U101" s="89" t="s">
        <v>29441</v>
      </c>
      <c r="V101" s="89"/>
      <c r="W101" s="89" t="s">
        <v>100</v>
      </c>
      <c r="X101" s="89">
        <v>2645</v>
      </c>
      <c r="Y101" s="66"/>
      <c r="Z101" s="66"/>
      <c r="AA101" s="66"/>
      <c r="AB101" s="66"/>
      <c r="AC101" s="66"/>
      <c r="AD101" s="66"/>
      <c r="AE101" s="66"/>
      <c r="AF101" s="66"/>
      <c r="AG101" s="66"/>
      <c r="AH101" s="66"/>
      <c r="AI101" s="66"/>
      <c r="AJ101" s="66"/>
      <c r="AK101" s="66"/>
      <c r="AL101" s="66"/>
      <c r="AM101" s="66"/>
      <c r="AN101" s="66"/>
      <c r="AO101" s="66"/>
      <c r="AP101" s="78"/>
      <c r="AQ101" s="78"/>
      <c r="AR101" s="78"/>
      <c r="AS101" s="78"/>
      <c r="AT101" s="78"/>
      <c r="AU101" s="78"/>
      <c r="AV101" s="78"/>
      <c r="AW101" s="78"/>
      <c r="AX101" s="78"/>
      <c r="AY101" s="78"/>
      <c r="AZ101" s="78"/>
      <c r="BA101" s="78"/>
      <c r="BB101" s="78"/>
      <c r="BC101" s="78"/>
      <c r="BD101" s="78"/>
      <c r="BF101" s="78"/>
      <c r="BG101" s="78"/>
      <c r="BH101" s="78"/>
      <c r="BI101" s="78"/>
      <c r="BJ101" s="78"/>
      <c r="BK101" s="78"/>
    </row>
    <row r="102" spans="1:63" ht="12" customHeight="1" x14ac:dyDescent="0.2">
      <c r="A102" s="66" t="s">
        <v>30852</v>
      </c>
      <c r="B102" s="66">
        <v>50</v>
      </c>
      <c r="C102" s="66" t="s">
        <v>20</v>
      </c>
      <c r="D102" s="66" t="s">
        <v>30</v>
      </c>
      <c r="E102" s="66"/>
      <c r="F102" s="69">
        <v>42892</v>
      </c>
      <c r="G102" s="66" t="s">
        <v>30853</v>
      </c>
      <c r="H102" s="66" t="s">
        <v>3346</v>
      </c>
      <c r="I102" s="66" t="s">
        <v>303</v>
      </c>
      <c r="J102" s="66">
        <v>98682</v>
      </c>
      <c r="K102" s="66" t="s">
        <v>570</v>
      </c>
      <c r="L102" s="66" t="s">
        <v>5804</v>
      </c>
      <c r="M102" s="66" t="s">
        <v>27</v>
      </c>
      <c r="N102" s="66" t="s">
        <v>30854</v>
      </c>
      <c r="O102" s="66" t="s">
        <v>400</v>
      </c>
      <c r="P102" s="66" t="s">
        <v>30375</v>
      </c>
      <c r="Q102" s="76" t="s">
        <v>30855</v>
      </c>
      <c r="R102" s="66" t="s">
        <v>100</v>
      </c>
      <c r="S102" s="66" t="s">
        <v>28</v>
      </c>
      <c r="T102" s="89" t="s">
        <v>29681</v>
      </c>
      <c r="U102" s="89" t="s">
        <v>29438</v>
      </c>
      <c r="V102" s="89" t="s">
        <v>29437</v>
      </c>
      <c r="W102" s="89" t="s">
        <v>100</v>
      </c>
      <c r="X102" s="89">
        <v>2641</v>
      </c>
      <c r="Y102" s="66"/>
      <c r="Z102" s="66"/>
      <c r="AA102" s="66"/>
      <c r="AB102" s="66"/>
      <c r="AC102" s="66"/>
      <c r="AD102" s="66"/>
      <c r="AE102" s="66"/>
      <c r="AF102" s="66"/>
      <c r="AG102" s="66"/>
      <c r="AH102" s="66"/>
      <c r="AI102" s="66"/>
      <c r="AJ102" s="66"/>
      <c r="AK102" s="66"/>
      <c r="AL102" s="66"/>
      <c r="AM102" s="66"/>
      <c r="AN102" s="66"/>
      <c r="AO102" s="66"/>
      <c r="AP102" s="78"/>
      <c r="AQ102" s="78"/>
      <c r="AR102" s="78"/>
      <c r="AS102" s="78"/>
      <c r="AT102" s="78"/>
      <c r="AU102" s="78"/>
      <c r="AV102" s="78"/>
      <c r="AW102" s="78"/>
      <c r="AX102" s="78"/>
      <c r="AY102" s="78"/>
      <c r="AZ102" s="78"/>
      <c r="BA102" s="78"/>
      <c r="BB102" s="78"/>
      <c r="BC102" s="78"/>
      <c r="BD102" s="78"/>
      <c r="BF102" s="78"/>
      <c r="BG102" s="78"/>
      <c r="BH102" s="78"/>
      <c r="BI102" s="78"/>
      <c r="BJ102" s="78"/>
      <c r="BK102" s="78"/>
    </row>
    <row r="103" spans="1:63" ht="12" customHeight="1" x14ac:dyDescent="0.2">
      <c r="A103" s="66" t="s">
        <v>30848</v>
      </c>
      <c r="B103" s="66">
        <v>20</v>
      </c>
      <c r="C103" s="66" t="s">
        <v>20</v>
      </c>
      <c r="D103" s="66" t="s">
        <v>48</v>
      </c>
      <c r="E103" s="66"/>
      <c r="F103" s="69">
        <v>42892</v>
      </c>
      <c r="G103" s="66" t="s">
        <v>30849</v>
      </c>
      <c r="H103" s="66" t="s">
        <v>224</v>
      </c>
      <c r="I103" s="66" t="s">
        <v>45</v>
      </c>
      <c r="J103" s="66">
        <v>90744</v>
      </c>
      <c r="K103" s="66" t="s">
        <v>98</v>
      </c>
      <c r="L103" s="66" t="s">
        <v>99</v>
      </c>
      <c r="M103" s="66" t="s">
        <v>27</v>
      </c>
      <c r="N103" s="66" t="s">
        <v>30850</v>
      </c>
      <c r="O103" s="66" t="s">
        <v>400</v>
      </c>
      <c r="P103" s="66" t="s">
        <v>30375</v>
      </c>
      <c r="Q103" s="76" t="s">
        <v>30851</v>
      </c>
      <c r="R103" s="66" t="s">
        <v>100</v>
      </c>
      <c r="S103" s="66" t="s">
        <v>18</v>
      </c>
      <c r="T103" s="89" t="s">
        <v>30116</v>
      </c>
      <c r="U103" s="89"/>
      <c r="V103" s="89"/>
      <c r="W103" s="89"/>
      <c r="X103" s="89"/>
      <c r="Y103" s="66"/>
      <c r="Z103" s="66"/>
      <c r="AA103" s="66"/>
      <c r="AB103" s="66"/>
      <c r="AC103" s="66"/>
      <c r="AD103" s="66"/>
      <c r="AE103" s="66"/>
      <c r="AF103" s="66"/>
      <c r="AG103" s="66"/>
      <c r="AH103" s="66"/>
      <c r="AI103" s="66"/>
      <c r="AJ103" s="66"/>
      <c r="AK103" s="66"/>
      <c r="AL103" s="66"/>
      <c r="AM103" s="66"/>
      <c r="AN103" s="66"/>
      <c r="AO103" s="66"/>
      <c r="AP103" s="78"/>
      <c r="AQ103" s="78"/>
      <c r="AR103" s="78"/>
      <c r="AS103" s="78"/>
      <c r="AT103" s="78"/>
      <c r="AU103" s="78"/>
      <c r="AV103" s="78"/>
      <c r="AW103" s="78"/>
      <c r="AX103" s="78"/>
      <c r="AY103" s="78"/>
      <c r="AZ103" s="78"/>
      <c r="BA103" s="78"/>
      <c r="BB103" s="78"/>
      <c r="BC103" s="78"/>
      <c r="BD103" s="78"/>
      <c r="BF103" s="78"/>
      <c r="BG103" s="78"/>
      <c r="BH103" s="78"/>
      <c r="BI103" s="78"/>
      <c r="BJ103" s="78"/>
      <c r="BK103" s="78"/>
    </row>
    <row r="104" spans="1:63" ht="12" customHeight="1" x14ac:dyDescent="0.2">
      <c r="A104" s="66" t="s">
        <v>30868</v>
      </c>
      <c r="B104" s="66">
        <v>47</v>
      </c>
      <c r="C104" s="66" t="s">
        <v>20</v>
      </c>
      <c r="D104" s="66" t="s">
        <v>85</v>
      </c>
      <c r="E104" s="66" t="s">
        <v>30869</v>
      </c>
      <c r="F104" s="69">
        <v>42891</v>
      </c>
      <c r="G104" s="66" t="s">
        <v>30870</v>
      </c>
      <c r="H104" s="66" t="s">
        <v>213</v>
      </c>
      <c r="I104" s="66" t="s">
        <v>62</v>
      </c>
      <c r="J104" s="66">
        <v>33166</v>
      </c>
      <c r="K104" s="66" t="s">
        <v>161</v>
      </c>
      <c r="L104" s="66" t="s">
        <v>162</v>
      </c>
      <c r="M104" s="66" t="s">
        <v>27</v>
      </c>
      <c r="N104" s="66" t="s">
        <v>30871</v>
      </c>
      <c r="O104" s="66" t="s">
        <v>400</v>
      </c>
      <c r="P104" s="66" t="s">
        <v>30375</v>
      </c>
      <c r="Q104" s="76" t="s">
        <v>30872</v>
      </c>
      <c r="R104" s="66" t="s">
        <v>100</v>
      </c>
      <c r="S104" s="66" t="s">
        <v>28</v>
      </c>
      <c r="T104" s="89" t="s">
        <v>29681</v>
      </c>
      <c r="U104" s="89" t="s">
        <v>29436</v>
      </c>
      <c r="V104" s="89"/>
      <c r="W104" s="89" t="s">
        <v>100</v>
      </c>
      <c r="X104" s="89">
        <v>2635</v>
      </c>
      <c r="Y104" s="66"/>
      <c r="Z104" s="66"/>
      <c r="AA104" s="66"/>
      <c r="AB104" s="66"/>
      <c r="AC104" s="66"/>
      <c r="AD104" s="66"/>
      <c r="AE104" s="66"/>
      <c r="AF104" s="66"/>
      <c r="AG104" s="66"/>
      <c r="AH104" s="66"/>
      <c r="AI104" s="66"/>
      <c r="AJ104" s="66"/>
      <c r="AK104" s="66"/>
      <c r="AL104" s="66"/>
      <c r="AM104" s="66"/>
      <c r="AN104" s="66"/>
      <c r="AO104" s="66"/>
      <c r="AP104" s="78"/>
      <c r="AQ104" s="78"/>
      <c r="AR104" s="78"/>
      <c r="AS104" s="78"/>
      <c r="AT104" s="78"/>
      <c r="AU104" s="78"/>
      <c r="AV104" s="78"/>
      <c r="AW104" s="78"/>
      <c r="AX104" s="78"/>
      <c r="AY104" s="78"/>
      <c r="AZ104" s="78"/>
      <c r="BA104" s="78"/>
      <c r="BB104" s="78"/>
      <c r="BC104" s="78"/>
      <c r="BD104" s="78"/>
      <c r="BF104" s="78"/>
      <c r="BG104" s="78"/>
      <c r="BH104" s="78"/>
      <c r="BI104" s="78"/>
      <c r="BJ104" s="78"/>
      <c r="BK104" s="78"/>
    </row>
    <row r="105" spans="1:63" ht="12" customHeight="1" x14ac:dyDescent="0.2">
      <c r="A105" s="66" t="s">
        <v>30873</v>
      </c>
      <c r="B105" s="66">
        <v>34</v>
      </c>
      <c r="C105" s="66" t="s">
        <v>20</v>
      </c>
      <c r="D105" s="66" t="s">
        <v>37</v>
      </c>
      <c r="E105" s="66" t="s">
        <v>30874</v>
      </c>
      <c r="F105" s="69">
        <v>42891</v>
      </c>
      <c r="G105" s="66" t="s">
        <v>30875</v>
      </c>
      <c r="H105" s="66" t="s">
        <v>27123</v>
      </c>
      <c r="I105" s="66" t="s">
        <v>62</v>
      </c>
      <c r="J105" s="66">
        <v>33898</v>
      </c>
      <c r="K105" s="66" t="s">
        <v>1864</v>
      </c>
      <c r="L105" s="66" t="s">
        <v>257</v>
      </c>
      <c r="M105" s="66" t="s">
        <v>27</v>
      </c>
      <c r="N105" s="66" t="s">
        <v>30876</v>
      </c>
      <c r="O105" s="66" t="s">
        <v>400</v>
      </c>
      <c r="P105" s="66" t="s">
        <v>30375</v>
      </c>
      <c r="Q105" s="76" t="s">
        <v>30877</v>
      </c>
      <c r="R105" s="66" t="s">
        <v>100</v>
      </c>
      <c r="S105" s="66" t="s">
        <v>28</v>
      </c>
      <c r="T105" s="89" t="s">
        <v>29681</v>
      </c>
      <c r="U105" s="89" t="s">
        <v>29438</v>
      </c>
      <c r="V105" s="89" t="s">
        <v>21212</v>
      </c>
      <c r="W105" s="89" t="s">
        <v>100</v>
      </c>
      <c r="X105" s="89">
        <v>2637</v>
      </c>
      <c r="Y105" s="66"/>
      <c r="Z105" s="66"/>
      <c r="AA105" s="66"/>
      <c r="AB105" s="66"/>
      <c r="AC105" s="66"/>
      <c r="AD105" s="66"/>
      <c r="AE105" s="66"/>
      <c r="AF105" s="66"/>
      <c r="AG105" s="66"/>
      <c r="AH105" s="66"/>
      <c r="AI105" s="66"/>
      <c r="AJ105" s="66"/>
      <c r="AK105" s="66"/>
      <c r="AL105" s="66"/>
      <c r="AM105" s="66"/>
      <c r="AN105" s="66"/>
      <c r="AO105" s="66"/>
      <c r="AP105" s="78"/>
      <c r="AQ105" s="78"/>
      <c r="AR105" s="78"/>
      <c r="AS105" s="78"/>
      <c r="AT105" s="78"/>
      <c r="AU105" s="78"/>
      <c r="AV105" s="78"/>
      <c r="AW105" s="78"/>
      <c r="AX105" s="78"/>
      <c r="AY105" s="78"/>
      <c r="AZ105" s="78"/>
      <c r="BA105" s="78"/>
      <c r="BB105" s="78"/>
      <c r="BC105" s="78"/>
      <c r="BD105" s="78"/>
      <c r="BF105" s="78"/>
      <c r="BG105" s="78"/>
      <c r="BH105" s="78"/>
      <c r="BI105" s="78"/>
      <c r="BJ105" s="78"/>
      <c r="BK105" s="78"/>
    </row>
    <row r="106" spans="1:63" ht="12" customHeight="1" x14ac:dyDescent="0.2">
      <c r="A106" s="66" t="s">
        <v>30862</v>
      </c>
      <c r="B106" s="66">
        <v>45</v>
      </c>
      <c r="C106" s="66" t="s">
        <v>20</v>
      </c>
      <c r="D106" s="66" t="s">
        <v>37</v>
      </c>
      <c r="E106" s="66" t="s">
        <v>30863</v>
      </c>
      <c r="F106" s="69">
        <v>42891</v>
      </c>
      <c r="G106" s="66" t="s">
        <v>30864</v>
      </c>
      <c r="H106" s="66" t="s">
        <v>30865</v>
      </c>
      <c r="I106" s="66" t="s">
        <v>315</v>
      </c>
      <c r="J106" s="66">
        <v>40004</v>
      </c>
      <c r="K106" s="66" t="s">
        <v>16156</v>
      </c>
      <c r="L106" s="66" t="s">
        <v>20114</v>
      </c>
      <c r="M106" s="66" t="s">
        <v>27</v>
      </c>
      <c r="N106" s="66" t="s">
        <v>30866</v>
      </c>
      <c r="O106" s="66" t="s">
        <v>400</v>
      </c>
      <c r="P106" s="66" t="s">
        <v>30375</v>
      </c>
      <c r="Q106" s="76" t="s">
        <v>30867</v>
      </c>
      <c r="R106" s="66" t="s">
        <v>100</v>
      </c>
      <c r="S106" s="66" t="s">
        <v>28</v>
      </c>
      <c r="T106" s="89" t="s">
        <v>29681</v>
      </c>
      <c r="U106" s="89" t="s">
        <v>29438</v>
      </c>
      <c r="V106" s="89" t="s">
        <v>29437</v>
      </c>
      <c r="W106" s="89" t="s">
        <v>100</v>
      </c>
      <c r="X106" s="89">
        <v>2632</v>
      </c>
      <c r="Y106" s="66"/>
      <c r="Z106" s="66"/>
      <c r="AA106" s="66"/>
      <c r="AB106" s="66"/>
      <c r="AC106" s="66"/>
      <c r="AD106" s="66"/>
      <c r="AE106" s="66"/>
      <c r="AF106" s="66"/>
      <c r="AG106" s="66"/>
      <c r="AH106" s="66"/>
      <c r="AI106" s="66"/>
      <c r="AJ106" s="66"/>
      <c r="AK106" s="66"/>
      <c r="AL106" s="66"/>
      <c r="AM106" s="66"/>
      <c r="AN106" s="66"/>
      <c r="AO106" s="66"/>
      <c r="AP106" s="78"/>
      <c r="AQ106" s="78"/>
      <c r="AR106" s="78"/>
      <c r="AS106" s="78"/>
      <c r="AT106" s="78"/>
      <c r="AU106" s="78"/>
      <c r="AV106" s="78"/>
      <c r="AW106" s="78"/>
      <c r="AX106" s="78"/>
      <c r="AY106" s="78"/>
      <c r="AZ106" s="78"/>
      <c r="BA106" s="78"/>
      <c r="BB106" s="78"/>
      <c r="BC106" s="78"/>
      <c r="BD106" s="78"/>
      <c r="BF106" s="78"/>
      <c r="BG106" s="78"/>
      <c r="BH106" s="78"/>
      <c r="BI106" s="78"/>
      <c r="BJ106" s="78"/>
      <c r="BK106" s="78"/>
    </row>
    <row r="107" spans="1:63" ht="12" customHeight="1" x14ac:dyDescent="0.2">
      <c r="A107" s="66" t="s">
        <v>30883</v>
      </c>
      <c r="B107" s="66">
        <v>20</v>
      </c>
      <c r="C107" s="66" t="s">
        <v>20</v>
      </c>
      <c r="D107" s="66" t="s">
        <v>85</v>
      </c>
      <c r="E107" s="66"/>
      <c r="F107" s="69">
        <v>42891</v>
      </c>
      <c r="G107" s="66" t="s">
        <v>30884</v>
      </c>
      <c r="H107" s="66" t="s">
        <v>5221</v>
      </c>
      <c r="I107" s="66" t="s">
        <v>94</v>
      </c>
      <c r="J107" s="66">
        <v>36301</v>
      </c>
      <c r="K107" s="66" t="s">
        <v>723</v>
      </c>
      <c r="L107" s="66" t="s">
        <v>30885</v>
      </c>
      <c r="M107" s="66" t="s">
        <v>379</v>
      </c>
      <c r="N107" s="66" t="s">
        <v>30886</v>
      </c>
      <c r="O107" s="66" t="s">
        <v>400</v>
      </c>
      <c r="P107" s="66" t="s">
        <v>30375</v>
      </c>
      <c r="Q107" s="76" t="s">
        <v>30887</v>
      </c>
      <c r="R107" s="66" t="s">
        <v>100</v>
      </c>
      <c r="S107" s="66" t="s">
        <v>18</v>
      </c>
      <c r="T107" s="77" t="s">
        <v>29760</v>
      </c>
      <c r="U107" s="77"/>
      <c r="V107" s="77"/>
      <c r="W107" s="77"/>
      <c r="X107" s="77"/>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78"/>
      <c r="AW107" s="78"/>
      <c r="AX107" s="78"/>
      <c r="AY107" s="78"/>
      <c r="AZ107" s="78"/>
      <c r="BA107" s="78"/>
      <c r="BB107" s="78"/>
      <c r="BC107" s="78"/>
      <c r="BD107" s="78"/>
      <c r="BE107" s="78"/>
      <c r="BF107" s="78"/>
      <c r="BG107" s="78"/>
      <c r="BH107" s="78"/>
      <c r="BI107" s="78"/>
      <c r="BJ107" s="78"/>
    </row>
    <row r="108" spans="1:63" ht="12" customHeight="1" x14ac:dyDescent="0.2">
      <c r="A108" s="66" t="s">
        <v>30856</v>
      </c>
      <c r="B108" s="66">
        <v>37</v>
      </c>
      <c r="C108" s="66" t="s">
        <v>20</v>
      </c>
      <c r="D108" s="66" t="s">
        <v>85</v>
      </c>
      <c r="E108" s="66"/>
      <c r="F108" s="69">
        <v>42891</v>
      </c>
      <c r="G108" s="66" t="s">
        <v>30857</v>
      </c>
      <c r="H108" s="66" t="s">
        <v>30858</v>
      </c>
      <c r="I108" s="66" t="s">
        <v>73</v>
      </c>
      <c r="J108" s="66">
        <v>77984</v>
      </c>
      <c r="K108" s="66" t="s">
        <v>30859</v>
      </c>
      <c r="L108" s="66" t="s">
        <v>281</v>
      </c>
      <c r="M108" s="66" t="s">
        <v>27</v>
      </c>
      <c r="N108" s="66" t="s">
        <v>30860</v>
      </c>
      <c r="O108" s="66" t="s">
        <v>400</v>
      </c>
      <c r="P108" s="66" t="s">
        <v>30375</v>
      </c>
      <c r="Q108" s="76" t="s">
        <v>30861</v>
      </c>
      <c r="R108" s="66" t="s">
        <v>555</v>
      </c>
      <c r="S108" s="66" t="s">
        <v>28</v>
      </c>
      <c r="T108" s="89" t="s">
        <v>29681</v>
      </c>
      <c r="U108" s="89" t="s">
        <v>29436</v>
      </c>
      <c r="V108" s="89"/>
      <c r="W108" s="89" t="s">
        <v>100</v>
      </c>
      <c r="X108" s="89">
        <v>2638</v>
      </c>
      <c r="Y108" s="66"/>
      <c r="Z108" s="66"/>
      <c r="AA108" s="66"/>
      <c r="AB108" s="66"/>
      <c r="AC108" s="66"/>
      <c r="AD108" s="66"/>
      <c r="AE108" s="66"/>
      <c r="AF108" s="66"/>
      <c r="AG108" s="66"/>
      <c r="AH108" s="66"/>
      <c r="AI108" s="66"/>
      <c r="AJ108" s="66"/>
      <c r="AK108" s="66"/>
      <c r="AL108" s="66"/>
      <c r="AM108" s="66"/>
      <c r="AN108" s="66"/>
      <c r="AO108" s="66"/>
      <c r="AP108" s="78"/>
      <c r="AQ108" s="78"/>
      <c r="AR108" s="78"/>
      <c r="AS108" s="78"/>
      <c r="AT108" s="78"/>
      <c r="AU108" s="78"/>
      <c r="AV108" s="78"/>
      <c r="AW108" s="78"/>
      <c r="AX108" s="78"/>
      <c r="AY108" s="78"/>
      <c r="AZ108" s="78"/>
      <c r="BA108" s="78"/>
      <c r="BB108" s="78"/>
      <c r="BC108" s="78"/>
      <c r="BD108" s="78"/>
      <c r="BF108" s="78"/>
      <c r="BG108" s="78"/>
      <c r="BH108" s="78"/>
      <c r="BI108" s="78"/>
      <c r="BJ108" s="78"/>
      <c r="BK108" s="78"/>
    </row>
    <row r="109" spans="1:63" ht="12" customHeight="1" x14ac:dyDescent="0.2">
      <c r="A109" s="66" t="s">
        <v>30878</v>
      </c>
      <c r="B109" s="66">
        <v>29</v>
      </c>
      <c r="C109" s="66" t="s">
        <v>20</v>
      </c>
      <c r="D109" s="66" t="s">
        <v>139</v>
      </c>
      <c r="E109" s="66" t="s">
        <v>30879</v>
      </c>
      <c r="F109" s="69">
        <v>42891</v>
      </c>
      <c r="G109" s="66" t="s">
        <v>30880</v>
      </c>
      <c r="H109" s="66" t="s">
        <v>1627</v>
      </c>
      <c r="I109" s="66" t="s">
        <v>463</v>
      </c>
      <c r="J109" s="66">
        <v>68106</v>
      </c>
      <c r="K109" s="66" t="s">
        <v>938</v>
      </c>
      <c r="L109" s="66" t="s">
        <v>2253</v>
      </c>
      <c r="M109" s="66" t="s">
        <v>391</v>
      </c>
      <c r="N109" s="66" t="s">
        <v>30881</v>
      </c>
      <c r="O109" s="66" t="s">
        <v>400</v>
      </c>
      <c r="P109" s="66" t="s">
        <v>30375</v>
      </c>
      <c r="Q109" s="76" t="s">
        <v>30882</v>
      </c>
      <c r="R109" s="66" t="s">
        <v>555</v>
      </c>
      <c r="S109" s="66" t="s">
        <v>18</v>
      </c>
      <c r="T109" s="77" t="s">
        <v>29760</v>
      </c>
      <c r="U109" s="77"/>
      <c r="V109" s="77"/>
      <c r="W109" s="77"/>
      <c r="X109" s="77"/>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78"/>
      <c r="AW109" s="78"/>
      <c r="AX109" s="78"/>
      <c r="AY109" s="78"/>
      <c r="AZ109" s="78"/>
      <c r="BA109" s="78"/>
      <c r="BB109" s="78"/>
      <c r="BC109" s="78"/>
      <c r="BD109" s="78"/>
      <c r="BE109" s="78"/>
      <c r="BF109" s="78"/>
      <c r="BG109" s="78"/>
      <c r="BH109" s="78"/>
      <c r="BI109" s="78"/>
      <c r="BJ109" s="78"/>
    </row>
    <row r="110" spans="1:63" ht="12" customHeight="1" x14ac:dyDescent="0.2">
      <c r="A110" s="66" t="s">
        <v>3252</v>
      </c>
      <c r="B110" s="66" t="s">
        <v>29</v>
      </c>
      <c r="C110" s="66" t="s">
        <v>20</v>
      </c>
      <c r="D110" s="66" t="s">
        <v>30</v>
      </c>
      <c r="E110" s="66"/>
      <c r="F110" s="69">
        <v>42890</v>
      </c>
      <c r="G110" s="66" t="s">
        <v>30898</v>
      </c>
      <c r="H110" s="66" t="s">
        <v>444</v>
      </c>
      <c r="I110" s="66" t="s">
        <v>57</v>
      </c>
      <c r="J110" s="66">
        <v>48207</v>
      </c>
      <c r="K110" s="66" t="s">
        <v>1128</v>
      </c>
      <c r="L110" s="66" t="s">
        <v>2177</v>
      </c>
      <c r="M110" s="66" t="s">
        <v>27</v>
      </c>
      <c r="N110" s="66" t="s">
        <v>30899</v>
      </c>
      <c r="O110" s="66" t="s">
        <v>400</v>
      </c>
      <c r="P110" s="66" t="s">
        <v>30375</v>
      </c>
      <c r="Q110" s="76" t="s">
        <v>30900</v>
      </c>
      <c r="R110" s="66" t="s">
        <v>100</v>
      </c>
      <c r="S110" s="66" t="s">
        <v>28</v>
      </c>
      <c r="T110" s="89" t="s">
        <v>29681</v>
      </c>
      <c r="U110" s="89"/>
      <c r="V110" s="89"/>
      <c r="W110" s="89"/>
      <c r="X110" s="89"/>
      <c r="Y110" s="66"/>
      <c r="Z110" s="66"/>
      <c r="AA110" s="66"/>
      <c r="AB110" s="66"/>
      <c r="AC110" s="66"/>
      <c r="AD110" s="66"/>
      <c r="AE110" s="66"/>
      <c r="AF110" s="66"/>
      <c r="AG110" s="66"/>
      <c r="AH110" s="66"/>
      <c r="AI110" s="66"/>
      <c r="AJ110" s="66"/>
      <c r="AK110" s="66"/>
      <c r="AL110" s="66"/>
      <c r="AM110" s="66"/>
      <c r="AN110" s="66"/>
      <c r="AO110" s="66"/>
      <c r="AP110" s="78"/>
      <c r="AQ110" s="78"/>
      <c r="AR110" s="78"/>
      <c r="AS110" s="78"/>
      <c r="AT110" s="78"/>
      <c r="AU110" s="78"/>
      <c r="AV110" s="78"/>
      <c r="AW110" s="78"/>
      <c r="AX110" s="78"/>
      <c r="AY110" s="78"/>
      <c r="AZ110" s="78"/>
      <c r="BA110" s="78"/>
      <c r="BB110" s="78"/>
      <c r="BC110" s="78"/>
      <c r="BD110" s="78"/>
      <c r="BF110" s="78"/>
      <c r="BG110" s="78"/>
      <c r="BH110" s="78"/>
      <c r="BI110" s="78"/>
      <c r="BJ110" s="78"/>
      <c r="BK110" s="78"/>
    </row>
    <row r="111" spans="1:63" ht="12" customHeight="1" x14ac:dyDescent="0.2">
      <c r="A111" s="66" t="s">
        <v>30888</v>
      </c>
      <c r="B111" s="66">
        <v>27</v>
      </c>
      <c r="C111" s="66" t="s">
        <v>20</v>
      </c>
      <c r="D111" s="66" t="s">
        <v>37</v>
      </c>
      <c r="E111" s="66"/>
      <c r="F111" s="69">
        <v>42890</v>
      </c>
      <c r="G111" s="66" t="s">
        <v>30889</v>
      </c>
      <c r="H111" s="66" t="s">
        <v>30890</v>
      </c>
      <c r="I111" s="66" t="s">
        <v>62</v>
      </c>
      <c r="J111" s="66">
        <v>32011</v>
      </c>
      <c r="K111" s="66" t="s">
        <v>5587</v>
      </c>
      <c r="L111" s="66" t="s">
        <v>5588</v>
      </c>
      <c r="M111" s="66" t="s">
        <v>27</v>
      </c>
      <c r="N111" s="66" t="s">
        <v>30891</v>
      </c>
      <c r="O111" s="66" t="s">
        <v>400</v>
      </c>
      <c r="P111" s="66" t="s">
        <v>30375</v>
      </c>
      <c r="Q111" s="76" t="s">
        <v>30892</v>
      </c>
      <c r="R111" s="66" t="s">
        <v>100</v>
      </c>
      <c r="S111" s="66" t="s">
        <v>28</v>
      </c>
      <c r="T111" s="89" t="s">
        <v>29681</v>
      </c>
      <c r="U111" s="89" t="s">
        <v>29438</v>
      </c>
      <c r="V111" s="89"/>
      <c r="W111" s="89" t="s">
        <v>100</v>
      </c>
      <c r="X111" s="89">
        <v>2622</v>
      </c>
      <c r="Y111" s="66"/>
      <c r="Z111" s="66"/>
      <c r="AA111" s="66"/>
      <c r="AB111" s="66"/>
      <c r="AC111" s="66"/>
      <c r="AD111" s="66"/>
      <c r="AE111" s="66"/>
      <c r="AF111" s="66"/>
      <c r="AG111" s="66"/>
      <c r="AH111" s="66"/>
      <c r="AI111" s="66"/>
      <c r="AJ111" s="66"/>
      <c r="AK111" s="66"/>
      <c r="AL111" s="66"/>
      <c r="AM111" s="66"/>
      <c r="AN111" s="66"/>
      <c r="AO111" s="66"/>
      <c r="AP111" s="78"/>
      <c r="AQ111" s="78"/>
      <c r="AR111" s="78"/>
      <c r="AS111" s="78"/>
      <c r="AT111" s="78"/>
      <c r="AU111" s="78"/>
      <c r="AV111" s="78"/>
      <c r="AW111" s="78"/>
      <c r="AX111" s="78"/>
      <c r="AY111" s="78"/>
      <c r="AZ111" s="78"/>
      <c r="BA111" s="78"/>
      <c r="BB111" s="78"/>
      <c r="BC111" s="78"/>
      <c r="BD111" s="78"/>
      <c r="BF111" s="78"/>
      <c r="BG111" s="78"/>
      <c r="BH111" s="78"/>
      <c r="BI111" s="78"/>
      <c r="BJ111" s="78"/>
      <c r="BK111" s="78"/>
    </row>
    <row r="112" spans="1:63" ht="12" customHeight="1" x14ac:dyDescent="0.2">
      <c r="A112" s="66" t="s">
        <v>30901</v>
      </c>
      <c r="B112" s="66">
        <v>28</v>
      </c>
      <c r="C112" s="66" t="s">
        <v>20</v>
      </c>
      <c r="D112" s="66" t="s">
        <v>30</v>
      </c>
      <c r="E112" s="66"/>
      <c r="F112" s="69">
        <v>42890</v>
      </c>
      <c r="G112" s="66" t="s">
        <v>30902</v>
      </c>
      <c r="H112" s="66" t="s">
        <v>922</v>
      </c>
      <c r="I112" s="66" t="s">
        <v>195</v>
      </c>
      <c r="J112" s="66">
        <v>87121</v>
      </c>
      <c r="K112" s="66" t="s">
        <v>467</v>
      </c>
      <c r="L112" s="66" t="s">
        <v>8152</v>
      </c>
      <c r="M112" s="66" t="s">
        <v>379</v>
      </c>
      <c r="N112" s="66" t="s">
        <v>30903</v>
      </c>
      <c r="O112" s="66" t="s">
        <v>1010</v>
      </c>
      <c r="P112" s="66" t="s">
        <v>30375</v>
      </c>
      <c r="Q112" s="76" t="s">
        <v>30904</v>
      </c>
      <c r="R112" s="66" t="s">
        <v>100</v>
      </c>
      <c r="S112" s="66" t="s">
        <v>18</v>
      </c>
      <c r="T112" s="77" t="s">
        <v>29760</v>
      </c>
      <c r="U112" s="77"/>
      <c r="V112" s="77"/>
      <c r="W112" s="77"/>
      <c r="X112" s="77"/>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78"/>
      <c r="AW112" s="78"/>
      <c r="AX112" s="78"/>
      <c r="AY112" s="78"/>
      <c r="AZ112" s="78"/>
      <c r="BA112" s="78"/>
      <c r="BB112" s="78"/>
      <c r="BC112" s="78"/>
      <c r="BD112" s="78"/>
      <c r="BE112" s="78"/>
      <c r="BF112" s="78"/>
      <c r="BG112" s="78"/>
      <c r="BH112" s="78"/>
      <c r="BI112" s="78"/>
      <c r="BJ112" s="78"/>
    </row>
    <row r="113" spans="1:63" ht="12" customHeight="1" x14ac:dyDescent="0.2">
      <c r="A113" s="66" t="s">
        <v>30893</v>
      </c>
      <c r="B113" s="66">
        <v>66</v>
      </c>
      <c r="C113" s="66" t="s">
        <v>20</v>
      </c>
      <c r="D113" s="66" t="s">
        <v>37</v>
      </c>
      <c r="E113" s="66"/>
      <c r="F113" s="69">
        <v>42890</v>
      </c>
      <c r="G113" s="66" t="s">
        <v>30894</v>
      </c>
      <c r="H113" s="66" t="s">
        <v>30895</v>
      </c>
      <c r="I113" s="66" t="s">
        <v>45</v>
      </c>
      <c r="J113" s="66">
        <v>91906</v>
      </c>
      <c r="K113" s="66" t="s">
        <v>156</v>
      </c>
      <c r="L113" s="66" t="s">
        <v>25373</v>
      </c>
      <c r="M113" s="66" t="s">
        <v>27</v>
      </c>
      <c r="N113" s="66" t="s">
        <v>30896</v>
      </c>
      <c r="O113" s="66" t="s">
        <v>400</v>
      </c>
      <c r="P113" s="66" t="s">
        <v>30375</v>
      </c>
      <c r="Q113" s="76" t="s">
        <v>30897</v>
      </c>
      <c r="R113" s="66" t="s">
        <v>555</v>
      </c>
      <c r="S113" s="66" t="s">
        <v>28</v>
      </c>
      <c r="T113" s="89" t="s">
        <v>29681</v>
      </c>
      <c r="U113" s="89" t="s">
        <v>29438</v>
      </c>
      <c r="V113" s="89" t="s">
        <v>29439</v>
      </c>
      <c r="W113" s="89" t="s">
        <v>100</v>
      </c>
      <c r="X113" s="89">
        <v>2636</v>
      </c>
      <c r="Y113" s="66"/>
      <c r="Z113" s="66"/>
      <c r="AA113" s="66"/>
      <c r="AB113" s="66"/>
      <c r="AC113" s="66"/>
      <c r="AD113" s="66"/>
      <c r="AE113" s="66"/>
      <c r="AF113" s="66"/>
      <c r="AG113" s="66"/>
      <c r="AH113" s="66"/>
      <c r="AI113" s="66"/>
      <c r="AJ113" s="66"/>
      <c r="AK113" s="66"/>
      <c r="AL113" s="66"/>
      <c r="AM113" s="66"/>
      <c r="AN113" s="66"/>
      <c r="AO113" s="66"/>
      <c r="AP113" s="78"/>
      <c r="AQ113" s="78"/>
      <c r="AR113" s="78"/>
      <c r="AS113" s="78"/>
      <c r="AT113" s="78"/>
      <c r="AU113" s="78"/>
      <c r="AV113" s="78"/>
      <c r="AW113" s="78"/>
      <c r="AX113" s="78"/>
      <c r="AY113" s="78"/>
      <c r="AZ113" s="78"/>
      <c r="BA113" s="78"/>
      <c r="BB113" s="78"/>
      <c r="BC113" s="78"/>
      <c r="BD113" s="78"/>
      <c r="BF113" s="78"/>
      <c r="BG113" s="78"/>
      <c r="BH113" s="78"/>
      <c r="BI113" s="78"/>
      <c r="BJ113" s="78"/>
      <c r="BK113" s="78"/>
    </row>
    <row r="114" spans="1:63" ht="12" customHeight="1" x14ac:dyDescent="0.2">
      <c r="A114" s="66" t="s">
        <v>30905</v>
      </c>
      <c r="B114" s="66">
        <v>44</v>
      </c>
      <c r="C114" s="66" t="s">
        <v>20</v>
      </c>
      <c r="D114" s="66" t="s">
        <v>37</v>
      </c>
      <c r="E114" s="66"/>
      <c r="F114" s="69">
        <v>42889</v>
      </c>
      <c r="G114" s="66" t="s">
        <v>30906</v>
      </c>
      <c r="H114" s="66" t="s">
        <v>6557</v>
      </c>
      <c r="I114" s="66" t="s">
        <v>123</v>
      </c>
      <c r="J114" s="66">
        <v>85392</v>
      </c>
      <c r="K114" s="66" t="s">
        <v>633</v>
      </c>
      <c r="L114" s="66" t="s">
        <v>6559</v>
      </c>
      <c r="M114" s="66" t="s">
        <v>27</v>
      </c>
      <c r="N114" s="66" t="s">
        <v>30907</v>
      </c>
      <c r="O114" s="66" t="s">
        <v>400</v>
      </c>
      <c r="P114" s="66" t="s">
        <v>30375</v>
      </c>
      <c r="Q114" s="76" t="s">
        <v>30908</v>
      </c>
      <c r="R114" s="66" t="s">
        <v>100</v>
      </c>
      <c r="S114" s="66" t="s">
        <v>28</v>
      </c>
      <c r="T114" s="89" t="s">
        <v>29681</v>
      </c>
      <c r="U114" s="89" t="s">
        <v>29438</v>
      </c>
      <c r="V114" s="89" t="s">
        <v>29439</v>
      </c>
      <c r="W114" s="89" t="s">
        <v>100</v>
      </c>
      <c r="X114" s="89">
        <v>2625</v>
      </c>
      <c r="Y114" s="66"/>
      <c r="Z114" s="66"/>
      <c r="AA114" s="66"/>
      <c r="AB114" s="66"/>
      <c r="AC114" s="66"/>
      <c r="AD114" s="66"/>
      <c r="AE114" s="66"/>
      <c r="AF114" s="66"/>
      <c r="AG114" s="66"/>
      <c r="AH114" s="66"/>
      <c r="AI114" s="66"/>
      <c r="AJ114" s="66"/>
      <c r="AK114" s="66"/>
      <c r="AL114" s="66"/>
      <c r="AM114" s="66"/>
      <c r="AN114" s="66"/>
      <c r="AO114" s="66"/>
      <c r="AP114" s="78"/>
      <c r="AQ114" s="78"/>
      <c r="AR114" s="78"/>
      <c r="AS114" s="78"/>
      <c r="AT114" s="78"/>
      <c r="AU114" s="78"/>
      <c r="AV114" s="78"/>
      <c r="AW114" s="78"/>
      <c r="AX114" s="78"/>
      <c r="AY114" s="78"/>
      <c r="AZ114" s="78"/>
      <c r="BA114" s="78"/>
      <c r="BB114" s="78"/>
      <c r="BC114" s="78"/>
      <c r="BD114" s="78"/>
      <c r="BF114" s="78"/>
      <c r="BG114" s="78"/>
      <c r="BH114" s="78"/>
      <c r="BI114" s="78"/>
      <c r="BJ114" s="78"/>
      <c r="BK114" s="78"/>
    </row>
    <row r="115" spans="1:63" ht="12" customHeight="1" x14ac:dyDescent="0.2">
      <c r="A115" s="66" t="s">
        <v>30925</v>
      </c>
      <c r="B115" s="66">
        <v>18</v>
      </c>
      <c r="C115" s="66" t="s">
        <v>20</v>
      </c>
      <c r="D115" s="66" t="s">
        <v>21</v>
      </c>
      <c r="E115" s="66"/>
      <c r="F115" s="69">
        <v>42888</v>
      </c>
      <c r="G115" s="66" t="s">
        <v>30926</v>
      </c>
      <c r="H115" s="66" t="s">
        <v>2487</v>
      </c>
      <c r="I115" s="66" t="s">
        <v>395</v>
      </c>
      <c r="J115" s="66">
        <v>74128</v>
      </c>
      <c r="K115" s="66" t="s">
        <v>2487</v>
      </c>
      <c r="L115" s="66" t="s">
        <v>3379</v>
      </c>
      <c r="M115" s="66" t="s">
        <v>27</v>
      </c>
      <c r="N115" s="66" t="s">
        <v>30927</v>
      </c>
      <c r="O115" s="66" t="s">
        <v>400</v>
      </c>
      <c r="P115" s="66" t="s">
        <v>30375</v>
      </c>
      <c r="Q115" s="76" t="s">
        <v>30928</v>
      </c>
      <c r="R115" s="66" t="s">
        <v>100</v>
      </c>
      <c r="S115" s="66" t="s">
        <v>28</v>
      </c>
      <c r="T115" s="89" t="s">
        <v>29681</v>
      </c>
      <c r="U115" s="89" t="s">
        <v>29438</v>
      </c>
      <c r="V115" s="89" t="s">
        <v>29440</v>
      </c>
      <c r="W115" s="89" t="s">
        <v>100</v>
      </c>
      <c r="X115" s="89">
        <v>2627</v>
      </c>
      <c r="Y115" s="66"/>
      <c r="Z115" s="66"/>
      <c r="AA115" s="66"/>
      <c r="AB115" s="66"/>
      <c r="AC115" s="66"/>
      <c r="AD115" s="66"/>
      <c r="AE115" s="66"/>
      <c r="AF115" s="66"/>
      <c r="AG115" s="66"/>
      <c r="AH115" s="66"/>
      <c r="AI115" s="66"/>
      <c r="AJ115" s="66"/>
      <c r="AK115" s="66"/>
      <c r="AL115" s="66"/>
      <c r="AM115" s="66"/>
      <c r="AN115" s="66"/>
      <c r="AO115" s="66"/>
      <c r="AP115" s="78"/>
      <c r="AQ115" s="78"/>
      <c r="AR115" s="78"/>
      <c r="AS115" s="78"/>
      <c r="AT115" s="78"/>
      <c r="AU115" s="78"/>
      <c r="AV115" s="78"/>
      <c r="AW115" s="78"/>
      <c r="AX115" s="78"/>
      <c r="AY115" s="78"/>
      <c r="AZ115" s="78"/>
      <c r="BA115" s="78"/>
      <c r="BB115" s="78"/>
      <c r="BC115" s="78"/>
      <c r="BD115" s="78"/>
      <c r="BF115" s="78"/>
      <c r="BG115" s="78"/>
      <c r="BH115" s="78"/>
      <c r="BI115" s="78"/>
      <c r="BJ115" s="78"/>
      <c r="BK115" s="78"/>
    </row>
    <row r="116" spans="1:63" ht="12" customHeight="1" x14ac:dyDescent="0.2">
      <c r="A116" s="66" t="s">
        <v>30909</v>
      </c>
      <c r="B116" s="66">
        <v>29</v>
      </c>
      <c r="C116" s="66" t="s">
        <v>20</v>
      </c>
      <c r="D116" s="66" t="s">
        <v>85</v>
      </c>
      <c r="E116" s="66"/>
      <c r="F116" s="69">
        <v>42888</v>
      </c>
      <c r="G116" s="66" t="s">
        <v>30910</v>
      </c>
      <c r="H116" s="66" t="s">
        <v>30911</v>
      </c>
      <c r="I116" s="66" t="s">
        <v>94</v>
      </c>
      <c r="J116" s="66">
        <v>36310</v>
      </c>
      <c r="K116" s="66" t="s">
        <v>8389</v>
      </c>
      <c r="L116" s="66" t="s">
        <v>30912</v>
      </c>
      <c r="M116" s="66" t="s">
        <v>27</v>
      </c>
      <c r="N116" s="66" t="s">
        <v>30913</v>
      </c>
      <c r="O116" s="66" t="s">
        <v>400</v>
      </c>
      <c r="P116" s="66" t="s">
        <v>30375</v>
      </c>
      <c r="Q116" s="76" t="s">
        <v>30914</v>
      </c>
      <c r="R116" s="66" t="s">
        <v>100</v>
      </c>
      <c r="S116" s="66" t="s">
        <v>28</v>
      </c>
      <c r="T116" s="89" t="s">
        <v>29681</v>
      </c>
      <c r="U116" s="89" t="s">
        <v>29438</v>
      </c>
      <c r="V116" s="89" t="s">
        <v>29439</v>
      </c>
      <c r="W116" s="89" t="s">
        <v>100</v>
      </c>
      <c r="X116" s="89">
        <v>2624</v>
      </c>
      <c r="Y116" s="66"/>
      <c r="Z116" s="66"/>
      <c r="AA116" s="66"/>
      <c r="AB116" s="66"/>
      <c r="AC116" s="66"/>
      <c r="AD116" s="66"/>
      <c r="AE116" s="66"/>
      <c r="AF116" s="66"/>
      <c r="AG116" s="66"/>
      <c r="AH116" s="66"/>
      <c r="AI116" s="66"/>
      <c r="AJ116" s="66"/>
      <c r="AK116" s="66"/>
      <c r="AL116" s="66"/>
      <c r="AM116" s="66"/>
      <c r="AN116" s="66"/>
      <c r="AO116" s="66"/>
      <c r="AP116" s="78"/>
      <c r="AQ116" s="78"/>
      <c r="AR116" s="78"/>
      <c r="AS116" s="78"/>
      <c r="AT116" s="78"/>
      <c r="AU116" s="78"/>
      <c r="AV116" s="78"/>
      <c r="AW116" s="78"/>
      <c r="AX116" s="78"/>
      <c r="AY116" s="78"/>
      <c r="AZ116" s="78"/>
      <c r="BA116" s="78"/>
      <c r="BB116" s="78"/>
      <c r="BC116" s="78"/>
      <c r="BD116" s="78"/>
      <c r="BF116" s="78"/>
      <c r="BG116" s="78"/>
      <c r="BH116" s="78"/>
      <c r="BI116" s="78"/>
      <c r="BJ116" s="78"/>
      <c r="BK116" s="78"/>
    </row>
    <row r="117" spans="1:63" ht="12" customHeight="1" x14ac:dyDescent="0.2">
      <c r="A117" s="66" t="s">
        <v>30932</v>
      </c>
      <c r="B117" s="66">
        <v>17</v>
      </c>
      <c r="C117" s="66" t="s">
        <v>20</v>
      </c>
      <c r="D117" s="66" t="s">
        <v>85</v>
      </c>
      <c r="E117" s="66"/>
      <c r="F117" s="69">
        <v>42888</v>
      </c>
      <c r="G117" s="66" t="s">
        <v>30933</v>
      </c>
      <c r="H117" s="66" t="s">
        <v>87</v>
      </c>
      <c r="I117" s="66" t="s">
        <v>44</v>
      </c>
      <c r="J117" s="66">
        <v>60637</v>
      </c>
      <c r="K117" s="66" t="s">
        <v>88</v>
      </c>
      <c r="L117" s="66" t="s">
        <v>89</v>
      </c>
      <c r="M117" s="66" t="s">
        <v>27</v>
      </c>
      <c r="N117" s="66" t="s">
        <v>30934</v>
      </c>
      <c r="O117" s="66" t="s">
        <v>400</v>
      </c>
      <c r="P117" s="66" t="s">
        <v>30375</v>
      </c>
      <c r="Q117" s="76" t="s">
        <v>30935</v>
      </c>
      <c r="R117" s="66" t="s">
        <v>100</v>
      </c>
      <c r="S117" s="66" t="s">
        <v>28</v>
      </c>
      <c r="T117" s="89" t="s">
        <v>29681</v>
      </c>
      <c r="U117" s="89" t="s">
        <v>29438</v>
      </c>
      <c r="V117" s="89" t="s">
        <v>29439</v>
      </c>
      <c r="W117" s="89" t="s">
        <v>100</v>
      </c>
      <c r="X117" s="89">
        <v>2628</v>
      </c>
      <c r="Y117" s="66"/>
      <c r="Z117" s="66"/>
      <c r="AA117" s="66"/>
      <c r="AB117" s="66"/>
      <c r="AC117" s="66"/>
      <c r="AD117" s="66"/>
      <c r="AE117" s="66"/>
      <c r="AF117" s="66"/>
      <c r="AG117" s="66"/>
      <c r="AH117" s="66"/>
      <c r="AI117" s="66"/>
      <c r="AJ117" s="66"/>
      <c r="AK117" s="66"/>
      <c r="AL117" s="66"/>
      <c r="AM117" s="66"/>
      <c r="AN117" s="66"/>
      <c r="AO117" s="66"/>
      <c r="AP117" s="78"/>
      <c r="AQ117" s="78"/>
      <c r="AR117" s="78"/>
      <c r="AS117" s="78"/>
      <c r="AT117" s="78"/>
      <c r="AU117" s="78"/>
      <c r="AV117" s="78"/>
      <c r="AW117" s="78"/>
      <c r="AX117" s="78"/>
      <c r="AY117" s="78"/>
      <c r="AZ117" s="78"/>
      <c r="BA117" s="78"/>
      <c r="BB117" s="78"/>
      <c r="BC117" s="78"/>
      <c r="BD117" s="78"/>
      <c r="BF117" s="78"/>
      <c r="BG117" s="78"/>
      <c r="BH117" s="78"/>
      <c r="BI117" s="78"/>
      <c r="BJ117" s="78"/>
      <c r="BK117" s="78"/>
    </row>
    <row r="118" spans="1:63" ht="12" customHeight="1" x14ac:dyDescent="0.2">
      <c r="A118" s="66" t="s">
        <v>30936</v>
      </c>
      <c r="B118" s="66">
        <v>55</v>
      </c>
      <c r="C118" s="66" t="s">
        <v>20</v>
      </c>
      <c r="D118" s="66" t="s">
        <v>48</v>
      </c>
      <c r="E118" s="66" t="s">
        <v>30937</v>
      </c>
      <c r="F118" s="69">
        <v>42888</v>
      </c>
      <c r="G118" s="66" t="s">
        <v>30938</v>
      </c>
      <c r="H118" s="66" t="s">
        <v>4279</v>
      </c>
      <c r="I118" s="66" t="s">
        <v>73</v>
      </c>
      <c r="J118" s="66">
        <v>78041</v>
      </c>
      <c r="K118" s="66" t="s">
        <v>4281</v>
      </c>
      <c r="L118" s="66" t="s">
        <v>4282</v>
      </c>
      <c r="M118" s="66" t="s">
        <v>27</v>
      </c>
      <c r="N118" s="66" t="s">
        <v>30939</v>
      </c>
      <c r="O118" s="66" t="s">
        <v>400</v>
      </c>
      <c r="P118" s="66" t="s">
        <v>30375</v>
      </c>
      <c r="Q118" s="76" t="s">
        <v>30940</v>
      </c>
      <c r="R118" s="66" t="s">
        <v>100</v>
      </c>
      <c r="S118" s="66" t="s">
        <v>28</v>
      </c>
      <c r="T118" s="89" t="s">
        <v>29681</v>
      </c>
      <c r="U118" s="89" t="s">
        <v>29438</v>
      </c>
      <c r="V118" s="89" t="s">
        <v>29439</v>
      </c>
      <c r="W118" s="89" t="s">
        <v>100</v>
      </c>
      <c r="X118" s="89">
        <v>2634</v>
      </c>
      <c r="Y118" s="66"/>
      <c r="Z118" s="66"/>
      <c r="AA118" s="66"/>
      <c r="AB118" s="66"/>
      <c r="AC118" s="66"/>
      <c r="AD118" s="66"/>
      <c r="AE118" s="66"/>
      <c r="AF118" s="66"/>
      <c r="AG118" s="66"/>
      <c r="AH118" s="66"/>
      <c r="AI118" s="66"/>
      <c r="AJ118" s="66"/>
      <c r="AK118" s="66"/>
      <c r="AL118" s="66"/>
      <c r="AM118" s="66"/>
      <c r="AN118" s="66"/>
      <c r="AO118" s="66"/>
      <c r="AP118" s="78"/>
      <c r="AQ118" s="78"/>
      <c r="AR118" s="78"/>
      <c r="AS118" s="78"/>
      <c r="AT118" s="78"/>
      <c r="AU118" s="78"/>
      <c r="AV118" s="78"/>
      <c r="AW118" s="78"/>
      <c r="AX118" s="78"/>
      <c r="AY118" s="78"/>
      <c r="AZ118" s="78"/>
      <c r="BA118" s="78"/>
      <c r="BB118" s="78"/>
      <c r="BC118" s="78"/>
      <c r="BD118" s="78"/>
      <c r="BF118" s="78"/>
      <c r="BG118" s="78"/>
      <c r="BH118" s="78"/>
      <c r="BI118" s="78"/>
      <c r="BJ118" s="78"/>
      <c r="BK118" s="78"/>
    </row>
    <row r="119" spans="1:63" ht="12" customHeight="1" x14ac:dyDescent="0.2">
      <c r="A119" s="66" t="s">
        <v>30919</v>
      </c>
      <c r="B119" s="66">
        <v>34</v>
      </c>
      <c r="C119" s="66" t="s">
        <v>20</v>
      </c>
      <c r="D119" s="66" t="s">
        <v>85</v>
      </c>
      <c r="E119" s="66"/>
      <c r="F119" s="69">
        <v>42888</v>
      </c>
      <c r="G119" s="66" t="s">
        <v>30920</v>
      </c>
      <c r="H119" s="66" t="s">
        <v>30921</v>
      </c>
      <c r="I119" s="66" t="s">
        <v>669</v>
      </c>
      <c r="J119" s="66">
        <v>39465</v>
      </c>
      <c r="K119" s="66" t="s">
        <v>27551</v>
      </c>
      <c r="L119" s="66" t="s">
        <v>30922</v>
      </c>
      <c r="M119" s="66" t="s">
        <v>27</v>
      </c>
      <c r="N119" s="66" t="s">
        <v>30923</v>
      </c>
      <c r="O119" s="66" t="s">
        <v>400</v>
      </c>
      <c r="P119" s="66" t="s">
        <v>30375</v>
      </c>
      <c r="Q119" s="76" t="s">
        <v>30924</v>
      </c>
      <c r="R119" s="66" t="s">
        <v>100</v>
      </c>
      <c r="S119" s="66" t="s">
        <v>35</v>
      </c>
      <c r="T119" s="89" t="s">
        <v>29441</v>
      </c>
      <c r="U119" s="89" t="s">
        <v>29441</v>
      </c>
      <c r="V119" s="89" t="s">
        <v>29439</v>
      </c>
      <c r="W119" s="89" t="s">
        <v>100</v>
      </c>
      <c r="X119" s="89">
        <v>2626</v>
      </c>
      <c r="Y119" s="66"/>
      <c r="Z119" s="66"/>
      <c r="AA119" s="66"/>
      <c r="AB119" s="66"/>
      <c r="AC119" s="66"/>
      <c r="AD119" s="66"/>
      <c r="AE119" s="66"/>
      <c r="AF119" s="66"/>
      <c r="AG119" s="66"/>
      <c r="AH119" s="66"/>
      <c r="AI119" s="66"/>
      <c r="AJ119" s="66"/>
      <c r="AK119" s="66"/>
      <c r="AL119" s="66"/>
      <c r="AM119" s="66"/>
      <c r="AN119" s="66"/>
      <c r="AO119" s="66"/>
      <c r="AP119" s="78"/>
      <c r="AQ119" s="78"/>
      <c r="AR119" s="78"/>
      <c r="AS119" s="78"/>
      <c r="AT119" s="78"/>
      <c r="AU119" s="78"/>
      <c r="AV119" s="78"/>
      <c r="AW119" s="78"/>
      <c r="AX119" s="78"/>
      <c r="AY119" s="78"/>
      <c r="AZ119" s="78"/>
      <c r="BA119" s="78"/>
      <c r="BB119" s="78"/>
      <c r="BC119" s="78"/>
      <c r="BD119" s="78"/>
      <c r="BF119" s="78"/>
      <c r="BG119" s="78"/>
      <c r="BH119" s="78"/>
      <c r="BI119" s="78"/>
      <c r="BJ119" s="78"/>
      <c r="BK119" s="78"/>
    </row>
    <row r="120" spans="1:63" ht="12" customHeight="1" x14ac:dyDescent="0.2">
      <c r="A120" s="66" t="s">
        <v>30929</v>
      </c>
      <c r="B120" s="66">
        <v>45</v>
      </c>
      <c r="C120" s="66" t="s">
        <v>20</v>
      </c>
      <c r="D120" s="66" t="s">
        <v>48</v>
      </c>
      <c r="E120" s="66"/>
      <c r="F120" s="69">
        <v>42888</v>
      </c>
      <c r="G120" s="66" t="s">
        <v>30930</v>
      </c>
      <c r="H120" s="66" t="s">
        <v>922</v>
      </c>
      <c r="I120" s="66" t="s">
        <v>195</v>
      </c>
      <c r="J120" s="66">
        <v>87114</v>
      </c>
      <c r="K120" s="66" t="s">
        <v>467</v>
      </c>
      <c r="L120" s="66" t="s">
        <v>4961</v>
      </c>
      <c r="M120" s="66" t="s">
        <v>391</v>
      </c>
      <c r="N120" s="66" t="s">
        <v>31029</v>
      </c>
      <c r="O120" s="66" t="s">
        <v>400</v>
      </c>
      <c r="P120" s="66" t="s">
        <v>30375</v>
      </c>
      <c r="Q120" s="76" t="s">
        <v>30931</v>
      </c>
      <c r="R120" s="66" t="s">
        <v>100</v>
      </c>
      <c r="S120" s="66" t="s">
        <v>35</v>
      </c>
      <c r="T120" s="77" t="s">
        <v>29452</v>
      </c>
      <c r="U120" s="77"/>
      <c r="V120" s="77"/>
      <c r="W120" s="77"/>
      <c r="X120" s="77"/>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78"/>
      <c r="AW120" s="78"/>
      <c r="AX120" s="78"/>
      <c r="AY120" s="78"/>
      <c r="AZ120" s="78"/>
      <c r="BA120" s="78"/>
      <c r="BB120" s="78"/>
      <c r="BC120" s="78"/>
      <c r="BD120" s="78"/>
      <c r="BE120" s="78"/>
      <c r="BF120" s="78"/>
      <c r="BG120" s="78"/>
      <c r="BH120" s="78"/>
      <c r="BI120" s="78"/>
      <c r="BJ120" s="78"/>
    </row>
    <row r="121" spans="1:63" ht="12" customHeight="1" x14ac:dyDescent="0.2">
      <c r="A121" s="66" t="s">
        <v>30915</v>
      </c>
      <c r="B121" s="66">
        <v>51</v>
      </c>
      <c r="C121" s="66" t="s">
        <v>20</v>
      </c>
      <c r="D121" s="66" t="s">
        <v>37</v>
      </c>
      <c r="E121" s="66"/>
      <c r="F121" s="69">
        <v>42888</v>
      </c>
      <c r="G121" s="66" t="s">
        <v>30916</v>
      </c>
      <c r="H121" s="66" t="s">
        <v>11677</v>
      </c>
      <c r="I121" s="66" t="s">
        <v>62</v>
      </c>
      <c r="J121" s="66">
        <v>32034</v>
      </c>
      <c r="K121" s="66" t="s">
        <v>5587</v>
      </c>
      <c r="L121" s="66" t="s">
        <v>5588</v>
      </c>
      <c r="M121" s="66" t="s">
        <v>27</v>
      </c>
      <c r="N121" s="66" t="s">
        <v>30917</v>
      </c>
      <c r="O121" s="66" t="s">
        <v>400</v>
      </c>
      <c r="P121" s="66" t="s">
        <v>30375</v>
      </c>
      <c r="Q121" s="76" t="s">
        <v>30918</v>
      </c>
      <c r="R121" s="66" t="s">
        <v>100</v>
      </c>
      <c r="S121" s="66" t="s">
        <v>379</v>
      </c>
      <c r="T121" s="89" t="s">
        <v>29773</v>
      </c>
      <c r="U121" s="89" t="s">
        <v>29438</v>
      </c>
      <c r="V121" s="89" t="s">
        <v>29437</v>
      </c>
      <c r="W121" s="89" t="s">
        <v>100</v>
      </c>
      <c r="X121" s="89">
        <v>2623</v>
      </c>
      <c r="Y121" s="66"/>
      <c r="Z121" s="66"/>
      <c r="AA121" s="66"/>
      <c r="AB121" s="66"/>
      <c r="AC121" s="66"/>
      <c r="AD121" s="66"/>
      <c r="AE121" s="66"/>
      <c r="AF121" s="66"/>
      <c r="AG121" s="66"/>
      <c r="AH121" s="66"/>
      <c r="AI121" s="66"/>
      <c r="AJ121" s="66"/>
      <c r="AK121" s="66"/>
      <c r="AL121" s="66"/>
      <c r="AM121" s="66"/>
      <c r="AN121" s="66"/>
      <c r="AO121" s="66"/>
      <c r="AP121" s="78"/>
      <c r="AQ121" s="78"/>
      <c r="AR121" s="78"/>
      <c r="AS121" s="78"/>
      <c r="AT121" s="78"/>
      <c r="AU121" s="78"/>
      <c r="AV121" s="78"/>
      <c r="AW121" s="78"/>
      <c r="AX121" s="78"/>
      <c r="AY121" s="78"/>
      <c r="AZ121" s="78"/>
      <c r="BA121" s="78"/>
      <c r="BB121" s="78"/>
      <c r="BC121" s="78"/>
      <c r="BD121" s="78"/>
      <c r="BF121" s="78"/>
      <c r="BG121" s="78"/>
      <c r="BH121" s="78"/>
      <c r="BI121" s="78"/>
      <c r="BJ121" s="78"/>
      <c r="BK121" s="78"/>
    </row>
    <row r="122" spans="1:63" ht="12" customHeight="1" x14ac:dyDescent="0.2">
      <c r="A122" s="66" t="s">
        <v>30941</v>
      </c>
      <c r="B122" s="66">
        <v>27</v>
      </c>
      <c r="C122" s="66" t="s">
        <v>20</v>
      </c>
      <c r="D122" s="66" t="s">
        <v>48</v>
      </c>
      <c r="E122" s="66" t="s">
        <v>30942</v>
      </c>
      <c r="F122" s="69">
        <v>42887</v>
      </c>
      <c r="G122" s="66" t="s">
        <v>30943</v>
      </c>
      <c r="H122" s="66" t="s">
        <v>655</v>
      </c>
      <c r="I122" s="66" t="s">
        <v>269</v>
      </c>
      <c r="J122" s="66">
        <v>89156</v>
      </c>
      <c r="K122" s="66" t="s">
        <v>570</v>
      </c>
      <c r="L122" s="66" t="s">
        <v>571</v>
      </c>
      <c r="M122" s="66" t="s">
        <v>27</v>
      </c>
      <c r="N122" s="66" t="s">
        <v>30944</v>
      </c>
      <c r="O122" s="66" t="s">
        <v>400</v>
      </c>
      <c r="P122" s="66" t="s">
        <v>30375</v>
      </c>
      <c r="Q122" s="76" t="s">
        <v>30945</v>
      </c>
      <c r="R122" s="66" t="s">
        <v>555</v>
      </c>
      <c r="S122" s="66" t="s">
        <v>28</v>
      </c>
      <c r="T122" s="89" t="s">
        <v>29681</v>
      </c>
      <c r="U122" s="89" t="s">
        <v>29438</v>
      </c>
      <c r="V122" s="89" t="s">
        <v>29439</v>
      </c>
      <c r="W122" s="89" t="s">
        <v>100</v>
      </c>
      <c r="X122" s="89">
        <v>2633</v>
      </c>
      <c r="Y122" s="66"/>
      <c r="Z122" s="66"/>
      <c r="AA122" s="66"/>
      <c r="AB122" s="66"/>
      <c r="AC122" s="66"/>
      <c r="AD122" s="66"/>
      <c r="AE122" s="66"/>
      <c r="AF122" s="66"/>
      <c r="AG122" s="66"/>
      <c r="AH122" s="66"/>
      <c r="AI122" s="66"/>
      <c r="AJ122" s="66"/>
      <c r="AK122" s="66"/>
      <c r="AL122" s="66"/>
      <c r="AM122" s="66"/>
      <c r="AN122" s="66"/>
      <c r="AO122" s="66"/>
      <c r="AP122" s="78"/>
      <c r="AQ122" s="78"/>
      <c r="AR122" s="78"/>
      <c r="AS122" s="78"/>
      <c r="AT122" s="78"/>
      <c r="AU122" s="78"/>
      <c r="AV122" s="78"/>
      <c r="AW122" s="78"/>
      <c r="AX122" s="78"/>
      <c r="AY122" s="78"/>
      <c r="AZ122" s="78"/>
      <c r="BA122" s="78"/>
      <c r="BB122" s="78"/>
      <c r="BC122" s="78"/>
      <c r="BD122" s="78"/>
      <c r="BF122" s="78"/>
      <c r="BG122" s="78"/>
      <c r="BH122" s="78"/>
      <c r="BI122" s="78"/>
      <c r="BJ122" s="78"/>
      <c r="BK122" s="78"/>
    </row>
    <row r="123" spans="1:63" ht="12" customHeight="1" x14ac:dyDescent="0.2">
      <c r="A123" s="66" t="s">
        <v>30946</v>
      </c>
      <c r="B123" s="66">
        <v>17</v>
      </c>
      <c r="C123" s="66" t="s">
        <v>20</v>
      </c>
      <c r="D123" s="66" t="s">
        <v>37</v>
      </c>
      <c r="E123" s="66" t="s">
        <v>30947</v>
      </c>
      <c r="F123" s="69">
        <v>42886</v>
      </c>
      <c r="G123" s="66" t="s">
        <v>30948</v>
      </c>
      <c r="H123" s="66" t="s">
        <v>30949</v>
      </c>
      <c r="I123" s="66" t="s">
        <v>209</v>
      </c>
      <c r="J123" s="66">
        <v>80112</v>
      </c>
      <c r="K123" s="66" t="s">
        <v>3825</v>
      </c>
      <c r="L123" s="66" t="s">
        <v>1925</v>
      </c>
      <c r="M123" s="66" t="s">
        <v>27</v>
      </c>
      <c r="N123" s="66" t="s">
        <v>30950</v>
      </c>
      <c r="O123" s="66" t="s">
        <v>400</v>
      </c>
      <c r="P123" s="66" t="s">
        <v>30375</v>
      </c>
      <c r="Q123" s="76" t="s">
        <v>30951</v>
      </c>
      <c r="R123" s="66" t="s">
        <v>100</v>
      </c>
      <c r="S123" s="66" t="s">
        <v>28</v>
      </c>
      <c r="T123" s="89" t="s">
        <v>29681</v>
      </c>
      <c r="U123" s="89" t="s">
        <v>29436</v>
      </c>
      <c r="V123" s="89" t="s">
        <v>21212</v>
      </c>
      <c r="W123" s="89" t="s">
        <v>100</v>
      </c>
      <c r="X123" s="89">
        <v>2621</v>
      </c>
      <c r="Y123" s="66"/>
      <c r="Z123" s="66"/>
      <c r="AA123" s="66"/>
      <c r="AB123" s="66"/>
      <c r="AC123" s="66"/>
      <c r="AD123" s="66"/>
      <c r="AE123" s="66"/>
      <c r="AF123" s="66"/>
      <c r="AG123" s="66"/>
      <c r="AH123" s="66"/>
      <c r="AI123" s="66"/>
      <c r="AJ123" s="66"/>
      <c r="AK123" s="66"/>
      <c r="AL123" s="66"/>
      <c r="AM123" s="66"/>
      <c r="AN123" s="66"/>
      <c r="AO123" s="66"/>
      <c r="AP123" s="78"/>
      <c r="AQ123" s="78"/>
      <c r="AR123" s="78"/>
      <c r="AS123" s="78"/>
      <c r="AT123" s="78"/>
      <c r="AU123" s="78"/>
      <c r="AV123" s="78"/>
      <c r="AW123" s="78"/>
      <c r="AX123" s="78"/>
      <c r="AY123" s="78"/>
      <c r="AZ123" s="78"/>
      <c r="BA123" s="78"/>
      <c r="BB123" s="78"/>
      <c r="BC123" s="78"/>
      <c r="BD123" s="78"/>
      <c r="BF123" s="78"/>
      <c r="BG123" s="78"/>
      <c r="BH123" s="78"/>
      <c r="BI123" s="78"/>
      <c r="BJ123" s="78"/>
      <c r="BK123" s="78"/>
    </row>
    <row r="124" spans="1:63" ht="12" customHeight="1" x14ac:dyDescent="0.2">
      <c r="A124" s="66" t="s">
        <v>30952</v>
      </c>
      <c r="B124" s="66">
        <v>24</v>
      </c>
      <c r="C124" s="66" t="s">
        <v>20</v>
      </c>
      <c r="D124" s="66" t="s">
        <v>37</v>
      </c>
      <c r="E124" s="66" t="s">
        <v>30953</v>
      </c>
      <c r="F124" s="69">
        <v>42886</v>
      </c>
      <c r="G124" s="66" t="s">
        <v>30954</v>
      </c>
      <c r="H124" s="66" t="s">
        <v>23597</v>
      </c>
      <c r="I124" s="66" t="s">
        <v>45</v>
      </c>
      <c r="J124" s="66">
        <v>92344</v>
      </c>
      <c r="K124" s="66" t="s">
        <v>309</v>
      </c>
      <c r="L124" s="66" t="s">
        <v>30955</v>
      </c>
      <c r="M124" s="66" t="s">
        <v>27</v>
      </c>
      <c r="N124" s="66" t="s">
        <v>30956</v>
      </c>
      <c r="O124" s="66" t="s">
        <v>400</v>
      </c>
      <c r="P124" s="66" t="s">
        <v>30375</v>
      </c>
      <c r="Q124" s="76" t="s">
        <v>30957</v>
      </c>
      <c r="R124" s="66" t="s">
        <v>100</v>
      </c>
      <c r="S124" s="66" t="s">
        <v>379</v>
      </c>
      <c r="T124" s="89" t="s">
        <v>29773</v>
      </c>
      <c r="U124" s="89" t="s">
        <v>29438</v>
      </c>
      <c r="V124" s="89"/>
      <c r="W124" s="89" t="s">
        <v>100</v>
      </c>
      <c r="X124" s="89">
        <v>2620</v>
      </c>
      <c r="Y124" s="66"/>
      <c r="Z124" s="66"/>
      <c r="AA124" s="66"/>
      <c r="AB124" s="66"/>
      <c r="AC124" s="66"/>
      <c r="AD124" s="66"/>
      <c r="AE124" s="66"/>
      <c r="AF124" s="66"/>
      <c r="AG124" s="66"/>
      <c r="AH124" s="66"/>
      <c r="AI124" s="66"/>
      <c r="AJ124" s="66"/>
      <c r="AK124" s="66"/>
      <c r="AL124" s="66"/>
      <c r="AM124" s="66"/>
      <c r="AN124" s="66"/>
      <c r="AO124" s="66"/>
      <c r="AP124" s="78"/>
      <c r="AQ124" s="78"/>
      <c r="AR124" s="78"/>
      <c r="AS124" s="78"/>
      <c r="AT124" s="78"/>
      <c r="AU124" s="78"/>
      <c r="AV124" s="78"/>
      <c r="AW124" s="78"/>
      <c r="AX124" s="78"/>
      <c r="AY124" s="78"/>
      <c r="AZ124" s="78"/>
      <c r="BA124" s="78"/>
      <c r="BB124" s="78"/>
      <c r="BC124" s="78"/>
      <c r="BD124" s="78"/>
      <c r="BF124" s="78"/>
      <c r="BG124" s="78"/>
      <c r="BH124" s="78"/>
      <c r="BI124" s="78"/>
      <c r="BJ124" s="78"/>
      <c r="BK124" s="78"/>
    </row>
    <row r="125" spans="1:63" ht="12" customHeight="1" x14ac:dyDescent="0.2">
      <c r="A125" s="66" t="s">
        <v>30958</v>
      </c>
      <c r="B125" s="66">
        <v>19</v>
      </c>
      <c r="C125" s="66" t="s">
        <v>20</v>
      </c>
      <c r="D125" s="66" t="s">
        <v>48</v>
      </c>
      <c r="E125" s="66" t="s">
        <v>30959</v>
      </c>
      <c r="F125" s="69">
        <v>42885</v>
      </c>
      <c r="G125" s="66" t="s">
        <v>30960</v>
      </c>
      <c r="H125" s="66" t="s">
        <v>5257</v>
      </c>
      <c r="I125" s="66" t="s">
        <v>240</v>
      </c>
      <c r="J125" s="66">
        <v>84074</v>
      </c>
      <c r="K125" s="66" t="s">
        <v>5257</v>
      </c>
      <c r="L125" s="66" t="s">
        <v>241</v>
      </c>
      <c r="M125" s="66" t="s">
        <v>27</v>
      </c>
      <c r="N125" s="66" t="s">
        <v>30961</v>
      </c>
      <c r="O125" s="66" t="s">
        <v>400</v>
      </c>
      <c r="P125" s="66" t="s">
        <v>30375</v>
      </c>
      <c r="Q125" s="76" t="s">
        <v>30962</v>
      </c>
      <c r="R125" s="66" t="s">
        <v>100</v>
      </c>
      <c r="S125" s="66" t="s">
        <v>28</v>
      </c>
      <c r="T125" s="89" t="s">
        <v>29681</v>
      </c>
      <c r="U125" s="89" t="s">
        <v>29438</v>
      </c>
      <c r="V125" s="89" t="s">
        <v>29437</v>
      </c>
      <c r="W125" s="89" t="s">
        <v>100</v>
      </c>
      <c r="X125" s="89">
        <v>2631</v>
      </c>
      <c r="Y125" s="66"/>
      <c r="Z125" s="66"/>
      <c r="AA125" s="66"/>
      <c r="AB125" s="66"/>
      <c r="AC125" s="66"/>
      <c r="AD125" s="66"/>
      <c r="AE125" s="66"/>
      <c r="AF125" s="66"/>
      <c r="AG125" s="66"/>
      <c r="AH125" s="66"/>
      <c r="AI125" s="66"/>
      <c r="AJ125" s="66"/>
      <c r="AK125" s="66"/>
      <c r="AL125" s="66"/>
      <c r="AM125" s="66"/>
      <c r="AN125" s="66"/>
      <c r="AO125" s="66"/>
      <c r="AP125" s="78"/>
      <c r="AQ125" s="78"/>
      <c r="AR125" s="78"/>
      <c r="AS125" s="78"/>
      <c r="AT125" s="78"/>
      <c r="AU125" s="78"/>
      <c r="AV125" s="78"/>
      <c r="AW125" s="78"/>
      <c r="AX125" s="78"/>
      <c r="AY125" s="78"/>
      <c r="AZ125" s="78"/>
      <c r="BA125" s="78"/>
      <c r="BB125" s="78"/>
      <c r="BC125" s="78"/>
      <c r="BD125" s="78"/>
      <c r="BF125" s="78"/>
      <c r="BG125" s="78"/>
      <c r="BH125" s="78"/>
      <c r="BI125" s="78"/>
      <c r="BJ125" s="78"/>
      <c r="BK125" s="78"/>
    </row>
    <row r="126" spans="1:63" ht="12" customHeight="1" x14ac:dyDescent="0.2">
      <c r="A126" s="66" t="s">
        <v>22058</v>
      </c>
      <c r="B126" s="66">
        <v>37</v>
      </c>
      <c r="C126" s="66" t="s">
        <v>20</v>
      </c>
      <c r="D126" s="66" t="s">
        <v>30</v>
      </c>
      <c r="E126" s="66"/>
      <c r="F126" s="69">
        <v>42885</v>
      </c>
      <c r="G126" s="66" t="s">
        <v>30963</v>
      </c>
      <c r="H126" s="66" t="s">
        <v>22060</v>
      </c>
      <c r="I126" s="66" t="s">
        <v>669</v>
      </c>
      <c r="J126" s="66">
        <v>39553</v>
      </c>
      <c r="K126" s="66" t="s">
        <v>433</v>
      </c>
      <c r="L126" s="66" t="s">
        <v>22062</v>
      </c>
      <c r="M126" s="66" t="s">
        <v>27</v>
      </c>
      <c r="N126" s="66" t="s">
        <v>30964</v>
      </c>
      <c r="O126" s="66" t="s">
        <v>400</v>
      </c>
      <c r="P126" s="66" t="s">
        <v>30375</v>
      </c>
      <c r="Q126" s="76" t="s">
        <v>30965</v>
      </c>
      <c r="R126" s="66" t="s">
        <v>100</v>
      </c>
      <c r="S126" s="66" t="s">
        <v>28</v>
      </c>
      <c r="T126" s="89" t="s">
        <v>29681</v>
      </c>
      <c r="U126" s="89"/>
      <c r="V126" s="89"/>
      <c r="W126" s="89"/>
      <c r="X126" s="89"/>
      <c r="Y126" s="66"/>
      <c r="Z126" s="66"/>
      <c r="AA126" s="66"/>
      <c r="AB126" s="66"/>
      <c r="AC126" s="66"/>
      <c r="AD126" s="66"/>
      <c r="AE126" s="66"/>
      <c r="AF126" s="66"/>
      <c r="AG126" s="66"/>
      <c r="AH126" s="66"/>
      <c r="AI126" s="66"/>
      <c r="AJ126" s="66"/>
      <c r="AK126" s="66"/>
      <c r="AL126" s="66"/>
      <c r="AM126" s="66"/>
      <c r="AN126" s="66"/>
      <c r="AO126" s="66"/>
      <c r="AP126" s="78"/>
      <c r="AQ126" s="78"/>
      <c r="AR126" s="78"/>
      <c r="AS126" s="78"/>
      <c r="AT126" s="78"/>
      <c r="AU126" s="78"/>
      <c r="AV126" s="78"/>
      <c r="AW126" s="78"/>
      <c r="AX126" s="78"/>
      <c r="AY126" s="78"/>
      <c r="AZ126" s="78"/>
      <c r="BA126" s="78"/>
      <c r="BB126" s="78"/>
      <c r="BC126" s="78"/>
      <c r="BD126" s="78"/>
      <c r="BF126" s="78"/>
      <c r="BG126" s="78"/>
      <c r="BH126" s="78"/>
      <c r="BI126" s="78"/>
      <c r="BJ126" s="78"/>
      <c r="BK126" s="78"/>
    </row>
    <row r="127" spans="1:63" ht="12" customHeight="1" x14ac:dyDescent="0.2">
      <c r="A127" s="66" t="s">
        <v>30369</v>
      </c>
      <c r="B127" s="66">
        <v>37</v>
      </c>
      <c r="C127" s="66" t="s">
        <v>20</v>
      </c>
      <c r="D127" s="66" t="s">
        <v>37</v>
      </c>
      <c r="E127" s="66"/>
      <c r="F127" s="69">
        <v>42884</v>
      </c>
      <c r="G127" s="66" t="s">
        <v>30370</v>
      </c>
      <c r="H127" s="66" t="s">
        <v>30371</v>
      </c>
      <c r="I127" s="66" t="s">
        <v>4371</v>
      </c>
      <c r="J127" s="66" t="s">
        <v>30372</v>
      </c>
      <c r="K127" s="66" t="s">
        <v>1604</v>
      </c>
      <c r="L127" s="66" t="s">
        <v>30373</v>
      </c>
      <c r="M127" s="66" t="s">
        <v>27</v>
      </c>
      <c r="N127" s="66" t="s">
        <v>30374</v>
      </c>
      <c r="O127" s="66" t="s">
        <v>400</v>
      </c>
      <c r="P127" s="66" t="s">
        <v>30375</v>
      </c>
      <c r="Q127" s="76" t="s">
        <v>30376</v>
      </c>
      <c r="R127" s="66" t="s">
        <v>100</v>
      </c>
      <c r="S127" s="66" t="s">
        <v>28</v>
      </c>
      <c r="T127" s="89" t="s">
        <v>29681</v>
      </c>
      <c r="U127" s="89" t="s">
        <v>29436</v>
      </c>
      <c r="V127" s="89" t="s">
        <v>29439</v>
      </c>
      <c r="W127" s="89" t="s">
        <v>100</v>
      </c>
      <c r="X127" s="89">
        <v>2607</v>
      </c>
      <c r="Y127" s="66"/>
      <c r="Z127" s="66"/>
      <c r="AA127" s="66"/>
      <c r="AB127" s="66"/>
      <c r="AC127" s="66"/>
      <c r="AD127" s="66"/>
      <c r="AE127" s="66"/>
      <c r="AF127" s="66"/>
      <c r="AG127" s="66"/>
      <c r="AH127" s="66"/>
      <c r="AI127" s="66"/>
      <c r="AJ127" s="66"/>
      <c r="AK127" s="66"/>
      <c r="AL127" s="66"/>
      <c r="AM127" s="66"/>
      <c r="AN127" s="66"/>
      <c r="AO127" s="66"/>
      <c r="AP127" s="78"/>
      <c r="AQ127" s="78"/>
      <c r="AR127" s="78"/>
      <c r="AS127" s="78"/>
      <c r="AT127" s="78"/>
      <c r="AU127" s="78"/>
      <c r="AV127" s="78"/>
      <c r="AW127" s="78"/>
      <c r="AX127" s="78"/>
      <c r="AY127" s="78"/>
      <c r="AZ127" s="78"/>
      <c r="BA127" s="78"/>
      <c r="BB127" s="78"/>
      <c r="BC127" s="78"/>
      <c r="BD127" s="78"/>
      <c r="BF127" s="78"/>
      <c r="BG127" s="78"/>
      <c r="BH127" s="78"/>
      <c r="BI127" s="78"/>
      <c r="BJ127" s="78"/>
      <c r="BK127" s="78"/>
    </row>
    <row r="128" spans="1:63" ht="12" customHeight="1" x14ac:dyDescent="0.2">
      <c r="A128" s="66" t="s">
        <v>30740</v>
      </c>
      <c r="B128" s="66">
        <v>20</v>
      </c>
      <c r="C128" s="66" t="s">
        <v>20</v>
      </c>
      <c r="D128" s="66" t="s">
        <v>48</v>
      </c>
      <c r="E128" s="66"/>
      <c r="F128" s="69">
        <v>42884</v>
      </c>
      <c r="G128" s="66" t="s">
        <v>30377</v>
      </c>
      <c r="H128" s="66" t="s">
        <v>15301</v>
      </c>
      <c r="I128" s="66" t="s">
        <v>45</v>
      </c>
      <c r="J128" s="66" t="s">
        <v>15302</v>
      </c>
      <c r="K128" s="66" t="s">
        <v>3423</v>
      </c>
      <c r="L128" s="66" t="s">
        <v>15303</v>
      </c>
      <c r="M128" s="66" t="s">
        <v>27</v>
      </c>
      <c r="N128" s="66" t="s">
        <v>30378</v>
      </c>
      <c r="O128" s="66" t="s">
        <v>400</v>
      </c>
      <c r="P128" s="66" t="s">
        <v>30375</v>
      </c>
      <c r="Q128" s="76" t="s">
        <v>30379</v>
      </c>
      <c r="R128" s="66" t="s">
        <v>100</v>
      </c>
      <c r="S128" s="66" t="s">
        <v>379</v>
      </c>
      <c r="T128" s="89" t="s">
        <v>29773</v>
      </c>
      <c r="U128" s="89" t="s">
        <v>29438</v>
      </c>
      <c r="V128" s="89" t="s">
        <v>29437</v>
      </c>
      <c r="W128" s="89" t="s">
        <v>555</v>
      </c>
      <c r="X128" s="89">
        <v>2609</v>
      </c>
      <c r="Y128" s="66"/>
      <c r="Z128" s="66"/>
      <c r="AA128" s="66"/>
      <c r="AB128" s="66"/>
      <c r="AC128" s="66"/>
      <c r="AD128" s="66"/>
      <c r="AE128" s="66"/>
      <c r="AF128" s="66"/>
      <c r="AG128" s="66"/>
      <c r="AH128" s="66"/>
      <c r="AI128" s="66"/>
      <c r="AJ128" s="66"/>
      <c r="AK128" s="66"/>
      <c r="AL128" s="66"/>
      <c r="AM128" s="66"/>
      <c r="AN128" s="66"/>
      <c r="AO128" s="66"/>
      <c r="AP128" s="78"/>
      <c r="AQ128" s="78"/>
      <c r="AR128" s="78"/>
      <c r="AS128" s="78"/>
      <c r="AT128" s="78"/>
      <c r="AU128" s="78"/>
      <c r="AV128" s="78"/>
      <c r="AW128" s="78"/>
      <c r="AX128" s="78"/>
      <c r="AY128" s="78"/>
      <c r="AZ128" s="78"/>
      <c r="BA128" s="78"/>
      <c r="BB128" s="78"/>
      <c r="BC128" s="78"/>
      <c r="BD128" s="78"/>
      <c r="BF128" s="78"/>
      <c r="BG128" s="78"/>
      <c r="BH128" s="78"/>
      <c r="BI128" s="78"/>
      <c r="BJ128" s="78"/>
      <c r="BK128" s="78"/>
    </row>
    <row r="129" spans="1:63" ht="12" customHeight="1" x14ac:dyDescent="0.2">
      <c r="A129" s="66" t="s">
        <v>30966</v>
      </c>
      <c r="B129" s="66">
        <v>63</v>
      </c>
      <c r="C129" s="66" t="s">
        <v>20</v>
      </c>
      <c r="D129" s="66" t="s">
        <v>30</v>
      </c>
      <c r="E129" s="66"/>
      <c r="F129" s="69">
        <v>42884</v>
      </c>
      <c r="G129" s="66" t="s">
        <v>30967</v>
      </c>
      <c r="H129" s="66" t="s">
        <v>30968</v>
      </c>
      <c r="I129" s="66" t="s">
        <v>150</v>
      </c>
      <c r="J129" s="66">
        <v>25420</v>
      </c>
      <c r="K129" s="66" t="s">
        <v>5329</v>
      </c>
      <c r="L129" s="66" t="s">
        <v>19314</v>
      </c>
      <c r="M129" s="66" t="s">
        <v>27</v>
      </c>
      <c r="N129" s="66" t="s">
        <v>30969</v>
      </c>
      <c r="O129" s="66" t="s">
        <v>400</v>
      </c>
      <c r="P129" s="66" t="s">
        <v>30375</v>
      </c>
      <c r="Q129" s="76" t="s">
        <v>30970</v>
      </c>
      <c r="R129" s="66" t="s">
        <v>555</v>
      </c>
      <c r="S129" s="66" t="s">
        <v>28</v>
      </c>
      <c r="T129" s="89" t="s">
        <v>29681</v>
      </c>
      <c r="U129" s="89" t="s">
        <v>29438</v>
      </c>
      <c r="V129" s="89" t="s">
        <v>29439</v>
      </c>
      <c r="W129" s="89" t="s">
        <v>100</v>
      </c>
      <c r="X129" s="89">
        <v>2619</v>
      </c>
      <c r="Y129" s="66"/>
      <c r="Z129" s="66"/>
      <c r="AA129" s="66"/>
      <c r="AB129" s="66"/>
      <c r="AC129" s="66"/>
      <c r="AD129" s="66"/>
      <c r="AE129" s="66"/>
      <c r="AF129" s="66"/>
      <c r="AG129" s="66"/>
      <c r="AH129" s="66"/>
      <c r="AI129" s="66"/>
      <c r="AJ129" s="66"/>
      <c r="AK129" s="66"/>
      <c r="AL129" s="66"/>
      <c r="AM129" s="66"/>
      <c r="AN129" s="66"/>
      <c r="AO129" s="66"/>
      <c r="AP129" s="78"/>
      <c r="AQ129" s="78"/>
      <c r="AR129" s="78"/>
      <c r="AS129" s="78"/>
      <c r="AT129" s="78"/>
      <c r="AU129" s="78"/>
      <c r="AV129" s="78"/>
      <c r="AW129" s="78"/>
      <c r="AX129" s="78"/>
      <c r="AY129" s="78"/>
      <c r="AZ129" s="78"/>
      <c r="BA129" s="78"/>
      <c r="BB129" s="78"/>
      <c r="BC129" s="78"/>
      <c r="BD129" s="78"/>
      <c r="BF129" s="78"/>
      <c r="BG129" s="78"/>
      <c r="BH129" s="78"/>
      <c r="BI129" s="78"/>
      <c r="BJ129" s="78"/>
      <c r="BK129" s="78"/>
    </row>
    <row r="130" spans="1:63" ht="12" customHeight="1" x14ac:dyDescent="0.2">
      <c r="A130" s="66" t="s">
        <v>30380</v>
      </c>
      <c r="B130" s="66">
        <v>22</v>
      </c>
      <c r="C130" s="66" t="s">
        <v>20</v>
      </c>
      <c r="D130" s="66" t="s">
        <v>85</v>
      </c>
      <c r="E130" s="66" t="s">
        <v>30381</v>
      </c>
      <c r="F130" s="69">
        <v>42883</v>
      </c>
      <c r="G130" s="66" t="s">
        <v>30382</v>
      </c>
      <c r="H130" s="66" t="s">
        <v>30383</v>
      </c>
      <c r="I130" s="66" t="s">
        <v>366</v>
      </c>
      <c r="J130" s="66" t="s">
        <v>30384</v>
      </c>
      <c r="K130" s="66" t="s">
        <v>690</v>
      </c>
      <c r="L130" s="66" t="s">
        <v>30385</v>
      </c>
      <c r="M130" s="66" t="s">
        <v>27</v>
      </c>
      <c r="N130" s="66" t="s">
        <v>30386</v>
      </c>
      <c r="O130" s="66" t="s">
        <v>400</v>
      </c>
      <c r="P130" s="66" t="s">
        <v>30375</v>
      </c>
      <c r="Q130" s="76" t="s">
        <v>30387</v>
      </c>
      <c r="R130" s="66" t="s">
        <v>100</v>
      </c>
      <c r="S130" s="66" t="s">
        <v>28</v>
      </c>
      <c r="T130" s="89" t="s">
        <v>29681</v>
      </c>
      <c r="U130" s="89" t="s">
        <v>29438</v>
      </c>
      <c r="V130" s="89" t="s">
        <v>29439</v>
      </c>
      <c r="W130" s="89" t="s">
        <v>100</v>
      </c>
      <c r="X130" s="89">
        <v>2610</v>
      </c>
      <c r="Y130" s="66"/>
      <c r="Z130" s="66"/>
      <c r="AA130" s="66"/>
      <c r="AB130" s="66"/>
      <c r="AC130" s="66"/>
      <c r="AD130" s="66"/>
      <c r="AE130" s="66"/>
      <c r="AF130" s="66"/>
      <c r="AG130" s="66"/>
      <c r="AH130" s="66"/>
      <c r="AI130" s="66"/>
      <c r="AJ130" s="66"/>
      <c r="AK130" s="66"/>
      <c r="AL130" s="66"/>
      <c r="AM130" s="66"/>
      <c r="AN130" s="66"/>
      <c r="AO130" s="66"/>
      <c r="AP130" s="78"/>
      <c r="AQ130" s="78"/>
      <c r="AR130" s="78"/>
      <c r="AS130" s="78"/>
      <c r="AT130" s="78"/>
      <c r="AU130" s="78"/>
      <c r="AV130" s="78"/>
      <c r="AW130" s="78"/>
      <c r="AX130" s="78"/>
      <c r="AY130" s="78"/>
      <c r="AZ130" s="78"/>
      <c r="BA130" s="78"/>
      <c r="BB130" s="78"/>
      <c r="BC130" s="78"/>
      <c r="BD130" s="78"/>
      <c r="BF130" s="78"/>
      <c r="BG130" s="78"/>
      <c r="BH130" s="78"/>
      <c r="BI130" s="78"/>
      <c r="BJ130" s="78"/>
      <c r="BK130" s="78"/>
    </row>
    <row r="131" spans="1:63" ht="12" customHeight="1" x14ac:dyDescent="0.2">
      <c r="A131" s="66" t="s">
        <v>3252</v>
      </c>
      <c r="B131" s="66" t="s">
        <v>29</v>
      </c>
      <c r="C131" s="66" t="s">
        <v>29</v>
      </c>
      <c r="D131" s="66" t="s">
        <v>30</v>
      </c>
      <c r="E131" s="66"/>
      <c r="F131" s="69">
        <v>42883</v>
      </c>
      <c r="G131" s="66" t="s">
        <v>30403</v>
      </c>
      <c r="H131" s="66" t="s">
        <v>1520</v>
      </c>
      <c r="I131" s="66" t="s">
        <v>62</v>
      </c>
      <c r="J131" s="66" t="s">
        <v>22871</v>
      </c>
      <c r="K131" s="66" t="s">
        <v>161</v>
      </c>
      <c r="L131" s="66" t="s">
        <v>162</v>
      </c>
      <c r="M131" s="66" t="s">
        <v>27</v>
      </c>
      <c r="N131" s="66" t="s">
        <v>30404</v>
      </c>
      <c r="O131" s="66" t="s">
        <v>400</v>
      </c>
      <c r="P131" s="66" t="s">
        <v>30375</v>
      </c>
      <c r="Q131" s="76" t="s">
        <v>30405</v>
      </c>
      <c r="R131" s="66" t="s">
        <v>100</v>
      </c>
      <c r="S131" s="66" t="s">
        <v>28</v>
      </c>
      <c r="T131" s="89" t="s">
        <v>29681</v>
      </c>
      <c r="U131" s="89" t="s">
        <v>29438</v>
      </c>
      <c r="V131" s="89" t="s">
        <v>29437</v>
      </c>
      <c r="W131" s="89" t="s">
        <v>100</v>
      </c>
      <c r="X131" s="89">
        <v>2608</v>
      </c>
      <c r="Y131" s="66"/>
      <c r="Z131" s="66"/>
      <c r="AA131" s="66"/>
      <c r="AB131" s="66"/>
      <c r="AC131" s="66"/>
      <c r="AD131" s="66"/>
      <c r="AE131" s="66"/>
      <c r="AF131" s="66"/>
      <c r="AG131" s="66"/>
      <c r="AH131" s="66"/>
      <c r="AI131" s="66"/>
      <c r="AJ131" s="66"/>
      <c r="AK131" s="66"/>
      <c r="AL131" s="66"/>
      <c r="AM131" s="66"/>
      <c r="AN131" s="66"/>
      <c r="AO131" s="66"/>
      <c r="AP131" s="78"/>
      <c r="AQ131" s="78"/>
      <c r="AR131" s="78"/>
      <c r="AS131" s="78"/>
      <c r="AT131" s="78"/>
      <c r="AU131" s="78"/>
      <c r="AV131" s="78"/>
      <c r="AW131" s="78"/>
      <c r="AX131" s="78"/>
      <c r="AY131" s="78"/>
      <c r="AZ131" s="78"/>
      <c r="BA131" s="78"/>
      <c r="BB131" s="78"/>
      <c r="BC131" s="78"/>
      <c r="BD131" s="78"/>
      <c r="BF131" s="78"/>
      <c r="BG131" s="78"/>
      <c r="BH131" s="78"/>
      <c r="BI131" s="78"/>
      <c r="BJ131" s="78"/>
      <c r="BK131" s="78"/>
    </row>
    <row r="132" spans="1:63" ht="12" customHeight="1" x14ac:dyDescent="0.2">
      <c r="A132" s="66" t="s">
        <v>30388</v>
      </c>
      <c r="B132" s="66">
        <v>31</v>
      </c>
      <c r="C132" s="66" t="s">
        <v>20</v>
      </c>
      <c r="D132" s="66" t="s">
        <v>37</v>
      </c>
      <c r="E132" s="66" t="s">
        <v>30389</v>
      </c>
      <c r="F132" s="69">
        <v>42883</v>
      </c>
      <c r="G132" s="66" t="s">
        <v>30390</v>
      </c>
      <c r="H132" s="66" t="s">
        <v>30391</v>
      </c>
      <c r="I132" s="66" t="s">
        <v>431</v>
      </c>
      <c r="J132" s="66" t="s">
        <v>30392</v>
      </c>
      <c r="K132" s="66" t="s">
        <v>433</v>
      </c>
      <c r="L132" s="66" t="s">
        <v>28475</v>
      </c>
      <c r="M132" s="66" t="s">
        <v>27</v>
      </c>
      <c r="N132" s="66" t="s">
        <v>30393</v>
      </c>
      <c r="O132" s="66" t="s">
        <v>400</v>
      </c>
      <c r="P132" s="66" t="s">
        <v>30375</v>
      </c>
      <c r="Q132" s="76" t="s">
        <v>30394</v>
      </c>
      <c r="R132" s="66" t="s">
        <v>100</v>
      </c>
      <c r="S132" s="66" t="s">
        <v>28</v>
      </c>
      <c r="T132" s="89" t="s">
        <v>31030</v>
      </c>
      <c r="U132" s="89"/>
      <c r="V132" s="89"/>
      <c r="W132" s="89"/>
      <c r="X132" s="89"/>
      <c r="Y132" s="66"/>
      <c r="Z132" s="66"/>
      <c r="AA132" s="66"/>
      <c r="AB132" s="66"/>
      <c r="AC132" s="66"/>
      <c r="AD132" s="66"/>
      <c r="AE132" s="66"/>
      <c r="AF132" s="66"/>
      <c r="AG132" s="66"/>
      <c r="AH132" s="66"/>
      <c r="AI132" s="66"/>
      <c r="AJ132" s="66"/>
      <c r="AK132" s="66"/>
      <c r="AL132" s="66"/>
      <c r="AM132" s="66"/>
      <c r="AN132" s="66"/>
      <c r="AO132" s="66"/>
      <c r="AP132" s="78"/>
      <c r="AQ132" s="78"/>
      <c r="AR132" s="78"/>
      <c r="AS132" s="78"/>
      <c r="AT132" s="78"/>
      <c r="AU132" s="78"/>
      <c r="AV132" s="78"/>
      <c r="AW132" s="78"/>
      <c r="AX132" s="78"/>
      <c r="AY132" s="78"/>
      <c r="AZ132" s="78"/>
      <c r="BA132" s="78"/>
      <c r="BB132" s="78"/>
      <c r="BC132" s="78"/>
      <c r="BD132" s="78"/>
      <c r="BF132" s="78"/>
      <c r="BG132" s="78"/>
      <c r="BH132" s="78"/>
      <c r="BI132" s="78"/>
      <c r="BJ132" s="78"/>
      <c r="BK132" s="78"/>
    </row>
    <row r="133" spans="1:63" ht="12" customHeight="1" x14ac:dyDescent="0.2">
      <c r="A133" s="66" t="s">
        <v>3252</v>
      </c>
      <c r="B133" s="66" t="s">
        <v>29</v>
      </c>
      <c r="C133" s="66" t="s">
        <v>20</v>
      </c>
      <c r="D133" s="66" t="s">
        <v>30</v>
      </c>
      <c r="E133" s="66"/>
      <c r="F133" s="69">
        <v>42883</v>
      </c>
      <c r="G133" s="66" t="s">
        <v>30406</v>
      </c>
      <c r="H133" s="66" t="s">
        <v>10496</v>
      </c>
      <c r="I133" s="66" t="s">
        <v>46</v>
      </c>
      <c r="J133" s="66" t="s">
        <v>30407</v>
      </c>
      <c r="K133" s="66" t="s">
        <v>5173</v>
      </c>
      <c r="L133" s="66" t="s">
        <v>30408</v>
      </c>
      <c r="M133" s="66" t="s">
        <v>379</v>
      </c>
      <c r="N133" s="66" t="s">
        <v>30409</v>
      </c>
      <c r="O133" s="66" t="s">
        <v>400</v>
      </c>
      <c r="P133" s="66" t="s">
        <v>30375</v>
      </c>
      <c r="Q133" s="76" t="s">
        <v>30410</v>
      </c>
      <c r="R133" s="66" t="s">
        <v>100</v>
      </c>
      <c r="S133" s="66" t="s">
        <v>18</v>
      </c>
      <c r="T133" s="77" t="s">
        <v>29760</v>
      </c>
      <c r="U133" s="77"/>
      <c r="V133" s="77"/>
      <c r="W133" s="77"/>
      <c r="X133" s="77"/>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78"/>
      <c r="AW133" s="78"/>
      <c r="AX133" s="78"/>
      <c r="AY133" s="78"/>
      <c r="AZ133" s="78"/>
      <c r="BA133" s="78"/>
      <c r="BB133" s="78"/>
      <c r="BC133" s="78"/>
      <c r="BD133" s="78"/>
      <c r="BE133" s="78"/>
      <c r="BF133" s="78"/>
      <c r="BG133" s="78"/>
      <c r="BH133" s="78"/>
      <c r="BI133" s="78"/>
      <c r="BJ133" s="78"/>
    </row>
    <row r="134" spans="1:63" ht="12" customHeight="1" x14ac:dyDescent="0.2">
      <c r="A134" s="66" t="s">
        <v>30395</v>
      </c>
      <c r="B134" s="66">
        <v>46</v>
      </c>
      <c r="C134" s="66" t="s">
        <v>20</v>
      </c>
      <c r="D134" s="66" t="s">
        <v>30</v>
      </c>
      <c r="E134" s="66"/>
      <c r="F134" s="69">
        <v>42883</v>
      </c>
      <c r="G134" s="66" t="s">
        <v>30396</v>
      </c>
      <c r="H134" s="66" t="s">
        <v>3286</v>
      </c>
      <c r="I134" s="66" t="s">
        <v>363</v>
      </c>
      <c r="J134" s="66" t="s">
        <v>3287</v>
      </c>
      <c r="K134" s="66" t="s">
        <v>3288</v>
      </c>
      <c r="L134" s="66" t="s">
        <v>30397</v>
      </c>
      <c r="M134" s="66" t="s">
        <v>379</v>
      </c>
      <c r="N134" s="66" t="s">
        <v>30398</v>
      </c>
      <c r="O134" s="66" t="s">
        <v>400</v>
      </c>
      <c r="P134" s="66" t="s">
        <v>30375</v>
      </c>
      <c r="Q134" s="76" t="s">
        <v>30399</v>
      </c>
      <c r="R134" s="66" t="s">
        <v>100</v>
      </c>
      <c r="S134" s="66" t="s">
        <v>379</v>
      </c>
      <c r="T134" s="77" t="s">
        <v>29773</v>
      </c>
      <c r="U134" s="77"/>
      <c r="V134" s="77"/>
      <c r="W134" s="77"/>
      <c r="X134" s="77"/>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78"/>
      <c r="AW134" s="78"/>
      <c r="AX134" s="78"/>
      <c r="AY134" s="78"/>
      <c r="AZ134" s="78"/>
      <c r="BA134" s="78"/>
      <c r="BB134" s="78"/>
      <c r="BC134" s="78"/>
      <c r="BD134" s="78"/>
      <c r="BE134" s="78"/>
      <c r="BF134" s="78"/>
      <c r="BG134" s="78"/>
      <c r="BH134" s="78"/>
      <c r="BI134" s="78"/>
      <c r="BJ134" s="78"/>
    </row>
    <row r="135" spans="1:63" ht="12" customHeight="1" x14ac:dyDescent="0.2">
      <c r="A135" s="66" t="s">
        <v>30739</v>
      </c>
      <c r="B135" s="66" t="s">
        <v>29</v>
      </c>
      <c r="C135" s="66" t="s">
        <v>20</v>
      </c>
      <c r="D135" s="66" t="s">
        <v>48</v>
      </c>
      <c r="E135" s="66"/>
      <c r="F135" s="69">
        <v>42883</v>
      </c>
      <c r="G135" s="66" t="s">
        <v>30400</v>
      </c>
      <c r="H135" s="66" t="s">
        <v>606</v>
      </c>
      <c r="I135" s="66" t="s">
        <v>45</v>
      </c>
      <c r="J135" s="66" t="s">
        <v>11495</v>
      </c>
      <c r="K135" s="66" t="s">
        <v>607</v>
      </c>
      <c r="L135" s="66" t="s">
        <v>727</v>
      </c>
      <c r="M135" s="66" t="s">
        <v>5411</v>
      </c>
      <c r="N135" s="66" t="s">
        <v>30401</v>
      </c>
      <c r="O135" s="66" t="s">
        <v>400</v>
      </c>
      <c r="P135" s="66" t="s">
        <v>30375</v>
      </c>
      <c r="Q135" s="76" t="s">
        <v>30402</v>
      </c>
      <c r="R135" s="66" t="s">
        <v>555</v>
      </c>
      <c r="S135" s="66" t="s">
        <v>28</v>
      </c>
      <c r="T135" s="89" t="s">
        <v>29942</v>
      </c>
      <c r="U135" s="89" t="s">
        <v>29436</v>
      </c>
      <c r="V135" s="89" t="s">
        <v>29439</v>
      </c>
      <c r="W135" s="89" t="s">
        <v>100</v>
      </c>
      <c r="X135" s="89">
        <v>2611</v>
      </c>
      <c r="Y135" s="66"/>
      <c r="Z135" s="66"/>
      <c r="AA135" s="66"/>
      <c r="AB135" s="66"/>
      <c r="AC135" s="66"/>
      <c r="AD135" s="66"/>
      <c r="AE135" s="66"/>
      <c r="AF135" s="66"/>
      <c r="AG135" s="66"/>
      <c r="AH135" s="66"/>
      <c r="AI135" s="66"/>
      <c r="AJ135" s="66"/>
      <c r="AK135" s="66"/>
      <c r="AL135" s="66"/>
      <c r="AM135" s="66"/>
      <c r="AN135" s="66"/>
      <c r="AO135" s="66"/>
      <c r="AP135" s="78"/>
      <c r="AQ135" s="78"/>
      <c r="AR135" s="78"/>
      <c r="AS135" s="78"/>
      <c r="AT135" s="78"/>
      <c r="AU135" s="78"/>
      <c r="AV135" s="78"/>
      <c r="AW135" s="78"/>
      <c r="AX135" s="78"/>
      <c r="AY135" s="78"/>
      <c r="AZ135" s="78"/>
      <c r="BA135" s="78"/>
      <c r="BB135" s="78"/>
      <c r="BC135" s="78"/>
      <c r="BD135" s="78"/>
      <c r="BF135" s="78"/>
      <c r="BG135" s="78"/>
      <c r="BH135" s="78"/>
      <c r="BI135" s="78"/>
      <c r="BJ135" s="78"/>
      <c r="BK135" s="78"/>
    </row>
    <row r="136" spans="1:63" ht="12" customHeight="1" x14ac:dyDescent="0.2">
      <c r="A136" s="66" t="s">
        <v>30427</v>
      </c>
      <c r="B136" s="66" t="s">
        <v>29</v>
      </c>
      <c r="C136" s="66" t="s">
        <v>20</v>
      </c>
      <c r="D136" s="66" t="s">
        <v>30</v>
      </c>
      <c r="E136" s="66"/>
      <c r="F136" s="69">
        <v>42882</v>
      </c>
      <c r="G136" s="66" t="s">
        <v>30428</v>
      </c>
      <c r="H136" s="66" t="s">
        <v>30429</v>
      </c>
      <c r="I136" s="66" t="s">
        <v>173</v>
      </c>
      <c r="J136" s="66" t="s">
        <v>30430</v>
      </c>
      <c r="K136" s="66" t="s">
        <v>3309</v>
      </c>
      <c r="L136" s="66" t="s">
        <v>3310</v>
      </c>
      <c r="M136" s="66" t="s">
        <v>27</v>
      </c>
      <c r="N136" s="66" t="s">
        <v>30431</v>
      </c>
      <c r="O136" s="66" t="s">
        <v>400</v>
      </c>
      <c r="P136" s="66" t="s">
        <v>30375</v>
      </c>
      <c r="Q136" s="76" t="s">
        <v>30432</v>
      </c>
      <c r="R136" s="66" t="s">
        <v>100</v>
      </c>
      <c r="S136" s="66" t="s">
        <v>28</v>
      </c>
      <c r="T136" s="89" t="s">
        <v>29681</v>
      </c>
      <c r="U136" s="89" t="s">
        <v>29438</v>
      </c>
      <c r="V136" s="89" t="s">
        <v>29439</v>
      </c>
      <c r="W136" s="89" t="s">
        <v>100</v>
      </c>
      <c r="X136" s="89">
        <v>2613</v>
      </c>
      <c r="Y136" s="66"/>
      <c r="Z136" s="66"/>
      <c r="AA136" s="66"/>
      <c r="AB136" s="66"/>
      <c r="AC136" s="66"/>
      <c r="AD136" s="66"/>
      <c r="AE136" s="66"/>
      <c r="AF136" s="66"/>
      <c r="AG136" s="66"/>
      <c r="AH136" s="66"/>
      <c r="AI136" s="66"/>
      <c r="AJ136" s="66"/>
      <c r="AK136" s="66"/>
      <c r="AL136" s="66"/>
      <c r="AM136" s="66"/>
      <c r="AN136" s="66"/>
      <c r="AO136" s="66"/>
      <c r="AP136" s="78"/>
      <c r="AQ136" s="78"/>
      <c r="AR136" s="78"/>
      <c r="AS136" s="78"/>
      <c r="AT136" s="78"/>
      <c r="AU136" s="78"/>
      <c r="AV136" s="78"/>
      <c r="AW136" s="78"/>
      <c r="AX136" s="78"/>
      <c r="AY136" s="78"/>
      <c r="AZ136" s="78"/>
      <c r="BA136" s="78"/>
      <c r="BB136" s="78"/>
      <c r="BC136" s="78"/>
      <c r="BD136" s="78"/>
      <c r="BF136" s="78"/>
      <c r="BG136" s="78"/>
      <c r="BH136" s="78"/>
      <c r="BI136" s="78"/>
      <c r="BJ136" s="78"/>
      <c r="BK136" s="78"/>
    </row>
    <row r="137" spans="1:63" ht="12" customHeight="1" x14ac:dyDescent="0.2">
      <c r="A137" s="66" t="s">
        <v>30419</v>
      </c>
      <c r="B137" s="66">
        <v>71</v>
      </c>
      <c r="C137" s="66" t="s">
        <v>20</v>
      </c>
      <c r="D137" s="66" t="s">
        <v>30</v>
      </c>
      <c r="E137" s="66"/>
      <c r="F137" s="69">
        <v>42882</v>
      </c>
      <c r="G137" s="66" t="s">
        <v>30420</v>
      </c>
      <c r="H137" s="66" t="s">
        <v>30421</v>
      </c>
      <c r="I137" s="66" t="s">
        <v>4371</v>
      </c>
      <c r="J137" s="66" t="s">
        <v>30422</v>
      </c>
      <c r="K137" s="66" t="s">
        <v>30423</v>
      </c>
      <c r="L137" s="66" t="s">
        <v>30424</v>
      </c>
      <c r="M137" s="66" t="s">
        <v>391</v>
      </c>
      <c r="N137" s="66" t="s">
        <v>30425</v>
      </c>
      <c r="O137" s="66" t="s">
        <v>400</v>
      </c>
      <c r="P137" s="66" t="s">
        <v>30375</v>
      </c>
      <c r="Q137" s="76" t="s">
        <v>30426</v>
      </c>
      <c r="R137" s="66" t="s">
        <v>100</v>
      </c>
      <c r="S137" s="66" t="s">
        <v>28</v>
      </c>
      <c r="T137" s="77" t="s">
        <v>29681</v>
      </c>
      <c r="U137" s="77"/>
      <c r="V137" s="77"/>
      <c r="W137" s="77"/>
      <c r="X137" s="77"/>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78"/>
      <c r="AW137" s="78"/>
      <c r="AX137" s="78"/>
      <c r="AY137" s="78"/>
      <c r="AZ137" s="78"/>
      <c r="BA137" s="78"/>
      <c r="BB137" s="78"/>
      <c r="BC137" s="78"/>
      <c r="BD137" s="78"/>
      <c r="BE137" s="78"/>
      <c r="BF137" s="78"/>
      <c r="BG137" s="78"/>
      <c r="BH137" s="78"/>
      <c r="BI137" s="78"/>
      <c r="BJ137" s="78"/>
    </row>
    <row r="138" spans="1:63" ht="12" customHeight="1" x14ac:dyDescent="0.2">
      <c r="A138" s="66" t="s">
        <v>30411</v>
      </c>
      <c r="B138" s="66">
        <v>30</v>
      </c>
      <c r="C138" s="66" t="s">
        <v>20</v>
      </c>
      <c r="D138" s="66" t="s">
        <v>37</v>
      </c>
      <c r="E138" s="66" t="s">
        <v>30412</v>
      </c>
      <c r="F138" s="69">
        <v>42882</v>
      </c>
      <c r="G138" s="66" t="s">
        <v>30413</v>
      </c>
      <c r="H138" s="66" t="s">
        <v>30414</v>
      </c>
      <c r="I138" s="66" t="s">
        <v>319</v>
      </c>
      <c r="J138" s="66" t="s">
        <v>30415</v>
      </c>
      <c r="K138" s="66" t="s">
        <v>7055</v>
      </c>
      <c r="L138" s="66" t="s">
        <v>30416</v>
      </c>
      <c r="M138" s="66" t="s">
        <v>27</v>
      </c>
      <c r="N138" s="66" t="s">
        <v>30417</v>
      </c>
      <c r="O138" s="66" t="s">
        <v>400</v>
      </c>
      <c r="P138" s="66" t="s">
        <v>30375</v>
      </c>
      <c r="Q138" s="76" t="s">
        <v>30418</v>
      </c>
      <c r="R138" s="66" t="s">
        <v>100</v>
      </c>
      <c r="S138" s="66" t="s">
        <v>379</v>
      </c>
      <c r="T138" s="89" t="s">
        <v>29773</v>
      </c>
      <c r="U138" s="89" t="s">
        <v>29436</v>
      </c>
      <c r="V138" s="89" t="s">
        <v>29437</v>
      </c>
      <c r="W138" s="89" t="s">
        <v>100</v>
      </c>
      <c r="X138" s="89">
        <v>2612</v>
      </c>
      <c r="Y138" s="66"/>
      <c r="Z138" s="66"/>
      <c r="AA138" s="66"/>
      <c r="AB138" s="66"/>
      <c r="AC138" s="66"/>
      <c r="AD138" s="66"/>
      <c r="AE138" s="66"/>
      <c r="AF138" s="66"/>
      <c r="AG138" s="66"/>
      <c r="AH138" s="66"/>
      <c r="AI138" s="66"/>
      <c r="AJ138" s="66"/>
      <c r="AK138" s="66"/>
      <c r="AL138" s="66"/>
      <c r="AM138" s="66"/>
      <c r="AN138" s="66"/>
      <c r="AO138" s="66"/>
      <c r="AP138" s="78"/>
      <c r="AQ138" s="78"/>
      <c r="AR138" s="78"/>
      <c r="AS138" s="78"/>
      <c r="AT138" s="78"/>
      <c r="AU138" s="78"/>
      <c r="AV138" s="78"/>
      <c r="AW138" s="78"/>
      <c r="AX138" s="78"/>
      <c r="AY138" s="78"/>
      <c r="AZ138" s="78"/>
      <c r="BA138" s="78"/>
      <c r="BB138" s="78"/>
      <c r="BC138" s="78"/>
      <c r="BD138" s="78"/>
      <c r="BF138" s="78"/>
      <c r="BG138" s="78"/>
      <c r="BH138" s="78"/>
      <c r="BI138" s="78"/>
      <c r="BJ138" s="78"/>
      <c r="BK138" s="78"/>
    </row>
    <row r="139" spans="1:63" ht="12" customHeight="1" x14ac:dyDescent="0.2">
      <c r="A139" s="66" t="s">
        <v>19129</v>
      </c>
      <c r="B139" s="66">
        <v>15</v>
      </c>
      <c r="C139" s="66" t="s">
        <v>20</v>
      </c>
      <c r="D139" s="66" t="s">
        <v>85</v>
      </c>
      <c r="E139" s="66" t="s">
        <v>30433</v>
      </c>
      <c r="F139" s="69">
        <v>42881</v>
      </c>
      <c r="G139" s="66" t="s">
        <v>30434</v>
      </c>
      <c r="H139" s="66" t="s">
        <v>30435</v>
      </c>
      <c r="I139" s="66" t="s">
        <v>45</v>
      </c>
      <c r="J139" s="66" t="s">
        <v>30436</v>
      </c>
      <c r="K139" s="66" t="s">
        <v>98</v>
      </c>
      <c r="L139" s="66" t="s">
        <v>30437</v>
      </c>
      <c r="M139" s="66" t="s">
        <v>27</v>
      </c>
      <c r="N139" s="66" t="s">
        <v>30438</v>
      </c>
      <c r="O139" s="66" t="s">
        <v>400</v>
      </c>
      <c r="P139" s="66" t="s">
        <v>30375</v>
      </c>
      <c r="Q139" s="76" t="s">
        <v>30439</v>
      </c>
      <c r="R139" s="66" t="s">
        <v>100</v>
      </c>
      <c r="S139" s="66" t="s">
        <v>28</v>
      </c>
      <c r="T139" s="89"/>
      <c r="U139" s="89"/>
      <c r="V139" s="89"/>
      <c r="W139" s="89"/>
      <c r="X139" s="89"/>
      <c r="Y139" s="66"/>
      <c r="Z139" s="66"/>
      <c r="AA139" s="66"/>
      <c r="AB139" s="66"/>
      <c r="AC139" s="66"/>
      <c r="AD139" s="66"/>
      <c r="AE139" s="66"/>
      <c r="AF139" s="66"/>
      <c r="AG139" s="66"/>
      <c r="AH139" s="66"/>
      <c r="AI139" s="66"/>
      <c r="AJ139" s="66"/>
      <c r="AK139" s="66"/>
      <c r="AL139" s="66"/>
      <c r="AM139" s="66"/>
      <c r="AN139" s="66"/>
      <c r="AO139" s="66"/>
      <c r="AP139" s="78"/>
      <c r="AQ139" s="78"/>
      <c r="AR139" s="78"/>
      <c r="AS139" s="78"/>
      <c r="AT139" s="78"/>
      <c r="AU139" s="78"/>
      <c r="AV139" s="78"/>
      <c r="AW139" s="78"/>
      <c r="AX139" s="78"/>
      <c r="AY139" s="78"/>
      <c r="AZ139" s="78"/>
      <c r="BA139" s="78"/>
      <c r="BB139" s="78"/>
      <c r="BC139" s="78"/>
      <c r="BD139" s="78"/>
      <c r="BF139" s="78"/>
      <c r="BG139" s="78"/>
      <c r="BH139" s="78"/>
      <c r="BI139" s="78"/>
      <c r="BJ139" s="78"/>
      <c r="BK139" s="78"/>
    </row>
    <row r="140" spans="1:63" ht="12" customHeight="1" x14ac:dyDescent="0.2">
      <c r="A140" s="66" t="s">
        <v>30440</v>
      </c>
      <c r="B140" s="66">
        <v>59</v>
      </c>
      <c r="C140" s="66" t="s">
        <v>20</v>
      </c>
      <c r="D140" s="66" t="s">
        <v>48</v>
      </c>
      <c r="E140" s="66" t="s">
        <v>30441</v>
      </c>
      <c r="F140" s="69">
        <v>42881</v>
      </c>
      <c r="G140" s="66"/>
      <c r="H140" s="66" t="s">
        <v>30442</v>
      </c>
      <c r="I140" s="66" t="s">
        <v>195</v>
      </c>
      <c r="J140" s="66" t="s">
        <v>30443</v>
      </c>
      <c r="K140" s="66" t="s">
        <v>24844</v>
      </c>
      <c r="L140" s="66" t="s">
        <v>4961</v>
      </c>
      <c r="M140" s="66" t="s">
        <v>27</v>
      </c>
      <c r="N140" s="66" t="s">
        <v>30444</v>
      </c>
      <c r="O140" s="66" t="s">
        <v>400</v>
      </c>
      <c r="P140" s="66" t="s">
        <v>30375</v>
      </c>
      <c r="Q140" s="76" t="s">
        <v>30445</v>
      </c>
      <c r="R140" s="66" t="s">
        <v>100</v>
      </c>
      <c r="S140" s="66" t="s">
        <v>35</v>
      </c>
      <c r="T140" s="89" t="s">
        <v>29441</v>
      </c>
      <c r="U140" s="89" t="s">
        <v>29441</v>
      </c>
      <c r="V140" s="89" t="s">
        <v>29439</v>
      </c>
      <c r="W140" s="89" t="s">
        <v>100</v>
      </c>
      <c r="X140" s="89">
        <v>2614</v>
      </c>
      <c r="Y140" s="66"/>
      <c r="Z140" s="66"/>
      <c r="AA140" s="66"/>
      <c r="AB140" s="66"/>
      <c r="AC140" s="66"/>
      <c r="AD140" s="66"/>
      <c r="AE140" s="66"/>
      <c r="AF140" s="66"/>
      <c r="AG140" s="66"/>
      <c r="AH140" s="66"/>
      <c r="AI140" s="66"/>
      <c r="AJ140" s="66"/>
      <c r="AK140" s="66"/>
      <c r="AL140" s="66"/>
      <c r="AM140" s="66"/>
      <c r="AN140" s="66"/>
      <c r="AO140" s="66"/>
      <c r="AP140" s="78"/>
      <c r="AQ140" s="78"/>
      <c r="AR140" s="78"/>
      <c r="AS140" s="78"/>
      <c r="AT140" s="78"/>
      <c r="AU140" s="78"/>
      <c r="AV140" s="78"/>
      <c r="AW140" s="78"/>
      <c r="AX140" s="78"/>
      <c r="AY140" s="78"/>
      <c r="AZ140" s="78"/>
      <c r="BA140" s="78"/>
      <c r="BB140" s="78"/>
      <c r="BC140" s="78"/>
      <c r="BD140" s="78"/>
      <c r="BF140" s="78"/>
      <c r="BG140" s="78"/>
      <c r="BH140" s="78"/>
      <c r="BI140" s="78"/>
      <c r="BJ140" s="78"/>
      <c r="BK140" s="78"/>
    </row>
    <row r="141" spans="1:63" ht="12" customHeight="1" x14ac:dyDescent="0.2">
      <c r="A141" s="66" t="s">
        <v>30446</v>
      </c>
      <c r="B141" s="66">
        <v>33</v>
      </c>
      <c r="C141" s="66" t="s">
        <v>20</v>
      </c>
      <c r="D141" s="66" t="s">
        <v>30</v>
      </c>
      <c r="E141" s="66"/>
      <c r="F141" s="69">
        <v>42881</v>
      </c>
      <c r="G141" s="66" t="s">
        <v>30447</v>
      </c>
      <c r="H141" s="66" t="s">
        <v>709</v>
      </c>
      <c r="I141" s="66" t="s">
        <v>431</v>
      </c>
      <c r="J141" s="66" t="s">
        <v>30448</v>
      </c>
      <c r="K141" s="66" t="s">
        <v>20282</v>
      </c>
      <c r="L141" s="66" t="s">
        <v>4516</v>
      </c>
      <c r="M141" s="66" t="s">
        <v>27</v>
      </c>
      <c r="N141" s="66" t="s">
        <v>30449</v>
      </c>
      <c r="O141" s="66" t="s">
        <v>400</v>
      </c>
      <c r="P141" s="66" t="s">
        <v>30375</v>
      </c>
      <c r="Q141" s="76" t="s">
        <v>30450</v>
      </c>
      <c r="R141" s="66" t="s">
        <v>555</v>
      </c>
      <c r="S141" s="66" t="s">
        <v>28</v>
      </c>
      <c r="T141" s="89" t="s">
        <v>29681</v>
      </c>
      <c r="U141" s="89" t="s">
        <v>29438</v>
      </c>
      <c r="V141" s="89" t="s">
        <v>29439</v>
      </c>
      <c r="W141" s="89" t="s">
        <v>100</v>
      </c>
      <c r="X141" s="89">
        <v>2615</v>
      </c>
      <c r="Y141" s="66"/>
      <c r="Z141" s="66"/>
      <c r="AA141" s="66"/>
      <c r="AB141" s="66"/>
      <c r="AC141" s="66"/>
      <c r="AD141" s="66"/>
      <c r="AE141" s="66"/>
      <c r="AF141" s="66"/>
      <c r="AG141" s="66"/>
      <c r="AH141" s="66"/>
      <c r="AI141" s="66"/>
      <c r="AJ141" s="66"/>
      <c r="AK141" s="66"/>
      <c r="AL141" s="66"/>
      <c r="AM141" s="66"/>
      <c r="AN141" s="66"/>
      <c r="AO141" s="66"/>
      <c r="AP141" s="78"/>
      <c r="AQ141" s="78"/>
      <c r="AR141" s="78"/>
      <c r="AS141" s="78"/>
      <c r="AT141" s="78"/>
      <c r="AU141" s="78"/>
      <c r="AV141" s="78"/>
      <c r="AW141" s="78"/>
      <c r="AX141" s="78"/>
      <c r="AY141" s="78"/>
      <c r="AZ141" s="78"/>
      <c r="BA141" s="78"/>
      <c r="BB141" s="78"/>
      <c r="BC141" s="78"/>
      <c r="BD141" s="78"/>
      <c r="BF141" s="78"/>
      <c r="BG141" s="78"/>
      <c r="BH141" s="78"/>
      <c r="BI141" s="78"/>
      <c r="BJ141" s="78"/>
      <c r="BK141" s="78"/>
    </row>
    <row r="142" spans="1:63" ht="12" customHeight="1" x14ac:dyDescent="0.2">
      <c r="A142" s="66" t="s">
        <v>30451</v>
      </c>
      <c r="B142" s="66">
        <v>34</v>
      </c>
      <c r="C142" s="66" t="s">
        <v>20</v>
      </c>
      <c r="D142" s="66" t="s">
        <v>37</v>
      </c>
      <c r="E142" s="66"/>
      <c r="F142" s="69">
        <v>42881</v>
      </c>
      <c r="G142" s="66" t="s">
        <v>30452</v>
      </c>
      <c r="H142" s="66" t="s">
        <v>561</v>
      </c>
      <c r="I142" s="66" t="s">
        <v>123</v>
      </c>
      <c r="J142" s="66" t="s">
        <v>19669</v>
      </c>
      <c r="K142" s="66" t="s">
        <v>562</v>
      </c>
      <c r="L142" s="66" t="s">
        <v>563</v>
      </c>
      <c r="M142" s="66" t="s">
        <v>27</v>
      </c>
      <c r="N142" s="66" t="s">
        <v>30453</v>
      </c>
      <c r="O142" s="66" t="s">
        <v>400</v>
      </c>
      <c r="P142" s="66" t="s">
        <v>30375</v>
      </c>
      <c r="Q142" s="76" t="s">
        <v>30454</v>
      </c>
      <c r="R142" s="66" t="s">
        <v>555</v>
      </c>
      <c r="S142" s="66" t="s">
        <v>18</v>
      </c>
      <c r="T142" s="89" t="s">
        <v>30116</v>
      </c>
      <c r="U142" s="89" t="s">
        <v>29438</v>
      </c>
      <c r="V142" s="89" t="s">
        <v>29439</v>
      </c>
      <c r="W142" s="89" t="s">
        <v>100</v>
      </c>
      <c r="X142" s="89">
        <v>2616</v>
      </c>
      <c r="Y142" s="66"/>
      <c r="Z142" s="66"/>
      <c r="AA142" s="66"/>
      <c r="AB142" s="66"/>
      <c r="AC142" s="66"/>
      <c r="AD142" s="66"/>
      <c r="AE142" s="66"/>
      <c r="AF142" s="66"/>
      <c r="AG142" s="66"/>
      <c r="AH142" s="66"/>
      <c r="AI142" s="66"/>
      <c r="AJ142" s="66"/>
      <c r="AK142" s="66"/>
      <c r="AL142" s="66"/>
      <c r="AM142" s="66"/>
      <c r="AN142" s="66"/>
      <c r="AO142" s="66"/>
      <c r="AP142" s="78"/>
      <c r="AQ142" s="78"/>
      <c r="AR142" s="78"/>
      <c r="AS142" s="78"/>
      <c r="AT142" s="78"/>
      <c r="AU142" s="78"/>
      <c r="AV142" s="78"/>
      <c r="AW142" s="78"/>
      <c r="AX142" s="78"/>
      <c r="AY142" s="78"/>
      <c r="AZ142" s="78"/>
      <c r="BA142" s="78"/>
      <c r="BB142" s="78"/>
      <c r="BC142" s="78"/>
      <c r="BD142" s="78"/>
      <c r="BF142" s="78"/>
      <c r="BG142" s="78"/>
      <c r="BH142" s="78"/>
      <c r="BI142" s="78"/>
      <c r="BJ142" s="78"/>
      <c r="BK142" s="78"/>
    </row>
    <row r="143" spans="1:63" ht="12" customHeight="1" x14ac:dyDescent="0.2">
      <c r="A143" s="66" t="s">
        <v>30463</v>
      </c>
      <c r="B143" s="66">
        <v>23</v>
      </c>
      <c r="C143" s="66" t="s">
        <v>20</v>
      </c>
      <c r="D143" s="66" t="s">
        <v>37</v>
      </c>
      <c r="E143" s="66" t="s">
        <v>30464</v>
      </c>
      <c r="F143" s="69">
        <v>42880</v>
      </c>
      <c r="G143" s="66" t="s">
        <v>30465</v>
      </c>
      <c r="H143" s="66" t="s">
        <v>329</v>
      </c>
      <c r="I143" s="66" t="s">
        <v>330</v>
      </c>
      <c r="J143" s="66" t="s">
        <v>25176</v>
      </c>
      <c r="K143" s="66" t="s">
        <v>19984</v>
      </c>
      <c r="L143" s="66" t="s">
        <v>30466</v>
      </c>
      <c r="M143" s="66" t="s">
        <v>27</v>
      </c>
      <c r="N143" s="66" t="s">
        <v>30467</v>
      </c>
      <c r="O143" s="66" t="s">
        <v>400</v>
      </c>
      <c r="P143" s="66" t="s">
        <v>30375</v>
      </c>
      <c r="Q143" s="76" t="s">
        <v>30468</v>
      </c>
      <c r="R143" s="66" t="s">
        <v>100</v>
      </c>
      <c r="S143" s="66" t="s">
        <v>28</v>
      </c>
      <c r="T143" s="89" t="s">
        <v>29681</v>
      </c>
      <c r="U143" s="89" t="s">
        <v>29438</v>
      </c>
      <c r="V143" s="89" t="s">
        <v>29437</v>
      </c>
      <c r="W143" s="89" t="s">
        <v>100</v>
      </c>
      <c r="X143" s="89">
        <v>2618</v>
      </c>
      <c r="Y143" s="66"/>
      <c r="Z143" s="66"/>
      <c r="AA143" s="66"/>
      <c r="AB143" s="66"/>
      <c r="AC143" s="66"/>
      <c r="AD143" s="66"/>
      <c r="AE143" s="66"/>
      <c r="AF143" s="66"/>
      <c r="AG143" s="66"/>
      <c r="AH143" s="66"/>
      <c r="AI143" s="66"/>
      <c r="AJ143" s="66"/>
      <c r="AK143" s="66"/>
      <c r="AL143" s="66"/>
      <c r="AM143" s="66"/>
      <c r="AN143" s="66"/>
      <c r="AO143" s="66"/>
      <c r="AP143" s="78"/>
      <c r="AQ143" s="78"/>
      <c r="AR143" s="78"/>
      <c r="AS143" s="78"/>
      <c r="AT143" s="78"/>
      <c r="AU143" s="78"/>
      <c r="AV143" s="78"/>
      <c r="AW143" s="78"/>
      <c r="AX143" s="78"/>
      <c r="AY143" s="78"/>
      <c r="AZ143" s="78"/>
      <c r="BA143" s="78"/>
      <c r="BB143" s="78"/>
      <c r="BC143" s="78"/>
      <c r="BD143" s="78"/>
      <c r="BF143" s="78"/>
      <c r="BG143" s="78"/>
      <c r="BH143" s="78"/>
      <c r="BI143" s="78"/>
      <c r="BJ143" s="78"/>
      <c r="BK143" s="78"/>
    </row>
    <row r="144" spans="1:63" ht="12" customHeight="1" x14ac:dyDescent="0.2">
      <c r="A144" s="66" t="s">
        <v>30455</v>
      </c>
      <c r="B144" s="66">
        <v>22</v>
      </c>
      <c r="C144" s="66" t="s">
        <v>20</v>
      </c>
      <c r="D144" s="66" t="s">
        <v>85</v>
      </c>
      <c r="E144" s="66" t="s">
        <v>30456</v>
      </c>
      <c r="F144" s="69">
        <v>42880</v>
      </c>
      <c r="G144" s="66" t="s">
        <v>30457</v>
      </c>
      <c r="H144" s="66" t="s">
        <v>30458</v>
      </c>
      <c r="I144" s="66" t="s">
        <v>438</v>
      </c>
      <c r="J144" s="66" t="s">
        <v>30459</v>
      </c>
      <c r="K144" s="66" t="s">
        <v>887</v>
      </c>
      <c r="L144" s="66" t="s">
        <v>30460</v>
      </c>
      <c r="M144" s="66" t="s">
        <v>391</v>
      </c>
      <c r="N144" s="66" t="s">
        <v>30461</v>
      </c>
      <c r="O144" s="66" t="s">
        <v>400</v>
      </c>
      <c r="P144" s="66" t="s">
        <v>30375</v>
      </c>
      <c r="Q144" s="76" t="s">
        <v>30462</v>
      </c>
      <c r="R144" s="66" t="s">
        <v>555</v>
      </c>
      <c r="S144" s="66" t="s">
        <v>18</v>
      </c>
      <c r="T144" s="77" t="s">
        <v>29760</v>
      </c>
      <c r="U144" s="77"/>
      <c r="V144" s="77"/>
      <c r="W144" s="77"/>
      <c r="X144" s="77"/>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78"/>
      <c r="AW144" s="78"/>
      <c r="AX144" s="78"/>
      <c r="AY144" s="78"/>
      <c r="AZ144" s="78"/>
      <c r="BA144" s="78"/>
      <c r="BB144" s="78"/>
      <c r="BC144" s="78"/>
      <c r="BD144" s="78"/>
      <c r="BE144" s="78"/>
      <c r="BF144" s="78"/>
      <c r="BG144" s="78"/>
      <c r="BH144" s="78"/>
      <c r="BI144" s="78"/>
      <c r="BJ144" s="78"/>
    </row>
    <row r="145" spans="1:63" ht="12" customHeight="1" x14ac:dyDescent="0.2">
      <c r="A145" s="66" t="s">
        <v>3252</v>
      </c>
      <c r="B145" s="66" t="s">
        <v>29</v>
      </c>
      <c r="C145" s="66" t="s">
        <v>20</v>
      </c>
      <c r="D145" s="66" t="s">
        <v>48</v>
      </c>
      <c r="E145" s="66"/>
      <c r="F145" s="69">
        <v>42879</v>
      </c>
      <c r="G145" s="66" t="s">
        <v>30482</v>
      </c>
      <c r="H145" s="66" t="s">
        <v>5191</v>
      </c>
      <c r="I145" s="66" t="s">
        <v>45</v>
      </c>
      <c r="J145" s="66" t="s">
        <v>8967</v>
      </c>
      <c r="K145" s="66" t="s">
        <v>98</v>
      </c>
      <c r="L145" s="66" t="s">
        <v>29688</v>
      </c>
      <c r="M145" s="66" t="s">
        <v>27</v>
      </c>
      <c r="N145" s="66" t="s">
        <v>30483</v>
      </c>
      <c r="O145" s="66" t="s">
        <v>400</v>
      </c>
      <c r="P145" s="66" t="s">
        <v>30375</v>
      </c>
      <c r="Q145" s="76" t="s">
        <v>30484</v>
      </c>
      <c r="R145" s="66" t="s">
        <v>100</v>
      </c>
      <c r="S145" s="66" t="s">
        <v>28</v>
      </c>
      <c r="T145" s="89" t="s">
        <v>29681</v>
      </c>
      <c r="U145" s="89" t="s">
        <v>29438</v>
      </c>
      <c r="V145" s="89" t="s">
        <v>29439</v>
      </c>
      <c r="W145" s="89" t="s">
        <v>100</v>
      </c>
      <c r="X145" s="89">
        <v>2606</v>
      </c>
      <c r="Y145" s="66"/>
      <c r="Z145" s="66"/>
      <c r="AA145" s="66"/>
      <c r="AB145" s="66"/>
      <c r="AC145" s="66"/>
      <c r="AD145" s="66"/>
      <c r="AE145" s="66"/>
      <c r="AF145" s="66"/>
      <c r="AG145" s="66"/>
      <c r="AH145" s="66"/>
      <c r="AI145" s="66"/>
      <c r="AJ145" s="66"/>
      <c r="AK145" s="66"/>
      <c r="AL145" s="66"/>
      <c r="AM145" s="66"/>
      <c r="AN145" s="66"/>
      <c r="AO145" s="66"/>
      <c r="AP145" s="78"/>
      <c r="AQ145" s="78"/>
      <c r="AR145" s="78"/>
      <c r="AS145" s="78"/>
      <c r="AT145" s="78"/>
      <c r="AU145" s="78"/>
      <c r="AV145" s="78"/>
      <c r="AW145" s="78"/>
      <c r="AX145" s="78"/>
      <c r="AY145" s="78"/>
      <c r="AZ145" s="78"/>
      <c r="BA145" s="78"/>
      <c r="BB145" s="78"/>
      <c r="BC145" s="78"/>
      <c r="BD145" s="78"/>
      <c r="BF145" s="78"/>
      <c r="BG145" s="78"/>
      <c r="BH145" s="78"/>
      <c r="BI145" s="78"/>
      <c r="BJ145" s="78"/>
      <c r="BK145" s="78"/>
    </row>
    <row r="146" spans="1:63" ht="12" customHeight="1" x14ac:dyDescent="0.2">
      <c r="A146" s="66" t="s">
        <v>30476</v>
      </c>
      <c r="B146" s="66">
        <v>59</v>
      </c>
      <c r="C146" s="66" t="s">
        <v>20</v>
      </c>
      <c r="D146" s="66" t="s">
        <v>37</v>
      </c>
      <c r="E146" s="66"/>
      <c r="F146" s="69">
        <v>42879</v>
      </c>
      <c r="G146" s="66" t="s">
        <v>30477</v>
      </c>
      <c r="H146" s="66" t="s">
        <v>945</v>
      </c>
      <c r="I146" s="66" t="s">
        <v>45</v>
      </c>
      <c r="J146" s="66" t="s">
        <v>30478</v>
      </c>
      <c r="K146" s="66" t="s">
        <v>4631</v>
      </c>
      <c r="L146" s="66" t="s">
        <v>30479</v>
      </c>
      <c r="M146" s="66" t="s">
        <v>27</v>
      </c>
      <c r="N146" s="66" t="s">
        <v>30480</v>
      </c>
      <c r="O146" s="66" t="s">
        <v>400</v>
      </c>
      <c r="P146" s="66" t="s">
        <v>30375</v>
      </c>
      <c r="Q146" s="76" t="s">
        <v>30481</v>
      </c>
      <c r="R146" s="66" t="s">
        <v>100</v>
      </c>
      <c r="S146" s="66" t="s">
        <v>28</v>
      </c>
      <c r="T146" s="89" t="s">
        <v>29681</v>
      </c>
      <c r="U146" s="89" t="s">
        <v>29436</v>
      </c>
      <c r="V146" s="89" t="s">
        <v>29439</v>
      </c>
      <c r="W146" s="89" t="s">
        <v>100</v>
      </c>
      <c r="X146" s="89">
        <v>2603</v>
      </c>
      <c r="Y146" s="66"/>
      <c r="Z146" s="66"/>
      <c r="AA146" s="66"/>
      <c r="AB146" s="66"/>
      <c r="AC146" s="66"/>
      <c r="AD146" s="66"/>
      <c r="AE146" s="66"/>
      <c r="AF146" s="66"/>
      <c r="AG146" s="66"/>
      <c r="AH146" s="66"/>
      <c r="AI146" s="66"/>
      <c r="AJ146" s="66"/>
      <c r="AK146" s="66"/>
      <c r="AL146" s="66"/>
      <c r="AM146" s="66"/>
      <c r="AN146" s="66"/>
      <c r="AO146" s="66"/>
      <c r="AP146" s="78"/>
      <c r="AQ146" s="78"/>
      <c r="AR146" s="78"/>
      <c r="AS146" s="78"/>
      <c r="AT146" s="78"/>
      <c r="AU146" s="78"/>
      <c r="AV146" s="78"/>
      <c r="AW146" s="78"/>
      <c r="AX146" s="78"/>
      <c r="AY146" s="78"/>
      <c r="AZ146" s="78"/>
      <c r="BA146" s="78"/>
      <c r="BB146" s="78"/>
      <c r="BC146" s="78"/>
      <c r="BD146" s="78"/>
      <c r="BF146" s="78"/>
      <c r="BG146" s="78"/>
      <c r="BH146" s="78"/>
      <c r="BI146" s="78"/>
      <c r="BJ146" s="78"/>
      <c r="BK146" s="78"/>
    </row>
    <row r="147" spans="1:63" ht="12" customHeight="1" x14ac:dyDescent="0.2">
      <c r="A147" s="66" t="s">
        <v>30469</v>
      </c>
      <c r="B147" s="66">
        <v>24</v>
      </c>
      <c r="C147" s="66" t="s">
        <v>20</v>
      </c>
      <c r="D147" s="66" t="s">
        <v>37</v>
      </c>
      <c r="E147" s="66" t="s">
        <v>30470</v>
      </c>
      <c r="F147" s="69">
        <v>42879</v>
      </c>
      <c r="G147" s="66" t="s">
        <v>30471</v>
      </c>
      <c r="H147" s="66" t="s">
        <v>7958</v>
      </c>
      <c r="I147" s="66" t="s">
        <v>69</v>
      </c>
      <c r="J147" s="66" t="s">
        <v>30472</v>
      </c>
      <c r="K147" s="66" t="s">
        <v>2267</v>
      </c>
      <c r="L147" s="66" t="s">
        <v>30473</v>
      </c>
      <c r="M147" s="66" t="s">
        <v>27</v>
      </c>
      <c r="N147" s="66" t="s">
        <v>30474</v>
      </c>
      <c r="O147" s="66" t="s">
        <v>400</v>
      </c>
      <c r="P147" s="66" t="s">
        <v>30375</v>
      </c>
      <c r="Q147" s="76" t="s">
        <v>30475</v>
      </c>
      <c r="R147" s="66" t="s">
        <v>555</v>
      </c>
      <c r="S147" s="66" t="s">
        <v>18</v>
      </c>
      <c r="T147" s="89" t="s">
        <v>29760</v>
      </c>
      <c r="U147" s="89" t="s">
        <v>29438</v>
      </c>
      <c r="V147" s="89" t="s">
        <v>29439</v>
      </c>
      <c r="W147" s="89" t="s">
        <v>555</v>
      </c>
      <c r="X147" s="89">
        <v>2604</v>
      </c>
      <c r="Y147" s="66"/>
      <c r="Z147" s="66"/>
      <c r="AA147" s="66"/>
      <c r="AB147" s="66"/>
      <c r="AC147" s="66"/>
      <c r="AD147" s="66"/>
      <c r="AE147" s="66"/>
      <c r="AF147" s="66"/>
      <c r="AG147" s="66"/>
      <c r="AH147" s="66"/>
      <c r="AI147" s="66"/>
      <c r="AJ147" s="66"/>
      <c r="AK147" s="66"/>
      <c r="AL147" s="66"/>
      <c r="AM147" s="66"/>
      <c r="AN147" s="66"/>
      <c r="AO147" s="66"/>
      <c r="AP147" s="78"/>
      <c r="AQ147" s="78"/>
      <c r="AR147" s="78"/>
      <c r="AS147" s="78"/>
      <c r="AT147" s="78"/>
      <c r="AU147" s="78"/>
      <c r="AV147" s="78"/>
      <c r="AW147" s="78"/>
      <c r="AX147" s="78"/>
      <c r="AY147" s="78"/>
      <c r="AZ147" s="78"/>
      <c r="BA147" s="78"/>
      <c r="BB147" s="78"/>
      <c r="BC147" s="78"/>
      <c r="BD147" s="78"/>
      <c r="BF147" s="78"/>
      <c r="BG147" s="78"/>
      <c r="BH147" s="78"/>
      <c r="BI147" s="78"/>
      <c r="BJ147" s="78"/>
      <c r="BK147" s="78"/>
    </row>
    <row r="148" spans="1:63" ht="12" customHeight="1" x14ac:dyDescent="0.2">
      <c r="A148" s="66" t="s">
        <v>30496</v>
      </c>
      <c r="B148" s="66">
        <v>21</v>
      </c>
      <c r="C148" s="66" t="s">
        <v>20</v>
      </c>
      <c r="D148" s="66" t="s">
        <v>48</v>
      </c>
      <c r="E148" s="66" t="s">
        <v>30497</v>
      </c>
      <c r="F148" s="69">
        <v>42878</v>
      </c>
      <c r="G148" s="66" t="s">
        <v>30498</v>
      </c>
      <c r="H148" s="66" t="s">
        <v>632</v>
      </c>
      <c r="I148" s="66" t="s">
        <v>123</v>
      </c>
      <c r="J148" s="66" t="s">
        <v>6168</v>
      </c>
      <c r="K148" s="66" t="s">
        <v>633</v>
      </c>
      <c r="L148" s="66" t="s">
        <v>3327</v>
      </c>
      <c r="M148" s="66" t="s">
        <v>5411</v>
      </c>
      <c r="N148" s="66" t="s">
        <v>30499</v>
      </c>
      <c r="O148" s="66" t="s">
        <v>400</v>
      </c>
      <c r="P148" s="66" t="s">
        <v>30375</v>
      </c>
      <c r="Q148" s="76" t="s">
        <v>30500</v>
      </c>
      <c r="R148" s="66" t="s">
        <v>100</v>
      </c>
      <c r="S148" s="66" t="s">
        <v>28</v>
      </c>
      <c r="T148" s="89" t="s">
        <v>29681</v>
      </c>
      <c r="U148" s="89" t="s">
        <v>29438</v>
      </c>
      <c r="V148" s="89" t="s">
        <v>21212</v>
      </c>
      <c r="W148" s="89" t="s">
        <v>100</v>
      </c>
      <c r="X148" s="89">
        <v>2601</v>
      </c>
      <c r="Y148" s="66"/>
      <c r="Z148" s="66"/>
      <c r="AA148" s="66"/>
      <c r="AB148" s="66"/>
      <c r="AC148" s="66"/>
      <c r="AD148" s="66"/>
      <c r="AE148" s="66"/>
      <c r="AF148" s="66"/>
      <c r="AG148" s="66"/>
      <c r="AH148" s="66"/>
      <c r="AI148" s="66"/>
      <c r="AJ148" s="66"/>
      <c r="AK148" s="66"/>
      <c r="AL148" s="66"/>
      <c r="AM148" s="66"/>
      <c r="AN148" s="66"/>
      <c r="AO148" s="66"/>
      <c r="AP148" s="78"/>
      <c r="AQ148" s="78"/>
      <c r="AR148" s="78"/>
      <c r="AS148" s="78"/>
      <c r="AT148" s="78"/>
      <c r="AU148" s="78"/>
      <c r="AV148" s="78"/>
      <c r="AW148" s="78"/>
      <c r="AX148" s="78"/>
      <c r="AY148" s="78"/>
      <c r="AZ148" s="78"/>
      <c r="BA148" s="78"/>
      <c r="BB148" s="78"/>
      <c r="BC148" s="78"/>
      <c r="BD148" s="78"/>
      <c r="BF148" s="78"/>
      <c r="BG148" s="78"/>
      <c r="BH148" s="78"/>
      <c r="BI148" s="78"/>
      <c r="BJ148" s="78"/>
      <c r="BK148" s="78"/>
    </row>
    <row r="149" spans="1:63" ht="12" customHeight="1" x14ac:dyDescent="0.2">
      <c r="A149" s="66" t="s">
        <v>30485</v>
      </c>
      <c r="B149" s="66">
        <v>31</v>
      </c>
      <c r="C149" s="66" t="s">
        <v>20</v>
      </c>
      <c r="D149" s="66" t="s">
        <v>37</v>
      </c>
      <c r="E149" s="66"/>
      <c r="F149" s="69">
        <v>42878</v>
      </c>
      <c r="G149" s="66" t="s">
        <v>30486</v>
      </c>
      <c r="H149" s="66" t="s">
        <v>30487</v>
      </c>
      <c r="I149" s="66" t="s">
        <v>790</v>
      </c>
      <c r="J149" s="66" t="s">
        <v>30488</v>
      </c>
      <c r="K149" s="66" t="s">
        <v>4070</v>
      </c>
      <c r="L149" s="66" t="s">
        <v>30489</v>
      </c>
      <c r="M149" s="66" t="s">
        <v>27</v>
      </c>
      <c r="N149" s="66" t="s">
        <v>30490</v>
      </c>
      <c r="O149" s="66" t="s">
        <v>400</v>
      </c>
      <c r="P149" s="66" t="s">
        <v>30375</v>
      </c>
      <c r="Q149" s="76" t="s">
        <v>30491</v>
      </c>
      <c r="R149" s="66" t="s">
        <v>100</v>
      </c>
      <c r="S149" s="66" t="s">
        <v>28</v>
      </c>
      <c r="T149" s="89" t="s">
        <v>29674</v>
      </c>
      <c r="U149" s="89" t="s">
        <v>29438</v>
      </c>
      <c r="V149" s="89" t="s">
        <v>29439</v>
      </c>
      <c r="W149" s="89" t="s">
        <v>100</v>
      </c>
      <c r="X149" s="89">
        <v>2600</v>
      </c>
      <c r="Y149" s="66"/>
      <c r="Z149" s="66"/>
      <c r="AA149" s="66"/>
      <c r="AB149" s="66"/>
      <c r="AC149" s="66"/>
      <c r="AD149" s="66"/>
      <c r="AE149" s="66"/>
      <c r="AF149" s="66"/>
      <c r="AG149" s="66"/>
      <c r="AH149" s="66"/>
      <c r="AI149" s="66"/>
      <c r="AJ149" s="66"/>
      <c r="AK149" s="66"/>
      <c r="AL149" s="66"/>
      <c r="AM149" s="66"/>
      <c r="AN149" s="66"/>
      <c r="AO149" s="66"/>
      <c r="AP149" s="78"/>
      <c r="AQ149" s="78"/>
      <c r="AR149" s="78"/>
      <c r="AS149" s="78"/>
      <c r="AT149" s="78"/>
      <c r="AU149" s="78"/>
      <c r="AV149" s="78"/>
      <c r="AW149" s="78"/>
      <c r="AX149" s="78"/>
      <c r="AY149" s="78"/>
      <c r="AZ149" s="78"/>
      <c r="BA149" s="78"/>
      <c r="BB149" s="78"/>
      <c r="BC149" s="78"/>
      <c r="BD149" s="78"/>
      <c r="BF149" s="78"/>
      <c r="BG149" s="78"/>
      <c r="BH149" s="78"/>
      <c r="BI149" s="78"/>
      <c r="BJ149" s="78"/>
      <c r="BK149" s="78"/>
    </row>
    <row r="150" spans="1:63" ht="12" customHeight="1" x14ac:dyDescent="0.2">
      <c r="A150" s="66" t="s">
        <v>30501</v>
      </c>
      <c r="B150" s="66">
        <v>65</v>
      </c>
      <c r="C150" s="66" t="s">
        <v>20</v>
      </c>
      <c r="D150" s="66" t="s">
        <v>37</v>
      </c>
      <c r="E150" s="66" t="s">
        <v>30502</v>
      </c>
      <c r="F150" s="69">
        <v>42878</v>
      </c>
      <c r="G150" s="66" t="s">
        <v>30503</v>
      </c>
      <c r="H150" s="66" t="s">
        <v>30504</v>
      </c>
      <c r="I150" s="66" t="s">
        <v>269</v>
      </c>
      <c r="J150" s="66" t="s">
        <v>30505</v>
      </c>
      <c r="K150" s="66" t="s">
        <v>30506</v>
      </c>
      <c r="L150" s="66" t="s">
        <v>30507</v>
      </c>
      <c r="M150" s="66" t="s">
        <v>27</v>
      </c>
      <c r="N150" s="66" t="s">
        <v>30508</v>
      </c>
      <c r="O150" s="66" t="s">
        <v>400</v>
      </c>
      <c r="P150" s="66" t="s">
        <v>30375</v>
      </c>
      <c r="Q150" s="76" t="s">
        <v>30509</v>
      </c>
      <c r="R150" s="66" t="s">
        <v>100</v>
      </c>
      <c r="S150" s="66" t="s">
        <v>28</v>
      </c>
      <c r="T150" s="89" t="s">
        <v>29681</v>
      </c>
      <c r="U150" s="89" t="s">
        <v>29438</v>
      </c>
      <c r="V150" s="89" t="s">
        <v>29439</v>
      </c>
      <c r="W150" s="89" t="s">
        <v>100</v>
      </c>
      <c r="X150" s="89">
        <v>2602</v>
      </c>
      <c r="Y150" s="66"/>
      <c r="Z150" s="66"/>
      <c r="AA150" s="66"/>
      <c r="AB150" s="66"/>
      <c r="AC150" s="66"/>
      <c r="AD150" s="66"/>
      <c r="AE150" s="66"/>
      <c r="AF150" s="66"/>
      <c r="AG150" s="66"/>
      <c r="AH150" s="66"/>
      <c r="AI150" s="66"/>
      <c r="AJ150" s="66"/>
      <c r="AK150" s="66"/>
      <c r="AL150" s="66"/>
      <c r="AM150" s="66"/>
      <c r="AN150" s="66"/>
      <c r="AO150" s="66"/>
      <c r="AP150" s="78"/>
      <c r="AQ150" s="78"/>
      <c r="AR150" s="78"/>
      <c r="AS150" s="78"/>
      <c r="AT150" s="78"/>
      <c r="AU150" s="78"/>
      <c r="AV150" s="78"/>
      <c r="AW150" s="78"/>
      <c r="AX150" s="78"/>
      <c r="AY150" s="78"/>
      <c r="AZ150" s="78"/>
      <c r="BA150" s="78"/>
      <c r="BB150" s="78"/>
      <c r="BC150" s="78"/>
      <c r="BD150" s="78"/>
      <c r="BF150" s="78"/>
      <c r="BG150" s="78"/>
      <c r="BH150" s="78"/>
      <c r="BI150" s="78"/>
      <c r="BJ150" s="78"/>
      <c r="BK150" s="78"/>
    </row>
    <row r="151" spans="1:63" ht="12" customHeight="1" x14ac:dyDescent="0.2">
      <c r="A151" s="66" t="s">
        <v>30492</v>
      </c>
      <c r="B151" s="66">
        <v>74</v>
      </c>
      <c r="C151" s="66" t="s">
        <v>20</v>
      </c>
      <c r="D151" s="66" t="s">
        <v>37</v>
      </c>
      <c r="E151" s="66"/>
      <c r="F151" s="69">
        <v>42878</v>
      </c>
      <c r="G151" s="66" t="s">
        <v>30493</v>
      </c>
      <c r="H151" s="66" t="s">
        <v>387</v>
      </c>
      <c r="I151" s="66" t="s">
        <v>319</v>
      </c>
      <c r="J151" s="66" t="s">
        <v>6084</v>
      </c>
      <c r="K151" s="66" t="s">
        <v>2681</v>
      </c>
      <c r="L151" s="66" t="s">
        <v>2682</v>
      </c>
      <c r="M151" s="66" t="s">
        <v>27</v>
      </c>
      <c r="N151" s="66" t="s">
        <v>30494</v>
      </c>
      <c r="O151" s="66" t="s">
        <v>400</v>
      </c>
      <c r="P151" s="66" t="s">
        <v>30375</v>
      </c>
      <c r="Q151" s="76" t="s">
        <v>30495</v>
      </c>
      <c r="R151" s="66" t="s">
        <v>29</v>
      </c>
      <c r="S151" s="66" t="s">
        <v>28</v>
      </c>
      <c r="T151" s="89" t="s">
        <v>29681</v>
      </c>
      <c r="U151" s="89" t="s">
        <v>29438</v>
      </c>
      <c r="V151" s="89" t="s">
        <v>29439</v>
      </c>
      <c r="W151" s="89" t="s">
        <v>100</v>
      </c>
      <c r="X151" s="89">
        <v>2605</v>
      </c>
      <c r="Y151" s="66"/>
      <c r="Z151" s="66"/>
      <c r="AA151" s="66"/>
      <c r="AB151" s="66"/>
      <c r="AC151" s="66"/>
      <c r="AD151" s="66"/>
      <c r="AE151" s="66"/>
      <c r="AF151" s="66"/>
      <c r="AG151" s="66"/>
      <c r="AH151" s="66"/>
      <c r="AI151" s="66"/>
      <c r="AJ151" s="66"/>
      <c r="AK151" s="66"/>
      <c r="AL151" s="66"/>
      <c r="AM151" s="66"/>
      <c r="AN151" s="66"/>
      <c r="AO151" s="66"/>
      <c r="AP151" s="78"/>
      <c r="AQ151" s="78"/>
      <c r="AR151" s="78"/>
      <c r="AS151" s="78"/>
      <c r="AT151" s="78"/>
      <c r="AU151" s="78"/>
      <c r="AV151" s="78"/>
      <c r="AW151" s="78"/>
      <c r="AX151" s="78"/>
      <c r="AY151" s="78"/>
      <c r="AZ151" s="78"/>
      <c r="BA151" s="78"/>
      <c r="BB151" s="78"/>
      <c r="BC151" s="78"/>
      <c r="BD151" s="78"/>
      <c r="BF151" s="78"/>
      <c r="BG151" s="78"/>
      <c r="BH151" s="78"/>
      <c r="BI151" s="78"/>
      <c r="BJ151" s="78"/>
      <c r="BK151" s="78"/>
    </row>
    <row r="152" spans="1:63" ht="12" customHeight="1" x14ac:dyDescent="0.2">
      <c r="A152" s="66" t="s">
        <v>3252</v>
      </c>
      <c r="B152" s="66" t="s">
        <v>29</v>
      </c>
      <c r="C152" s="66" t="s">
        <v>20</v>
      </c>
      <c r="D152" s="66" t="s">
        <v>30</v>
      </c>
      <c r="E152" s="66"/>
      <c r="F152" s="69">
        <v>42878</v>
      </c>
      <c r="G152" s="66" t="s">
        <v>30510</v>
      </c>
      <c r="H152" s="66" t="s">
        <v>30511</v>
      </c>
      <c r="I152" s="66" t="s">
        <v>45</v>
      </c>
      <c r="J152" s="66" t="s">
        <v>30512</v>
      </c>
      <c r="K152" s="66" t="s">
        <v>7808</v>
      </c>
      <c r="L152" s="66" t="s">
        <v>30513</v>
      </c>
      <c r="M152" s="66" t="s">
        <v>391</v>
      </c>
      <c r="N152" s="66" t="s">
        <v>30514</v>
      </c>
      <c r="O152" s="66" t="s">
        <v>400</v>
      </c>
      <c r="P152" s="66" t="s">
        <v>30375</v>
      </c>
      <c r="Q152" s="76" t="s">
        <v>30515</v>
      </c>
      <c r="R152" s="66" t="s">
        <v>555</v>
      </c>
      <c r="S152" s="66" t="s">
        <v>28</v>
      </c>
      <c r="T152" s="77" t="s">
        <v>29674</v>
      </c>
      <c r="U152" s="77"/>
      <c r="V152" s="77"/>
      <c r="W152" s="77"/>
      <c r="X152" s="77"/>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78"/>
      <c r="AW152" s="78"/>
      <c r="AX152" s="78"/>
      <c r="AY152" s="78"/>
      <c r="AZ152" s="78"/>
      <c r="BA152" s="78"/>
      <c r="BB152" s="78"/>
      <c r="BC152" s="78"/>
      <c r="BD152" s="78"/>
      <c r="BE152" s="78"/>
      <c r="BF152" s="78"/>
      <c r="BG152" s="78"/>
      <c r="BH152" s="78"/>
      <c r="BI152" s="78"/>
      <c r="BJ152" s="78"/>
    </row>
    <row r="153" spans="1:63" ht="12" customHeight="1" x14ac:dyDescent="0.2">
      <c r="A153" s="66" t="s">
        <v>30516</v>
      </c>
      <c r="B153" s="66">
        <v>38</v>
      </c>
      <c r="C153" s="66" t="s">
        <v>20</v>
      </c>
      <c r="D153" s="66" t="s">
        <v>37</v>
      </c>
      <c r="E153" s="66" t="s">
        <v>30517</v>
      </c>
      <c r="F153" s="69">
        <v>42877</v>
      </c>
      <c r="G153" s="66" t="s">
        <v>30518</v>
      </c>
      <c r="H153" s="66" t="s">
        <v>8926</v>
      </c>
      <c r="I153" s="66" t="s">
        <v>46</v>
      </c>
      <c r="J153" s="66" t="s">
        <v>8927</v>
      </c>
      <c r="K153" s="66" t="s">
        <v>1699</v>
      </c>
      <c r="L153" s="66" t="s">
        <v>8928</v>
      </c>
      <c r="M153" s="66" t="s">
        <v>27</v>
      </c>
      <c r="N153" s="66" t="s">
        <v>30519</v>
      </c>
      <c r="O153" s="66" t="s">
        <v>400</v>
      </c>
      <c r="P153" s="66" t="s">
        <v>30375</v>
      </c>
      <c r="Q153" s="76" t="s">
        <v>30520</v>
      </c>
      <c r="R153" s="66" t="s">
        <v>100</v>
      </c>
      <c r="S153" s="66" t="s">
        <v>28</v>
      </c>
      <c r="T153" s="89" t="s">
        <v>29681</v>
      </c>
      <c r="U153" s="89"/>
      <c r="V153" s="89"/>
      <c r="W153" s="89"/>
      <c r="X153" s="89"/>
      <c r="Y153" s="66"/>
      <c r="Z153" s="66"/>
      <c r="AA153" s="66"/>
      <c r="AB153" s="66"/>
      <c r="AC153" s="66"/>
      <c r="AD153" s="66"/>
      <c r="AE153" s="66"/>
      <c r="AF153" s="66"/>
      <c r="AG153" s="66"/>
      <c r="AH153" s="66"/>
      <c r="AI153" s="66"/>
      <c r="AJ153" s="66"/>
      <c r="AK153" s="66"/>
      <c r="AL153" s="66"/>
      <c r="AM153" s="66"/>
      <c r="AN153" s="66"/>
      <c r="AO153" s="66"/>
      <c r="AP153" s="78"/>
      <c r="AQ153" s="78"/>
      <c r="AR153" s="78"/>
      <c r="AS153" s="78"/>
      <c r="AT153" s="78"/>
      <c r="AU153" s="78"/>
      <c r="AV153" s="78"/>
      <c r="AW153" s="78"/>
      <c r="AX153" s="78"/>
      <c r="AY153" s="78"/>
      <c r="AZ153" s="78"/>
      <c r="BA153" s="78"/>
      <c r="BB153" s="78"/>
      <c r="BC153" s="78"/>
      <c r="BD153" s="78"/>
      <c r="BF153" s="78"/>
      <c r="BG153" s="78"/>
      <c r="BH153" s="78"/>
      <c r="BI153" s="78"/>
      <c r="BJ153" s="78"/>
      <c r="BK153" s="78"/>
    </row>
    <row r="154" spans="1:63" ht="12" customHeight="1" x14ac:dyDescent="0.2">
      <c r="A154" s="66" t="s">
        <v>30521</v>
      </c>
      <c r="B154" s="66">
        <v>43</v>
      </c>
      <c r="C154" s="66" t="s">
        <v>20</v>
      </c>
      <c r="D154" s="66" t="s">
        <v>85</v>
      </c>
      <c r="E154" s="66"/>
      <c r="F154" s="69">
        <v>42877</v>
      </c>
      <c r="G154" s="66" t="s">
        <v>30522</v>
      </c>
      <c r="H154" s="66" t="s">
        <v>224</v>
      </c>
      <c r="I154" s="66" t="s">
        <v>225</v>
      </c>
      <c r="J154" s="66" t="s">
        <v>30523</v>
      </c>
      <c r="K154" s="66" t="s">
        <v>3810</v>
      </c>
      <c r="L154" s="66" t="s">
        <v>6039</v>
      </c>
      <c r="M154" s="66" t="s">
        <v>27</v>
      </c>
      <c r="N154" s="66" t="s">
        <v>30524</v>
      </c>
      <c r="O154" s="66" t="s">
        <v>400</v>
      </c>
      <c r="P154" s="66" t="s">
        <v>30375</v>
      </c>
      <c r="Q154" s="76" t="s">
        <v>30525</v>
      </c>
      <c r="R154" s="66" t="s">
        <v>29</v>
      </c>
      <c r="S154" s="66" t="s">
        <v>35</v>
      </c>
      <c r="T154" s="89"/>
      <c r="U154" s="89"/>
      <c r="V154" s="89"/>
      <c r="W154" s="89"/>
      <c r="X154" s="89"/>
      <c r="Y154" s="66"/>
      <c r="Z154" s="66"/>
      <c r="AA154" s="66"/>
      <c r="AB154" s="66"/>
      <c r="AC154" s="66"/>
      <c r="AD154" s="66"/>
      <c r="AE154" s="66"/>
      <c r="AF154" s="66"/>
      <c r="AG154" s="66"/>
      <c r="AH154" s="66"/>
      <c r="AI154" s="66"/>
      <c r="AJ154" s="66"/>
      <c r="AK154" s="66"/>
      <c r="AL154" s="66"/>
      <c r="AM154" s="66"/>
      <c r="AN154" s="66"/>
      <c r="AO154" s="66"/>
      <c r="AP154" s="78"/>
      <c r="AQ154" s="78"/>
      <c r="AR154" s="78"/>
      <c r="AS154" s="78"/>
      <c r="AT154" s="78"/>
      <c r="AU154" s="78"/>
      <c r="AV154" s="78"/>
      <c r="AW154" s="78"/>
      <c r="AX154" s="78"/>
      <c r="AY154" s="78"/>
      <c r="AZ154" s="78"/>
      <c r="BA154" s="78"/>
      <c r="BB154" s="78"/>
      <c r="BC154" s="78"/>
      <c r="BD154" s="78"/>
      <c r="BF154" s="78"/>
      <c r="BG154" s="78"/>
      <c r="BH154" s="78"/>
      <c r="BI154" s="78"/>
      <c r="BJ154" s="78"/>
      <c r="BK154" s="78"/>
    </row>
    <row r="155" spans="1:63" ht="12" customHeight="1" x14ac:dyDescent="0.2">
      <c r="A155" s="66" t="s">
        <v>30540</v>
      </c>
      <c r="B155" s="66">
        <v>33</v>
      </c>
      <c r="C155" s="66" t="s">
        <v>20</v>
      </c>
      <c r="D155" s="66" t="s">
        <v>85</v>
      </c>
      <c r="E155" s="66"/>
      <c r="F155" s="69">
        <v>42876</v>
      </c>
      <c r="G155" s="66" t="s">
        <v>30541</v>
      </c>
      <c r="H155" s="66" t="s">
        <v>30542</v>
      </c>
      <c r="I155" s="66" t="s">
        <v>438</v>
      </c>
      <c r="J155" s="66" t="s">
        <v>30543</v>
      </c>
      <c r="K155" s="66" t="s">
        <v>30544</v>
      </c>
      <c r="L155" s="66" t="s">
        <v>30545</v>
      </c>
      <c r="M155" s="66" t="s">
        <v>27</v>
      </c>
      <c r="N155" s="66" t="s">
        <v>30546</v>
      </c>
      <c r="O155" s="66" t="s">
        <v>400</v>
      </c>
      <c r="P155" s="66" t="s">
        <v>30375</v>
      </c>
      <c r="Q155" s="76" t="s">
        <v>30547</v>
      </c>
      <c r="R155" s="66" t="s">
        <v>100</v>
      </c>
      <c r="S155" s="66" t="s">
        <v>28</v>
      </c>
      <c r="T155" s="89" t="s">
        <v>29681</v>
      </c>
      <c r="U155" s="89" t="s">
        <v>29438</v>
      </c>
      <c r="V155" s="89" t="s">
        <v>29439</v>
      </c>
      <c r="W155" s="89" t="s">
        <v>100</v>
      </c>
      <c r="X155" s="89">
        <v>2594</v>
      </c>
      <c r="Y155" s="66"/>
      <c r="Z155" s="66"/>
      <c r="AA155" s="66"/>
      <c r="AB155" s="66"/>
      <c r="AC155" s="66"/>
      <c r="AD155" s="66"/>
      <c r="AE155" s="66"/>
      <c r="AF155" s="66"/>
      <c r="AG155" s="66"/>
      <c r="AH155" s="66"/>
      <c r="AI155" s="66"/>
      <c r="AJ155" s="66"/>
      <c r="AK155" s="66"/>
      <c r="AL155" s="66"/>
      <c r="AM155" s="66"/>
      <c r="AN155" s="66"/>
      <c r="AO155" s="66"/>
      <c r="AP155" s="78"/>
      <c r="AQ155" s="78"/>
      <c r="AR155" s="78"/>
      <c r="AS155" s="78"/>
      <c r="AT155" s="78"/>
      <c r="AU155" s="78"/>
      <c r="AV155" s="78"/>
      <c r="AW155" s="78"/>
      <c r="AX155" s="78"/>
      <c r="AY155" s="78"/>
      <c r="AZ155" s="78"/>
      <c r="BA155" s="78"/>
      <c r="BB155" s="78"/>
      <c r="BC155" s="78"/>
      <c r="BD155" s="78"/>
      <c r="BF155" s="78"/>
      <c r="BG155" s="78"/>
      <c r="BH155" s="78"/>
      <c r="BI155" s="78"/>
      <c r="BJ155" s="78"/>
      <c r="BK155" s="78"/>
    </row>
    <row r="156" spans="1:63" ht="12" customHeight="1" x14ac:dyDescent="0.2">
      <c r="A156" s="66" t="s">
        <v>30548</v>
      </c>
      <c r="B156" s="66">
        <v>43</v>
      </c>
      <c r="C156" s="66" t="s">
        <v>20</v>
      </c>
      <c r="D156" s="66" t="s">
        <v>37</v>
      </c>
      <c r="E156" s="66"/>
      <c r="F156" s="69">
        <v>42876</v>
      </c>
      <c r="G156" s="66" t="s">
        <v>30549</v>
      </c>
      <c r="H156" s="66" t="s">
        <v>4085</v>
      </c>
      <c r="I156" s="66" t="s">
        <v>404</v>
      </c>
      <c r="J156" s="66" t="s">
        <v>30550</v>
      </c>
      <c r="K156" s="66" t="s">
        <v>4087</v>
      </c>
      <c r="L156" s="66" t="s">
        <v>17903</v>
      </c>
      <c r="M156" s="66" t="s">
        <v>27</v>
      </c>
      <c r="N156" s="66" t="s">
        <v>30551</v>
      </c>
      <c r="O156" s="66" t="s">
        <v>400</v>
      </c>
      <c r="P156" s="66" t="s">
        <v>30375</v>
      </c>
      <c r="Q156" s="76" t="s">
        <v>30552</v>
      </c>
      <c r="R156" s="66" t="s">
        <v>100</v>
      </c>
      <c r="S156" s="66" t="s">
        <v>28</v>
      </c>
      <c r="T156" s="89" t="s">
        <v>29681</v>
      </c>
      <c r="U156" s="89" t="s">
        <v>29438</v>
      </c>
      <c r="V156" s="89" t="s">
        <v>29437</v>
      </c>
      <c r="W156" s="89" t="s">
        <v>100</v>
      </c>
      <c r="X156" s="89">
        <v>2595</v>
      </c>
      <c r="Y156" s="66"/>
      <c r="Z156" s="66"/>
      <c r="AA156" s="66"/>
      <c r="AB156" s="66"/>
      <c r="AC156" s="66"/>
      <c r="AD156" s="66"/>
      <c r="AE156" s="66"/>
      <c r="AF156" s="66"/>
      <c r="AG156" s="66"/>
      <c r="AH156" s="66"/>
      <c r="AI156" s="66"/>
      <c r="AJ156" s="66"/>
      <c r="AK156" s="66"/>
      <c r="AL156" s="66"/>
      <c r="AM156" s="66"/>
      <c r="AN156" s="66"/>
      <c r="AO156" s="66"/>
      <c r="AP156" s="78"/>
      <c r="AQ156" s="78"/>
      <c r="AR156" s="78"/>
      <c r="AS156" s="78"/>
      <c r="AT156" s="78"/>
      <c r="AU156" s="78"/>
      <c r="AV156" s="78"/>
      <c r="AW156" s="78"/>
      <c r="AX156" s="78"/>
      <c r="AY156" s="78"/>
      <c r="AZ156" s="78"/>
      <c r="BA156" s="78"/>
      <c r="BB156" s="78"/>
      <c r="BC156" s="78"/>
      <c r="BD156" s="78"/>
      <c r="BF156" s="78"/>
      <c r="BG156" s="78"/>
      <c r="BH156" s="78"/>
      <c r="BI156" s="78"/>
      <c r="BJ156" s="78"/>
      <c r="BK156" s="78"/>
    </row>
    <row r="157" spans="1:63" ht="12" customHeight="1" x14ac:dyDescent="0.2">
      <c r="A157" s="66" t="s">
        <v>30526</v>
      </c>
      <c r="B157" s="66">
        <v>37</v>
      </c>
      <c r="C157" s="66" t="s">
        <v>20</v>
      </c>
      <c r="D157" s="66" t="s">
        <v>48</v>
      </c>
      <c r="E157" s="66" t="s">
        <v>30527</v>
      </c>
      <c r="F157" s="69">
        <v>42876</v>
      </c>
      <c r="G157" s="66" t="s">
        <v>30528</v>
      </c>
      <c r="H157" s="66" t="s">
        <v>12749</v>
      </c>
      <c r="I157" s="66" t="s">
        <v>62</v>
      </c>
      <c r="J157" s="66" t="s">
        <v>12750</v>
      </c>
      <c r="K157" s="66" t="s">
        <v>12749</v>
      </c>
      <c r="L157" s="66" t="s">
        <v>30529</v>
      </c>
      <c r="M157" s="66" t="s">
        <v>27</v>
      </c>
      <c r="N157" s="66" t="s">
        <v>30530</v>
      </c>
      <c r="O157" s="66" t="s">
        <v>400</v>
      </c>
      <c r="P157" s="66" t="s">
        <v>30375</v>
      </c>
      <c r="Q157" s="76" t="s">
        <v>30531</v>
      </c>
      <c r="R157" s="66" t="s">
        <v>29</v>
      </c>
      <c r="S157" s="66" t="s">
        <v>18</v>
      </c>
      <c r="T157" s="89" t="s">
        <v>29760</v>
      </c>
      <c r="U157" s="89" t="s">
        <v>29438</v>
      </c>
      <c r="V157" s="89" t="s">
        <v>29439</v>
      </c>
      <c r="W157" s="89" t="s">
        <v>100</v>
      </c>
      <c r="X157" s="89">
        <v>2598</v>
      </c>
      <c r="Y157" s="66"/>
      <c r="Z157" s="66"/>
      <c r="AA157" s="66"/>
      <c r="AB157" s="66"/>
      <c r="AC157" s="66"/>
      <c r="AD157" s="66"/>
      <c r="AE157" s="66"/>
      <c r="AF157" s="66"/>
      <c r="AG157" s="66"/>
      <c r="AH157" s="66"/>
      <c r="AI157" s="66"/>
      <c r="AJ157" s="66"/>
      <c r="AK157" s="66"/>
      <c r="AL157" s="66"/>
      <c r="AM157" s="66"/>
      <c r="AN157" s="66"/>
      <c r="AO157" s="66"/>
      <c r="AP157" s="78"/>
      <c r="AQ157" s="78"/>
      <c r="AR157" s="78"/>
      <c r="AS157" s="78"/>
      <c r="AT157" s="78"/>
      <c r="AU157" s="78"/>
      <c r="AV157" s="78"/>
      <c r="AW157" s="78"/>
      <c r="AX157" s="78"/>
      <c r="AY157" s="78"/>
      <c r="AZ157" s="78"/>
      <c r="BA157" s="78"/>
      <c r="BB157" s="78"/>
      <c r="BC157" s="78"/>
      <c r="BD157" s="78"/>
      <c r="BF157" s="78"/>
      <c r="BG157" s="78"/>
      <c r="BH157" s="78"/>
      <c r="BI157" s="78"/>
      <c r="BJ157" s="78"/>
      <c r="BK157" s="78"/>
    </row>
    <row r="158" spans="1:63" ht="12" customHeight="1" x14ac:dyDescent="0.2">
      <c r="A158" s="66" t="s">
        <v>30532</v>
      </c>
      <c r="B158" s="66">
        <v>24</v>
      </c>
      <c r="C158" s="66" t="s">
        <v>20</v>
      </c>
      <c r="D158" s="66" t="s">
        <v>85</v>
      </c>
      <c r="E158" s="66" t="s">
        <v>30533</v>
      </c>
      <c r="F158" s="69">
        <v>42876</v>
      </c>
      <c r="G158" s="66" t="s">
        <v>30534</v>
      </c>
      <c r="H158" s="66" t="s">
        <v>1084</v>
      </c>
      <c r="I158" s="66" t="s">
        <v>25</v>
      </c>
      <c r="J158" s="66" t="s">
        <v>30535</v>
      </c>
      <c r="K158" s="66" t="s">
        <v>30536</v>
      </c>
      <c r="L158" s="66" t="s">
        <v>30537</v>
      </c>
      <c r="M158" s="66" t="s">
        <v>27</v>
      </c>
      <c r="N158" s="66" t="s">
        <v>30538</v>
      </c>
      <c r="O158" s="66" t="s">
        <v>400</v>
      </c>
      <c r="P158" s="66" t="s">
        <v>30375</v>
      </c>
      <c r="Q158" s="76" t="s">
        <v>30539</v>
      </c>
      <c r="R158" s="66" t="s">
        <v>29</v>
      </c>
      <c r="S158" s="66" t="s">
        <v>35</v>
      </c>
      <c r="T158" s="89" t="s">
        <v>29441</v>
      </c>
      <c r="U158" s="89" t="s">
        <v>29436</v>
      </c>
      <c r="V158" s="89" t="s">
        <v>29439</v>
      </c>
      <c r="W158" s="89" t="s">
        <v>100</v>
      </c>
      <c r="X158" s="89">
        <v>2596</v>
      </c>
      <c r="Y158" s="66"/>
      <c r="Z158" s="66"/>
      <c r="AA158" s="66"/>
      <c r="AB158" s="66"/>
      <c r="AC158" s="66"/>
      <c r="AD158" s="66"/>
      <c r="AE158" s="66"/>
      <c r="AF158" s="66"/>
      <c r="AG158" s="66"/>
      <c r="AH158" s="66"/>
      <c r="AI158" s="66"/>
      <c r="AJ158" s="66"/>
      <c r="AK158" s="66"/>
      <c r="AL158" s="66"/>
      <c r="AM158" s="66"/>
      <c r="AN158" s="66"/>
      <c r="AO158" s="66"/>
      <c r="AP158" s="78"/>
      <c r="AQ158" s="78"/>
      <c r="AR158" s="78"/>
      <c r="AS158" s="78"/>
      <c r="AT158" s="78"/>
      <c r="AU158" s="78"/>
      <c r="AV158" s="78"/>
      <c r="AW158" s="78"/>
      <c r="AX158" s="78"/>
      <c r="AY158" s="78"/>
      <c r="AZ158" s="78"/>
      <c r="BA158" s="78"/>
      <c r="BB158" s="78"/>
      <c r="BC158" s="78"/>
      <c r="BD158" s="78"/>
      <c r="BF158" s="78"/>
      <c r="BG158" s="78"/>
      <c r="BH158" s="78"/>
      <c r="BI158" s="78"/>
      <c r="BJ158" s="78"/>
      <c r="BK158" s="78"/>
    </row>
    <row r="159" spans="1:63" ht="12" customHeight="1" x14ac:dyDescent="0.2">
      <c r="A159" s="66" t="s">
        <v>30558</v>
      </c>
      <c r="B159" s="66">
        <v>54</v>
      </c>
      <c r="C159" s="66" t="s">
        <v>20</v>
      </c>
      <c r="D159" s="66" t="s">
        <v>85</v>
      </c>
      <c r="E159" s="66"/>
      <c r="F159" s="69">
        <v>42875</v>
      </c>
      <c r="G159" s="66" t="s">
        <v>30559</v>
      </c>
      <c r="H159" s="66" t="s">
        <v>30560</v>
      </c>
      <c r="I159" s="66" t="s">
        <v>45</v>
      </c>
      <c r="J159" s="66" t="s">
        <v>30561</v>
      </c>
      <c r="K159" s="66" t="s">
        <v>156</v>
      </c>
      <c r="L159" s="66" t="s">
        <v>2115</v>
      </c>
      <c r="M159" s="66" t="s">
        <v>391</v>
      </c>
      <c r="N159" s="66" t="s">
        <v>30562</v>
      </c>
      <c r="O159" s="66" t="s">
        <v>400</v>
      </c>
      <c r="P159" s="66" t="s">
        <v>30375</v>
      </c>
      <c r="Q159" s="76" t="s">
        <v>30563</v>
      </c>
      <c r="R159" s="66" t="s">
        <v>964</v>
      </c>
      <c r="S159" s="66" t="s">
        <v>18</v>
      </c>
      <c r="T159" s="77" t="s">
        <v>29760</v>
      </c>
      <c r="U159" s="77"/>
      <c r="V159" s="77"/>
      <c r="W159" s="77"/>
      <c r="X159" s="77"/>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78"/>
      <c r="AW159" s="78"/>
      <c r="AX159" s="78"/>
      <c r="AY159" s="78"/>
      <c r="AZ159" s="78"/>
      <c r="BA159" s="78"/>
      <c r="BB159" s="78"/>
      <c r="BC159" s="78"/>
      <c r="BD159" s="78"/>
      <c r="BE159" s="78"/>
      <c r="BF159" s="78"/>
      <c r="BG159" s="78"/>
      <c r="BH159" s="78"/>
      <c r="BI159" s="78"/>
      <c r="BJ159" s="78"/>
    </row>
    <row r="160" spans="1:63" ht="12" customHeight="1" x14ac:dyDescent="0.2">
      <c r="A160" s="66" t="s">
        <v>30564</v>
      </c>
      <c r="B160" s="66">
        <v>58</v>
      </c>
      <c r="C160" s="66" t="s">
        <v>20</v>
      </c>
      <c r="D160" s="66" t="s">
        <v>37</v>
      </c>
      <c r="E160" s="66"/>
      <c r="F160" s="69">
        <v>42875</v>
      </c>
      <c r="G160" s="66" t="s">
        <v>30565</v>
      </c>
      <c r="H160" s="66" t="s">
        <v>1456</v>
      </c>
      <c r="I160" s="66" t="s">
        <v>45</v>
      </c>
      <c r="J160" s="66" t="s">
        <v>30566</v>
      </c>
      <c r="K160" s="66" t="s">
        <v>602</v>
      </c>
      <c r="L160" s="66" t="s">
        <v>1457</v>
      </c>
      <c r="M160" s="66" t="s">
        <v>27</v>
      </c>
      <c r="N160" s="66" t="s">
        <v>30567</v>
      </c>
      <c r="O160" s="66" t="s">
        <v>400</v>
      </c>
      <c r="P160" s="66" t="s">
        <v>30375</v>
      </c>
      <c r="Q160" s="76" t="s">
        <v>30568</v>
      </c>
      <c r="R160" s="66" t="s">
        <v>555</v>
      </c>
      <c r="S160" s="66" t="s">
        <v>18</v>
      </c>
      <c r="T160" s="89" t="s">
        <v>30116</v>
      </c>
      <c r="U160" s="89" t="s">
        <v>29438</v>
      </c>
      <c r="V160" s="89" t="s">
        <v>29439</v>
      </c>
      <c r="W160" s="89" t="s">
        <v>555</v>
      </c>
      <c r="X160" s="89">
        <v>2599</v>
      </c>
      <c r="Y160" s="66"/>
      <c r="Z160" s="66"/>
      <c r="AA160" s="66"/>
      <c r="AB160" s="66"/>
      <c r="AC160" s="66"/>
      <c r="AD160" s="66"/>
      <c r="AE160" s="66"/>
      <c r="AF160" s="66"/>
      <c r="AG160" s="66"/>
      <c r="AH160" s="66"/>
      <c r="AI160" s="66"/>
      <c r="AJ160" s="66"/>
      <c r="AK160" s="66"/>
      <c r="AL160" s="66"/>
      <c r="AM160" s="66"/>
      <c r="AN160" s="66"/>
      <c r="AO160" s="66"/>
      <c r="AP160" s="78"/>
      <c r="AQ160" s="78"/>
      <c r="AR160" s="78"/>
      <c r="AS160" s="78"/>
      <c r="AT160" s="78"/>
      <c r="AU160" s="78"/>
      <c r="AV160" s="78"/>
      <c r="AW160" s="78"/>
      <c r="AX160" s="78"/>
      <c r="AY160" s="78"/>
      <c r="AZ160" s="78"/>
      <c r="BA160" s="78"/>
      <c r="BB160" s="78"/>
      <c r="BC160" s="78"/>
      <c r="BD160" s="78"/>
      <c r="BF160" s="78"/>
      <c r="BG160" s="78"/>
      <c r="BH160" s="78"/>
      <c r="BI160" s="78"/>
      <c r="BJ160" s="78"/>
      <c r="BK160" s="78"/>
    </row>
    <row r="161" spans="1:63" ht="12" customHeight="1" x14ac:dyDescent="0.2">
      <c r="A161" s="66" t="s">
        <v>30553</v>
      </c>
      <c r="B161" s="66">
        <v>47</v>
      </c>
      <c r="C161" s="66" t="s">
        <v>20</v>
      </c>
      <c r="D161" s="66" t="s">
        <v>37</v>
      </c>
      <c r="E161" s="66"/>
      <c r="F161" s="69">
        <v>42875</v>
      </c>
      <c r="G161" s="66" t="s">
        <v>30554</v>
      </c>
      <c r="H161" s="66" t="s">
        <v>20310</v>
      </c>
      <c r="I161" s="66" t="s">
        <v>404</v>
      </c>
      <c r="J161" s="66" t="s">
        <v>30555</v>
      </c>
      <c r="K161" s="66" t="s">
        <v>6514</v>
      </c>
      <c r="L161" s="66" t="s">
        <v>511</v>
      </c>
      <c r="M161" s="66" t="s">
        <v>27</v>
      </c>
      <c r="N161" s="66" t="s">
        <v>30556</v>
      </c>
      <c r="O161" s="66" t="s">
        <v>400</v>
      </c>
      <c r="P161" s="66" t="s">
        <v>30375</v>
      </c>
      <c r="Q161" s="76" t="s">
        <v>30557</v>
      </c>
      <c r="R161" s="66" t="s">
        <v>555</v>
      </c>
      <c r="S161" s="66" t="s">
        <v>35</v>
      </c>
      <c r="T161" s="89" t="s">
        <v>31028</v>
      </c>
      <c r="U161" s="89" t="s">
        <v>29436</v>
      </c>
      <c r="V161" s="89" t="s">
        <v>29439</v>
      </c>
      <c r="W161" s="89" t="s">
        <v>100</v>
      </c>
      <c r="X161" s="89">
        <v>2592</v>
      </c>
      <c r="Y161" s="66"/>
      <c r="Z161" s="66"/>
      <c r="AA161" s="66"/>
      <c r="AB161" s="66"/>
      <c r="AC161" s="66"/>
      <c r="AD161" s="66"/>
      <c r="AE161" s="66"/>
      <c r="AF161" s="66"/>
      <c r="AG161" s="66"/>
      <c r="AH161" s="66"/>
      <c r="AI161" s="66"/>
      <c r="AJ161" s="66"/>
      <c r="AK161" s="66"/>
      <c r="AL161" s="66"/>
      <c r="AM161" s="66"/>
      <c r="AN161" s="66"/>
      <c r="AO161" s="66"/>
      <c r="AP161" s="78"/>
      <c r="AQ161" s="78"/>
      <c r="AR161" s="78"/>
      <c r="AS161" s="78"/>
      <c r="AT161" s="78"/>
      <c r="AU161" s="78"/>
      <c r="AV161" s="78"/>
      <c r="AW161" s="78"/>
      <c r="AX161" s="78"/>
      <c r="AY161" s="78"/>
      <c r="AZ161" s="78"/>
      <c r="BA161" s="78"/>
      <c r="BB161" s="78"/>
      <c r="BC161" s="78"/>
      <c r="BD161" s="78"/>
      <c r="BF161" s="78"/>
      <c r="BG161" s="78"/>
      <c r="BH161" s="78"/>
      <c r="BI161" s="78"/>
      <c r="BJ161" s="78"/>
      <c r="BK161" s="78"/>
    </row>
    <row r="162" spans="1:63" ht="12" customHeight="1" x14ac:dyDescent="0.2">
      <c r="A162" s="66" t="s">
        <v>30573</v>
      </c>
      <c r="B162" s="66">
        <v>65</v>
      </c>
      <c r="C162" s="66" t="s">
        <v>20</v>
      </c>
      <c r="D162" s="66" t="s">
        <v>37</v>
      </c>
      <c r="E162" s="66" t="s">
        <v>30574</v>
      </c>
      <c r="F162" s="69">
        <v>42874</v>
      </c>
      <c r="G162" s="66" t="s">
        <v>30575</v>
      </c>
      <c r="H162" s="66" t="s">
        <v>30576</v>
      </c>
      <c r="I162" s="66" t="s">
        <v>4371</v>
      </c>
      <c r="J162" s="66" t="s">
        <v>30577</v>
      </c>
      <c r="K162" s="66" t="s">
        <v>28365</v>
      </c>
      <c r="L162" s="66" t="s">
        <v>30578</v>
      </c>
      <c r="M162" s="66" t="s">
        <v>27</v>
      </c>
      <c r="N162" s="66" t="s">
        <v>30579</v>
      </c>
      <c r="O162" s="66" t="s">
        <v>400</v>
      </c>
      <c r="P162" s="66" t="s">
        <v>30375</v>
      </c>
      <c r="Q162" s="76" t="s">
        <v>30580</v>
      </c>
      <c r="R162" s="66" t="s">
        <v>964</v>
      </c>
      <c r="S162" s="66" t="s">
        <v>28</v>
      </c>
      <c r="T162" s="89" t="s">
        <v>29681</v>
      </c>
      <c r="U162" s="89" t="s">
        <v>29438</v>
      </c>
      <c r="V162" s="89" t="s">
        <v>29439</v>
      </c>
      <c r="W162" s="89" t="s">
        <v>100</v>
      </c>
      <c r="X162" s="89">
        <v>2593</v>
      </c>
      <c r="Y162" s="66"/>
      <c r="Z162" s="66"/>
      <c r="AA162" s="66"/>
      <c r="AB162" s="66"/>
      <c r="AC162" s="66"/>
      <c r="AD162" s="66"/>
      <c r="AE162" s="66"/>
      <c r="AF162" s="66"/>
      <c r="AG162" s="66"/>
      <c r="AH162" s="66"/>
      <c r="AI162" s="66"/>
      <c r="AJ162" s="66"/>
      <c r="AK162" s="66"/>
      <c r="AL162" s="66"/>
      <c r="AM162" s="66"/>
      <c r="AN162" s="66"/>
      <c r="AO162" s="66"/>
      <c r="AP162" s="78"/>
      <c r="AQ162" s="78"/>
      <c r="AR162" s="78"/>
      <c r="AS162" s="78"/>
      <c r="AT162" s="78"/>
      <c r="AU162" s="78"/>
      <c r="AV162" s="78"/>
      <c r="AW162" s="78"/>
      <c r="AX162" s="78"/>
      <c r="AY162" s="78"/>
      <c r="AZ162" s="78"/>
      <c r="BA162" s="78"/>
      <c r="BB162" s="78"/>
      <c r="BC162" s="78"/>
      <c r="BD162" s="78"/>
      <c r="BF162" s="78"/>
      <c r="BG162" s="78"/>
      <c r="BH162" s="78"/>
      <c r="BI162" s="78"/>
      <c r="BJ162" s="78"/>
      <c r="BK162" s="78"/>
    </row>
    <row r="163" spans="1:63" ht="12" customHeight="1" x14ac:dyDescent="0.2">
      <c r="A163" s="66" t="s">
        <v>30569</v>
      </c>
      <c r="B163" s="66">
        <v>18</v>
      </c>
      <c r="C163" s="66" t="s">
        <v>20</v>
      </c>
      <c r="D163" s="66" t="s">
        <v>85</v>
      </c>
      <c r="E163" s="66"/>
      <c r="F163" s="69">
        <v>42874</v>
      </c>
      <c r="G163" s="66" t="s">
        <v>30570</v>
      </c>
      <c r="H163" s="66" t="s">
        <v>3324</v>
      </c>
      <c r="I163" s="66" t="s">
        <v>123</v>
      </c>
      <c r="J163" s="66" t="s">
        <v>11358</v>
      </c>
      <c r="K163" s="66" t="s">
        <v>633</v>
      </c>
      <c r="L163" s="66" t="s">
        <v>3327</v>
      </c>
      <c r="M163" s="66" t="s">
        <v>27</v>
      </c>
      <c r="N163" s="66" t="s">
        <v>30571</v>
      </c>
      <c r="O163" s="66" t="s">
        <v>400</v>
      </c>
      <c r="P163" s="66" t="s">
        <v>30375</v>
      </c>
      <c r="Q163" s="76" t="s">
        <v>30572</v>
      </c>
      <c r="R163" s="66" t="s">
        <v>555</v>
      </c>
      <c r="S163" s="66" t="s">
        <v>28</v>
      </c>
      <c r="T163" s="89" t="s">
        <v>29681</v>
      </c>
      <c r="U163" s="89"/>
      <c r="V163" s="89"/>
      <c r="W163" s="89"/>
      <c r="X163" s="89"/>
      <c r="Y163" s="66"/>
      <c r="Z163" s="66"/>
      <c r="AA163" s="66"/>
      <c r="AB163" s="66"/>
      <c r="AC163" s="66"/>
      <c r="AD163" s="66"/>
      <c r="AE163" s="66"/>
      <c r="AF163" s="66"/>
      <c r="AG163" s="66"/>
      <c r="AH163" s="66"/>
      <c r="AI163" s="66"/>
      <c r="AJ163" s="66"/>
      <c r="AK163" s="66"/>
      <c r="AL163" s="66"/>
      <c r="AM163" s="66"/>
      <c r="AN163" s="66"/>
      <c r="AO163" s="66"/>
      <c r="AP163" s="78"/>
      <c r="AQ163" s="78"/>
      <c r="AR163" s="78"/>
      <c r="AS163" s="78"/>
      <c r="AT163" s="78"/>
      <c r="AU163" s="78"/>
      <c r="AV163" s="78"/>
      <c r="AW163" s="78"/>
      <c r="AX163" s="78"/>
      <c r="AY163" s="78"/>
      <c r="AZ163" s="78"/>
      <c r="BA163" s="78"/>
      <c r="BB163" s="78"/>
      <c r="BC163" s="78"/>
      <c r="BD163" s="78"/>
      <c r="BF163" s="78"/>
      <c r="BG163" s="78"/>
      <c r="BH163" s="78"/>
      <c r="BI163" s="78"/>
      <c r="BJ163" s="78"/>
      <c r="BK163" s="78"/>
    </row>
    <row r="164" spans="1:63" ht="12" customHeight="1" x14ac:dyDescent="0.2">
      <c r="A164" s="66" t="s">
        <v>30587</v>
      </c>
      <c r="B164" s="66">
        <v>22</v>
      </c>
      <c r="C164" s="66" t="s">
        <v>20</v>
      </c>
      <c r="D164" s="66" t="s">
        <v>30</v>
      </c>
      <c r="E164" s="66"/>
      <c r="F164" s="69">
        <v>42873</v>
      </c>
      <c r="G164" s="66" t="s">
        <v>30588</v>
      </c>
      <c r="H164" s="66" t="s">
        <v>1287</v>
      </c>
      <c r="I164" s="66" t="s">
        <v>173</v>
      </c>
      <c r="J164" s="66" t="s">
        <v>13087</v>
      </c>
      <c r="K164" s="66" t="s">
        <v>10789</v>
      </c>
      <c r="L164" s="66" t="s">
        <v>3402</v>
      </c>
      <c r="M164" s="66" t="s">
        <v>379</v>
      </c>
      <c r="N164" s="66" t="s">
        <v>30589</v>
      </c>
      <c r="O164" s="66" t="s">
        <v>400</v>
      </c>
      <c r="P164" s="66" t="s">
        <v>30375</v>
      </c>
      <c r="Q164" s="76" t="s">
        <v>30590</v>
      </c>
      <c r="R164" s="66" t="s">
        <v>100</v>
      </c>
      <c r="S164" s="66" t="s">
        <v>28</v>
      </c>
      <c r="T164" s="77" t="s">
        <v>29681</v>
      </c>
      <c r="U164" s="77"/>
      <c r="V164" s="77"/>
      <c r="W164" s="77"/>
      <c r="X164" s="77"/>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78"/>
      <c r="AW164" s="78"/>
      <c r="AX164" s="78"/>
      <c r="AY164" s="78"/>
      <c r="AZ164" s="78"/>
      <c r="BA164" s="78"/>
      <c r="BB164" s="78"/>
      <c r="BC164" s="78"/>
      <c r="BD164" s="78"/>
      <c r="BE164" s="78"/>
      <c r="BF164" s="78"/>
      <c r="BG164" s="78"/>
      <c r="BH164" s="78"/>
      <c r="BI164" s="78"/>
      <c r="BJ164" s="78"/>
    </row>
    <row r="165" spans="1:63" ht="12" customHeight="1" x14ac:dyDescent="0.2">
      <c r="A165" s="66" t="s">
        <v>30591</v>
      </c>
      <c r="B165" s="66">
        <v>66</v>
      </c>
      <c r="C165" s="66" t="s">
        <v>20</v>
      </c>
      <c r="D165" s="66" t="s">
        <v>30</v>
      </c>
      <c r="E165" s="66"/>
      <c r="F165" s="69">
        <v>42873</v>
      </c>
      <c r="G165" s="66" t="s">
        <v>30592</v>
      </c>
      <c r="H165" s="66" t="s">
        <v>3346</v>
      </c>
      <c r="I165" s="66" t="s">
        <v>303</v>
      </c>
      <c r="J165" s="66" t="s">
        <v>30593</v>
      </c>
      <c r="K165" s="66" t="s">
        <v>570</v>
      </c>
      <c r="L165" s="66" t="s">
        <v>3347</v>
      </c>
      <c r="M165" s="66" t="s">
        <v>27</v>
      </c>
      <c r="N165" s="66" t="s">
        <v>30594</v>
      </c>
      <c r="O165" s="66" t="s">
        <v>400</v>
      </c>
      <c r="P165" s="66" t="s">
        <v>30375</v>
      </c>
      <c r="Q165" s="76" t="s">
        <v>30595</v>
      </c>
      <c r="R165" s="66" t="s">
        <v>100</v>
      </c>
      <c r="S165" s="66" t="s">
        <v>35</v>
      </c>
      <c r="T165" s="89"/>
      <c r="U165" s="89"/>
      <c r="V165" s="89"/>
      <c r="W165" s="89"/>
      <c r="X165" s="89"/>
      <c r="Y165" s="66"/>
      <c r="Z165" s="66"/>
      <c r="AA165" s="66"/>
      <c r="AB165" s="66"/>
      <c r="AC165" s="66"/>
      <c r="AD165" s="66"/>
      <c r="AE165" s="66"/>
      <c r="AF165" s="66"/>
      <c r="AG165" s="66"/>
      <c r="AH165" s="66"/>
      <c r="AI165" s="66"/>
      <c r="AJ165" s="66"/>
      <c r="AK165" s="66"/>
      <c r="AL165" s="66"/>
      <c r="AM165" s="66"/>
      <c r="AN165" s="66"/>
      <c r="AO165" s="66"/>
      <c r="AP165" s="78"/>
      <c r="AQ165" s="78"/>
      <c r="AR165" s="78"/>
      <c r="AS165" s="78"/>
      <c r="AT165" s="78"/>
      <c r="AU165" s="78"/>
      <c r="AV165" s="78"/>
      <c r="AW165" s="78"/>
      <c r="AX165" s="78"/>
      <c r="AY165" s="78"/>
      <c r="AZ165" s="78"/>
      <c r="BA165" s="78"/>
      <c r="BB165" s="78"/>
      <c r="BC165" s="78"/>
      <c r="BD165" s="78"/>
      <c r="BF165" s="78"/>
      <c r="BG165" s="78"/>
      <c r="BH165" s="78"/>
      <c r="BI165" s="78"/>
      <c r="BJ165" s="78"/>
      <c r="BK165" s="78"/>
    </row>
    <row r="166" spans="1:63" ht="12" customHeight="1" x14ac:dyDescent="0.2">
      <c r="A166" s="66" t="s">
        <v>30581</v>
      </c>
      <c r="B166" s="66">
        <v>28</v>
      </c>
      <c r="C166" s="66" t="s">
        <v>20</v>
      </c>
      <c r="D166" s="66" t="s">
        <v>37</v>
      </c>
      <c r="E166" s="66"/>
      <c r="F166" s="69">
        <v>42873</v>
      </c>
      <c r="G166" s="66" t="s">
        <v>30582</v>
      </c>
      <c r="H166" s="66" t="s">
        <v>843</v>
      </c>
      <c r="I166" s="66" t="s">
        <v>244</v>
      </c>
      <c r="J166" s="66" t="s">
        <v>30583</v>
      </c>
      <c r="K166" s="66" t="s">
        <v>843</v>
      </c>
      <c r="L166" s="66" t="s">
        <v>30584</v>
      </c>
      <c r="M166" s="66" t="s">
        <v>27</v>
      </c>
      <c r="N166" s="66" t="s">
        <v>30585</v>
      </c>
      <c r="O166" s="66" t="s">
        <v>400</v>
      </c>
      <c r="P166" s="66" t="s">
        <v>30375</v>
      </c>
      <c r="Q166" s="76" t="s">
        <v>30586</v>
      </c>
      <c r="R166" s="66" t="s">
        <v>100</v>
      </c>
      <c r="S166" s="66" t="s">
        <v>379</v>
      </c>
      <c r="T166" s="89" t="s">
        <v>29773</v>
      </c>
      <c r="U166" s="89" t="s">
        <v>29438</v>
      </c>
      <c r="V166" s="89" t="s">
        <v>29437</v>
      </c>
      <c r="W166" s="89" t="s">
        <v>100</v>
      </c>
      <c r="X166" s="89">
        <v>2590</v>
      </c>
      <c r="Y166" s="66"/>
      <c r="Z166" s="66"/>
      <c r="AA166" s="66"/>
      <c r="AB166" s="66"/>
      <c r="AC166" s="66"/>
      <c r="AD166" s="66"/>
      <c r="AE166" s="66"/>
      <c r="AF166" s="66"/>
      <c r="AG166" s="66"/>
      <c r="AH166" s="66"/>
      <c r="AI166" s="66"/>
      <c r="AJ166" s="66"/>
      <c r="AK166" s="66"/>
      <c r="AL166" s="66"/>
      <c r="AM166" s="66"/>
      <c r="AN166" s="66"/>
      <c r="AO166" s="66"/>
      <c r="AP166" s="78"/>
      <c r="AQ166" s="78"/>
      <c r="AR166" s="78"/>
      <c r="AS166" s="78"/>
      <c r="AT166" s="78"/>
      <c r="AU166" s="78"/>
      <c r="AV166" s="78"/>
      <c r="AW166" s="78"/>
      <c r="AX166" s="78"/>
      <c r="AY166" s="78"/>
      <c r="AZ166" s="78"/>
      <c r="BA166" s="78"/>
      <c r="BB166" s="78"/>
      <c r="BC166" s="78"/>
      <c r="BD166" s="78"/>
      <c r="BF166" s="78"/>
      <c r="BG166" s="78"/>
      <c r="BH166" s="78"/>
      <c r="BI166" s="78"/>
      <c r="BJ166" s="78"/>
      <c r="BK166" s="78"/>
    </row>
    <row r="167" spans="1:63" ht="12" customHeight="1" x14ac:dyDescent="0.2">
      <c r="A167" s="66" t="s">
        <v>30596</v>
      </c>
      <c r="B167" s="66">
        <v>17</v>
      </c>
      <c r="C167" s="66" t="s">
        <v>20</v>
      </c>
      <c r="D167" s="66" t="s">
        <v>30</v>
      </c>
      <c r="E167" s="66"/>
      <c r="F167" s="69">
        <v>42872</v>
      </c>
      <c r="G167" s="66" t="s">
        <v>30597</v>
      </c>
      <c r="H167" s="66" t="s">
        <v>87</v>
      </c>
      <c r="I167" s="66" t="s">
        <v>44</v>
      </c>
      <c r="J167" s="66" t="s">
        <v>15571</v>
      </c>
      <c r="K167" s="66" t="s">
        <v>88</v>
      </c>
      <c r="L167" s="66" t="s">
        <v>11659</v>
      </c>
      <c r="M167" s="66" t="s">
        <v>27</v>
      </c>
      <c r="N167" s="66" t="s">
        <v>30598</v>
      </c>
      <c r="O167" s="66" t="s">
        <v>400</v>
      </c>
      <c r="P167" s="66" t="s">
        <v>30375</v>
      </c>
      <c r="Q167" s="76" t="s">
        <v>30599</v>
      </c>
      <c r="R167" s="66" t="s">
        <v>100</v>
      </c>
      <c r="S167" s="66" t="s">
        <v>35</v>
      </c>
      <c r="T167" s="89"/>
      <c r="U167" s="89"/>
      <c r="V167" s="89"/>
      <c r="W167" s="89"/>
      <c r="X167" s="89"/>
      <c r="Y167" s="66"/>
      <c r="Z167" s="66"/>
      <c r="AA167" s="66"/>
      <c r="AB167" s="66"/>
      <c r="AC167" s="66"/>
      <c r="AD167" s="66"/>
      <c r="AE167" s="66"/>
      <c r="AF167" s="66"/>
      <c r="AG167" s="66"/>
      <c r="AH167" s="66"/>
      <c r="AI167" s="66"/>
      <c r="AJ167" s="66"/>
      <c r="AK167" s="66"/>
      <c r="AL167" s="66"/>
      <c r="AM167" s="66"/>
      <c r="AN167" s="66"/>
      <c r="AO167" s="66"/>
      <c r="AP167" s="78"/>
      <c r="AQ167" s="78"/>
      <c r="AR167" s="78"/>
      <c r="AS167" s="78"/>
      <c r="AT167" s="78"/>
      <c r="AU167" s="78"/>
      <c r="AV167" s="78"/>
      <c r="AW167" s="78"/>
      <c r="AX167" s="78"/>
      <c r="AY167" s="78"/>
      <c r="AZ167" s="78"/>
      <c r="BA167" s="78"/>
      <c r="BB167" s="78"/>
      <c r="BC167" s="78"/>
      <c r="BD167" s="78"/>
      <c r="BF167" s="78"/>
      <c r="BG167" s="78"/>
      <c r="BH167" s="78"/>
      <c r="BI167" s="78"/>
      <c r="BJ167" s="78"/>
      <c r="BK167" s="78"/>
    </row>
    <row r="168" spans="1:63" ht="12" customHeight="1" x14ac:dyDescent="0.2">
      <c r="A168" s="66" t="s">
        <v>30605</v>
      </c>
      <c r="B168" s="66">
        <v>41</v>
      </c>
      <c r="C168" s="66" t="s">
        <v>114</v>
      </c>
      <c r="D168" s="66" t="s">
        <v>37</v>
      </c>
      <c r="E168" s="66" t="s">
        <v>30606</v>
      </c>
      <c r="F168" s="69">
        <v>42871</v>
      </c>
      <c r="G168" s="66" t="s">
        <v>30607</v>
      </c>
      <c r="H168" s="66" t="s">
        <v>118</v>
      </c>
      <c r="I168" s="66" t="s">
        <v>3664</v>
      </c>
      <c r="J168" s="66" t="s">
        <v>6858</v>
      </c>
      <c r="K168" s="66" t="s">
        <v>3666</v>
      </c>
      <c r="L168" s="66" t="s">
        <v>19405</v>
      </c>
      <c r="M168" s="66" t="s">
        <v>27</v>
      </c>
      <c r="N168" s="66" t="s">
        <v>30608</v>
      </c>
      <c r="O168" s="66" t="s">
        <v>400</v>
      </c>
      <c r="P168" s="66" t="s">
        <v>30375</v>
      </c>
      <c r="Q168" s="76" t="s">
        <v>30609</v>
      </c>
      <c r="R168" s="66" t="s">
        <v>100</v>
      </c>
      <c r="S168" s="66" t="s">
        <v>28</v>
      </c>
      <c r="T168" s="89" t="s">
        <v>29681</v>
      </c>
      <c r="U168" s="89" t="s">
        <v>29438</v>
      </c>
      <c r="V168" s="89" t="s">
        <v>29439</v>
      </c>
      <c r="W168" s="89" t="s">
        <v>100</v>
      </c>
      <c r="X168" s="89">
        <v>2586</v>
      </c>
      <c r="Y168" s="66"/>
      <c r="Z168" s="66"/>
      <c r="AA168" s="66"/>
      <c r="AB168" s="66"/>
      <c r="AC168" s="66"/>
      <c r="AD168" s="66"/>
      <c r="AE168" s="66"/>
      <c r="AF168" s="66"/>
      <c r="AG168" s="66"/>
      <c r="AH168" s="66"/>
      <c r="AI168" s="66"/>
      <c r="AJ168" s="66"/>
      <c r="AK168" s="66"/>
      <c r="AL168" s="66"/>
      <c r="AM168" s="66"/>
      <c r="AN168" s="66"/>
      <c r="AO168" s="66"/>
      <c r="AP168" s="78"/>
      <c r="AQ168" s="78"/>
      <c r="AR168" s="78"/>
      <c r="AS168" s="78"/>
      <c r="AT168" s="78"/>
      <c r="AU168" s="78"/>
      <c r="AV168" s="78"/>
      <c r="AW168" s="78"/>
      <c r="AX168" s="78"/>
      <c r="AY168" s="78"/>
      <c r="AZ168" s="78"/>
      <c r="BA168" s="78"/>
      <c r="BB168" s="78"/>
      <c r="BC168" s="78"/>
      <c r="BD168" s="78"/>
      <c r="BE168" s="78"/>
      <c r="BF168" s="78"/>
      <c r="BG168" s="78"/>
      <c r="BH168" s="78"/>
      <c r="BI168" s="78"/>
      <c r="BJ168" s="78"/>
      <c r="BK168" s="78"/>
    </row>
    <row r="169" spans="1:63" ht="12" customHeight="1" x14ac:dyDescent="0.2">
      <c r="A169" s="66" t="s">
        <v>30610</v>
      </c>
      <c r="B169" s="66">
        <v>38</v>
      </c>
      <c r="C169" s="66" t="s">
        <v>20</v>
      </c>
      <c r="D169" s="66" t="s">
        <v>37</v>
      </c>
      <c r="E169" s="66" t="s">
        <v>30611</v>
      </c>
      <c r="F169" s="69">
        <v>42871</v>
      </c>
      <c r="G169" s="66" t="s">
        <v>30612</v>
      </c>
      <c r="H169" s="66" t="s">
        <v>6368</v>
      </c>
      <c r="I169" s="66" t="s">
        <v>854</v>
      </c>
      <c r="J169" s="66" t="s">
        <v>30613</v>
      </c>
      <c r="K169" s="66" t="s">
        <v>5195</v>
      </c>
      <c r="L169" s="66" t="s">
        <v>30614</v>
      </c>
      <c r="M169" s="66" t="s">
        <v>27</v>
      </c>
      <c r="N169" s="66" t="s">
        <v>30615</v>
      </c>
      <c r="O169" s="66" t="s">
        <v>400</v>
      </c>
      <c r="P169" s="66" t="s">
        <v>30375</v>
      </c>
      <c r="Q169" s="76" t="s">
        <v>30616</v>
      </c>
      <c r="R169" s="66" t="s">
        <v>100</v>
      </c>
      <c r="S169" s="66" t="s">
        <v>28</v>
      </c>
      <c r="T169" s="89" t="s">
        <v>29681</v>
      </c>
      <c r="U169" s="89" t="s">
        <v>29438</v>
      </c>
      <c r="V169" s="89" t="s">
        <v>29437</v>
      </c>
      <c r="W169" s="89" t="s">
        <v>100</v>
      </c>
      <c r="X169" s="89">
        <v>2591</v>
      </c>
      <c r="Y169" s="66"/>
      <c r="Z169" s="66"/>
      <c r="AA169" s="66"/>
      <c r="AB169" s="66"/>
      <c r="AC169" s="66"/>
      <c r="AD169" s="66"/>
      <c r="AE169" s="66"/>
      <c r="AF169" s="66"/>
      <c r="AG169" s="66"/>
      <c r="AH169" s="66"/>
      <c r="AI169" s="66"/>
      <c r="AJ169" s="66"/>
      <c r="AK169" s="66"/>
      <c r="AL169" s="66"/>
      <c r="AM169" s="66"/>
      <c r="AN169" s="66"/>
      <c r="AO169" s="66"/>
      <c r="AP169" s="78"/>
      <c r="AQ169" s="78"/>
      <c r="AR169" s="78"/>
      <c r="AS169" s="78"/>
      <c r="AT169" s="78"/>
      <c r="AU169" s="78"/>
      <c r="AV169" s="78"/>
      <c r="AW169" s="78"/>
      <c r="AX169" s="78"/>
      <c r="AY169" s="78"/>
      <c r="AZ169" s="78"/>
      <c r="BA169" s="78"/>
      <c r="BB169" s="78"/>
      <c r="BC169" s="78"/>
      <c r="BD169" s="78"/>
      <c r="BE169" s="78"/>
      <c r="BF169" s="78"/>
      <c r="BG169" s="78"/>
      <c r="BH169" s="78"/>
      <c r="BI169" s="78"/>
      <c r="BJ169" s="78"/>
      <c r="BK169" s="78"/>
    </row>
    <row r="170" spans="1:63" ht="12" customHeight="1" x14ac:dyDescent="0.2">
      <c r="A170" s="66" t="s">
        <v>30617</v>
      </c>
      <c r="B170" s="66">
        <v>25</v>
      </c>
      <c r="C170" s="66" t="s">
        <v>20</v>
      </c>
      <c r="D170" s="66" t="s">
        <v>30</v>
      </c>
      <c r="E170" s="66"/>
      <c r="F170" s="69">
        <v>42871</v>
      </c>
      <c r="G170" s="66" t="s">
        <v>29890</v>
      </c>
      <c r="H170" s="66" t="s">
        <v>3905</v>
      </c>
      <c r="I170" s="66" t="s">
        <v>123</v>
      </c>
      <c r="J170" s="66" t="s">
        <v>11141</v>
      </c>
      <c r="K170" s="66" t="s">
        <v>633</v>
      </c>
      <c r="L170" s="66" t="s">
        <v>3907</v>
      </c>
      <c r="M170" s="66" t="s">
        <v>27</v>
      </c>
      <c r="N170" s="66" t="s">
        <v>30618</v>
      </c>
      <c r="O170" s="66" t="s">
        <v>400</v>
      </c>
      <c r="P170" s="66" t="s">
        <v>30375</v>
      </c>
      <c r="Q170" s="76" t="s">
        <v>29891</v>
      </c>
      <c r="R170" s="66" t="s">
        <v>29</v>
      </c>
      <c r="S170" s="66" t="s">
        <v>28</v>
      </c>
      <c r="T170" s="89" t="s">
        <v>29674</v>
      </c>
      <c r="U170" s="89" t="s">
        <v>29436</v>
      </c>
      <c r="V170" s="89"/>
      <c r="W170" s="89" t="s">
        <v>100</v>
      </c>
      <c r="X170" s="89">
        <v>2587</v>
      </c>
      <c r="Y170" s="66"/>
      <c r="Z170" s="66"/>
      <c r="AA170" s="66"/>
      <c r="AB170" s="66"/>
      <c r="AC170" s="66"/>
      <c r="AD170" s="66"/>
      <c r="AE170" s="66"/>
      <c r="AF170" s="66"/>
      <c r="AG170" s="66"/>
      <c r="AH170" s="66"/>
      <c r="AI170" s="66"/>
      <c r="AJ170" s="66"/>
      <c r="AK170" s="66"/>
      <c r="AL170" s="66"/>
      <c r="AM170" s="66"/>
      <c r="AN170" s="66"/>
      <c r="AO170" s="66"/>
      <c r="AP170" s="78"/>
      <c r="AQ170" s="78"/>
      <c r="AR170" s="78"/>
      <c r="AS170" s="78"/>
      <c r="AT170" s="78"/>
      <c r="AU170" s="78"/>
      <c r="AV170" s="78"/>
      <c r="AW170" s="78"/>
      <c r="AX170" s="78"/>
      <c r="AY170" s="78"/>
      <c r="AZ170" s="78"/>
      <c r="BA170" s="78"/>
      <c r="BB170" s="78"/>
      <c r="BC170" s="78"/>
      <c r="BD170" s="78"/>
      <c r="BF170" s="78"/>
      <c r="BG170" s="78"/>
      <c r="BH170" s="78"/>
      <c r="BI170" s="78"/>
      <c r="BJ170" s="78"/>
      <c r="BK170" s="78"/>
    </row>
    <row r="171" spans="1:63" ht="12" customHeight="1" x14ac:dyDescent="0.2">
      <c r="A171" s="66" t="s">
        <v>30600</v>
      </c>
      <c r="B171" s="66">
        <v>24</v>
      </c>
      <c r="C171" s="66" t="s">
        <v>20</v>
      </c>
      <c r="D171" s="66" t="s">
        <v>48</v>
      </c>
      <c r="E171" s="66" t="s">
        <v>30601</v>
      </c>
      <c r="F171" s="69">
        <v>42871</v>
      </c>
      <c r="G171" s="66" t="s">
        <v>30602</v>
      </c>
      <c r="H171" s="66" t="s">
        <v>11672</v>
      </c>
      <c r="I171" s="66" t="s">
        <v>45</v>
      </c>
      <c r="J171" s="66" t="s">
        <v>11673</v>
      </c>
      <c r="K171" s="66" t="s">
        <v>1061</v>
      </c>
      <c r="L171" s="66" t="s">
        <v>11674</v>
      </c>
      <c r="M171" s="66" t="s">
        <v>27</v>
      </c>
      <c r="N171" s="66" t="s">
        <v>30603</v>
      </c>
      <c r="O171" s="66" t="s">
        <v>400</v>
      </c>
      <c r="P171" s="66" t="s">
        <v>30375</v>
      </c>
      <c r="Q171" s="76" t="s">
        <v>30604</v>
      </c>
      <c r="R171" s="66" t="s">
        <v>555</v>
      </c>
      <c r="S171" s="66" t="s">
        <v>28</v>
      </c>
      <c r="T171" s="89" t="s">
        <v>29681</v>
      </c>
      <c r="U171" s="89" t="s">
        <v>29438</v>
      </c>
      <c r="V171" s="89" t="s">
        <v>29439</v>
      </c>
      <c r="W171" s="89" t="s">
        <v>100</v>
      </c>
      <c r="X171" s="89">
        <v>2588</v>
      </c>
      <c r="Y171" s="66"/>
      <c r="Z171" s="66"/>
      <c r="AA171" s="66"/>
      <c r="AB171" s="66"/>
      <c r="AC171" s="66"/>
      <c r="AD171" s="66"/>
      <c r="AE171" s="66"/>
      <c r="AF171" s="66"/>
      <c r="AG171" s="66"/>
      <c r="AH171" s="66"/>
      <c r="AI171" s="66"/>
      <c r="AJ171" s="66"/>
      <c r="AK171" s="66"/>
      <c r="AL171" s="66"/>
      <c r="AM171" s="66"/>
      <c r="AN171" s="66"/>
      <c r="AO171" s="66"/>
      <c r="AP171" s="78"/>
      <c r="AQ171" s="78"/>
      <c r="AR171" s="78"/>
      <c r="AS171" s="78"/>
      <c r="AT171" s="78"/>
      <c r="AU171" s="78"/>
      <c r="AV171" s="78"/>
      <c r="AW171" s="78"/>
      <c r="AX171" s="78"/>
      <c r="AY171" s="78"/>
      <c r="AZ171" s="78"/>
      <c r="BA171" s="78"/>
      <c r="BB171" s="78"/>
      <c r="BC171" s="78"/>
      <c r="BD171" s="78"/>
      <c r="BF171" s="78"/>
      <c r="BG171" s="78"/>
      <c r="BH171" s="78"/>
      <c r="BI171" s="78"/>
      <c r="BJ171" s="78"/>
      <c r="BK171" s="78"/>
    </row>
    <row r="172" spans="1:63" ht="12" customHeight="1" x14ac:dyDescent="0.2">
      <c r="A172" s="66" t="s">
        <v>29750</v>
      </c>
      <c r="B172" s="66">
        <v>29</v>
      </c>
      <c r="C172" s="66" t="s">
        <v>20</v>
      </c>
      <c r="D172" s="66" t="s">
        <v>85</v>
      </c>
      <c r="E172" s="66"/>
      <c r="F172" s="69">
        <v>42870</v>
      </c>
      <c r="G172" s="66" t="s">
        <v>29751</v>
      </c>
      <c r="H172" s="66" t="s">
        <v>874</v>
      </c>
      <c r="I172" s="66" t="s">
        <v>244</v>
      </c>
      <c r="J172" s="66">
        <v>23234</v>
      </c>
      <c r="K172" s="66" t="s">
        <v>11885</v>
      </c>
      <c r="L172" s="66" t="s">
        <v>875</v>
      </c>
      <c r="M172" s="66" t="s">
        <v>27</v>
      </c>
      <c r="N172" s="66" t="s">
        <v>29752</v>
      </c>
      <c r="O172" s="66" t="s">
        <v>400</v>
      </c>
      <c r="P172" s="66" t="s">
        <v>401</v>
      </c>
      <c r="Q172" s="76" t="s">
        <v>29753</v>
      </c>
      <c r="R172" s="66" t="s">
        <v>100</v>
      </c>
      <c r="S172" s="66" t="s">
        <v>28</v>
      </c>
      <c r="T172" s="77" t="s">
        <v>29674</v>
      </c>
      <c r="U172" s="77" t="s">
        <v>29436</v>
      </c>
      <c r="V172" s="77"/>
      <c r="W172" s="77" t="s">
        <v>100</v>
      </c>
      <c r="X172" s="77">
        <v>2587</v>
      </c>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78"/>
      <c r="AW172" s="78"/>
      <c r="AX172" s="78"/>
      <c r="AY172" s="78"/>
      <c r="AZ172" s="78"/>
      <c r="BA172" s="78"/>
      <c r="BB172" s="78"/>
      <c r="BC172" s="78"/>
      <c r="BD172" s="78"/>
      <c r="BE172" s="78"/>
      <c r="BF172" s="78"/>
      <c r="BG172" s="78"/>
      <c r="BH172" s="78"/>
      <c r="BI172" s="78"/>
      <c r="BJ172" s="78"/>
      <c r="BK172" s="78"/>
    </row>
    <row r="173" spans="1:63" ht="12" customHeight="1" x14ac:dyDescent="0.2">
      <c r="A173" s="66" t="s">
        <v>30367</v>
      </c>
      <c r="B173" s="66">
        <v>27</v>
      </c>
      <c r="C173" s="66" t="s">
        <v>114</v>
      </c>
      <c r="D173" s="66" t="s">
        <v>30</v>
      </c>
      <c r="E173" s="66"/>
      <c r="F173" s="69">
        <v>42870</v>
      </c>
      <c r="G173" s="66" t="s">
        <v>29887</v>
      </c>
      <c r="H173" s="66" t="s">
        <v>632</v>
      </c>
      <c r="I173" s="66" t="s">
        <v>123</v>
      </c>
      <c r="J173" s="66">
        <v>85003</v>
      </c>
      <c r="K173" s="66" t="s">
        <v>633</v>
      </c>
      <c r="L173" s="66" t="s">
        <v>634</v>
      </c>
      <c r="M173" s="66" t="s">
        <v>27</v>
      </c>
      <c r="N173" s="66" t="s">
        <v>29888</v>
      </c>
      <c r="O173" s="66" t="s">
        <v>400</v>
      </c>
      <c r="P173" s="66" t="s">
        <v>401</v>
      </c>
      <c r="Q173" s="76" t="s">
        <v>29889</v>
      </c>
      <c r="R173" s="66" t="s">
        <v>100</v>
      </c>
      <c r="S173" s="66" t="s">
        <v>28</v>
      </c>
      <c r="T173" s="89"/>
      <c r="U173" s="89"/>
      <c r="V173" s="89"/>
      <c r="W173" s="89"/>
      <c r="X173" s="89"/>
      <c r="Y173" s="66"/>
      <c r="Z173" s="66"/>
      <c r="AA173" s="66"/>
      <c r="AB173" s="66"/>
      <c r="AC173" s="66"/>
      <c r="AD173" s="66"/>
      <c r="AE173" s="66"/>
      <c r="AF173" s="66"/>
      <c r="AG173" s="66"/>
      <c r="AH173" s="66"/>
      <c r="AI173" s="66"/>
      <c r="AJ173" s="66"/>
      <c r="AK173" s="66"/>
      <c r="AL173" s="66"/>
      <c r="AM173" s="66"/>
      <c r="AN173" s="66"/>
      <c r="AO173" s="66"/>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row>
    <row r="174" spans="1:63" ht="12" customHeight="1" x14ac:dyDescent="0.2">
      <c r="A174" s="66" t="s">
        <v>3252</v>
      </c>
      <c r="B174" s="66" t="s">
        <v>29</v>
      </c>
      <c r="C174" s="66" t="s">
        <v>20</v>
      </c>
      <c r="D174" s="66" t="s">
        <v>30</v>
      </c>
      <c r="E174" s="66"/>
      <c r="F174" s="69">
        <v>42870</v>
      </c>
      <c r="G174" s="66" t="s">
        <v>30237</v>
      </c>
      <c r="H174" s="66" t="s">
        <v>1627</v>
      </c>
      <c r="I174" s="66" t="s">
        <v>463</v>
      </c>
      <c r="J174" s="66">
        <v>68111</v>
      </c>
      <c r="K174" s="66" t="s">
        <v>938</v>
      </c>
      <c r="L174" s="66" t="s">
        <v>2253</v>
      </c>
      <c r="M174" s="66" t="s">
        <v>27</v>
      </c>
      <c r="N174" s="66" t="s">
        <v>30238</v>
      </c>
      <c r="O174" s="66" t="s">
        <v>400</v>
      </c>
      <c r="P174" s="66" t="s">
        <v>401</v>
      </c>
      <c r="Q174" s="76" t="s">
        <v>30239</v>
      </c>
      <c r="R174" s="66" t="s">
        <v>100</v>
      </c>
      <c r="S174" s="66" t="s">
        <v>28</v>
      </c>
      <c r="T174" s="89"/>
      <c r="U174" s="89"/>
      <c r="V174" s="89"/>
      <c r="W174" s="89"/>
      <c r="X174" s="89"/>
      <c r="Y174" s="66"/>
      <c r="Z174" s="66"/>
      <c r="AA174" s="66"/>
      <c r="AB174" s="66"/>
      <c r="AC174" s="66"/>
      <c r="AD174" s="66"/>
      <c r="AE174" s="66"/>
      <c r="AF174" s="66"/>
      <c r="AG174" s="66"/>
      <c r="AH174" s="66"/>
      <c r="AI174" s="66"/>
      <c r="AJ174" s="66"/>
      <c r="AK174" s="66"/>
      <c r="AL174" s="66"/>
      <c r="AM174" s="66"/>
      <c r="AN174" s="66"/>
      <c r="AO174" s="66"/>
      <c r="AP174" s="78"/>
      <c r="AQ174" s="78"/>
      <c r="AR174" s="78"/>
      <c r="AS174" s="78"/>
      <c r="AT174" s="78"/>
      <c r="AU174" s="78"/>
      <c r="AV174" s="78"/>
      <c r="AW174" s="78"/>
      <c r="AX174" s="78"/>
      <c r="AY174" s="78"/>
      <c r="AZ174" s="78"/>
      <c r="BA174" s="78"/>
      <c r="BB174" s="78"/>
      <c r="BC174" s="78"/>
      <c r="BD174" s="78"/>
      <c r="BE174" s="78"/>
      <c r="BF174" s="78"/>
      <c r="BG174" s="78"/>
      <c r="BH174" s="78"/>
      <c r="BI174" s="78"/>
      <c r="BJ174" s="78"/>
      <c r="BK174" s="78"/>
    </row>
    <row r="175" spans="1:63" ht="12" customHeight="1" x14ac:dyDescent="0.2">
      <c r="A175" s="66" t="s">
        <v>29924</v>
      </c>
      <c r="B175" s="66">
        <v>47</v>
      </c>
      <c r="C175" s="66" t="s">
        <v>20</v>
      </c>
      <c r="D175" s="66" t="s">
        <v>85</v>
      </c>
      <c r="E175" s="66"/>
      <c r="F175" s="69">
        <v>42870</v>
      </c>
      <c r="G175" s="66" t="s">
        <v>29925</v>
      </c>
      <c r="H175" s="66" t="s">
        <v>10781</v>
      </c>
      <c r="I175" s="66" t="s">
        <v>319</v>
      </c>
      <c r="J175" s="66">
        <v>37604</v>
      </c>
      <c r="K175" s="66" t="s">
        <v>118</v>
      </c>
      <c r="L175" s="66" t="s">
        <v>29926</v>
      </c>
      <c r="M175" s="66" t="s">
        <v>27</v>
      </c>
      <c r="N175" s="66" t="s">
        <v>29927</v>
      </c>
      <c r="O175" s="66" t="s">
        <v>400</v>
      </c>
      <c r="P175" s="66" t="s">
        <v>401</v>
      </c>
      <c r="Q175" s="76" t="s">
        <v>29928</v>
      </c>
      <c r="R175" s="66" t="s">
        <v>100</v>
      </c>
      <c r="S175" s="66" t="s">
        <v>35</v>
      </c>
      <c r="T175" s="77" t="s">
        <v>29441</v>
      </c>
      <c r="U175" s="77" t="s">
        <v>29441</v>
      </c>
      <c r="V175" s="77" t="s">
        <v>29439</v>
      </c>
      <c r="W175" s="77" t="s">
        <v>100</v>
      </c>
      <c r="X175" s="77">
        <v>2582</v>
      </c>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78"/>
      <c r="AW175" s="78"/>
      <c r="AX175" s="78"/>
      <c r="AY175" s="78"/>
      <c r="AZ175" s="78"/>
      <c r="BA175" s="78"/>
      <c r="BB175" s="78"/>
      <c r="BC175" s="78"/>
      <c r="BD175" s="78"/>
      <c r="BE175" s="78"/>
      <c r="BF175" s="78"/>
      <c r="BG175" s="78"/>
      <c r="BH175" s="78"/>
      <c r="BI175" s="78"/>
      <c r="BJ175" s="78"/>
      <c r="BK175" s="70"/>
    </row>
    <row r="176" spans="1:63" ht="12" customHeight="1" x14ac:dyDescent="0.2">
      <c r="A176" s="66" t="s">
        <v>30368</v>
      </c>
      <c r="B176" s="66">
        <v>22</v>
      </c>
      <c r="C176" s="66" t="s">
        <v>20</v>
      </c>
      <c r="D176" s="66" t="s">
        <v>48</v>
      </c>
      <c r="E176" s="66"/>
      <c r="F176" s="69">
        <v>42870</v>
      </c>
      <c r="G176" s="66" t="s">
        <v>29921</v>
      </c>
      <c r="H176" s="66" t="s">
        <v>489</v>
      </c>
      <c r="I176" s="66" t="s">
        <v>45</v>
      </c>
      <c r="J176" s="66">
        <v>90805</v>
      </c>
      <c r="K176" s="66" t="s">
        <v>98</v>
      </c>
      <c r="L176" s="66" t="s">
        <v>99</v>
      </c>
      <c r="M176" s="66" t="s">
        <v>27</v>
      </c>
      <c r="N176" s="66" t="s">
        <v>29922</v>
      </c>
      <c r="O176" s="66" t="s">
        <v>400</v>
      </c>
      <c r="P176" s="66" t="s">
        <v>401</v>
      </c>
      <c r="Q176" s="76" t="s">
        <v>29923</v>
      </c>
      <c r="R176" s="66" t="s">
        <v>100</v>
      </c>
      <c r="S176" s="66" t="s">
        <v>35</v>
      </c>
      <c r="T176" s="89"/>
      <c r="U176" s="89"/>
      <c r="V176" s="89"/>
      <c r="W176" s="89"/>
      <c r="X176" s="89"/>
      <c r="Y176" s="66"/>
      <c r="Z176" s="66"/>
      <c r="AA176" s="66"/>
      <c r="AB176" s="66"/>
      <c r="AC176" s="66"/>
      <c r="AD176" s="66"/>
      <c r="AE176" s="66"/>
      <c r="AF176" s="66"/>
      <c r="AG176" s="66"/>
      <c r="AH176" s="66"/>
      <c r="AI176" s="66"/>
      <c r="AJ176" s="66"/>
      <c r="AK176" s="66"/>
      <c r="AL176" s="66"/>
      <c r="AM176" s="66"/>
      <c r="AN176" s="66"/>
      <c r="AO176" s="66"/>
      <c r="AP176" s="78"/>
      <c r="AQ176" s="78"/>
      <c r="AR176" s="78"/>
      <c r="AS176" s="78"/>
      <c r="AT176" s="78"/>
      <c r="AU176" s="78"/>
      <c r="AV176" s="78"/>
      <c r="AW176" s="78"/>
      <c r="AX176" s="78"/>
      <c r="AY176" s="78"/>
      <c r="AZ176" s="78"/>
      <c r="BA176" s="78"/>
      <c r="BB176" s="78"/>
      <c r="BC176" s="78"/>
      <c r="BD176" s="78"/>
      <c r="BE176" s="70"/>
      <c r="BF176" s="78"/>
      <c r="BG176" s="78"/>
      <c r="BH176" s="78"/>
      <c r="BI176" s="78"/>
      <c r="BJ176" s="78"/>
      <c r="BK176" s="78"/>
    </row>
    <row r="177" spans="1:63" ht="12" customHeight="1" x14ac:dyDescent="0.2">
      <c r="A177" s="66" t="s">
        <v>30619</v>
      </c>
      <c r="B177" s="66">
        <v>34</v>
      </c>
      <c r="C177" s="66" t="s">
        <v>20</v>
      </c>
      <c r="D177" s="66" t="s">
        <v>30</v>
      </c>
      <c r="E177" s="66"/>
      <c r="F177" s="69">
        <v>42870</v>
      </c>
      <c r="G177" s="66" t="s">
        <v>30620</v>
      </c>
      <c r="H177" s="66" t="s">
        <v>30621</v>
      </c>
      <c r="I177" s="66" t="s">
        <v>45</v>
      </c>
      <c r="J177" s="66" t="s">
        <v>30622</v>
      </c>
      <c r="K177" s="66" t="s">
        <v>156</v>
      </c>
      <c r="L177" s="66" t="s">
        <v>2115</v>
      </c>
      <c r="M177" s="66" t="s">
        <v>27</v>
      </c>
      <c r="N177" s="66" t="s">
        <v>30623</v>
      </c>
      <c r="O177" s="66" t="s">
        <v>400</v>
      </c>
      <c r="P177" s="66" t="s">
        <v>30375</v>
      </c>
      <c r="Q177" s="76" t="s">
        <v>30624</v>
      </c>
      <c r="R177" s="66" t="s">
        <v>29</v>
      </c>
      <c r="S177" s="66" t="s">
        <v>28</v>
      </c>
      <c r="T177" s="89" t="s">
        <v>29674</v>
      </c>
      <c r="U177" s="89" t="s">
        <v>29438</v>
      </c>
      <c r="V177" s="89" t="s">
        <v>29440</v>
      </c>
      <c r="W177" s="89" t="s">
        <v>100</v>
      </c>
      <c r="X177" s="89">
        <v>2585</v>
      </c>
      <c r="Y177" s="66"/>
      <c r="Z177" s="66"/>
      <c r="AA177" s="66"/>
      <c r="AB177" s="66"/>
      <c r="AC177" s="66"/>
      <c r="AD177" s="66"/>
      <c r="AE177" s="66"/>
      <c r="AF177" s="66"/>
      <c r="AG177" s="66"/>
      <c r="AH177" s="66"/>
      <c r="AI177" s="66"/>
      <c r="AJ177" s="66"/>
      <c r="AK177" s="66"/>
      <c r="AL177" s="66"/>
      <c r="AM177" s="66"/>
      <c r="AN177" s="66"/>
      <c r="AO177" s="66"/>
      <c r="AP177" s="78"/>
      <c r="AQ177" s="78"/>
      <c r="AR177" s="78"/>
      <c r="AS177" s="78"/>
      <c r="AT177" s="78"/>
      <c r="AU177" s="78"/>
      <c r="AV177" s="78"/>
      <c r="AW177" s="78"/>
      <c r="AX177" s="78"/>
      <c r="AY177" s="78"/>
      <c r="AZ177" s="78"/>
      <c r="BA177" s="78"/>
      <c r="BB177" s="78"/>
      <c r="BC177" s="78"/>
      <c r="BD177" s="78"/>
      <c r="BE177" s="78"/>
      <c r="BF177" s="78"/>
      <c r="BG177" s="78"/>
      <c r="BH177" s="78"/>
      <c r="BI177" s="78"/>
      <c r="BJ177" s="78"/>
      <c r="BK177" s="78"/>
    </row>
    <row r="178" spans="1:63" ht="12" customHeight="1" x14ac:dyDescent="0.2">
      <c r="A178" s="66" t="s">
        <v>30161</v>
      </c>
      <c r="B178" s="66">
        <v>48</v>
      </c>
      <c r="C178" s="66" t="s">
        <v>20</v>
      </c>
      <c r="D178" s="66" t="s">
        <v>37</v>
      </c>
      <c r="E178" s="76" t="s">
        <v>30047</v>
      </c>
      <c r="F178" s="69">
        <v>42870</v>
      </c>
      <c r="G178" s="66" t="s">
        <v>30162</v>
      </c>
      <c r="H178" s="66" t="s">
        <v>30163</v>
      </c>
      <c r="I178" s="66" t="s">
        <v>395</v>
      </c>
      <c r="J178" s="66">
        <v>74884</v>
      </c>
      <c r="K178" s="66" t="s">
        <v>9145</v>
      </c>
      <c r="L178" s="66" t="s">
        <v>30164</v>
      </c>
      <c r="M178" s="66" t="s">
        <v>27</v>
      </c>
      <c r="N178" s="66" t="s">
        <v>30165</v>
      </c>
      <c r="O178" s="66" t="s">
        <v>400</v>
      </c>
      <c r="P178" s="66" t="s">
        <v>401</v>
      </c>
      <c r="Q178" s="76" t="s">
        <v>30166</v>
      </c>
      <c r="R178" s="66" t="s">
        <v>555</v>
      </c>
      <c r="S178" s="66" t="s">
        <v>28</v>
      </c>
      <c r="T178" s="89" t="s">
        <v>29453</v>
      </c>
      <c r="U178" s="89" t="s">
        <v>29438</v>
      </c>
      <c r="V178" s="89" t="s">
        <v>29439</v>
      </c>
      <c r="W178" s="89" t="s">
        <v>100</v>
      </c>
      <c r="X178" s="89">
        <v>2589</v>
      </c>
      <c r="Y178" s="66"/>
      <c r="Z178" s="66"/>
      <c r="AA178" s="66"/>
      <c r="AB178" s="66"/>
      <c r="AC178" s="66"/>
      <c r="AD178" s="66"/>
      <c r="AE178" s="66"/>
      <c r="AF178" s="66"/>
      <c r="AG178" s="66"/>
      <c r="AH178" s="66"/>
      <c r="AI178" s="66"/>
      <c r="AJ178" s="66"/>
      <c r="AK178" s="66"/>
      <c r="AL178" s="66"/>
      <c r="AM178" s="66"/>
      <c r="AN178" s="66"/>
      <c r="AO178" s="66"/>
      <c r="AP178" s="78"/>
      <c r="AQ178" s="78"/>
      <c r="AR178" s="78"/>
      <c r="AS178" s="78"/>
      <c r="AT178" s="78"/>
      <c r="AU178" s="78"/>
      <c r="AV178" s="78"/>
      <c r="AW178" s="78"/>
      <c r="AX178" s="78"/>
      <c r="AY178" s="78"/>
      <c r="AZ178" s="78"/>
      <c r="BA178" s="78"/>
      <c r="BB178" s="78"/>
      <c r="BC178" s="78"/>
      <c r="BD178" s="78"/>
      <c r="BE178" s="78"/>
      <c r="BF178" s="78"/>
      <c r="BG178" s="78"/>
      <c r="BH178" s="78"/>
      <c r="BI178" s="78"/>
      <c r="BJ178" s="78"/>
      <c r="BK178" s="78"/>
    </row>
    <row r="179" spans="1:63" ht="12" customHeight="1" x14ac:dyDescent="0.2">
      <c r="A179" s="66" t="s">
        <v>30366</v>
      </c>
      <c r="B179" s="66">
        <v>41</v>
      </c>
      <c r="C179" s="66" t="s">
        <v>20</v>
      </c>
      <c r="D179" s="66" t="s">
        <v>48</v>
      </c>
      <c r="E179" s="66"/>
      <c r="F179" s="69">
        <v>42869</v>
      </c>
      <c r="G179" s="66" t="s">
        <v>29884</v>
      </c>
      <c r="H179" s="66" t="s">
        <v>3720</v>
      </c>
      <c r="I179" s="66" t="s">
        <v>123</v>
      </c>
      <c r="J179" s="66">
        <v>86401</v>
      </c>
      <c r="K179" s="66" t="s">
        <v>5836</v>
      </c>
      <c r="L179" s="66" t="s">
        <v>25210</v>
      </c>
      <c r="M179" s="66" t="s">
        <v>27</v>
      </c>
      <c r="N179" s="66" t="s">
        <v>29885</v>
      </c>
      <c r="O179" s="66" t="s">
        <v>400</v>
      </c>
      <c r="P179" s="66" t="s">
        <v>401</v>
      </c>
      <c r="Q179" s="76" t="s">
        <v>29886</v>
      </c>
      <c r="R179" s="66" t="s">
        <v>100</v>
      </c>
      <c r="S179" s="66" t="s">
        <v>28</v>
      </c>
      <c r="T179" s="77" t="s">
        <v>29681</v>
      </c>
      <c r="U179" s="77" t="s">
        <v>29438</v>
      </c>
      <c r="V179" s="77" t="s">
        <v>29437</v>
      </c>
      <c r="W179" s="77" t="s">
        <v>100</v>
      </c>
      <c r="X179" s="77">
        <v>2579</v>
      </c>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78"/>
      <c r="AW179" s="78"/>
      <c r="AX179" s="78"/>
      <c r="AY179" s="78"/>
      <c r="AZ179" s="78"/>
      <c r="BA179" s="78"/>
      <c r="BB179" s="78"/>
      <c r="BC179" s="78"/>
      <c r="BD179" s="78"/>
      <c r="BE179" s="78"/>
      <c r="BF179" s="78"/>
      <c r="BG179" s="78"/>
      <c r="BH179" s="78"/>
      <c r="BI179" s="78"/>
      <c r="BJ179" s="78"/>
      <c r="BK179" s="78"/>
    </row>
    <row r="180" spans="1:63" ht="12" customHeight="1" x14ac:dyDescent="0.2">
      <c r="A180" s="66" t="s">
        <v>30232</v>
      </c>
      <c r="B180" s="66">
        <v>48</v>
      </c>
      <c r="C180" s="66" t="s">
        <v>20</v>
      </c>
      <c r="D180" s="66" t="s">
        <v>30</v>
      </c>
      <c r="E180" s="66"/>
      <c r="F180" s="69">
        <v>42869</v>
      </c>
      <c r="G180" s="66" t="s">
        <v>30233</v>
      </c>
      <c r="H180" s="66" t="s">
        <v>2495</v>
      </c>
      <c r="I180" s="66" t="s">
        <v>244</v>
      </c>
      <c r="J180" s="66">
        <v>24301</v>
      </c>
      <c r="K180" s="66" t="s">
        <v>2495</v>
      </c>
      <c r="L180" s="66" t="s">
        <v>30234</v>
      </c>
      <c r="M180" s="66" t="s">
        <v>27</v>
      </c>
      <c r="N180" s="66" t="s">
        <v>30235</v>
      </c>
      <c r="O180" s="66" t="s">
        <v>400</v>
      </c>
      <c r="P180" s="66" t="s">
        <v>401</v>
      </c>
      <c r="Q180" s="76" t="s">
        <v>30236</v>
      </c>
      <c r="R180" s="66" t="s">
        <v>100</v>
      </c>
      <c r="S180" s="66" t="s">
        <v>28</v>
      </c>
      <c r="T180" s="77" t="s">
        <v>29681</v>
      </c>
      <c r="U180" s="77"/>
      <c r="V180" s="77"/>
      <c r="W180" s="77"/>
      <c r="X180" s="77"/>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78"/>
      <c r="AW180" s="78"/>
      <c r="AX180" s="78"/>
      <c r="AY180" s="78"/>
      <c r="AZ180" s="78"/>
      <c r="BA180" s="78"/>
      <c r="BB180" s="78"/>
      <c r="BC180" s="78"/>
      <c r="BD180" s="78"/>
      <c r="BE180" s="78"/>
      <c r="BF180" s="78"/>
      <c r="BG180" s="78"/>
      <c r="BH180" s="78"/>
      <c r="BI180" s="78"/>
      <c r="BJ180" s="78"/>
      <c r="BK180" s="78"/>
    </row>
    <row r="181" spans="1:63" ht="12" customHeight="1" x14ac:dyDescent="0.2">
      <c r="A181" s="66" t="s">
        <v>30276</v>
      </c>
      <c r="B181" s="66">
        <v>40</v>
      </c>
      <c r="C181" s="66" t="s">
        <v>20</v>
      </c>
      <c r="D181" s="66" t="s">
        <v>85</v>
      </c>
      <c r="E181" s="66"/>
      <c r="F181" s="69">
        <v>42869</v>
      </c>
      <c r="G181" s="66" t="s">
        <v>30277</v>
      </c>
      <c r="H181" s="66" t="s">
        <v>655</v>
      </c>
      <c r="I181" s="66" t="s">
        <v>269</v>
      </c>
      <c r="J181" s="66">
        <v>89109</v>
      </c>
      <c r="K181" s="66" t="s">
        <v>570</v>
      </c>
      <c r="L181" s="66" t="s">
        <v>571</v>
      </c>
      <c r="M181" s="66" t="s">
        <v>30988</v>
      </c>
      <c r="N181" s="66" t="s">
        <v>30278</v>
      </c>
      <c r="O181" s="66" t="s">
        <v>21481</v>
      </c>
      <c r="P181" s="66" t="s">
        <v>1159</v>
      </c>
      <c r="Q181" s="76" t="s">
        <v>30279</v>
      </c>
      <c r="R181" s="66" t="s">
        <v>555</v>
      </c>
      <c r="S181" s="66" t="s">
        <v>18</v>
      </c>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78"/>
      <c r="AW181" s="78"/>
      <c r="AX181" s="78"/>
      <c r="AY181" s="78"/>
      <c r="AZ181" s="78"/>
      <c r="BA181" s="78"/>
      <c r="BB181" s="78"/>
      <c r="BC181" s="78"/>
      <c r="BD181" s="78"/>
      <c r="BE181" s="78"/>
      <c r="BF181" s="78"/>
      <c r="BG181" s="78"/>
      <c r="BH181" s="78"/>
      <c r="BI181" s="78"/>
      <c r="BJ181" s="78"/>
    </row>
    <row r="182" spans="1:63" ht="12" customHeight="1" x14ac:dyDescent="0.2">
      <c r="A182" s="66" t="s">
        <v>30364</v>
      </c>
      <c r="B182" s="66">
        <v>48</v>
      </c>
      <c r="C182" s="66" t="s">
        <v>20</v>
      </c>
      <c r="D182" s="66" t="s">
        <v>30</v>
      </c>
      <c r="E182" s="66"/>
      <c r="F182" s="69">
        <v>42868</v>
      </c>
      <c r="G182" s="66" t="s">
        <v>30240</v>
      </c>
      <c r="H182" s="66" t="s">
        <v>886</v>
      </c>
      <c r="I182" s="66" t="s">
        <v>217</v>
      </c>
      <c r="J182" s="66">
        <v>46140</v>
      </c>
      <c r="K182" s="66" t="s">
        <v>1870</v>
      </c>
      <c r="L182" s="66" t="s">
        <v>888</v>
      </c>
      <c r="M182" s="66" t="s">
        <v>391</v>
      </c>
      <c r="N182" s="66" t="s">
        <v>30241</v>
      </c>
      <c r="O182" s="66" t="s">
        <v>400</v>
      </c>
      <c r="P182" s="66" t="s">
        <v>401</v>
      </c>
      <c r="Q182" s="76" t="s">
        <v>30242</v>
      </c>
      <c r="R182" s="66" t="s">
        <v>964</v>
      </c>
      <c r="S182" s="66" t="s">
        <v>18</v>
      </c>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78"/>
      <c r="AW182" s="78"/>
      <c r="AX182" s="78"/>
      <c r="AY182" s="78"/>
      <c r="AZ182" s="78"/>
      <c r="BA182" s="78"/>
      <c r="BB182" s="78"/>
      <c r="BC182" s="78"/>
      <c r="BD182" s="78"/>
      <c r="BE182" s="78"/>
      <c r="BF182" s="78"/>
      <c r="BG182" s="78"/>
      <c r="BH182" s="78"/>
      <c r="BI182" s="78"/>
      <c r="BJ182" s="78"/>
    </row>
    <row r="183" spans="1:63" s="78" customFormat="1" ht="12" customHeight="1" x14ac:dyDescent="0.2">
      <c r="A183" s="66" t="s">
        <v>30171</v>
      </c>
      <c r="B183" s="66">
        <v>21</v>
      </c>
      <c r="C183" s="66" t="s">
        <v>20</v>
      </c>
      <c r="D183" s="66" t="s">
        <v>85</v>
      </c>
      <c r="E183" s="66"/>
      <c r="F183" s="69">
        <v>42868</v>
      </c>
      <c r="G183" s="66" t="s">
        <v>30172</v>
      </c>
      <c r="H183" s="66" t="s">
        <v>28495</v>
      </c>
      <c r="I183" s="66" t="s">
        <v>44</v>
      </c>
      <c r="J183" s="66">
        <v>60134</v>
      </c>
      <c r="K183" s="66" t="s">
        <v>7801</v>
      </c>
      <c r="L183" s="66" t="s">
        <v>30173</v>
      </c>
      <c r="M183" s="66" t="s">
        <v>27</v>
      </c>
      <c r="N183" s="66" t="s">
        <v>30174</v>
      </c>
      <c r="O183" s="66" t="s">
        <v>400</v>
      </c>
      <c r="P183" s="66" t="s">
        <v>401</v>
      </c>
      <c r="Q183" s="76" t="s">
        <v>30175</v>
      </c>
      <c r="R183" s="66" t="s">
        <v>100</v>
      </c>
      <c r="S183" s="66" t="s">
        <v>28</v>
      </c>
      <c r="T183" s="77"/>
      <c r="U183" s="77"/>
      <c r="V183" s="77"/>
      <c r="W183" s="77"/>
      <c r="X183" s="77"/>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row>
    <row r="184" spans="1:63" s="78" customFormat="1" ht="12" customHeight="1" x14ac:dyDescent="0.2">
      <c r="A184" s="66" t="s">
        <v>29875</v>
      </c>
      <c r="B184" s="66">
        <v>41</v>
      </c>
      <c r="C184" s="66" t="s">
        <v>20</v>
      </c>
      <c r="D184" s="66" t="s">
        <v>85</v>
      </c>
      <c r="E184" s="66"/>
      <c r="F184" s="69">
        <v>42868</v>
      </c>
      <c r="G184" s="66" t="s">
        <v>29876</v>
      </c>
      <c r="H184" s="66" t="s">
        <v>51</v>
      </c>
      <c r="I184" s="66" t="s">
        <v>431</v>
      </c>
      <c r="J184" s="66">
        <v>65203</v>
      </c>
      <c r="K184" s="66" t="s">
        <v>2853</v>
      </c>
      <c r="L184" s="66" t="s">
        <v>1840</v>
      </c>
      <c r="M184" s="66" t="s">
        <v>27</v>
      </c>
      <c r="N184" s="66" t="s">
        <v>29877</v>
      </c>
      <c r="O184" s="66" t="s">
        <v>400</v>
      </c>
      <c r="P184" s="66" t="s">
        <v>401</v>
      </c>
      <c r="Q184" s="76" t="s">
        <v>29878</v>
      </c>
      <c r="R184" s="66" t="s">
        <v>100</v>
      </c>
      <c r="S184" s="66" t="s">
        <v>28</v>
      </c>
      <c r="T184" s="77" t="s">
        <v>29681</v>
      </c>
      <c r="U184" s="77" t="s">
        <v>29438</v>
      </c>
      <c r="V184" s="77"/>
      <c r="W184" s="77" t="s">
        <v>100</v>
      </c>
      <c r="X184" s="77">
        <v>2580</v>
      </c>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row>
    <row r="185" spans="1:63" s="78" customFormat="1" ht="12" customHeight="1" x14ac:dyDescent="0.2">
      <c r="A185" s="66" t="s">
        <v>30365</v>
      </c>
      <c r="B185" s="66">
        <v>37</v>
      </c>
      <c r="C185" s="66" t="s">
        <v>20</v>
      </c>
      <c r="D185" s="66" t="s">
        <v>37</v>
      </c>
      <c r="E185" s="66"/>
      <c r="F185" s="69">
        <v>42868</v>
      </c>
      <c r="G185" s="66" t="s">
        <v>29879</v>
      </c>
      <c r="H185" s="66" t="s">
        <v>29880</v>
      </c>
      <c r="I185" s="66" t="s">
        <v>438</v>
      </c>
      <c r="J185" s="66" t="s">
        <v>17071</v>
      </c>
      <c r="K185" s="66" t="s">
        <v>887</v>
      </c>
      <c r="L185" s="66" t="s">
        <v>29881</v>
      </c>
      <c r="M185" s="66" t="s">
        <v>27</v>
      </c>
      <c r="N185" s="66" t="s">
        <v>29882</v>
      </c>
      <c r="O185" s="66" t="s">
        <v>400</v>
      </c>
      <c r="P185" s="66" t="s">
        <v>30375</v>
      </c>
      <c r="Q185" s="76" t="s">
        <v>29883</v>
      </c>
      <c r="R185" s="66" t="s">
        <v>100</v>
      </c>
      <c r="S185" s="66" t="s">
        <v>28</v>
      </c>
      <c r="T185" s="77" t="s">
        <v>29681</v>
      </c>
      <c r="U185" s="77"/>
      <c r="V185" s="77"/>
      <c r="W185" s="77"/>
      <c r="X185" s="77"/>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row>
    <row r="186" spans="1:63" s="78" customFormat="1" ht="12" customHeight="1" x14ac:dyDescent="0.2">
      <c r="A186" s="66" t="s">
        <v>30093</v>
      </c>
      <c r="B186" s="66">
        <v>51</v>
      </c>
      <c r="C186" s="66" t="s">
        <v>20</v>
      </c>
      <c r="D186" s="66" t="s">
        <v>85</v>
      </c>
      <c r="E186" s="66"/>
      <c r="F186" s="69">
        <v>42867</v>
      </c>
      <c r="G186" s="66" t="s">
        <v>30094</v>
      </c>
      <c r="H186" s="66" t="s">
        <v>1100</v>
      </c>
      <c r="I186" s="66" t="s">
        <v>404</v>
      </c>
      <c r="J186" s="66">
        <v>19143</v>
      </c>
      <c r="K186" s="66" t="s">
        <v>1100</v>
      </c>
      <c r="L186" s="66" t="s">
        <v>1101</v>
      </c>
      <c r="M186" s="77" t="s">
        <v>5411</v>
      </c>
      <c r="N186" s="66" t="s">
        <v>30095</v>
      </c>
      <c r="O186" s="66" t="s">
        <v>400</v>
      </c>
      <c r="P186" s="66" t="s">
        <v>401</v>
      </c>
      <c r="Q186" s="76" t="s">
        <v>30096</v>
      </c>
      <c r="R186" s="66" t="s">
        <v>100</v>
      </c>
      <c r="S186" s="66" t="s">
        <v>28</v>
      </c>
      <c r="T186" s="77" t="s">
        <v>29674</v>
      </c>
      <c r="U186" s="77" t="s">
        <v>29436</v>
      </c>
      <c r="V186" s="77" t="s">
        <v>29439</v>
      </c>
      <c r="W186" s="77" t="s">
        <v>100</v>
      </c>
      <c r="X186" s="77">
        <v>2574</v>
      </c>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BK186" s="1"/>
    </row>
    <row r="187" spans="1:63" s="78" customFormat="1" ht="12" customHeight="1" x14ac:dyDescent="0.2">
      <c r="A187" s="66" t="s">
        <v>30228</v>
      </c>
      <c r="B187" s="66">
        <v>27</v>
      </c>
      <c r="C187" s="66" t="s">
        <v>20</v>
      </c>
      <c r="D187" s="66" t="s">
        <v>30</v>
      </c>
      <c r="E187" s="66"/>
      <c r="F187" s="69">
        <v>42867</v>
      </c>
      <c r="G187" s="66" t="s">
        <v>30229</v>
      </c>
      <c r="H187" s="66" t="s">
        <v>723</v>
      </c>
      <c r="I187" s="66" t="s">
        <v>73</v>
      </c>
      <c r="J187" s="66">
        <v>77015</v>
      </c>
      <c r="K187" s="66" t="s">
        <v>558</v>
      </c>
      <c r="L187" s="66" t="s">
        <v>559</v>
      </c>
      <c r="M187" s="66" t="s">
        <v>27</v>
      </c>
      <c r="N187" s="66" t="s">
        <v>30230</v>
      </c>
      <c r="O187" s="66" t="s">
        <v>400</v>
      </c>
      <c r="P187" s="66" t="s">
        <v>401</v>
      </c>
      <c r="Q187" s="76" t="s">
        <v>30231</v>
      </c>
      <c r="R187" s="66" t="s">
        <v>100</v>
      </c>
      <c r="S187" s="66" t="s">
        <v>28</v>
      </c>
      <c r="T187" s="77" t="s">
        <v>29681</v>
      </c>
      <c r="U187" s="77"/>
      <c r="V187" s="77"/>
      <c r="W187" s="77"/>
      <c r="X187" s="77"/>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row>
    <row r="188" spans="1:63" s="78" customFormat="1" ht="12" customHeight="1" x14ac:dyDescent="0.2">
      <c r="A188" s="66" t="s">
        <v>30008</v>
      </c>
      <c r="B188" s="66">
        <v>46</v>
      </c>
      <c r="C188" s="66" t="s">
        <v>20</v>
      </c>
      <c r="D188" s="66" t="s">
        <v>37</v>
      </c>
      <c r="E188" s="76" t="s">
        <v>30009</v>
      </c>
      <c r="F188" s="69">
        <v>42867</v>
      </c>
      <c r="G188" s="66" t="s">
        <v>30010</v>
      </c>
      <c r="H188" s="66" t="s">
        <v>30011</v>
      </c>
      <c r="I188" s="66" t="s">
        <v>62</v>
      </c>
      <c r="J188" s="66">
        <v>33458</v>
      </c>
      <c r="K188" s="66" t="s">
        <v>5318</v>
      </c>
      <c r="L188" s="66" t="s">
        <v>63</v>
      </c>
      <c r="M188" s="66" t="s">
        <v>27</v>
      </c>
      <c r="N188" s="66" t="s">
        <v>30012</v>
      </c>
      <c r="O188" s="66" t="s">
        <v>400</v>
      </c>
      <c r="P188" s="66" t="s">
        <v>401</v>
      </c>
      <c r="Q188" s="76" t="s">
        <v>30013</v>
      </c>
      <c r="R188" s="66" t="s">
        <v>100</v>
      </c>
      <c r="S188" s="66" t="s">
        <v>28</v>
      </c>
      <c r="T188" s="77" t="s">
        <v>29681</v>
      </c>
      <c r="U188" s="77" t="s">
        <v>29438</v>
      </c>
      <c r="V188" s="77" t="s">
        <v>29437</v>
      </c>
      <c r="W188" s="77" t="s">
        <v>100</v>
      </c>
      <c r="X188" s="77">
        <v>2578</v>
      </c>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row>
    <row r="189" spans="1:63" s="78" customFormat="1" ht="12" customHeight="1" x14ac:dyDescent="0.2">
      <c r="A189" s="66" t="s">
        <v>30046</v>
      </c>
      <c r="B189" s="66">
        <v>35</v>
      </c>
      <c r="C189" s="66" t="s">
        <v>20</v>
      </c>
      <c r="D189" s="66" t="s">
        <v>37</v>
      </c>
      <c r="E189" s="76" t="s">
        <v>30047</v>
      </c>
      <c r="F189" s="69">
        <v>42867</v>
      </c>
      <c r="G189" s="66" t="s">
        <v>3994</v>
      </c>
      <c r="H189" s="66" t="s">
        <v>30048</v>
      </c>
      <c r="I189" s="66" t="s">
        <v>94</v>
      </c>
      <c r="J189" s="66">
        <v>36567</v>
      </c>
      <c r="K189" s="66" t="s">
        <v>3707</v>
      </c>
      <c r="L189" s="66" t="s">
        <v>3708</v>
      </c>
      <c r="M189" s="66" t="s">
        <v>27</v>
      </c>
      <c r="N189" s="66" t="s">
        <v>30049</v>
      </c>
      <c r="O189" s="66" t="s">
        <v>400</v>
      </c>
      <c r="P189" s="66" t="s">
        <v>401</v>
      </c>
      <c r="Q189" s="76" t="s">
        <v>30050</v>
      </c>
      <c r="R189" s="66" t="s">
        <v>100</v>
      </c>
      <c r="S189" s="66" t="s">
        <v>35</v>
      </c>
      <c r="T189" s="77" t="s">
        <v>29441</v>
      </c>
      <c r="U189" s="77" t="s">
        <v>29441</v>
      </c>
      <c r="V189" s="77"/>
      <c r="W189" s="77" t="s">
        <v>100</v>
      </c>
      <c r="X189" s="77">
        <v>2577</v>
      </c>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BK189" s="70"/>
    </row>
    <row r="190" spans="1:63" s="78" customFormat="1" ht="12" customHeight="1" x14ac:dyDescent="0.2">
      <c r="A190" s="66" t="s">
        <v>3252</v>
      </c>
      <c r="B190" s="66" t="s">
        <v>29</v>
      </c>
      <c r="C190" s="66" t="s">
        <v>20</v>
      </c>
      <c r="D190" s="66" t="s">
        <v>30</v>
      </c>
      <c r="E190" s="66"/>
      <c r="F190" s="69">
        <v>42867</v>
      </c>
      <c r="G190" s="66" t="s">
        <v>30144</v>
      </c>
      <c r="H190" s="66" t="s">
        <v>4573</v>
      </c>
      <c r="I190" s="66" t="s">
        <v>854</v>
      </c>
      <c r="J190" s="66">
        <v>59106</v>
      </c>
      <c r="K190" s="66" t="s">
        <v>4575</v>
      </c>
      <c r="L190" s="66" t="s">
        <v>10448</v>
      </c>
      <c r="M190" s="66" t="s">
        <v>27</v>
      </c>
      <c r="N190" s="66" t="s">
        <v>30145</v>
      </c>
      <c r="O190" s="66" t="s">
        <v>400</v>
      </c>
      <c r="P190" s="66" t="s">
        <v>401</v>
      </c>
      <c r="Q190" s="76" t="s">
        <v>30146</v>
      </c>
      <c r="R190" s="66" t="s">
        <v>555</v>
      </c>
      <c r="S190" s="66" t="s">
        <v>28</v>
      </c>
      <c r="T190" s="77" t="s">
        <v>29681</v>
      </c>
      <c r="U190" s="77" t="s">
        <v>29438</v>
      </c>
      <c r="V190" s="77" t="s">
        <v>29439</v>
      </c>
      <c r="W190" s="77" t="s">
        <v>100</v>
      </c>
      <c r="X190" s="77">
        <v>2575</v>
      </c>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row>
    <row r="191" spans="1:63" s="78" customFormat="1" ht="12" customHeight="1" x14ac:dyDescent="0.2">
      <c r="A191" s="66" t="s">
        <v>30335</v>
      </c>
      <c r="B191" s="66">
        <v>41</v>
      </c>
      <c r="C191" s="66" t="s">
        <v>20</v>
      </c>
      <c r="D191" s="66" t="s">
        <v>37</v>
      </c>
      <c r="E191" s="76" t="s">
        <v>30336</v>
      </c>
      <c r="F191" s="69">
        <v>42867</v>
      </c>
      <c r="G191" s="66" t="s">
        <v>30337</v>
      </c>
      <c r="H191" s="66" t="s">
        <v>30338</v>
      </c>
      <c r="I191" s="66" t="s">
        <v>45</v>
      </c>
      <c r="J191" s="66">
        <v>94928</v>
      </c>
      <c r="K191" s="66" t="s">
        <v>2669</v>
      </c>
      <c r="L191" s="66" t="s">
        <v>30339</v>
      </c>
      <c r="M191" s="66" t="s">
        <v>391</v>
      </c>
      <c r="N191" s="66" t="s">
        <v>30340</v>
      </c>
      <c r="O191" s="66" t="s">
        <v>400</v>
      </c>
      <c r="P191" s="66" t="s">
        <v>401</v>
      </c>
      <c r="Q191" s="76" t="s">
        <v>30341</v>
      </c>
      <c r="R191" s="66" t="s">
        <v>555</v>
      </c>
      <c r="S191" s="66" t="s">
        <v>18</v>
      </c>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BK191" s="1"/>
    </row>
    <row r="192" spans="1:63" s="78" customFormat="1" ht="12" customHeight="1" x14ac:dyDescent="0.2">
      <c r="A192" s="66" t="s">
        <v>30176</v>
      </c>
      <c r="B192" s="66">
        <v>36</v>
      </c>
      <c r="C192" s="66" t="s">
        <v>20</v>
      </c>
      <c r="D192" s="66" t="s">
        <v>85</v>
      </c>
      <c r="E192" s="76" t="s">
        <v>30177</v>
      </c>
      <c r="F192" s="69">
        <v>42866</v>
      </c>
      <c r="G192" s="66" t="s">
        <v>30178</v>
      </c>
      <c r="H192" s="66" t="s">
        <v>16930</v>
      </c>
      <c r="I192" s="66" t="s">
        <v>423</v>
      </c>
      <c r="J192" s="66">
        <v>12305</v>
      </c>
      <c r="K192" s="66" t="s">
        <v>16930</v>
      </c>
      <c r="L192" s="66" t="s">
        <v>16932</v>
      </c>
      <c r="M192" s="66" t="s">
        <v>30179</v>
      </c>
      <c r="N192" s="66" t="s">
        <v>30180</v>
      </c>
      <c r="O192" s="66" t="s">
        <v>400</v>
      </c>
      <c r="P192" s="66" t="s">
        <v>401</v>
      </c>
      <c r="Q192" s="76" t="s">
        <v>30181</v>
      </c>
      <c r="R192" s="66" t="s">
        <v>100</v>
      </c>
      <c r="S192" s="66" t="s">
        <v>18</v>
      </c>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BK192" s="1"/>
    </row>
    <row r="193" spans="1:63" s="78" customFormat="1" ht="12" customHeight="1" x14ac:dyDescent="0.2">
      <c r="A193" s="66" t="s">
        <v>30264</v>
      </c>
      <c r="B193" s="66">
        <v>62</v>
      </c>
      <c r="C193" s="66" t="s">
        <v>20</v>
      </c>
      <c r="D193" s="66" t="s">
        <v>30</v>
      </c>
      <c r="E193" s="66"/>
      <c r="F193" s="69">
        <v>42866</v>
      </c>
      <c r="G193" s="66" t="s">
        <v>30265</v>
      </c>
      <c r="H193" s="66" t="s">
        <v>651</v>
      </c>
      <c r="I193" s="66" t="s">
        <v>62</v>
      </c>
      <c r="J193" s="66">
        <v>32207</v>
      </c>
      <c r="K193" s="66" t="s">
        <v>652</v>
      </c>
      <c r="L193" s="66" t="s">
        <v>653</v>
      </c>
      <c r="M193" s="66" t="s">
        <v>379</v>
      </c>
      <c r="N193" s="66" t="s">
        <v>30266</v>
      </c>
      <c r="O193" s="66" t="s">
        <v>400</v>
      </c>
      <c r="P193" s="66" t="s">
        <v>401</v>
      </c>
      <c r="Q193" s="76" t="s">
        <v>30267</v>
      </c>
      <c r="R193" s="66" t="s">
        <v>100</v>
      </c>
      <c r="S193" s="66" t="s">
        <v>18</v>
      </c>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BK193" s="1"/>
    </row>
    <row r="194" spans="1:63" s="78" customFormat="1" ht="12" customHeight="1" x14ac:dyDescent="0.2">
      <c r="A194" s="66" t="s">
        <v>3252</v>
      </c>
      <c r="B194" s="66" t="s">
        <v>29</v>
      </c>
      <c r="C194" s="66" t="s">
        <v>20</v>
      </c>
      <c r="D194" s="66" t="s">
        <v>48</v>
      </c>
      <c r="E194" s="66"/>
      <c r="F194" s="69">
        <v>42866</v>
      </c>
      <c r="G194" s="66" t="s">
        <v>29872</v>
      </c>
      <c r="H194" s="66" t="s">
        <v>843</v>
      </c>
      <c r="I194" s="66" t="s">
        <v>73</v>
      </c>
      <c r="J194" s="66">
        <v>76011</v>
      </c>
      <c r="K194" s="66" t="s">
        <v>74</v>
      </c>
      <c r="L194" s="66" t="s">
        <v>844</v>
      </c>
      <c r="M194" s="66" t="s">
        <v>27</v>
      </c>
      <c r="N194" s="66" t="s">
        <v>29873</v>
      </c>
      <c r="O194" s="66" t="s">
        <v>400</v>
      </c>
      <c r="P194" s="66" t="s">
        <v>401</v>
      </c>
      <c r="Q194" s="76" t="s">
        <v>29874</v>
      </c>
      <c r="R194" s="66" t="s">
        <v>29</v>
      </c>
      <c r="S194" s="66" t="s">
        <v>28</v>
      </c>
      <c r="T194" s="77" t="s">
        <v>29681</v>
      </c>
      <c r="U194" s="77" t="s">
        <v>29438</v>
      </c>
      <c r="V194" s="77" t="s">
        <v>29439</v>
      </c>
      <c r="W194" s="77" t="s">
        <v>100</v>
      </c>
      <c r="X194" s="77">
        <v>2573</v>
      </c>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row>
    <row r="195" spans="1:63" s="78" customFormat="1" ht="12" customHeight="1" x14ac:dyDescent="0.2">
      <c r="A195" s="66" t="s">
        <v>3252</v>
      </c>
      <c r="B195" s="66">
        <v>27</v>
      </c>
      <c r="C195" s="66" t="s">
        <v>20</v>
      </c>
      <c r="D195" s="66" t="s">
        <v>30</v>
      </c>
      <c r="E195" s="66"/>
      <c r="F195" s="69">
        <v>42866</v>
      </c>
      <c r="G195" s="66" t="s">
        <v>30272</v>
      </c>
      <c r="H195" s="66" t="s">
        <v>12115</v>
      </c>
      <c r="I195" s="66" t="s">
        <v>73</v>
      </c>
      <c r="J195" s="66">
        <v>78102</v>
      </c>
      <c r="K195" s="66" t="s">
        <v>12117</v>
      </c>
      <c r="L195" s="66" t="s">
        <v>30273</v>
      </c>
      <c r="M195" s="66" t="s">
        <v>30988</v>
      </c>
      <c r="N195" s="66" t="s">
        <v>30274</v>
      </c>
      <c r="O195" s="66" t="s">
        <v>400</v>
      </c>
      <c r="P195" s="66" t="s">
        <v>401</v>
      </c>
      <c r="Q195" s="76" t="s">
        <v>30275</v>
      </c>
      <c r="R195" s="66" t="s">
        <v>555</v>
      </c>
      <c r="S195" s="66" t="s">
        <v>18</v>
      </c>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BK195" s="1"/>
    </row>
    <row r="196" spans="1:63" s="78" customFormat="1" ht="12" customHeight="1" x14ac:dyDescent="0.2">
      <c r="A196" s="66" t="s">
        <v>29745</v>
      </c>
      <c r="B196" s="66">
        <v>24</v>
      </c>
      <c r="C196" s="66" t="s">
        <v>20</v>
      </c>
      <c r="D196" s="66" t="s">
        <v>85</v>
      </c>
      <c r="E196" s="76" t="s">
        <v>29746</v>
      </c>
      <c r="F196" s="69">
        <v>42865</v>
      </c>
      <c r="G196" s="66" t="s">
        <v>29747</v>
      </c>
      <c r="H196" s="66" t="s">
        <v>1561</v>
      </c>
      <c r="I196" s="66" t="s">
        <v>117</v>
      </c>
      <c r="J196" s="66">
        <v>97266</v>
      </c>
      <c r="K196" s="66" t="s">
        <v>1563</v>
      </c>
      <c r="L196" s="66" t="s">
        <v>17750</v>
      </c>
      <c r="M196" s="66" t="s">
        <v>27</v>
      </c>
      <c r="N196" s="66" t="s">
        <v>29748</v>
      </c>
      <c r="O196" s="66" t="s">
        <v>400</v>
      </c>
      <c r="P196" s="66" t="s">
        <v>401</v>
      </c>
      <c r="Q196" s="76" t="s">
        <v>29749</v>
      </c>
      <c r="R196" s="66" t="s">
        <v>100</v>
      </c>
      <c r="S196" s="66" t="s">
        <v>28</v>
      </c>
      <c r="T196" s="77" t="s">
        <v>29674</v>
      </c>
      <c r="U196" s="77" t="s">
        <v>29436</v>
      </c>
      <c r="V196" s="77" t="s">
        <v>29440</v>
      </c>
      <c r="W196" s="77" t="s">
        <v>100</v>
      </c>
      <c r="X196" s="77">
        <v>2570</v>
      </c>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row>
    <row r="197" spans="1:63" s="78" customFormat="1" ht="12" customHeight="1" x14ac:dyDescent="0.2">
      <c r="A197" s="66" t="s">
        <v>29868</v>
      </c>
      <c r="B197" s="66">
        <v>50</v>
      </c>
      <c r="C197" s="66" t="s">
        <v>114</v>
      </c>
      <c r="D197" s="66" t="s">
        <v>30</v>
      </c>
      <c r="E197" s="66"/>
      <c r="F197" s="69">
        <v>42865</v>
      </c>
      <c r="G197" s="66" t="s">
        <v>29869</v>
      </c>
      <c r="H197" s="66" t="s">
        <v>709</v>
      </c>
      <c r="I197" s="66" t="s">
        <v>431</v>
      </c>
      <c r="J197" s="66">
        <v>63116</v>
      </c>
      <c r="K197" s="66" t="s">
        <v>20282</v>
      </c>
      <c r="L197" s="66" t="s">
        <v>4516</v>
      </c>
      <c r="M197" s="66" t="s">
        <v>27</v>
      </c>
      <c r="N197" s="66" t="s">
        <v>29870</v>
      </c>
      <c r="O197" s="66" t="s">
        <v>400</v>
      </c>
      <c r="P197" s="66" t="s">
        <v>401</v>
      </c>
      <c r="Q197" s="76" t="s">
        <v>29871</v>
      </c>
      <c r="R197" s="66" t="s">
        <v>29</v>
      </c>
      <c r="S197" s="66" t="s">
        <v>28</v>
      </c>
      <c r="T197" s="77" t="s">
        <v>29681</v>
      </c>
      <c r="U197" s="77" t="s">
        <v>29438</v>
      </c>
      <c r="V197" s="77" t="s">
        <v>29439</v>
      </c>
      <c r="W197" s="77" t="s">
        <v>100</v>
      </c>
      <c r="X197" s="77">
        <v>2571</v>
      </c>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row>
    <row r="198" spans="1:63" s="78" customFormat="1" ht="12" customHeight="1" x14ac:dyDescent="0.2">
      <c r="A198" s="66" t="s">
        <v>30102</v>
      </c>
      <c r="B198" s="66">
        <v>50</v>
      </c>
      <c r="C198" s="66" t="s">
        <v>20</v>
      </c>
      <c r="D198" s="66" t="s">
        <v>37</v>
      </c>
      <c r="E198" s="66"/>
      <c r="F198" s="69">
        <v>42865</v>
      </c>
      <c r="G198" s="66" t="s">
        <v>30103</v>
      </c>
      <c r="H198" s="66" t="s">
        <v>26874</v>
      </c>
      <c r="I198" s="66" t="s">
        <v>45</v>
      </c>
      <c r="J198" s="66">
        <v>92040</v>
      </c>
      <c r="K198" s="66" t="s">
        <v>156</v>
      </c>
      <c r="L198" s="66" t="s">
        <v>2115</v>
      </c>
      <c r="M198" s="77" t="s">
        <v>5411</v>
      </c>
      <c r="N198" s="66" t="s">
        <v>30104</v>
      </c>
      <c r="O198" s="66" t="s">
        <v>400</v>
      </c>
      <c r="P198" s="66" t="s">
        <v>401</v>
      </c>
      <c r="Q198" s="76" t="s">
        <v>30105</v>
      </c>
      <c r="R198" s="66" t="s">
        <v>29</v>
      </c>
      <c r="S198" s="66" t="s">
        <v>28</v>
      </c>
      <c r="T198" s="77" t="s">
        <v>29773</v>
      </c>
      <c r="U198" s="77" t="s">
        <v>29436</v>
      </c>
      <c r="V198" s="77" t="s">
        <v>29437</v>
      </c>
      <c r="W198" s="77" t="s">
        <v>100</v>
      </c>
      <c r="X198" s="77">
        <v>2572</v>
      </c>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BK198" s="1"/>
    </row>
    <row r="199" spans="1:63" s="78" customFormat="1" ht="12" customHeight="1" x14ac:dyDescent="0.2">
      <c r="A199" s="66" t="s">
        <v>30260</v>
      </c>
      <c r="B199" s="66">
        <v>37</v>
      </c>
      <c r="C199" s="66" t="s">
        <v>20</v>
      </c>
      <c r="D199" s="66" t="s">
        <v>30</v>
      </c>
      <c r="E199" s="66"/>
      <c r="F199" s="69">
        <v>42865</v>
      </c>
      <c r="G199" s="66" t="s">
        <v>30261</v>
      </c>
      <c r="H199" s="66" t="s">
        <v>3720</v>
      </c>
      <c r="I199" s="66" t="s">
        <v>123</v>
      </c>
      <c r="J199" s="66">
        <v>86401</v>
      </c>
      <c r="K199" s="66" t="s">
        <v>5836</v>
      </c>
      <c r="L199" s="66" t="s">
        <v>25210</v>
      </c>
      <c r="M199" s="66" t="s">
        <v>379</v>
      </c>
      <c r="N199" s="66" t="s">
        <v>30262</v>
      </c>
      <c r="O199" s="66" t="s">
        <v>400</v>
      </c>
      <c r="P199" s="66" t="s">
        <v>401</v>
      </c>
      <c r="Q199" s="76" t="s">
        <v>30263</v>
      </c>
      <c r="R199" s="66" t="s">
        <v>555</v>
      </c>
      <c r="S199" s="66" t="s">
        <v>379</v>
      </c>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BK199" s="1"/>
    </row>
    <row r="200" spans="1:63" s="78" customFormat="1" ht="12" customHeight="1" x14ac:dyDescent="0.2">
      <c r="A200" s="66" t="s">
        <v>3252</v>
      </c>
      <c r="B200" s="66" t="s">
        <v>29</v>
      </c>
      <c r="C200" s="66" t="s">
        <v>20</v>
      </c>
      <c r="D200" s="66" t="s">
        <v>30</v>
      </c>
      <c r="E200" s="66"/>
      <c r="F200" s="69">
        <v>42864</v>
      </c>
      <c r="G200" s="66" t="s">
        <v>29865</v>
      </c>
      <c r="H200" s="66" t="s">
        <v>23256</v>
      </c>
      <c r="I200" s="66" t="s">
        <v>209</v>
      </c>
      <c r="J200" s="66">
        <v>80234</v>
      </c>
      <c r="K200" s="66" t="s">
        <v>1924</v>
      </c>
      <c r="L200" s="66" t="s">
        <v>23257</v>
      </c>
      <c r="M200" s="66" t="s">
        <v>27</v>
      </c>
      <c r="N200" s="66" t="s">
        <v>29866</v>
      </c>
      <c r="O200" s="66" t="s">
        <v>400</v>
      </c>
      <c r="P200" s="66" t="s">
        <v>401</v>
      </c>
      <c r="Q200" s="76" t="s">
        <v>29867</v>
      </c>
      <c r="R200" s="66" t="s">
        <v>100</v>
      </c>
      <c r="S200" s="66" t="s">
        <v>28</v>
      </c>
      <c r="T200" s="77" t="s">
        <v>29681</v>
      </c>
      <c r="U200" s="77" t="s">
        <v>29438</v>
      </c>
      <c r="V200" s="77" t="s">
        <v>29439</v>
      </c>
      <c r="W200" s="77" t="s">
        <v>100</v>
      </c>
      <c r="X200" s="77">
        <v>2565</v>
      </c>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row>
    <row r="201" spans="1:63" s="78" customFormat="1" ht="12" customHeight="1" x14ac:dyDescent="0.2">
      <c r="A201" s="66" t="s">
        <v>30001</v>
      </c>
      <c r="B201" s="66">
        <v>34</v>
      </c>
      <c r="C201" s="66" t="s">
        <v>20</v>
      </c>
      <c r="D201" s="66" t="s">
        <v>37</v>
      </c>
      <c r="E201" s="76" t="s">
        <v>30002</v>
      </c>
      <c r="F201" s="69">
        <v>42864</v>
      </c>
      <c r="G201" s="66" t="s">
        <v>30003</v>
      </c>
      <c r="H201" s="66" t="s">
        <v>30004</v>
      </c>
      <c r="I201" s="66" t="s">
        <v>69</v>
      </c>
      <c r="J201" s="66">
        <v>44883</v>
      </c>
      <c r="K201" s="66" t="s">
        <v>1018</v>
      </c>
      <c r="L201" s="66" t="s">
        <v>30005</v>
      </c>
      <c r="M201" s="66" t="s">
        <v>27</v>
      </c>
      <c r="N201" s="66" t="s">
        <v>30006</v>
      </c>
      <c r="O201" s="66" t="s">
        <v>400</v>
      </c>
      <c r="P201" s="66" t="s">
        <v>401</v>
      </c>
      <c r="Q201" s="76" t="s">
        <v>30007</v>
      </c>
      <c r="R201" s="66" t="s">
        <v>100</v>
      </c>
      <c r="S201" s="66" t="s">
        <v>28</v>
      </c>
      <c r="T201" s="77" t="s">
        <v>29681</v>
      </c>
      <c r="U201" s="77" t="s">
        <v>29438</v>
      </c>
      <c r="V201" s="77" t="s">
        <v>29439</v>
      </c>
      <c r="W201" s="77" t="s">
        <v>100</v>
      </c>
      <c r="X201" s="77">
        <v>2569</v>
      </c>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row>
    <row r="202" spans="1:63" s="78" customFormat="1" ht="12" customHeight="1" x14ac:dyDescent="0.2">
      <c r="A202" s="66" t="s">
        <v>30032</v>
      </c>
      <c r="B202" s="66">
        <v>39</v>
      </c>
      <c r="C202" s="66" t="s">
        <v>20</v>
      </c>
      <c r="D202" s="66" t="s">
        <v>37</v>
      </c>
      <c r="E202" s="66"/>
      <c r="F202" s="69">
        <v>42864</v>
      </c>
      <c r="G202" s="66" t="s">
        <v>30033</v>
      </c>
      <c r="H202" s="66" t="s">
        <v>1007</v>
      </c>
      <c r="I202" s="66" t="s">
        <v>32</v>
      </c>
      <c r="J202" s="66">
        <v>29073</v>
      </c>
      <c r="K202" s="66" t="s">
        <v>1007</v>
      </c>
      <c r="L202" s="66" t="s">
        <v>2724</v>
      </c>
      <c r="M202" s="66" t="s">
        <v>27</v>
      </c>
      <c r="N202" s="66" t="s">
        <v>30034</v>
      </c>
      <c r="O202" s="66" t="s">
        <v>400</v>
      </c>
      <c r="P202" s="66" t="s">
        <v>401</v>
      </c>
      <c r="Q202" s="76" t="s">
        <v>30035</v>
      </c>
      <c r="R202" s="66" t="s">
        <v>100</v>
      </c>
      <c r="S202" s="66" t="s">
        <v>18</v>
      </c>
      <c r="T202" s="77" t="s">
        <v>29760</v>
      </c>
      <c r="U202" s="77" t="s">
        <v>29436</v>
      </c>
      <c r="V202" s="77" t="s">
        <v>29440</v>
      </c>
      <c r="W202" s="77" t="s">
        <v>100</v>
      </c>
      <c r="X202" s="77">
        <v>2566</v>
      </c>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BK202" s="1"/>
    </row>
    <row r="203" spans="1:63" s="78" customFormat="1" ht="12" customHeight="1" x14ac:dyDescent="0.2">
      <c r="A203" s="66" t="s">
        <v>29803</v>
      </c>
      <c r="B203" s="66">
        <v>15</v>
      </c>
      <c r="C203" s="66" t="s">
        <v>20</v>
      </c>
      <c r="D203" s="66" t="s">
        <v>48</v>
      </c>
      <c r="E203" s="76" t="s">
        <v>29804</v>
      </c>
      <c r="F203" s="69">
        <v>42864</v>
      </c>
      <c r="G203" s="66" t="s">
        <v>29805</v>
      </c>
      <c r="H203" s="66" t="s">
        <v>12851</v>
      </c>
      <c r="I203" s="66" t="s">
        <v>41</v>
      </c>
      <c r="J203" s="66">
        <v>6604</v>
      </c>
      <c r="K203" s="66" t="s">
        <v>4883</v>
      </c>
      <c r="L203" s="66" t="s">
        <v>12853</v>
      </c>
      <c r="M203" s="66" t="s">
        <v>27</v>
      </c>
      <c r="N203" s="66" t="s">
        <v>29806</v>
      </c>
      <c r="O203" s="66" t="s">
        <v>400</v>
      </c>
      <c r="P203" s="66" t="s">
        <v>401</v>
      </c>
      <c r="Q203" s="76" t="s">
        <v>29807</v>
      </c>
      <c r="R203" s="66" t="s">
        <v>100</v>
      </c>
      <c r="S203" s="66" t="s">
        <v>379</v>
      </c>
      <c r="T203" s="77" t="s">
        <v>29773</v>
      </c>
      <c r="U203" s="77" t="s">
        <v>29438</v>
      </c>
      <c r="V203" s="77" t="s">
        <v>29437</v>
      </c>
      <c r="W203" s="77" t="s">
        <v>100</v>
      </c>
      <c r="X203" s="77">
        <v>2563</v>
      </c>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BK203" s="11"/>
    </row>
    <row r="204" spans="1:63" s="78" customFormat="1" ht="12" customHeight="1" x14ac:dyDescent="0.2">
      <c r="A204" s="66" t="s">
        <v>30106</v>
      </c>
      <c r="B204" s="66">
        <v>25</v>
      </c>
      <c r="C204" s="66" t="s">
        <v>20</v>
      </c>
      <c r="D204" s="66" t="s">
        <v>85</v>
      </c>
      <c r="E204" s="76" t="s">
        <v>30107</v>
      </c>
      <c r="F204" s="69">
        <v>42864</v>
      </c>
      <c r="G204" s="66" t="s">
        <v>30108</v>
      </c>
      <c r="H204" s="66" t="s">
        <v>651</v>
      </c>
      <c r="I204" s="66" t="s">
        <v>62</v>
      </c>
      <c r="J204" s="66">
        <v>32246</v>
      </c>
      <c r="K204" s="66" t="s">
        <v>652</v>
      </c>
      <c r="L204" s="66" t="s">
        <v>653</v>
      </c>
      <c r="M204" s="66" t="s">
        <v>27</v>
      </c>
      <c r="N204" s="66" t="s">
        <v>30109</v>
      </c>
      <c r="O204" s="66" t="s">
        <v>400</v>
      </c>
      <c r="P204" s="66" t="s">
        <v>401</v>
      </c>
      <c r="Q204" s="76" t="s">
        <v>30110</v>
      </c>
      <c r="R204" s="66" t="s">
        <v>555</v>
      </c>
      <c r="S204" s="66" t="s">
        <v>28</v>
      </c>
      <c r="T204" s="77" t="s">
        <v>29681</v>
      </c>
      <c r="U204" s="77" t="s">
        <v>29438</v>
      </c>
      <c r="V204" s="77" t="s">
        <v>29439</v>
      </c>
      <c r="W204" s="77" t="s">
        <v>100</v>
      </c>
      <c r="X204" s="77">
        <v>2564</v>
      </c>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row>
    <row r="205" spans="1:63" s="78" customFormat="1" ht="12" customHeight="1" x14ac:dyDescent="0.2">
      <c r="A205" s="66" t="s">
        <v>29996</v>
      </c>
      <c r="B205" s="66">
        <v>29</v>
      </c>
      <c r="C205" s="66" t="s">
        <v>20</v>
      </c>
      <c r="D205" s="66" t="s">
        <v>37</v>
      </c>
      <c r="E205" s="66"/>
      <c r="F205" s="69">
        <v>42863</v>
      </c>
      <c r="G205" s="66" t="s">
        <v>29997</v>
      </c>
      <c r="H205" s="66" t="s">
        <v>29998</v>
      </c>
      <c r="I205" s="66" t="s">
        <v>45</v>
      </c>
      <c r="J205" s="66">
        <v>91040</v>
      </c>
      <c r="K205" s="66" t="s">
        <v>98</v>
      </c>
      <c r="L205" s="66" t="s">
        <v>99</v>
      </c>
      <c r="M205" s="66" t="s">
        <v>27</v>
      </c>
      <c r="N205" s="66" t="s">
        <v>29999</v>
      </c>
      <c r="O205" s="66" t="s">
        <v>400</v>
      </c>
      <c r="P205" s="66" t="s">
        <v>401</v>
      </c>
      <c r="Q205" s="76" t="s">
        <v>30000</v>
      </c>
      <c r="R205" s="66" t="s">
        <v>100</v>
      </c>
      <c r="S205" s="66" t="s">
        <v>28</v>
      </c>
      <c r="T205" s="77" t="s">
        <v>29681</v>
      </c>
      <c r="U205" s="77" t="s">
        <v>29438</v>
      </c>
      <c r="V205" s="77" t="s">
        <v>29439</v>
      </c>
      <c r="W205" s="77" t="s">
        <v>100</v>
      </c>
      <c r="X205" s="77">
        <v>2568</v>
      </c>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row>
    <row r="206" spans="1:63" s="78" customFormat="1" ht="12" customHeight="1" x14ac:dyDescent="0.2">
      <c r="A206" s="66" t="s">
        <v>30151</v>
      </c>
      <c r="B206" s="66">
        <v>32</v>
      </c>
      <c r="C206" s="66" t="s">
        <v>20</v>
      </c>
      <c r="D206" s="66" t="s">
        <v>85</v>
      </c>
      <c r="E206" s="66"/>
      <c r="F206" s="69">
        <v>42863</v>
      </c>
      <c r="G206" s="66" t="s">
        <v>30152</v>
      </c>
      <c r="H206" s="66" t="s">
        <v>30153</v>
      </c>
      <c r="I206" s="66" t="s">
        <v>45</v>
      </c>
      <c r="J206" s="66">
        <v>95670</v>
      </c>
      <c r="K206" s="66" t="s">
        <v>1642</v>
      </c>
      <c r="L206" s="66" t="s">
        <v>24329</v>
      </c>
      <c r="M206" s="66" t="s">
        <v>27</v>
      </c>
      <c r="N206" s="66" t="s">
        <v>30154</v>
      </c>
      <c r="O206" s="66" t="s">
        <v>400</v>
      </c>
      <c r="P206" s="66" t="s">
        <v>401</v>
      </c>
      <c r="Q206" s="76" t="s">
        <v>30155</v>
      </c>
      <c r="R206" s="66" t="s">
        <v>555</v>
      </c>
      <c r="S206" s="66" t="s">
        <v>35</v>
      </c>
      <c r="T206" s="77" t="s">
        <v>29456</v>
      </c>
      <c r="U206" s="77" t="s">
        <v>29438</v>
      </c>
      <c r="V206" s="77" t="s">
        <v>29440</v>
      </c>
      <c r="W206" s="77" t="s">
        <v>100</v>
      </c>
      <c r="X206" s="77">
        <v>2567</v>
      </c>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BK206" s="70"/>
    </row>
    <row r="207" spans="1:63" s="78" customFormat="1" ht="12" customHeight="1" x14ac:dyDescent="0.2">
      <c r="A207" s="66" t="s">
        <v>29740</v>
      </c>
      <c r="B207" s="66">
        <v>24</v>
      </c>
      <c r="C207" s="66" t="s">
        <v>20</v>
      </c>
      <c r="D207" s="66" t="s">
        <v>85</v>
      </c>
      <c r="E207" s="76" t="s">
        <v>29741</v>
      </c>
      <c r="F207" s="69">
        <v>42862</v>
      </c>
      <c r="G207" s="66" t="s">
        <v>29742</v>
      </c>
      <c r="H207" s="66" t="s">
        <v>1313</v>
      </c>
      <c r="I207" s="66" t="s">
        <v>73</v>
      </c>
      <c r="J207" s="66">
        <v>78701</v>
      </c>
      <c r="K207" s="66" t="s">
        <v>1314</v>
      </c>
      <c r="L207" s="66" t="s">
        <v>1315</v>
      </c>
      <c r="M207" s="66" t="s">
        <v>27</v>
      </c>
      <c r="N207" s="66" t="s">
        <v>29743</v>
      </c>
      <c r="O207" s="66" t="s">
        <v>400</v>
      </c>
      <c r="P207" s="66" t="s">
        <v>401</v>
      </c>
      <c r="Q207" s="76" t="s">
        <v>29744</v>
      </c>
      <c r="R207" s="66" t="s">
        <v>100</v>
      </c>
      <c r="S207" s="66" t="s">
        <v>28</v>
      </c>
      <c r="T207" s="77" t="s">
        <v>29681</v>
      </c>
      <c r="U207" s="77" t="s">
        <v>29438</v>
      </c>
      <c r="V207" s="77" t="s">
        <v>29440</v>
      </c>
      <c r="W207" s="77" t="s">
        <v>100</v>
      </c>
      <c r="X207" s="77">
        <v>2562</v>
      </c>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row>
    <row r="208" spans="1:63" s="78" customFormat="1" ht="12" customHeight="1" x14ac:dyDescent="0.2">
      <c r="A208" s="66" t="s">
        <v>29781</v>
      </c>
      <c r="B208" s="66">
        <v>26</v>
      </c>
      <c r="C208" s="66" t="s">
        <v>20</v>
      </c>
      <c r="D208" s="66" t="s">
        <v>48</v>
      </c>
      <c r="E208" s="76" t="s">
        <v>29782</v>
      </c>
      <c r="F208" s="69">
        <v>42862</v>
      </c>
      <c r="G208" s="66" t="s">
        <v>29783</v>
      </c>
      <c r="H208" s="66" t="s">
        <v>13265</v>
      </c>
      <c r="I208" s="66" t="s">
        <v>423</v>
      </c>
      <c r="J208" s="66">
        <v>14207</v>
      </c>
      <c r="K208" s="66" t="s">
        <v>8765</v>
      </c>
      <c r="L208" s="66" t="s">
        <v>21222</v>
      </c>
      <c r="M208" s="66" t="s">
        <v>27</v>
      </c>
      <c r="N208" s="66" t="s">
        <v>29784</v>
      </c>
      <c r="O208" s="66" t="s">
        <v>400</v>
      </c>
      <c r="P208" s="66" t="s">
        <v>401</v>
      </c>
      <c r="Q208" s="76" t="s">
        <v>29785</v>
      </c>
      <c r="R208" s="66" t="s">
        <v>100</v>
      </c>
      <c r="S208" s="66" t="s">
        <v>28</v>
      </c>
      <c r="T208" s="77" t="s">
        <v>29681</v>
      </c>
      <c r="U208" s="77" t="s">
        <v>29438</v>
      </c>
      <c r="V208" s="77" t="s">
        <v>29440</v>
      </c>
      <c r="W208" s="77" t="s">
        <v>100</v>
      </c>
      <c r="X208" s="77">
        <v>2559</v>
      </c>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row>
    <row r="209" spans="1:63" s="78" customFormat="1" ht="12" customHeight="1" x14ac:dyDescent="0.2">
      <c r="A209" s="66" t="s">
        <v>29767</v>
      </c>
      <c r="B209" s="66">
        <v>27</v>
      </c>
      <c r="C209" s="66" t="s">
        <v>20</v>
      </c>
      <c r="D209" s="66" t="s">
        <v>85</v>
      </c>
      <c r="E209" s="76" t="s">
        <v>29768</v>
      </c>
      <c r="F209" s="69">
        <v>42862</v>
      </c>
      <c r="G209" s="66" t="s">
        <v>29769</v>
      </c>
      <c r="H209" s="66" t="s">
        <v>12464</v>
      </c>
      <c r="I209" s="66" t="s">
        <v>94</v>
      </c>
      <c r="J209" s="66">
        <v>36867</v>
      </c>
      <c r="K209" s="66" t="s">
        <v>12466</v>
      </c>
      <c r="L209" s="66" t="s">
        <v>12467</v>
      </c>
      <c r="M209" s="66" t="s">
        <v>27</v>
      </c>
      <c r="N209" s="66" t="s">
        <v>29770</v>
      </c>
      <c r="O209" s="66" t="s">
        <v>400</v>
      </c>
      <c r="P209" s="66" t="s">
        <v>401</v>
      </c>
      <c r="Q209" s="76" t="s">
        <v>29771</v>
      </c>
      <c r="R209" s="66" t="s">
        <v>100</v>
      </c>
      <c r="S209" s="66" t="s">
        <v>35</v>
      </c>
      <c r="T209" s="77" t="s">
        <v>29441</v>
      </c>
      <c r="U209" s="77" t="s">
        <v>29441</v>
      </c>
      <c r="V209" s="77" t="s">
        <v>21212</v>
      </c>
      <c r="W209" s="77" t="s">
        <v>100</v>
      </c>
      <c r="X209" s="77">
        <v>2558</v>
      </c>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BK209" s="70"/>
    </row>
    <row r="210" spans="1:63" s="78" customFormat="1" ht="12" customHeight="1" x14ac:dyDescent="0.2">
      <c r="A210" s="66" t="s">
        <v>30328</v>
      </c>
      <c r="B210" s="66">
        <v>25</v>
      </c>
      <c r="C210" s="66" t="s">
        <v>20</v>
      </c>
      <c r="D210" s="66" t="s">
        <v>37</v>
      </c>
      <c r="E210" s="76" t="s">
        <v>30329</v>
      </c>
      <c r="F210" s="69">
        <v>42861</v>
      </c>
      <c r="G210" s="66" t="s">
        <v>30330</v>
      </c>
      <c r="H210" s="66" t="s">
        <v>30331</v>
      </c>
      <c r="I210" s="66" t="s">
        <v>62</v>
      </c>
      <c r="J210" s="66">
        <v>34689</v>
      </c>
      <c r="K210" s="66" t="s">
        <v>2309</v>
      </c>
      <c r="L210" s="66" t="s">
        <v>30332</v>
      </c>
      <c r="M210" s="66" t="s">
        <v>27</v>
      </c>
      <c r="N210" s="66" t="s">
        <v>30333</v>
      </c>
      <c r="O210" s="66" t="s">
        <v>400</v>
      </c>
      <c r="P210" s="66" t="s">
        <v>401</v>
      </c>
      <c r="Q210" s="76" t="s">
        <v>30334</v>
      </c>
      <c r="R210" s="66" t="s">
        <v>100</v>
      </c>
      <c r="S210" s="66" t="s">
        <v>28</v>
      </c>
      <c r="T210" s="77" t="s">
        <v>29674</v>
      </c>
      <c r="U210" s="77"/>
      <c r="V210" s="77"/>
      <c r="W210" s="77"/>
      <c r="X210" s="77"/>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row>
    <row r="211" spans="1:63" s="78" customFormat="1" ht="12" customHeight="1" x14ac:dyDescent="0.2">
      <c r="A211" s="66" t="s">
        <v>29937</v>
      </c>
      <c r="B211" s="66">
        <v>62</v>
      </c>
      <c r="C211" s="66" t="s">
        <v>20</v>
      </c>
      <c r="D211" s="66" t="s">
        <v>37</v>
      </c>
      <c r="E211" s="76" t="s">
        <v>29938</v>
      </c>
      <c r="F211" s="69">
        <v>42861</v>
      </c>
      <c r="G211" s="66" t="s">
        <v>29939</v>
      </c>
      <c r="H211" s="66" t="s">
        <v>655</v>
      </c>
      <c r="I211" s="66" t="s">
        <v>269</v>
      </c>
      <c r="J211" s="66">
        <v>89156</v>
      </c>
      <c r="K211" s="66" t="s">
        <v>570</v>
      </c>
      <c r="L211" s="66" t="s">
        <v>571</v>
      </c>
      <c r="M211" s="66" t="s">
        <v>27</v>
      </c>
      <c r="N211" s="66" t="s">
        <v>29940</v>
      </c>
      <c r="O211" s="66" t="s">
        <v>400</v>
      </c>
      <c r="P211" s="66" t="s">
        <v>401</v>
      </c>
      <c r="Q211" s="76" t="s">
        <v>29941</v>
      </c>
      <c r="R211" s="66" t="s">
        <v>100</v>
      </c>
      <c r="S211" s="66" t="s">
        <v>28</v>
      </c>
      <c r="T211" s="77" t="s">
        <v>29942</v>
      </c>
      <c r="U211" s="77" t="s">
        <v>29436</v>
      </c>
      <c r="V211" s="77" t="s">
        <v>29439</v>
      </c>
      <c r="W211" s="77" t="s">
        <v>100</v>
      </c>
      <c r="X211" s="77">
        <v>2560</v>
      </c>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row>
    <row r="212" spans="1:63" s="78" customFormat="1" ht="12" customHeight="1" x14ac:dyDescent="0.2">
      <c r="A212" s="66" t="s">
        <v>30254</v>
      </c>
      <c r="B212" s="66">
        <v>36</v>
      </c>
      <c r="C212" s="66" t="s">
        <v>114</v>
      </c>
      <c r="D212" s="66" t="s">
        <v>30</v>
      </c>
      <c r="E212" s="66"/>
      <c r="F212" s="69">
        <v>42861</v>
      </c>
      <c r="G212" s="66" t="s">
        <v>30255</v>
      </c>
      <c r="H212" s="66" t="s">
        <v>874</v>
      </c>
      <c r="I212" s="66" t="s">
        <v>244</v>
      </c>
      <c r="J212" s="66">
        <v>23231</v>
      </c>
      <c r="K212" s="66" t="s">
        <v>30256</v>
      </c>
      <c r="L212" s="66" t="s">
        <v>30257</v>
      </c>
      <c r="M212" s="66" t="s">
        <v>379</v>
      </c>
      <c r="N212" s="66" t="s">
        <v>30258</v>
      </c>
      <c r="O212" s="66" t="s">
        <v>400</v>
      </c>
      <c r="P212" s="66" t="s">
        <v>401</v>
      </c>
      <c r="Q212" s="76" t="s">
        <v>30259</v>
      </c>
      <c r="R212" s="66" t="s">
        <v>100</v>
      </c>
      <c r="S212" s="66" t="s">
        <v>18</v>
      </c>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BK212" s="1"/>
    </row>
    <row r="213" spans="1:63" s="78" customFormat="1" ht="12" customHeight="1" x14ac:dyDescent="0.2">
      <c r="A213" s="66" t="s">
        <v>30304</v>
      </c>
      <c r="B213" s="66">
        <v>30</v>
      </c>
      <c r="C213" s="66" t="s">
        <v>20</v>
      </c>
      <c r="D213" s="66" t="s">
        <v>37</v>
      </c>
      <c r="E213" s="76" t="s">
        <v>30305</v>
      </c>
      <c r="F213" s="69">
        <v>42861</v>
      </c>
      <c r="G213" s="66" t="s">
        <v>30306</v>
      </c>
      <c r="H213" s="66" t="s">
        <v>30307</v>
      </c>
      <c r="I213" s="66" t="s">
        <v>173</v>
      </c>
      <c r="J213" s="66">
        <v>30707</v>
      </c>
      <c r="K213" s="66" t="s">
        <v>174</v>
      </c>
      <c r="L213" s="66" t="s">
        <v>175</v>
      </c>
      <c r="M213" s="66" t="s">
        <v>27</v>
      </c>
      <c r="N213" s="66" t="s">
        <v>30308</v>
      </c>
      <c r="O213" s="66" t="s">
        <v>21481</v>
      </c>
      <c r="P213" s="66" t="s">
        <v>1159</v>
      </c>
      <c r="Q213" s="76" t="s">
        <v>30309</v>
      </c>
      <c r="R213" s="66" t="s">
        <v>100</v>
      </c>
      <c r="S213" s="66" t="s">
        <v>18</v>
      </c>
      <c r="T213" s="77"/>
      <c r="U213" s="77"/>
      <c r="V213" s="77"/>
      <c r="W213" s="77"/>
      <c r="X213" s="77"/>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BK213" s="1"/>
    </row>
    <row r="214" spans="1:63" s="78" customFormat="1" ht="12" customHeight="1" x14ac:dyDescent="0.2">
      <c r="A214" s="66" t="s">
        <v>30362</v>
      </c>
      <c r="B214" s="66">
        <v>37</v>
      </c>
      <c r="C214" s="66" t="s">
        <v>20</v>
      </c>
      <c r="D214" s="66" t="s">
        <v>37</v>
      </c>
      <c r="E214" s="76" t="s">
        <v>30363</v>
      </c>
      <c r="F214" s="69">
        <v>42861</v>
      </c>
      <c r="G214" s="66" t="s">
        <v>30255</v>
      </c>
      <c r="H214" s="66" t="s">
        <v>874</v>
      </c>
      <c r="I214" s="66" t="s">
        <v>244</v>
      </c>
      <c r="J214" s="66">
        <v>23231</v>
      </c>
      <c r="K214" s="66" t="s">
        <v>30256</v>
      </c>
      <c r="L214" s="66" t="s">
        <v>30257</v>
      </c>
      <c r="M214" s="66" t="s">
        <v>379</v>
      </c>
      <c r="N214" s="66" t="s">
        <v>30258</v>
      </c>
      <c r="O214" s="66" t="s">
        <v>400</v>
      </c>
      <c r="P214" s="66" t="s">
        <v>401</v>
      </c>
      <c r="Q214" s="76" t="s">
        <v>30259</v>
      </c>
      <c r="R214" s="66" t="s">
        <v>100</v>
      </c>
      <c r="S214" s="66" t="s">
        <v>18</v>
      </c>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BK214" s="1"/>
    </row>
    <row r="215" spans="1:63" s="78" customFormat="1" ht="12" customHeight="1" x14ac:dyDescent="0.2">
      <c r="A215" s="66" t="s">
        <v>30167</v>
      </c>
      <c r="B215" s="66">
        <v>15</v>
      </c>
      <c r="C215" s="66" t="s">
        <v>20</v>
      </c>
      <c r="D215" s="66" t="s">
        <v>37</v>
      </c>
      <c r="E215" s="66"/>
      <c r="F215" s="69">
        <v>42861</v>
      </c>
      <c r="G215" s="66" t="s">
        <v>30168</v>
      </c>
      <c r="H215" s="66" t="s">
        <v>156</v>
      </c>
      <c r="I215" s="66" t="s">
        <v>45</v>
      </c>
      <c r="J215" s="66">
        <v>92130</v>
      </c>
      <c r="K215" s="66" t="s">
        <v>156</v>
      </c>
      <c r="L215" s="66" t="s">
        <v>157</v>
      </c>
      <c r="M215" s="66" t="s">
        <v>27</v>
      </c>
      <c r="N215" s="66" t="s">
        <v>30169</v>
      </c>
      <c r="O215" s="66" t="s">
        <v>400</v>
      </c>
      <c r="P215" s="66" t="s">
        <v>401</v>
      </c>
      <c r="Q215" s="76" t="s">
        <v>30170</v>
      </c>
      <c r="R215" s="66" t="s">
        <v>555</v>
      </c>
      <c r="S215" s="66" t="s">
        <v>18</v>
      </c>
      <c r="T215" s="77" t="s">
        <v>30116</v>
      </c>
      <c r="U215" s="77" t="s">
        <v>29438</v>
      </c>
      <c r="V215" s="77" t="s">
        <v>29439</v>
      </c>
      <c r="W215" s="77" t="s">
        <v>555</v>
      </c>
      <c r="X215" s="77">
        <v>2557</v>
      </c>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BK215" s="1"/>
    </row>
    <row r="216" spans="1:63" s="78" customFormat="1" ht="12" customHeight="1" x14ac:dyDescent="0.2">
      <c r="A216" s="66" t="s">
        <v>30224</v>
      </c>
      <c r="B216" s="66">
        <v>25</v>
      </c>
      <c r="C216" s="66" t="s">
        <v>20</v>
      </c>
      <c r="D216" s="66" t="s">
        <v>30</v>
      </c>
      <c r="E216" s="66"/>
      <c r="F216" s="69">
        <v>42860</v>
      </c>
      <c r="G216" s="66" t="s">
        <v>30225</v>
      </c>
      <c r="H216" s="66" t="s">
        <v>22477</v>
      </c>
      <c r="I216" s="66" t="s">
        <v>46</v>
      </c>
      <c r="J216" s="66">
        <v>2184</v>
      </c>
      <c r="K216" s="66" t="s">
        <v>3317</v>
      </c>
      <c r="L216" s="66" t="s">
        <v>22479</v>
      </c>
      <c r="M216" s="66" t="s">
        <v>27</v>
      </c>
      <c r="N216" s="66" t="s">
        <v>30226</v>
      </c>
      <c r="O216" s="66" t="s">
        <v>400</v>
      </c>
      <c r="P216" s="66" t="s">
        <v>401</v>
      </c>
      <c r="Q216" s="76" t="s">
        <v>30227</v>
      </c>
      <c r="R216" s="66" t="s">
        <v>100</v>
      </c>
      <c r="S216" s="66" t="s">
        <v>28</v>
      </c>
      <c r="T216" s="77" t="s">
        <v>29681</v>
      </c>
      <c r="U216" s="77"/>
      <c r="V216" s="77"/>
      <c r="W216" s="77"/>
      <c r="X216" s="77"/>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row>
    <row r="217" spans="1:63" s="78" customFormat="1" ht="12" customHeight="1" x14ac:dyDescent="0.2">
      <c r="A217" s="66" t="s">
        <v>30139</v>
      </c>
      <c r="B217" s="66">
        <v>54</v>
      </c>
      <c r="C217" s="66" t="s">
        <v>114</v>
      </c>
      <c r="D217" s="66" t="s">
        <v>30</v>
      </c>
      <c r="E217" s="66"/>
      <c r="F217" s="69">
        <v>42859</v>
      </c>
      <c r="G217" s="66" t="s">
        <v>30140</v>
      </c>
      <c r="H217" s="66" t="s">
        <v>4559</v>
      </c>
      <c r="I217" s="66" t="s">
        <v>73</v>
      </c>
      <c r="J217" s="66">
        <v>77449</v>
      </c>
      <c r="K217" s="66" t="s">
        <v>558</v>
      </c>
      <c r="L217" s="66" t="s">
        <v>30141</v>
      </c>
      <c r="M217" s="66" t="s">
        <v>27</v>
      </c>
      <c r="N217" s="66" t="s">
        <v>30142</v>
      </c>
      <c r="O217" s="66" t="s">
        <v>400</v>
      </c>
      <c r="P217" s="66" t="s">
        <v>401</v>
      </c>
      <c r="Q217" s="76" t="s">
        <v>30143</v>
      </c>
      <c r="R217" s="66" t="s">
        <v>555</v>
      </c>
      <c r="S217" s="66" t="s">
        <v>28</v>
      </c>
      <c r="T217" s="77" t="s">
        <v>29681</v>
      </c>
      <c r="U217" s="77" t="s">
        <v>29436</v>
      </c>
      <c r="V217" s="77" t="s">
        <v>29439</v>
      </c>
      <c r="W217" s="77" t="s">
        <v>100</v>
      </c>
      <c r="X217" s="77">
        <v>2561</v>
      </c>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row>
    <row r="218" spans="1:63" s="78" customFormat="1" ht="12" customHeight="1" x14ac:dyDescent="0.2">
      <c r="A218" s="66" t="s">
        <v>30268</v>
      </c>
      <c r="B218" s="66">
        <v>27</v>
      </c>
      <c r="C218" s="66" t="s">
        <v>20</v>
      </c>
      <c r="D218" s="66" t="s">
        <v>48</v>
      </c>
      <c r="E218" s="66"/>
      <c r="F218" s="69">
        <v>42859</v>
      </c>
      <c r="G218" s="66" t="s">
        <v>30269</v>
      </c>
      <c r="H218" s="66" t="s">
        <v>967</v>
      </c>
      <c r="I218" s="66" t="s">
        <v>45</v>
      </c>
      <c r="J218" s="66">
        <v>90602</v>
      </c>
      <c r="K218" s="66" t="s">
        <v>98</v>
      </c>
      <c r="L218" s="66" t="s">
        <v>26965</v>
      </c>
      <c r="M218" s="66" t="s">
        <v>30988</v>
      </c>
      <c r="N218" s="66" t="s">
        <v>30270</v>
      </c>
      <c r="O218" s="66" t="s">
        <v>400</v>
      </c>
      <c r="P218" s="66" t="s">
        <v>401</v>
      </c>
      <c r="Q218" s="76" t="s">
        <v>30271</v>
      </c>
      <c r="R218" s="66" t="s">
        <v>555</v>
      </c>
      <c r="S218" s="66" t="s">
        <v>18</v>
      </c>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BK218" s="1"/>
    </row>
    <row r="219" spans="1:63" s="78" customFormat="1" ht="12" customHeight="1" x14ac:dyDescent="0.2">
      <c r="A219" s="66" t="s">
        <v>29734</v>
      </c>
      <c r="B219" s="66">
        <v>18</v>
      </c>
      <c r="C219" s="66" t="s">
        <v>20</v>
      </c>
      <c r="D219" s="66" t="s">
        <v>85</v>
      </c>
      <c r="E219" s="76" t="s">
        <v>29735</v>
      </c>
      <c r="F219" s="69">
        <v>42858</v>
      </c>
      <c r="G219" s="66" t="s">
        <v>29736</v>
      </c>
      <c r="H219" s="66" t="s">
        <v>24253</v>
      </c>
      <c r="I219" s="66" t="s">
        <v>57</v>
      </c>
      <c r="J219" s="66">
        <v>49507</v>
      </c>
      <c r="K219" s="66" t="s">
        <v>2534</v>
      </c>
      <c r="L219" s="66" t="s">
        <v>29737</v>
      </c>
      <c r="M219" s="66" t="s">
        <v>27</v>
      </c>
      <c r="N219" s="66" t="s">
        <v>29738</v>
      </c>
      <c r="O219" s="66" t="s">
        <v>400</v>
      </c>
      <c r="P219" s="66" t="s">
        <v>401</v>
      </c>
      <c r="Q219" s="76" t="s">
        <v>29739</v>
      </c>
      <c r="R219" s="66" t="s">
        <v>100</v>
      </c>
      <c r="S219" s="66" t="s">
        <v>28</v>
      </c>
      <c r="T219" s="77" t="s">
        <v>29681</v>
      </c>
      <c r="U219" s="77" t="s">
        <v>29438</v>
      </c>
      <c r="V219" s="77" t="s">
        <v>29439</v>
      </c>
      <c r="W219" s="77" t="s">
        <v>100</v>
      </c>
      <c r="X219" s="77">
        <v>2554</v>
      </c>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row>
    <row r="220" spans="1:63" s="78" customFormat="1" ht="12" customHeight="1" x14ac:dyDescent="0.2">
      <c r="A220" s="66" t="s">
        <v>30022</v>
      </c>
      <c r="B220" s="66">
        <v>26</v>
      </c>
      <c r="C220" s="66" t="s">
        <v>20</v>
      </c>
      <c r="D220" s="66" t="s">
        <v>37</v>
      </c>
      <c r="E220" s="76" t="s">
        <v>30023</v>
      </c>
      <c r="F220" s="69">
        <v>42858</v>
      </c>
      <c r="G220" s="66" t="s">
        <v>30024</v>
      </c>
      <c r="H220" s="66" t="s">
        <v>945</v>
      </c>
      <c r="I220" s="66" t="s">
        <v>45</v>
      </c>
      <c r="J220" s="66">
        <v>94102</v>
      </c>
      <c r="K220" s="66" t="s">
        <v>945</v>
      </c>
      <c r="L220" s="66" t="s">
        <v>946</v>
      </c>
      <c r="M220" s="66" t="s">
        <v>27</v>
      </c>
      <c r="N220" s="66" t="s">
        <v>30025</v>
      </c>
      <c r="O220" s="66" t="s">
        <v>400</v>
      </c>
      <c r="P220" s="66" t="s">
        <v>401</v>
      </c>
      <c r="Q220" s="76" t="s">
        <v>30026</v>
      </c>
      <c r="R220" s="66" t="s">
        <v>100</v>
      </c>
      <c r="S220" s="66" t="s">
        <v>28</v>
      </c>
      <c r="T220" s="77" t="s">
        <v>29674</v>
      </c>
      <c r="U220" s="77" t="s">
        <v>29438</v>
      </c>
      <c r="V220" s="77" t="s">
        <v>29439</v>
      </c>
      <c r="W220" s="77" t="s">
        <v>555</v>
      </c>
      <c r="X220" s="77">
        <v>2556</v>
      </c>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row>
    <row r="221" spans="1:63" s="78" customFormat="1" ht="12" customHeight="1" x14ac:dyDescent="0.2">
      <c r="A221" s="66" t="s">
        <v>29990</v>
      </c>
      <c r="B221" s="66">
        <v>67</v>
      </c>
      <c r="C221" s="66" t="s">
        <v>20</v>
      </c>
      <c r="D221" s="66" t="s">
        <v>37</v>
      </c>
      <c r="E221" s="66"/>
      <c r="F221" s="69">
        <v>42858</v>
      </c>
      <c r="G221" s="66" t="s">
        <v>29991</v>
      </c>
      <c r="H221" s="66" t="s">
        <v>29992</v>
      </c>
      <c r="I221" s="66" t="s">
        <v>173</v>
      </c>
      <c r="J221" s="66">
        <v>30269</v>
      </c>
      <c r="K221" s="66" t="s">
        <v>1516</v>
      </c>
      <c r="L221" s="66" t="s">
        <v>29993</v>
      </c>
      <c r="M221" s="66" t="s">
        <v>27</v>
      </c>
      <c r="N221" s="66" t="s">
        <v>29994</v>
      </c>
      <c r="O221" s="66" t="s">
        <v>400</v>
      </c>
      <c r="P221" s="66" t="s">
        <v>401</v>
      </c>
      <c r="Q221" s="76" t="s">
        <v>29995</v>
      </c>
      <c r="R221" s="66" t="s">
        <v>100</v>
      </c>
      <c r="S221" s="66" t="s">
        <v>28</v>
      </c>
      <c r="T221" s="77" t="s">
        <v>29681</v>
      </c>
      <c r="U221" s="77" t="s">
        <v>29438</v>
      </c>
      <c r="V221" s="77" t="s">
        <v>29439</v>
      </c>
      <c r="W221" s="77" t="s">
        <v>100</v>
      </c>
      <c r="X221" s="77">
        <v>2555</v>
      </c>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row>
    <row r="222" spans="1:63" s="78" customFormat="1" ht="12" customHeight="1" x14ac:dyDescent="0.2">
      <c r="A222" s="66" t="s">
        <v>30041</v>
      </c>
      <c r="B222" s="66">
        <v>24</v>
      </c>
      <c r="C222" s="66" t="s">
        <v>20</v>
      </c>
      <c r="D222" s="66" t="s">
        <v>37</v>
      </c>
      <c r="E222" s="76" t="s">
        <v>30042</v>
      </c>
      <c r="F222" s="69">
        <v>42858</v>
      </c>
      <c r="G222" s="66" t="s">
        <v>30043</v>
      </c>
      <c r="H222" s="66" t="s">
        <v>606</v>
      </c>
      <c r="I222" s="66" t="s">
        <v>45</v>
      </c>
      <c r="J222" s="66">
        <v>95125</v>
      </c>
      <c r="K222" s="66" t="s">
        <v>607</v>
      </c>
      <c r="L222" s="66" t="s">
        <v>727</v>
      </c>
      <c r="M222" s="66" t="s">
        <v>27</v>
      </c>
      <c r="N222" s="66" t="s">
        <v>30044</v>
      </c>
      <c r="O222" s="66" t="s">
        <v>400</v>
      </c>
      <c r="P222" s="66" t="s">
        <v>401</v>
      </c>
      <c r="Q222" s="76" t="s">
        <v>30045</v>
      </c>
      <c r="R222" s="66" t="s">
        <v>100</v>
      </c>
      <c r="S222" s="66" t="s">
        <v>35</v>
      </c>
      <c r="T222" s="77" t="s">
        <v>29441</v>
      </c>
      <c r="U222" s="77" t="s">
        <v>29438</v>
      </c>
      <c r="V222" s="77" t="s">
        <v>29439</v>
      </c>
      <c r="W222" s="77" t="s">
        <v>100</v>
      </c>
      <c r="X222" s="77">
        <v>2553</v>
      </c>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BK222" s="70"/>
    </row>
    <row r="223" spans="1:63" s="78" customFormat="1" ht="12" customHeight="1" x14ac:dyDescent="0.2">
      <c r="A223" s="66" t="s">
        <v>30147</v>
      </c>
      <c r="B223" s="66">
        <v>28</v>
      </c>
      <c r="C223" s="66" t="s">
        <v>20</v>
      </c>
      <c r="D223" s="66" t="s">
        <v>30</v>
      </c>
      <c r="E223" s="66"/>
      <c r="F223" s="69">
        <v>42858</v>
      </c>
      <c r="G223" s="66" t="s">
        <v>30148</v>
      </c>
      <c r="H223" s="66" t="s">
        <v>606</v>
      </c>
      <c r="I223" s="66" t="s">
        <v>45</v>
      </c>
      <c r="J223" s="66">
        <v>95127</v>
      </c>
      <c r="K223" s="66" t="s">
        <v>607</v>
      </c>
      <c r="L223" s="66" t="s">
        <v>727</v>
      </c>
      <c r="M223" s="66" t="s">
        <v>27</v>
      </c>
      <c r="N223" s="66" t="s">
        <v>30149</v>
      </c>
      <c r="O223" s="66" t="s">
        <v>400</v>
      </c>
      <c r="P223" s="66" t="s">
        <v>401</v>
      </c>
      <c r="Q223" s="76" t="s">
        <v>30150</v>
      </c>
      <c r="R223" s="66" t="s">
        <v>555</v>
      </c>
      <c r="S223" s="66" t="s">
        <v>28</v>
      </c>
      <c r="T223" s="77" t="s">
        <v>29674</v>
      </c>
      <c r="U223" s="77" t="s">
        <v>29438</v>
      </c>
      <c r="V223" s="77" t="s">
        <v>29439</v>
      </c>
      <c r="W223" s="77" t="s">
        <v>100</v>
      </c>
      <c r="X223" s="77">
        <v>2552</v>
      </c>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row>
    <row r="224" spans="1:63" s="78" customFormat="1" ht="12" customHeight="1" x14ac:dyDescent="0.2">
      <c r="A224" s="66" t="s">
        <v>30078</v>
      </c>
      <c r="B224" s="66">
        <v>48</v>
      </c>
      <c r="C224" s="66" t="s">
        <v>20</v>
      </c>
      <c r="D224" s="66" t="s">
        <v>85</v>
      </c>
      <c r="E224" s="76" t="s">
        <v>30079</v>
      </c>
      <c r="F224" s="69">
        <v>42857</v>
      </c>
      <c r="G224" s="66" t="s">
        <v>30080</v>
      </c>
      <c r="H224" s="66" t="s">
        <v>6133</v>
      </c>
      <c r="I224" s="66" t="s">
        <v>73</v>
      </c>
      <c r="J224" s="66">
        <v>75060</v>
      </c>
      <c r="K224" s="66" t="s">
        <v>285</v>
      </c>
      <c r="L224" s="66" t="s">
        <v>6135</v>
      </c>
      <c r="M224" s="77" t="s">
        <v>5411</v>
      </c>
      <c r="N224" s="66" t="s">
        <v>30081</v>
      </c>
      <c r="O224" s="66" t="s">
        <v>400</v>
      </c>
      <c r="P224" s="66" t="s">
        <v>401</v>
      </c>
      <c r="Q224" s="76" t="s">
        <v>30082</v>
      </c>
      <c r="R224" s="66" t="s">
        <v>100</v>
      </c>
      <c r="S224" s="66" t="s">
        <v>28</v>
      </c>
      <c r="T224" s="77" t="s">
        <v>29674</v>
      </c>
      <c r="U224" s="77" t="s">
        <v>29438</v>
      </c>
      <c r="V224" s="77" t="s">
        <v>29439</v>
      </c>
      <c r="W224" s="77" t="s">
        <v>100</v>
      </c>
      <c r="X224" s="77">
        <v>2549</v>
      </c>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BK224" s="1"/>
    </row>
    <row r="225" spans="1:63" s="78" customFormat="1" ht="12" customHeight="1" x14ac:dyDescent="0.2">
      <c r="A225" s="66" t="s">
        <v>29985</v>
      </c>
      <c r="B225" s="66">
        <v>25</v>
      </c>
      <c r="C225" s="66" t="s">
        <v>20</v>
      </c>
      <c r="D225" s="66" t="s">
        <v>37</v>
      </c>
      <c r="E225" s="76" t="s">
        <v>29986</v>
      </c>
      <c r="F225" s="69">
        <v>42856</v>
      </c>
      <c r="G225" s="66" t="s">
        <v>29987</v>
      </c>
      <c r="H225" s="66" t="s">
        <v>10666</v>
      </c>
      <c r="I225" s="66" t="s">
        <v>73</v>
      </c>
      <c r="J225" s="66">
        <v>77303</v>
      </c>
      <c r="K225" s="66" t="s">
        <v>1056</v>
      </c>
      <c r="L225" s="66" t="s">
        <v>15017</v>
      </c>
      <c r="M225" s="66" t="s">
        <v>27</v>
      </c>
      <c r="N225" s="66" t="s">
        <v>29988</v>
      </c>
      <c r="O225" s="66" t="s">
        <v>400</v>
      </c>
      <c r="P225" s="66" t="s">
        <v>401</v>
      </c>
      <c r="Q225" s="76" t="s">
        <v>29989</v>
      </c>
      <c r="R225" s="66" t="s">
        <v>100</v>
      </c>
      <c r="S225" s="66" t="s">
        <v>28</v>
      </c>
      <c r="T225" s="77" t="s">
        <v>29681</v>
      </c>
      <c r="U225" s="77" t="s">
        <v>29438</v>
      </c>
      <c r="V225" s="77" t="s">
        <v>29439</v>
      </c>
      <c r="W225" s="77" t="s">
        <v>100</v>
      </c>
      <c r="X225" s="77">
        <v>2550</v>
      </c>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row>
    <row r="226" spans="1:63" s="78" customFormat="1" ht="12" customHeight="1" x14ac:dyDescent="0.2">
      <c r="A226" s="66" t="s">
        <v>30190</v>
      </c>
      <c r="B226" s="66">
        <v>57</v>
      </c>
      <c r="C226" s="66" t="s">
        <v>20</v>
      </c>
      <c r="D226" s="66" t="s">
        <v>85</v>
      </c>
      <c r="E226" s="76" t="s">
        <v>30191</v>
      </c>
      <c r="F226" s="69">
        <v>42856</v>
      </c>
      <c r="G226" s="66" t="s">
        <v>30192</v>
      </c>
      <c r="H226" s="66" t="s">
        <v>651</v>
      </c>
      <c r="I226" s="66" t="s">
        <v>62</v>
      </c>
      <c r="J226" s="66">
        <v>32208</v>
      </c>
      <c r="K226" s="66" t="s">
        <v>652</v>
      </c>
      <c r="L226" s="66" t="s">
        <v>653</v>
      </c>
      <c r="M226" s="66" t="s">
        <v>379</v>
      </c>
      <c r="N226" s="66" t="s">
        <v>30193</v>
      </c>
      <c r="O226" s="66" t="s">
        <v>400</v>
      </c>
      <c r="P226" s="66" t="s">
        <v>401</v>
      </c>
      <c r="Q226" s="76" t="s">
        <v>30194</v>
      </c>
      <c r="R226" s="66" t="s">
        <v>100</v>
      </c>
      <c r="S226" s="66" t="s">
        <v>18</v>
      </c>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BK226" s="1"/>
    </row>
    <row r="227" spans="1:63" s="78" customFormat="1" ht="12" customHeight="1" x14ac:dyDescent="0.2">
      <c r="A227" s="66" t="s">
        <v>30117</v>
      </c>
      <c r="B227" s="66">
        <v>20</v>
      </c>
      <c r="C227" s="66" t="s">
        <v>20</v>
      </c>
      <c r="D227" s="66" t="s">
        <v>48</v>
      </c>
      <c r="E227" s="66"/>
      <c r="F227" s="69">
        <v>42856</v>
      </c>
      <c r="G227" s="66" t="s">
        <v>30118</v>
      </c>
      <c r="H227" s="66" t="s">
        <v>1313</v>
      </c>
      <c r="I227" s="66" t="s">
        <v>73</v>
      </c>
      <c r="J227" s="66">
        <v>78754</v>
      </c>
      <c r="K227" s="66" t="s">
        <v>1314</v>
      </c>
      <c r="L227" s="66" t="s">
        <v>1315</v>
      </c>
      <c r="M227" s="66" t="s">
        <v>27</v>
      </c>
      <c r="N227" s="66" t="s">
        <v>30119</v>
      </c>
      <c r="O227" s="66" t="s">
        <v>400</v>
      </c>
      <c r="P227" s="66" t="s">
        <v>401</v>
      </c>
      <c r="Q227" s="76" t="s">
        <v>30120</v>
      </c>
      <c r="R227" s="66" t="s">
        <v>555</v>
      </c>
      <c r="S227" s="66" t="s">
        <v>28</v>
      </c>
      <c r="T227" s="77" t="s">
        <v>29681</v>
      </c>
      <c r="U227" s="77" t="s">
        <v>29436</v>
      </c>
      <c r="V227" s="77" t="s">
        <v>29439</v>
      </c>
      <c r="W227" s="77" t="s">
        <v>100</v>
      </c>
      <c r="X227" s="77">
        <v>2551</v>
      </c>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row>
    <row r="228" spans="1:63" s="78" customFormat="1" ht="12" customHeight="1" x14ac:dyDescent="0.2">
      <c r="A228" s="66" t="s">
        <v>29730</v>
      </c>
      <c r="B228" s="66">
        <v>46</v>
      </c>
      <c r="C228" s="66" t="s">
        <v>20</v>
      </c>
      <c r="D228" s="66" t="s">
        <v>85</v>
      </c>
      <c r="E228" s="66"/>
      <c r="F228" s="69">
        <v>42855</v>
      </c>
      <c r="G228" s="66" t="s">
        <v>29731</v>
      </c>
      <c r="H228" s="66" t="s">
        <v>444</v>
      </c>
      <c r="I228" s="66" t="s">
        <v>57</v>
      </c>
      <c r="J228" s="66">
        <v>48204</v>
      </c>
      <c r="K228" s="66" t="s">
        <v>1128</v>
      </c>
      <c r="L228" s="66" t="s">
        <v>2177</v>
      </c>
      <c r="M228" s="66" t="s">
        <v>27</v>
      </c>
      <c r="N228" s="66" t="s">
        <v>29732</v>
      </c>
      <c r="O228" s="66" t="s">
        <v>400</v>
      </c>
      <c r="P228" s="66" t="s">
        <v>401</v>
      </c>
      <c r="Q228" s="76" t="s">
        <v>29733</v>
      </c>
      <c r="R228" s="66" t="s">
        <v>100</v>
      </c>
      <c r="S228" s="66" t="s">
        <v>28</v>
      </c>
      <c r="T228" s="77" t="s">
        <v>29681</v>
      </c>
      <c r="U228" s="77" t="s">
        <v>29438</v>
      </c>
      <c r="V228" s="77" t="s">
        <v>29439</v>
      </c>
      <c r="W228" s="77" t="s">
        <v>100</v>
      </c>
      <c r="X228" s="77">
        <v>2545</v>
      </c>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row>
    <row r="229" spans="1:63" s="78" customFormat="1" ht="12" customHeight="1" x14ac:dyDescent="0.2">
      <c r="A229" s="66" t="s">
        <v>29861</v>
      </c>
      <c r="B229" s="66">
        <v>52</v>
      </c>
      <c r="C229" s="66" t="s">
        <v>20</v>
      </c>
      <c r="D229" s="66" t="s">
        <v>30</v>
      </c>
      <c r="E229" s="66"/>
      <c r="F229" s="69">
        <v>42855</v>
      </c>
      <c r="G229" s="66" t="s">
        <v>29862</v>
      </c>
      <c r="H229" s="66" t="s">
        <v>12524</v>
      </c>
      <c r="I229" s="66" t="s">
        <v>370</v>
      </c>
      <c r="J229" s="66">
        <v>51351</v>
      </c>
      <c r="K229" s="66" t="s">
        <v>9014</v>
      </c>
      <c r="L229" s="66" t="s">
        <v>12526</v>
      </c>
      <c r="M229" s="66" t="s">
        <v>27</v>
      </c>
      <c r="N229" s="66" t="s">
        <v>29863</v>
      </c>
      <c r="O229" s="66" t="s">
        <v>400</v>
      </c>
      <c r="P229" s="66" t="s">
        <v>401</v>
      </c>
      <c r="Q229" s="76" t="s">
        <v>29864</v>
      </c>
      <c r="R229" s="66" t="s">
        <v>100</v>
      </c>
      <c r="S229" s="66" t="s">
        <v>28</v>
      </c>
      <c r="T229" s="77" t="s">
        <v>29681</v>
      </c>
      <c r="U229" s="77" t="s">
        <v>29438</v>
      </c>
      <c r="V229" s="77" t="s">
        <v>29439</v>
      </c>
      <c r="W229" s="77" t="s">
        <v>100</v>
      </c>
      <c r="X229" s="77">
        <v>2548</v>
      </c>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row>
    <row r="230" spans="1:63" s="78" customFormat="1" ht="12" customHeight="1" x14ac:dyDescent="0.2">
      <c r="A230" s="66" t="s">
        <v>29980</v>
      </c>
      <c r="B230" s="66">
        <v>49</v>
      </c>
      <c r="C230" s="66" t="s">
        <v>20</v>
      </c>
      <c r="D230" s="66" t="s">
        <v>37</v>
      </c>
      <c r="E230" s="76" t="s">
        <v>29981</v>
      </c>
      <c r="F230" s="69">
        <v>42855</v>
      </c>
      <c r="G230" s="66" t="s">
        <v>29982</v>
      </c>
      <c r="H230" s="66" t="s">
        <v>156</v>
      </c>
      <c r="I230" s="66" t="s">
        <v>45</v>
      </c>
      <c r="J230" s="66">
        <v>92122</v>
      </c>
      <c r="K230" s="66" t="s">
        <v>156</v>
      </c>
      <c r="L230" s="66" t="s">
        <v>157</v>
      </c>
      <c r="M230" s="66" t="s">
        <v>27</v>
      </c>
      <c r="N230" s="66" t="s">
        <v>29983</v>
      </c>
      <c r="O230" s="66" t="s">
        <v>400</v>
      </c>
      <c r="P230" s="66" t="s">
        <v>401</v>
      </c>
      <c r="Q230" s="76" t="s">
        <v>29984</v>
      </c>
      <c r="R230" s="66" t="s">
        <v>100</v>
      </c>
      <c r="S230" s="66" t="s">
        <v>28</v>
      </c>
      <c r="T230" s="77" t="s">
        <v>29681</v>
      </c>
      <c r="U230" s="77" t="s">
        <v>29438</v>
      </c>
      <c r="V230" s="77" t="s">
        <v>29439</v>
      </c>
      <c r="W230" s="77" t="s">
        <v>100</v>
      </c>
      <c r="X230" s="77">
        <v>2544</v>
      </c>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row>
    <row r="231" spans="1:63" s="78" customFormat="1" ht="12" customHeight="1" x14ac:dyDescent="0.2">
      <c r="A231" s="66" t="s">
        <v>30133</v>
      </c>
      <c r="B231" s="66">
        <v>32</v>
      </c>
      <c r="C231" s="66" t="s">
        <v>20</v>
      </c>
      <c r="D231" s="66" t="s">
        <v>37</v>
      </c>
      <c r="E231" s="66"/>
      <c r="F231" s="69">
        <v>42855</v>
      </c>
      <c r="G231" s="66" t="s">
        <v>30134</v>
      </c>
      <c r="H231" s="66" t="s">
        <v>30135</v>
      </c>
      <c r="I231" s="66" t="s">
        <v>395</v>
      </c>
      <c r="J231" s="66">
        <v>74740</v>
      </c>
      <c r="K231" s="66" t="s">
        <v>25995</v>
      </c>
      <c r="L231" s="66" t="s">
        <v>30136</v>
      </c>
      <c r="M231" s="66" t="s">
        <v>27</v>
      </c>
      <c r="N231" s="66" t="s">
        <v>30137</v>
      </c>
      <c r="O231" s="66" t="s">
        <v>400</v>
      </c>
      <c r="P231" s="66" t="s">
        <v>401</v>
      </c>
      <c r="Q231" s="76" t="s">
        <v>30138</v>
      </c>
      <c r="R231" s="66" t="s">
        <v>555</v>
      </c>
      <c r="S231" s="66" t="s">
        <v>28</v>
      </c>
      <c r="T231" s="77" t="s">
        <v>29681</v>
      </c>
      <c r="U231" s="77" t="s">
        <v>29438</v>
      </c>
      <c r="V231" s="77" t="s">
        <v>29439</v>
      </c>
      <c r="W231" s="77" t="s">
        <v>100</v>
      </c>
      <c r="X231" s="77">
        <v>2540</v>
      </c>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row>
    <row r="232" spans="1:63" s="78" customFormat="1" ht="12" customHeight="1" x14ac:dyDescent="0.2">
      <c r="A232" s="66" t="s">
        <v>29724</v>
      </c>
      <c r="B232" s="66">
        <v>35</v>
      </c>
      <c r="C232" s="66" t="s">
        <v>20</v>
      </c>
      <c r="D232" s="66" t="s">
        <v>85</v>
      </c>
      <c r="E232" s="76" t="s">
        <v>29725</v>
      </c>
      <c r="F232" s="69">
        <v>42854</v>
      </c>
      <c r="G232" s="66" t="s">
        <v>29726</v>
      </c>
      <c r="H232" s="66" t="s">
        <v>1477</v>
      </c>
      <c r="I232" s="66" t="s">
        <v>244</v>
      </c>
      <c r="J232" s="66">
        <v>23605</v>
      </c>
      <c r="K232" s="66" t="s">
        <v>29727</v>
      </c>
      <c r="L232" s="66" t="s">
        <v>1479</v>
      </c>
      <c r="M232" s="66" t="s">
        <v>27</v>
      </c>
      <c r="N232" s="66" t="s">
        <v>29728</v>
      </c>
      <c r="O232" s="66" t="s">
        <v>400</v>
      </c>
      <c r="P232" s="66" t="s">
        <v>401</v>
      </c>
      <c r="Q232" s="76" t="s">
        <v>29729</v>
      </c>
      <c r="R232" s="66" t="s">
        <v>100</v>
      </c>
      <c r="S232" s="66" t="s">
        <v>28</v>
      </c>
      <c r="T232" s="77" t="s">
        <v>29681</v>
      </c>
      <c r="U232" s="77" t="s">
        <v>29438</v>
      </c>
      <c r="V232" s="77" t="s">
        <v>29439</v>
      </c>
      <c r="W232" s="77" t="s">
        <v>100</v>
      </c>
      <c r="X232" s="77">
        <v>2543</v>
      </c>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row>
    <row r="233" spans="1:63" s="78" customFormat="1" ht="12" customHeight="1" x14ac:dyDescent="0.2">
      <c r="A233" s="66" t="s">
        <v>29943</v>
      </c>
      <c r="B233" s="66">
        <v>59</v>
      </c>
      <c r="C233" s="66" t="s">
        <v>20</v>
      </c>
      <c r="D233" s="66" t="s">
        <v>37</v>
      </c>
      <c r="E233" s="76" t="s">
        <v>29944</v>
      </c>
      <c r="F233" s="69">
        <v>42854</v>
      </c>
      <c r="G233" s="66"/>
      <c r="H233" s="66" t="s">
        <v>29945</v>
      </c>
      <c r="I233" s="66" t="s">
        <v>870</v>
      </c>
      <c r="J233" s="66">
        <v>96780</v>
      </c>
      <c r="K233" s="66" t="s">
        <v>3943</v>
      </c>
      <c r="L233" s="66" t="s">
        <v>3944</v>
      </c>
      <c r="M233" s="66" t="s">
        <v>27</v>
      </c>
      <c r="N233" s="66" t="s">
        <v>29946</v>
      </c>
      <c r="O233" s="66" t="s">
        <v>400</v>
      </c>
      <c r="P233" s="66" t="s">
        <v>401</v>
      </c>
      <c r="Q233" s="76" t="s">
        <v>29947</v>
      </c>
      <c r="R233" s="66" t="s">
        <v>100</v>
      </c>
      <c r="S233" s="66" t="s">
        <v>28</v>
      </c>
      <c r="T233" s="77" t="s">
        <v>29453</v>
      </c>
      <c r="U233" s="77" t="s">
        <v>29436</v>
      </c>
      <c r="V233" s="77" t="s">
        <v>29439</v>
      </c>
      <c r="W233" s="77" t="s">
        <v>100</v>
      </c>
      <c r="X233" s="77">
        <v>2539</v>
      </c>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row>
    <row r="234" spans="1:63" s="78" customFormat="1" ht="12" customHeight="1" x14ac:dyDescent="0.2">
      <c r="A234" s="66" t="s">
        <v>29754</v>
      </c>
      <c r="B234" s="66">
        <v>15</v>
      </c>
      <c r="C234" s="66" t="s">
        <v>20</v>
      </c>
      <c r="D234" s="66" t="s">
        <v>85</v>
      </c>
      <c r="E234" s="76" t="s">
        <v>29755</v>
      </c>
      <c r="F234" s="69">
        <v>42854</v>
      </c>
      <c r="G234" s="66" t="s">
        <v>29756</v>
      </c>
      <c r="H234" s="66" t="s">
        <v>29757</v>
      </c>
      <c r="I234" s="66" t="s">
        <v>73</v>
      </c>
      <c r="J234" s="66">
        <v>75180</v>
      </c>
      <c r="K234" s="66" t="s">
        <v>285</v>
      </c>
      <c r="L234" s="66" t="s">
        <v>5788</v>
      </c>
      <c r="M234" s="66" t="s">
        <v>27</v>
      </c>
      <c r="N234" s="66" t="s">
        <v>29758</v>
      </c>
      <c r="O234" s="66" t="s">
        <v>21481</v>
      </c>
      <c r="P234" s="66" t="s">
        <v>1159</v>
      </c>
      <c r="Q234" s="76" t="s">
        <v>29759</v>
      </c>
      <c r="R234" s="66" t="s">
        <v>100</v>
      </c>
      <c r="S234" s="66" t="s">
        <v>18</v>
      </c>
      <c r="T234" s="77" t="s">
        <v>29760</v>
      </c>
      <c r="U234" s="77" t="s">
        <v>29441</v>
      </c>
      <c r="V234" s="77" t="s">
        <v>29439</v>
      </c>
      <c r="W234" s="77" t="s">
        <v>555</v>
      </c>
      <c r="X234" s="77">
        <v>2538</v>
      </c>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BK234" s="1"/>
    </row>
    <row r="235" spans="1:63" s="78" customFormat="1" ht="12" customHeight="1" x14ac:dyDescent="0.2">
      <c r="A235" s="66" t="s">
        <v>29933</v>
      </c>
      <c r="B235" s="66">
        <v>33</v>
      </c>
      <c r="C235" s="66" t="s">
        <v>20</v>
      </c>
      <c r="D235" s="66" t="s">
        <v>30</v>
      </c>
      <c r="E235" s="66"/>
      <c r="F235" s="69">
        <v>42854</v>
      </c>
      <c r="G235" s="66" t="s">
        <v>29934</v>
      </c>
      <c r="H235" s="66" t="s">
        <v>628</v>
      </c>
      <c r="I235" s="66" t="s">
        <v>195</v>
      </c>
      <c r="J235" s="66">
        <v>87508</v>
      </c>
      <c r="K235" s="66" t="s">
        <v>628</v>
      </c>
      <c r="L235" s="66" t="s">
        <v>21892</v>
      </c>
      <c r="M235" s="66" t="s">
        <v>27</v>
      </c>
      <c r="N235" s="66" t="s">
        <v>29935</v>
      </c>
      <c r="O235" s="66" t="s">
        <v>400</v>
      </c>
      <c r="P235" s="66" t="s">
        <v>401</v>
      </c>
      <c r="Q235" s="76" t="s">
        <v>29936</v>
      </c>
      <c r="R235" s="66" t="s">
        <v>100</v>
      </c>
      <c r="S235" s="66" t="s">
        <v>379</v>
      </c>
      <c r="T235" s="77" t="s">
        <v>29773</v>
      </c>
      <c r="U235" s="77" t="s">
        <v>29438</v>
      </c>
      <c r="V235" s="77" t="s">
        <v>29439</v>
      </c>
      <c r="W235" s="77" t="s">
        <v>100</v>
      </c>
      <c r="X235" s="77">
        <v>2546</v>
      </c>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BK235" s="11"/>
    </row>
    <row r="236" spans="1:63" s="78" customFormat="1" ht="12" customHeight="1" x14ac:dyDescent="0.2">
      <c r="A236" s="66" t="s">
        <v>30220</v>
      </c>
      <c r="B236" s="66">
        <v>24</v>
      </c>
      <c r="C236" s="66" t="s">
        <v>20</v>
      </c>
      <c r="D236" s="66" t="s">
        <v>30</v>
      </c>
      <c r="E236" s="66"/>
      <c r="F236" s="69">
        <v>42854</v>
      </c>
      <c r="G236" s="66" t="s">
        <v>30221</v>
      </c>
      <c r="H236" s="66" t="s">
        <v>18420</v>
      </c>
      <c r="I236" s="66" t="s">
        <v>81</v>
      </c>
      <c r="J236" s="66">
        <v>7018</v>
      </c>
      <c r="K236" s="66" t="s">
        <v>528</v>
      </c>
      <c r="L236" s="66" t="s">
        <v>8566</v>
      </c>
      <c r="M236" s="66" t="s">
        <v>27</v>
      </c>
      <c r="N236" s="66" t="s">
        <v>30222</v>
      </c>
      <c r="O236" s="66" t="s">
        <v>400</v>
      </c>
      <c r="P236" s="66" t="s">
        <v>401</v>
      </c>
      <c r="Q236" s="76" t="s">
        <v>30223</v>
      </c>
      <c r="R236" s="66" t="s">
        <v>29</v>
      </c>
      <c r="S236" s="66" t="s">
        <v>35</v>
      </c>
      <c r="T236" s="77"/>
      <c r="U236" s="77"/>
      <c r="V236" s="77"/>
      <c r="W236" s="77"/>
      <c r="X236" s="77"/>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BK236" s="1"/>
    </row>
    <row r="237" spans="1:63" s="78" customFormat="1" ht="12" customHeight="1" x14ac:dyDescent="0.2">
      <c r="A237" s="66" t="s">
        <v>29719</v>
      </c>
      <c r="B237" s="66">
        <v>32</v>
      </c>
      <c r="C237" s="66" t="s">
        <v>20</v>
      </c>
      <c r="D237" s="66" t="s">
        <v>85</v>
      </c>
      <c r="E237" s="76" t="s">
        <v>29720</v>
      </c>
      <c r="F237" s="69">
        <v>42853</v>
      </c>
      <c r="G237" s="66" t="s">
        <v>29721</v>
      </c>
      <c r="H237" s="66" t="s">
        <v>1916</v>
      </c>
      <c r="I237" s="66" t="s">
        <v>173</v>
      </c>
      <c r="J237" s="66">
        <v>30311</v>
      </c>
      <c r="K237" s="66" t="s">
        <v>1556</v>
      </c>
      <c r="L237" s="66" t="s">
        <v>405</v>
      </c>
      <c r="M237" s="66" t="s">
        <v>27</v>
      </c>
      <c r="N237" s="66" t="s">
        <v>29722</v>
      </c>
      <c r="O237" s="66" t="s">
        <v>400</v>
      </c>
      <c r="P237" s="66" t="s">
        <v>401</v>
      </c>
      <c r="Q237" s="76" t="s">
        <v>29723</v>
      </c>
      <c r="R237" s="66" t="s">
        <v>100</v>
      </c>
      <c r="S237" s="66" t="s">
        <v>28</v>
      </c>
      <c r="T237" s="77" t="s">
        <v>29681</v>
      </c>
      <c r="U237" s="77" t="s">
        <v>29438</v>
      </c>
      <c r="V237" s="77" t="s">
        <v>29439</v>
      </c>
      <c r="W237" s="77" t="s">
        <v>100</v>
      </c>
      <c r="X237" s="77">
        <v>2542</v>
      </c>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row>
    <row r="238" spans="1:63" s="78" customFormat="1" ht="12" customHeight="1" x14ac:dyDescent="0.2">
      <c r="A238" s="66" t="s">
        <v>29857</v>
      </c>
      <c r="B238" s="66">
        <v>25</v>
      </c>
      <c r="C238" s="66" t="s">
        <v>20</v>
      </c>
      <c r="D238" s="66" t="s">
        <v>48</v>
      </c>
      <c r="E238" s="66"/>
      <c r="F238" s="69">
        <v>42853</v>
      </c>
      <c r="G238" s="66" t="s">
        <v>29858</v>
      </c>
      <c r="H238" s="66" t="s">
        <v>4631</v>
      </c>
      <c r="I238" s="66" t="s">
        <v>45</v>
      </c>
      <c r="J238" s="66">
        <v>94403</v>
      </c>
      <c r="K238" s="66" t="s">
        <v>4631</v>
      </c>
      <c r="L238" s="66" t="s">
        <v>957</v>
      </c>
      <c r="M238" s="66" t="s">
        <v>27</v>
      </c>
      <c r="N238" s="66" t="s">
        <v>29859</v>
      </c>
      <c r="O238" s="66" t="s">
        <v>400</v>
      </c>
      <c r="P238" s="66" t="s">
        <v>401</v>
      </c>
      <c r="Q238" s="76" t="s">
        <v>29860</v>
      </c>
      <c r="R238" s="66" t="s">
        <v>100</v>
      </c>
      <c r="S238" s="66" t="s">
        <v>28</v>
      </c>
      <c r="T238" s="77" t="s">
        <v>29681</v>
      </c>
      <c r="U238" s="77" t="s">
        <v>29438</v>
      </c>
      <c r="V238" s="77" t="s">
        <v>29439</v>
      </c>
      <c r="W238" s="77" t="s">
        <v>100</v>
      </c>
      <c r="X238" s="77">
        <v>2547</v>
      </c>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row>
    <row r="239" spans="1:63" s="78" customFormat="1" ht="12" customHeight="1" x14ac:dyDescent="0.2">
      <c r="A239" s="66" t="s">
        <v>30243</v>
      </c>
      <c r="B239" s="66">
        <v>46</v>
      </c>
      <c r="C239" s="66" t="s">
        <v>20</v>
      </c>
      <c r="D239" s="66" t="s">
        <v>30</v>
      </c>
      <c r="E239" s="66"/>
      <c r="F239" s="69">
        <v>42853</v>
      </c>
      <c r="G239" s="66" t="s">
        <v>30244</v>
      </c>
      <c r="H239" s="66" t="s">
        <v>30245</v>
      </c>
      <c r="I239" s="66" t="s">
        <v>73</v>
      </c>
      <c r="J239" s="66">
        <v>77539</v>
      </c>
      <c r="K239" s="66" t="s">
        <v>5282</v>
      </c>
      <c r="L239" s="66" t="s">
        <v>30246</v>
      </c>
      <c r="M239" s="66" t="s">
        <v>30247</v>
      </c>
      <c r="N239" s="66" t="s">
        <v>30248</v>
      </c>
      <c r="O239" s="66" t="s">
        <v>400</v>
      </c>
      <c r="P239" s="66" t="s">
        <v>401</v>
      </c>
      <c r="Q239" s="76" t="s">
        <v>30249</v>
      </c>
      <c r="R239" s="66" t="s">
        <v>29</v>
      </c>
      <c r="S239" s="66" t="s">
        <v>28</v>
      </c>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BK239" s="1"/>
    </row>
    <row r="240" spans="1:63" s="78" customFormat="1" ht="12" customHeight="1" x14ac:dyDescent="0.2">
      <c r="A240" s="66" t="s">
        <v>29712</v>
      </c>
      <c r="B240" s="66">
        <v>26</v>
      </c>
      <c r="C240" s="66" t="s">
        <v>20</v>
      </c>
      <c r="D240" s="66" t="s">
        <v>85</v>
      </c>
      <c r="E240" s="76" t="s">
        <v>29713</v>
      </c>
      <c r="F240" s="69">
        <v>42852</v>
      </c>
      <c r="G240" s="66" t="s">
        <v>29714</v>
      </c>
      <c r="H240" s="66" t="s">
        <v>29715</v>
      </c>
      <c r="I240" s="66" t="s">
        <v>225</v>
      </c>
      <c r="J240" s="66">
        <v>19701</v>
      </c>
      <c r="K240" s="66" t="s">
        <v>3810</v>
      </c>
      <c r="L240" s="66" t="s">
        <v>29716</v>
      </c>
      <c r="M240" s="66" t="s">
        <v>27</v>
      </c>
      <c r="N240" s="66" t="s">
        <v>29717</v>
      </c>
      <c r="O240" s="66" t="s">
        <v>400</v>
      </c>
      <c r="P240" s="66" t="s">
        <v>401</v>
      </c>
      <c r="Q240" s="76" t="s">
        <v>29718</v>
      </c>
      <c r="R240" s="66" t="s">
        <v>100</v>
      </c>
      <c r="S240" s="66" t="s">
        <v>28</v>
      </c>
      <c r="T240" s="77" t="s">
        <v>29681</v>
      </c>
      <c r="U240" s="77" t="s">
        <v>29438</v>
      </c>
      <c r="V240" s="77" t="s">
        <v>29439</v>
      </c>
      <c r="W240" s="77" t="s">
        <v>100</v>
      </c>
      <c r="X240" s="77">
        <v>2535</v>
      </c>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row>
    <row r="241" spans="1:63" s="78" customFormat="1" ht="12" customHeight="1" x14ac:dyDescent="0.2">
      <c r="A241" s="66" t="s">
        <v>29853</v>
      </c>
      <c r="B241" s="66">
        <v>53</v>
      </c>
      <c r="C241" s="66" t="s">
        <v>20</v>
      </c>
      <c r="D241" s="66" t="s">
        <v>30</v>
      </c>
      <c r="E241" s="66"/>
      <c r="F241" s="69">
        <v>42852</v>
      </c>
      <c r="G241" s="66" t="s">
        <v>29854</v>
      </c>
      <c r="H241" s="66" t="s">
        <v>142</v>
      </c>
      <c r="I241" s="66" t="s">
        <v>143</v>
      </c>
      <c r="J241" s="66">
        <v>57702</v>
      </c>
      <c r="K241" s="66" t="s">
        <v>144</v>
      </c>
      <c r="L241" s="66" t="s">
        <v>145</v>
      </c>
      <c r="M241" s="66" t="s">
        <v>27</v>
      </c>
      <c r="N241" s="66" t="s">
        <v>29855</v>
      </c>
      <c r="O241" s="66" t="s">
        <v>400</v>
      </c>
      <c r="P241" s="66" t="s">
        <v>401</v>
      </c>
      <c r="Q241" s="76" t="s">
        <v>29856</v>
      </c>
      <c r="R241" s="66" t="s">
        <v>29</v>
      </c>
      <c r="S241" s="66" t="s">
        <v>28</v>
      </c>
      <c r="T241" s="77" t="s">
        <v>29681</v>
      </c>
      <c r="U241" s="77" t="s">
        <v>29438</v>
      </c>
      <c r="V241" s="77" t="s">
        <v>29439</v>
      </c>
      <c r="W241" s="77" t="s">
        <v>100</v>
      </c>
      <c r="X241" s="77">
        <v>2537</v>
      </c>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row>
    <row r="242" spans="1:63" s="78" customFormat="1" ht="12" customHeight="1" x14ac:dyDescent="0.2">
      <c r="A242" s="66" t="s">
        <v>30083</v>
      </c>
      <c r="B242" s="66">
        <v>57</v>
      </c>
      <c r="C242" s="66" t="s">
        <v>20</v>
      </c>
      <c r="D242" s="66" t="s">
        <v>85</v>
      </c>
      <c r="E242" s="76" t="s">
        <v>30084</v>
      </c>
      <c r="F242" s="69">
        <v>42851</v>
      </c>
      <c r="G242" s="66" t="s">
        <v>30085</v>
      </c>
      <c r="H242" s="66" t="s">
        <v>651</v>
      </c>
      <c r="I242" s="66" t="s">
        <v>62</v>
      </c>
      <c r="J242" s="66">
        <v>32206</v>
      </c>
      <c r="K242" s="66" t="s">
        <v>652</v>
      </c>
      <c r="L242" s="66" t="s">
        <v>30086</v>
      </c>
      <c r="M242" s="77" t="s">
        <v>5411</v>
      </c>
      <c r="N242" s="66" t="s">
        <v>30087</v>
      </c>
      <c r="O242" s="66" t="s">
        <v>400</v>
      </c>
      <c r="P242" s="66" t="s">
        <v>401</v>
      </c>
      <c r="Q242" s="76" t="s">
        <v>30088</v>
      </c>
      <c r="R242" s="66" t="s">
        <v>100</v>
      </c>
      <c r="S242" s="66" t="s">
        <v>35</v>
      </c>
      <c r="T242" s="77" t="s">
        <v>391</v>
      </c>
      <c r="U242" s="77" t="s">
        <v>29436</v>
      </c>
      <c r="V242" s="77" t="s">
        <v>29439</v>
      </c>
      <c r="W242" s="77" t="s">
        <v>100</v>
      </c>
      <c r="X242" s="77">
        <v>2530</v>
      </c>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BK242" s="11"/>
    </row>
    <row r="243" spans="1:63" s="78" customFormat="1" ht="12" customHeight="1" x14ac:dyDescent="0.2">
      <c r="A243" s="66" t="s">
        <v>30063</v>
      </c>
      <c r="B243" s="66">
        <v>32</v>
      </c>
      <c r="C243" s="66" t="s">
        <v>20</v>
      </c>
      <c r="D243" s="66" t="s">
        <v>37</v>
      </c>
      <c r="E243" s="76" t="s">
        <v>30064</v>
      </c>
      <c r="F243" s="69">
        <v>42851</v>
      </c>
      <c r="G243" s="66" t="s">
        <v>30065</v>
      </c>
      <c r="H243" s="66" t="s">
        <v>1287</v>
      </c>
      <c r="I243" s="66" t="s">
        <v>69</v>
      </c>
      <c r="J243" s="66">
        <v>43206</v>
      </c>
      <c r="K243" s="66" t="s">
        <v>1288</v>
      </c>
      <c r="L243" s="66" t="s">
        <v>12562</v>
      </c>
      <c r="M243" s="66" t="s">
        <v>27</v>
      </c>
      <c r="N243" s="66" t="s">
        <v>30066</v>
      </c>
      <c r="O243" s="66" t="s">
        <v>400</v>
      </c>
      <c r="P243" s="66" t="s">
        <v>401</v>
      </c>
      <c r="Q243" s="76" t="s">
        <v>30067</v>
      </c>
      <c r="R243" s="66" t="s">
        <v>100</v>
      </c>
      <c r="S243" s="66" t="s">
        <v>379</v>
      </c>
      <c r="T243" s="77" t="s">
        <v>29773</v>
      </c>
      <c r="U243" s="77" t="s">
        <v>29436</v>
      </c>
      <c r="V243" s="77" t="s">
        <v>29437</v>
      </c>
      <c r="W243" s="77" t="s">
        <v>100</v>
      </c>
      <c r="X243" s="77">
        <v>2536</v>
      </c>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BK243" s="11"/>
    </row>
    <row r="244" spans="1:63" s="78" customFormat="1" ht="12" customHeight="1" x14ac:dyDescent="0.2">
      <c r="A244" s="66" t="s">
        <v>29914</v>
      </c>
      <c r="B244" s="66">
        <v>53</v>
      </c>
      <c r="C244" s="66" t="s">
        <v>20</v>
      </c>
      <c r="D244" s="66" t="s">
        <v>30</v>
      </c>
      <c r="E244" s="66"/>
      <c r="F244" s="69">
        <v>42851</v>
      </c>
      <c r="G244" s="66" t="s">
        <v>29915</v>
      </c>
      <c r="H244" s="66" t="s">
        <v>29916</v>
      </c>
      <c r="I244" s="66" t="s">
        <v>404</v>
      </c>
      <c r="J244" s="66">
        <v>17044</v>
      </c>
      <c r="K244" s="66" t="s">
        <v>29917</v>
      </c>
      <c r="L244" s="66" t="s">
        <v>29918</v>
      </c>
      <c r="M244" s="66" t="s">
        <v>27</v>
      </c>
      <c r="N244" s="66" t="s">
        <v>29919</v>
      </c>
      <c r="O244" s="66" t="s">
        <v>400</v>
      </c>
      <c r="P244" s="66" t="s">
        <v>401</v>
      </c>
      <c r="Q244" s="76" t="s">
        <v>29920</v>
      </c>
      <c r="R244" s="66" t="s">
        <v>29</v>
      </c>
      <c r="S244" s="66" t="s">
        <v>35</v>
      </c>
      <c r="T244" s="77" t="s">
        <v>29441</v>
      </c>
      <c r="U244" s="77" t="s">
        <v>29441</v>
      </c>
      <c r="V244" s="77"/>
      <c r="W244" s="77" t="s">
        <v>100</v>
      </c>
      <c r="X244" s="77">
        <v>2534</v>
      </c>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BK244" s="70"/>
    </row>
    <row r="245" spans="1:63" s="78" customFormat="1" ht="12" customHeight="1" x14ac:dyDescent="0.2">
      <c r="A245" s="66" t="s">
        <v>30129</v>
      </c>
      <c r="B245" s="66">
        <v>52</v>
      </c>
      <c r="C245" s="66" t="s">
        <v>20</v>
      </c>
      <c r="D245" s="66" t="s">
        <v>30</v>
      </c>
      <c r="E245" s="66"/>
      <c r="F245" s="69">
        <v>42850</v>
      </c>
      <c r="G245" s="66" t="s">
        <v>30130</v>
      </c>
      <c r="H245" s="66" t="s">
        <v>926</v>
      </c>
      <c r="I245" s="66" t="s">
        <v>73</v>
      </c>
      <c r="J245" s="66">
        <v>76103</v>
      </c>
      <c r="K245" s="66" t="s">
        <v>74</v>
      </c>
      <c r="L245" s="66" t="s">
        <v>927</v>
      </c>
      <c r="M245" s="66" t="s">
        <v>27</v>
      </c>
      <c r="N245" s="66" t="s">
        <v>30131</v>
      </c>
      <c r="O245" s="66" t="s">
        <v>400</v>
      </c>
      <c r="P245" s="66" t="s">
        <v>401</v>
      </c>
      <c r="Q245" s="76" t="s">
        <v>30132</v>
      </c>
      <c r="R245" s="66" t="s">
        <v>964</v>
      </c>
      <c r="S245" s="66" t="s">
        <v>28</v>
      </c>
      <c r="T245" s="77" t="s">
        <v>29681</v>
      </c>
      <c r="U245" s="77" t="s">
        <v>29438</v>
      </c>
      <c r="V245" s="77"/>
      <c r="W245" s="77" t="s">
        <v>555</v>
      </c>
      <c r="X245" s="77">
        <v>2529</v>
      </c>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row>
    <row r="246" spans="1:63" s="78" customFormat="1" ht="12" customHeight="1" x14ac:dyDescent="0.2">
      <c r="A246" s="66" t="s">
        <v>29706</v>
      </c>
      <c r="B246" s="66">
        <v>23</v>
      </c>
      <c r="C246" s="66" t="s">
        <v>20</v>
      </c>
      <c r="D246" s="66" t="s">
        <v>85</v>
      </c>
      <c r="E246" s="76" t="s">
        <v>29707</v>
      </c>
      <c r="F246" s="69">
        <v>42850</v>
      </c>
      <c r="G246" s="66" t="s">
        <v>29708</v>
      </c>
      <c r="H246" s="66" t="s">
        <v>526</v>
      </c>
      <c r="I246" s="66" t="s">
        <v>81</v>
      </c>
      <c r="J246" s="66">
        <v>7103</v>
      </c>
      <c r="K246" s="66" t="s">
        <v>528</v>
      </c>
      <c r="L246" s="66" t="s">
        <v>29709</v>
      </c>
      <c r="M246" s="66" t="s">
        <v>27</v>
      </c>
      <c r="N246" s="66" t="s">
        <v>29710</v>
      </c>
      <c r="O246" s="66" t="s">
        <v>400</v>
      </c>
      <c r="P246" s="66" t="s">
        <v>401</v>
      </c>
      <c r="Q246" s="76" t="s">
        <v>29711</v>
      </c>
      <c r="R246" s="66" t="s">
        <v>100</v>
      </c>
      <c r="S246" s="66" t="s">
        <v>28</v>
      </c>
      <c r="T246" s="77" t="s">
        <v>29681</v>
      </c>
      <c r="U246" s="77" t="s">
        <v>29436</v>
      </c>
      <c r="V246" s="77" t="s">
        <v>29437</v>
      </c>
      <c r="W246" s="77" t="s">
        <v>100</v>
      </c>
      <c r="X246" s="77">
        <v>2528</v>
      </c>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row>
    <row r="247" spans="1:63" s="78" customFormat="1" ht="12" customHeight="1" x14ac:dyDescent="0.2">
      <c r="A247" s="66" t="s">
        <v>30073</v>
      </c>
      <c r="B247" s="66">
        <v>27</v>
      </c>
      <c r="C247" s="66" t="s">
        <v>20</v>
      </c>
      <c r="D247" s="66" t="s">
        <v>85</v>
      </c>
      <c r="E247" s="66"/>
      <c r="F247" s="69">
        <v>42850</v>
      </c>
      <c r="G247" s="66" t="s">
        <v>30074</v>
      </c>
      <c r="H247" s="66" t="s">
        <v>30075</v>
      </c>
      <c r="I247" s="66" t="s">
        <v>173</v>
      </c>
      <c r="J247" s="66">
        <v>31052</v>
      </c>
      <c r="K247" s="66" t="s">
        <v>26408</v>
      </c>
      <c r="L247" s="66" t="s">
        <v>26409</v>
      </c>
      <c r="M247" s="77" t="s">
        <v>5411</v>
      </c>
      <c r="N247" s="66" t="s">
        <v>30076</v>
      </c>
      <c r="O247" s="66" t="s">
        <v>400</v>
      </c>
      <c r="P247" s="66" t="s">
        <v>401</v>
      </c>
      <c r="Q247" s="76" t="s">
        <v>30077</v>
      </c>
      <c r="R247" s="66" t="s">
        <v>100</v>
      </c>
      <c r="S247" s="66" t="s">
        <v>28</v>
      </c>
      <c r="T247" s="77" t="s">
        <v>29674</v>
      </c>
      <c r="U247" s="77" t="s">
        <v>29436</v>
      </c>
      <c r="V247" s="77" t="s">
        <v>29439</v>
      </c>
      <c r="W247" s="77" t="s">
        <v>100</v>
      </c>
      <c r="X247" s="77">
        <v>2533</v>
      </c>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BK247" s="1"/>
    </row>
    <row r="248" spans="1:63" s="78" customFormat="1" ht="12" customHeight="1" x14ac:dyDescent="0.2">
      <c r="A248" s="66" t="s">
        <v>30310</v>
      </c>
      <c r="B248" s="66">
        <v>20</v>
      </c>
      <c r="C248" s="66" t="s">
        <v>114</v>
      </c>
      <c r="D248" s="66" t="s">
        <v>37</v>
      </c>
      <c r="E248" s="76" t="s">
        <v>30311</v>
      </c>
      <c r="F248" s="69">
        <v>42850</v>
      </c>
      <c r="G248" s="66" t="s">
        <v>30312</v>
      </c>
      <c r="H248" s="66" t="s">
        <v>22133</v>
      </c>
      <c r="I248" s="66" t="s">
        <v>404</v>
      </c>
      <c r="J248" s="66">
        <v>15904</v>
      </c>
      <c r="K248" s="66" t="s">
        <v>22135</v>
      </c>
      <c r="L248" s="66" t="s">
        <v>30313</v>
      </c>
      <c r="M248" s="66" t="s">
        <v>27</v>
      </c>
      <c r="N248" s="66" t="s">
        <v>30314</v>
      </c>
      <c r="O248" s="66" t="s">
        <v>25470</v>
      </c>
      <c r="P248" s="66" t="s">
        <v>401</v>
      </c>
      <c r="Q248" s="76" t="s">
        <v>30315</v>
      </c>
      <c r="R248" s="66" t="s">
        <v>100</v>
      </c>
      <c r="S248" s="66" t="s">
        <v>18</v>
      </c>
      <c r="T248" s="77"/>
      <c r="U248" s="77"/>
      <c r="V248" s="77"/>
      <c r="W248" s="77"/>
      <c r="X248" s="77"/>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BK248" s="1"/>
    </row>
    <row r="249" spans="1:63" s="78" customFormat="1" ht="12" customHeight="1" x14ac:dyDescent="0.2">
      <c r="A249" s="66" t="s">
        <v>30357</v>
      </c>
      <c r="B249" s="66">
        <v>40</v>
      </c>
      <c r="C249" s="66" t="s">
        <v>114</v>
      </c>
      <c r="D249" s="66" t="s">
        <v>37</v>
      </c>
      <c r="E249" s="76" t="s">
        <v>30358</v>
      </c>
      <c r="F249" s="69">
        <v>42850</v>
      </c>
      <c r="G249" s="66" t="s">
        <v>30359</v>
      </c>
      <c r="H249" s="66" t="s">
        <v>1100</v>
      </c>
      <c r="I249" s="66" t="s">
        <v>404</v>
      </c>
      <c r="J249" s="66">
        <v>19134</v>
      </c>
      <c r="K249" s="66" t="s">
        <v>1100</v>
      </c>
      <c r="L249" s="66" t="s">
        <v>1101</v>
      </c>
      <c r="M249" s="66" t="s">
        <v>379</v>
      </c>
      <c r="N249" s="66" t="s">
        <v>30360</v>
      </c>
      <c r="O249" s="66" t="s">
        <v>400</v>
      </c>
      <c r="P249" s="66" t="s">
        <v>401</v>
      </c>
      <c r="Q249" s="76" t="s">
        <v>30361</v>
      </c>
      <c r="R249" s="66" t="s">
        <v>100</v>
      </c>
      <c r="S249" s="66" t="s">
        <v>18</v>
      </c>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BK249" s="1"/>
    </row>
    <row r="250" spans="1:63" s="78" customFormat="1" ht="12" customHeight="1" x14ac:dyDescent="0.2">
      <c r="A250" s="66" t="s">
        <v>29929</v>
      </c>
      <c r="B250" s="66">
        <v>20</v>
      </c>
      <c r="C250" s="66" t="s">
        <v>20</v>
      </c>
      <c r="D250" s="66" t="s">
        <v>30</v>
      </c>
      <c r="E250" s="66"/>
      <c r="F250" s="69">
        <v>42850</v>
      </c>
      <c r="G250" s="66" t="s">
        <v>29930</v>
      </c>
      <c r="H250" s="66" t="s">
        <v>7788</v>
      </c>
      <c r="I250" s="66" t="s">
        <v>45</v>
      </c>
      <c r="J250" s="66">
        <v>90706</v>
      </c>
      <c r="K250" s="66" t="s">
        <v>98</v>
      </c>
      <c r="L250" s="66" t="s">
        <v>490</v>
      </c>
      <c r="M250" s="66" t="s">
        <v>27</v>
      </c>
      <c r="N250" s="66" t="s">
        <v>29931</v>
      </c>
      <c r="O250" s="66" t="s">
        <v>400</v>
      </c>
      <c r="P250" s="66" t="s">
        <v>401</v>
      </c>
      <c r="Q250" s="76" t="s">
        <v>29932</v>
      </c>
      <c r="R250" s="66" t="s">
        <v>100</v>
      </c>
      <c r="S250" s="66" t="s">
        <v>379</v>
      </c>
      <c r="T250" s="77" t="s">
        <v>29773</v>
      </c>
      <c r="U250" s="77" t="s">
        <v>29436</v>
      </c>
      <c r="V250" s="77" t="s">
        <v>29437</v>
      </c>
      <c r="W250" s="77" t="s">
        <v>100</v>
      </c>
      <c r="X250" s="77">
        <v>2532</v>
      </c>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BK250" s="11"/>
    </row>
    <row r="251" spans="1:63" s="78" customFormat="1" ht="12" customHeight="1" x14ac:dyDescent="0.2">
      <c r="A251" s="66" t="s">
        <v>30352</v>
      </c>
      <c r="B251" s="66">
        <v>25</v>
      </c>
      <c r="C251" s="66" t="s">
        <v>20</v>
      </c>
      <c r="D251" s="66" t="s">
        <v>37</v>
      </c>
      <c r="E251" s="76" t="s">
        <v>30353</v>
      </c>
      <c r="F251" s="69">
        <v>42850</v>
      </c>
      <c r="G251" s="66" t="s">
        <v>30354</v>
      </c>
      <c r="H251" s="66" t="s">
        <v>709</v>
      </c>
      <c r="I251" s="66" t="s">
        <v>431</v>
      </c>
      <c r="J251" s="66">
        <v>63103</v>
      </c>
      <c r="K251" s="66" t="s">
        <v>20282</v>
      </c>
      <c r="L251" s="66" t="s">
        <v>4516</v>
      </c>
      <c r="M251" s="66" t="s">
        <v>379</v>
      </c>
      <c r="N251" s="66" t="s">
        <v>30355</v>
      </c>
      <c r="O251" s="66" t="s">
        <v>400</v>
      </c>
      <c r="P251" s="66" t="s">
        <v>401</v>
      </c>
      <c r="Q251" s="76" t="s">
        <v>30356</v>
      </c>
      <c r="R251" s="66" t="s">
        <v>100</v>
      </c>
      <c r="S251" s="66" t="s">
        <v>379</v>
      </c>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BK251" s="1"/>
    </row>
    <row r="252" spans="1:63" s="78" customFormat="1" ht="12" customHeight="1" x14ac:dyDescent="0.2">
      <c r="A252" s="66" t="s">
        <v>30322</v>
      </c>
      <c r="B252" s="66">
        <v>46</v>
      </c>
      <c r="C252" s="66" t="s">
        <v>20</v>
      </c>
      <c r="D252" s="66" t="s">
        <v>37</v>
      </c>
      <c r="E252" s="76" t="s">
        <v>30323</v>
      </c>
      <c r="F252" s="69">
        <v>42850</v>
      </c>
      <c r="G252" s="66" t="s">
        <v>30324</v>
      </c>
      <c r="H252" s="66" t="s">
        <v>28913</v>
      </c>
      <c r="I252" s="66" t="s">
        <v>73</v>
      </c>
      <c r="J252" s="66">
        <v>75901</v>
      </c>
      <c r="K252" s="66" t="s">
        <v>14941</v>
      </c>
      <c r="L252" s="66" t="s">
        <v>30325</v>
      </c>
      <c r="M252" s="66" t="s">
        <v>27</v>
      </c>
      <c r="N252" s="66" t="s">
        <v>30326</v>
      </c>
      <c r="O252" s="66" t="s">
        <v>400</v>
      </c>
      <c r="P252" s="66" t="s">
        <v>401</v>
      </c>
      <c r="Q252" s="76" t="s">
        <v>30327</v>
      </c>
      <c r="R252" s="66" t="s">
        <v>555</v>
      </c>
      <c r="S252" s="66" t="s">
        <v>28</v>
      </c>
      <c r="T252" s="77"/>
      <c r="U252" s="77"/>
      <c r="V252" s="77"/>
      <c r="W252" s="77"/>
      <c r="X252" s="77"/>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row>
    <row r="253" spans="1:63" s="78" customFormat="1" ht="12" customHeight="1" x14ac:dyDescent="0.2">
      <c r="A253" s="79" t="s">
        <v>29848</v>
      </c>
      <c r="B253" s="79">
        <v>16</v>
      </c>
      <c r="C253" s="66" t="s">
        <v>20</v>
      </c>
      <c r="D253" s="66" t="s">
        <v>85</v>
      </c>
      <c r="E253" s="66"/>
      <c r="F253" s="69">
        <v>42849</v>
      </c>
      <c r="G253" s="66" t="s">
        <v>29849</v>
      </c>
      <c r="H253" s="66" t="s">
        <v>723</v>
      </c>
      <c r="I253" s="66" t="s">
        <v>73</v>
      </c>
      <c r="J253" s="66">
        <v>77084</v>
      </c>
      <c r="K253" s="66" t="s">
        <v>558</v>
      </c>
      <c r="L253" s="66" t="s">
        <v>29850</v>
      </c>
      <c r="M253" s="66" t="s">
        <v>27</v>
      </c>
      <c r="N253" s="66" t="s">
        <v>29851</v>
      </c>
      <c r="O253" s="66" t="s">
        <v>400</v>
      </c>
      <c r="P253" s="66" t="s">
        <v>401</v>
      </c>
      <c r="Q253" s="76" t="s">
        <v>29852</v>
      </c>
      <c r="R253" s="66" t="s">
        <v>100</v>
      </c>
      <c r="S253" s="66" t="s">
        <v>28</v>
      </c>
      <c r="T253" s="77" t="s">
        <v>29681</v>
      </c>
      <c r="U253" s="77" t="s">
        <v>29436</v>
      </c>
      <c r="V253" s="77" t="s">
        <v>29440</v>
      </c>
      <c r="W253" s="77" t="s">
        <v>555</v>
      </c>
      <c r="X253" s="77">
        <v>2527</v>
      </c>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row>
    <row r="254" spans="1:63" s="78" customFormat="1" ht="12" customHeight="1" x14ac:dyDescent="0.2">
      <c r="A254" s="66" t="s">
        <v>30216</v>
      </c>
      <c r="B254" s="66">
        <v>15</v>
      </c>
      <c r="C254" s="66" t="s">
        <v>20</v>
      </c>
      <c r="D254" s="66" t="s">
        <v>30</v>
      </c>
      <c r="E254" s="66"/>
      <c r="F254" s="69">
        <v>42849</v>
      </c>
      <c r="G254" s="66" t="s">
        <v>30217</v>
      </c>
      <c r="H254" s="66" t="s">
        <v>15361</v>
      </c>
      <c r="I254" s="66" t="s">
        <v>73</v>
      </c>
      <c r="J254" s="66">
        <v>76543</v>
      </c>
      <c r="K254" s="66" t="s">
        <v>8495</v>
      </c>
      <c r="L254" s="66" t="s">
        <v>15363</v>
      </c>
      <c r="M254" s="66" t="s">
        <v>27</v>
      </c>
      <c r="N254" s="66" t="s">
        <v>30218</v>
      </c>
      <c r="O254" s="66" t="s">
        <v>400</v>
      </c>
      <c r="P254" s="66" t="s">
        <v>401</v>
      </c>
      <c r="Q254" s="76" t="s">
        <v>30219</v>
      </c>
      <c r="R254" s="66" t="s">
        <v>100</v>
      </c>
      <c r="S254" s="66" t="s">
        <v>28</v>
      </c>
      <c r="T254" s="77"/>
      <c r="U254" s="77"/>
      <c r="V254" s="77"/>
      <c r="W254" s="77"/>
      <c r="X254" s="77"/>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row>
    <row r="255" spans="1:63" s="78" customFormat="1" ht="12" customHeight="1" x14ac:dyDescent="0.2">
      <c r="A255" s="66" t="s">
        <v>30027</v>
      </c>
      <c r="B255" s="66">
        <v>35</v>
      </c>
      <c r="C255" s="66" t="s">
        <v>20</v>
      </c>
      <c r="D255" s="66" t="s">
        <v>37</v>
      </c>
      <c r="E255" s="76" t="s">
        <v>30028</v>
      </c>
      <c r="F255" s="69">
        <v>42849</v>
      </c>
      <c r="G255" s="66" t="s">
        <v>30029</v>
      </c>
      <c r="H255" s="66" t="s">
        <v>1536</v>
      </c>
      <c r="I255" s="66" t="s">
        <v>117</v>
      </c>
      <c r="J255" s="66">
        <v>97497</v>
      </c>
      <c r="K255" s="66" t="s">
        <v>1537</v>
      </c>
      <c r="L255" s="66" t="s">
        <v>2051</v>
      </c>
      <c r="M255" s="66" t="s">
        <v>27</v>
      </c>
      <c r="N255" s="66" t="s">
        <v>30030</v>
      </c>
      <c r="O255" s="66" t="s">
        <v>400</v>
      </c>
      <c r="P255" s="66" t="s">
        <v>401</v>
      </c>
      <c r="Q255" s="76" t="s">
        <v>30031</v>
      </c>
      <c r="R255" s="66" t="s">
        <v>100</v>
      </c>
      <c r="S255" s="66" t="s">
        <v>18</v>
      </c>
      <c r="T255" s="77" t="s">
        <v>29760</v>
      </c>
      <c r="U255" s="77" t="s">
        <v>29438</v>
      </c>
      <c r="V255" s="77" t="s">
        <v>29439</v>
      </c>
      <c r="W255" s="77" t="s">
        <v>100</v>
      </c>
      <c r="X255" s="77">
        <v>2531</v>
      </c>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BK255" s="1"/>
    </row>
    <row r="256" spans="1:63" s="78" customFormat="1" ht="12" customHeight="1" x14ac:dyDescent="0.2">
      <c r="A256" s="66" t="s">
        <v>30124</v>
      </c>
      <c r="B256" s="66">
        <v>79</v>
      </c>
      <c r="C256" s="66" t="s">
        <v>20</v>
      </c>
      <c r="D256" s="66" t="s">
        <v>30</v>
      </c>
      <c r="E256" s="66"/>
      <c r="F256" s="69">
        <v>42849</v>
      </c>
      <c r="G256" s="66" t="s">
        <v>30125</v>
      </c>
      <c r="H256" s="66" t="s">
        <v>30126</v>
      </c>
      <c r="I256" s="66" t="s">
        <v>404</v>
      </c>
      <c r="J256" s="66">
        <v>17363</v>
      </c>
      <c r="K256" s="66" t="s">
        <v>1604</v>
      </c>
      <c r="L256" s="66" t="s">
        <v>511</v>
      </c>
      <c r="M256" s="66" t="s">
        <v>27</v>
      </c>
      <c r="N256" s="66" t="s">
        <v>30127</v>
      </c>
      <c r="O256" s="66" t="s">
        <v>400</v>
      </c>
      <c r="P256" s="66" t="s">
        <v>401</v>
      </c>
      <c r="Q256" s="76" t="s">
        <v>30128</v>
      </c>
      <c r="R256" s="66" t="s">
        <v>555</v>
      </c>
      <c r="S256" s="66" t="s">
        <v>28</v>
      </c>
      <c r="T256" s="77" t="s">
        <v>29681</v>
      </c>
      <c r="U256" s="77" t="s">
        <v>29438</v>
      </c>
      <c r="V256" s="77" t="s">
        <v>29439</v>
      </c>
      <c r="W256" s="77" t="s">
        <v>100</v>
      </c>
      <c r="X256" s="77">
        <v>2524</v>
      </c>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row>
    <row r="257" spans="1:63" s="78" customFormat="1" ht="12" customHeight="1" x14ac:dyDescent="0.2">
      <c r="A257" s="66" t="s">
        <v>29844</v>
      </c>
      <c r="B257" s="66">
        <v>70</v>
      </c>
      <c r="C257" s="66" t="s">
        <v>20</v>
      </c>
      <c r="D257" s="66" t="s">
        <v>30</v>
      </c>
      <c r="E257" s="66"/>
      <c r="F257" s="69">
        <v>42848</v>
      </c>
      <c r="G257" s="66" t="s">
        <v>29845</v>
      </c>
      <c r="H257" s="66" t="s">
        <v>522</v>
      </c>
      <c r="I257" s="66" t="s">
        <v>123</v>
      </c>
      <c r="J257" s="66">
        <v>86303</v>
      </c>
      <c r="K257" s="66" t="s">
        <v>179</v>
      </c>
      <c r="L257" s="66" t="s">
        <v>12983</v>
      </c>
      <c r="M257" s="66" t="s">
        <v>27</v>
      </c>
      <c r="N257" s="66" t="s">
        <v>29846</v>
      </c>
      <c r="O257" s="66" t="s">
        <v>400</v>
      </c>
      <c r="P257" s="66" t="s">
        <v>401</v>
      </c>
      <c r="Q257" s="76" t="s">
        <v>29847</v>
      </c>
      <c r="R257" s="66" t="s">
        <v>29</v>
      </c>
      <c r="S257" s="66" t="s">
        <v>28</v>
      </c>
      <c r="T257" s="77" t="s">
        <v>29681</v>
      </c>
      <c r="U257" s="77" t="s">
        <v>29438</v>
      </c>
      <c r="V257" s="77" t="s">
        <v>29439</v>
      </c>
      <c r="W257" s="77" t="s">
        <v>100</v>
      </c>
      <c r="X257" s="77">
        <v>2526</v>
      </c>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row>
    <row r="258" spans="1:63" s="78" customFormat="1" ht="12" customHeight="1" x14ac:dyDescent="0.2">
      <c r="A258" s="66" t="s">
        <v>29819</v>
      </c>
      <c r="B258" s="66">
        <v>43</v>
      </c>
      <c r="C258" s="66" t="s">
        <v>20</v>
      </c>
      <c r="D258" s="66" t="s">
        <v>21</v>
      </c>
      <c r="E258" s="76" t="s">
        <v>29820</v>
      </c>
      <c r="F258" s="69">
        <v>42847</v>
      </c>
      <c r="G258" s="66" t="s">
        <v>29821</v>
      </c>
      <c r="H258" s="66" t="s">
        <v>11099</v>
      </c>
      <c r="I258" s="66" t="s">
        <v>45</v>
      </c>
      <c r="J258" s="66">
        <v>95991</v>
      </c>
      <c r="K258" s="66" t="s">
        <v>7576</v>
      </c>
      <c r="L258" s="66" t="s">
        <v>11101</v>
      </c>
      <c r="M258" s="66" t="s">
        <v>27</v>
      </c>
      <c r="N258" s="66" t="s">
        <v>29822</v>
      </c>
      <c r="O258" s="66" t="s">
        <v>400</v>
      </c>
      <c r="P258" s="66" t="s">
        <v>401</v>
      </c>
      <c r="Q258" s="76" t="s">
        <v>29823</v>
      </c>
      <c r="R258" s="66" t="s">
        <v>100</v>
      </c>
      <c r="S258" s="66" t="s">
        <v>28</v>
      </c>
      <c r="T258" s="77" t="s">
        <v>29824</v>
      </c>
      <c r="U258" s="77" t="s">
        <v>29438</v>
      </c>
      <c r="V258" s="77" t="s">
        <v>29440</v>
      </c>
      <c r="W258" s="77" t="s">
        <v>100</v>
      </c>
      <c r="X258" s="77">
        <v>2521</v>
      </c>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row>
    <row r="259" spans="1:63" s="78" customFormat="1" ht="12" customHeight="1" x14ac:dyDescent="0.2">
      <c r="A259" s="66" t="s">
        <v>30018</v>
      </c>
      <c r="B259" s="66">
        <v>24</v>
      </c>
      <c r="C259" s="66" t="s">
        <v>20</v>
      </c>
      <c r="D259" s="66" t="s">
        <v>37</v>
      </c>
      <c r="E259" s="66"/>
      <c r="F259" s="69">
        <v>42847</v>
      </c>
      <c r="G259" s="66" t="s">
        <v>30019</v>
      </c>
      <c r="H259" s="66" t="s">
        <v>548</v>
      </c>
      <c r="I259" s="66" t="s">
        <v>69</v>
      </c>
      <c r="J259" s="66">
        <v>45011</v>
      </c>
      <c r="K259" s="66" t="s">
        <v>5515</v>
      </c>
      <c r="L259" s="66" t="s">
        <v>2903</v>
      </c>
      <c r="M259" s="66" t="s">
        <v>27</v>
      </c>
      <c r="N259" s="66" t="s">
        <v>30020</v>
      </c>
      <c r="O259" s="66" t="s">
        <v>400</v>
      </c>
      <c r="P259" s="66" t="s">
        <v>401</v>
      </c>
      <c r="Q259" s="76" t="s">
        <v>30021</v>
      </c>
      <c r="R259" s="66" t="s">
        <v>100</v>
      </c>
      <c r="S259" s="66" t="s">
        <v>28</v>
      </c>
      <c r="T259" s="77" t="s">
        <v>29674</v>
      </c>
      <c r="U259" s="77" t="s">
        <v>29436</v>
      </c>
      <c r="V259" s="77" t="s">
        <v>29439</v>
      </c>
      <c r="W259" s="77" t="s">
        <v>100</v>
      </c>
      <c r="X259" s="77">
        <v>2523</v>
      </c>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row>
    <row r="260" spans="1:63" s="78" customFormat="1" ht="12" customHeight="1" x14ac:dyDescent="0.2">
      <c r="A260" s="66" t="s">
        <v>29761</v>
      </c>
      <c r="B260" s="66">
        <v>39</v>
      </c>
      <c r="C260" s="66" t="s">
        <v>20</v>
      </c>
      <c r="D260" s="66" t="s">
        <v>85</v>
      </c>
      <c r="E260" s="76" t="s">
        <v>29762</v>
      </c>
      <c r="F260" s="69">
        <v>42847</v>
      </c>
      <c r="G260" s="66" t="s">
        <v>29763</v>
      </c>
      <c r="H260" s="66" t="s">
        <v>2340</v>
      </c>
      <c r="I260" s="66" t="s">
        <v>217</v>
      </c>
      <c r="J260" s="66">
        <v>46368</v>
      </c>
      <c r="K260" s="66" t="s">
        <v>21203</v>
      </c>
      <c r="L260" s="66" t="s">
        <v>29764</v>
      </c>
      <c r="M260" s="66" t="s">
        <v>27</v>
      </c>
      <c r="N260" s="66" t="s">
        <v>29765</v>
      </c>
      <c r="O260" s="66" t="s">
        <v>400</v>
      </c>
      <c r="P260" s="66" t="s">
        <v>401</v>
      </c>
      <c r="Q260" s="76" t="s">
        <v>29766</v>
      </c>
      <c r="R260" s="66" t="s">
        <v>100</v>
      </c>
      <c r="S260" s="66" t="s">
        <v>35</v>
      </c>
      <c r="T260" s="77" t="s">
        <v>29441</v>
      </c>
      <c r="U260" s="77" t="s">
        <v>29441</v>
      </c>
      <c r="V260" s="77" t="s">
        <v>29439</v>
      </c>
      <c r="W260" s="77" t="s">
        <v>100</v>
      </c>
      <c r="X260" s="77">
        <v>2522</v>
      </c>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BK260" s="70"/>
    </row>
    <row r="261" spans="1:63" s="78" customFormat="1" ht="12" customHeight="1" x14ac:dyDescent="0.2">
      <c r="A261" s="66" t="s">
        <v>29702</v>
      </c>
      <c r="B261" s="66">
        <v>19</v>
      </c>
      <c r="C261" s="66" t="s">
        <v>20</v>
      </c>
      <c r="D261" s="66" t="s">
        <v>85</v>
      </c>
      <c r="E261" s="66"/>
      <c r="F261" s="69">
        <v>42845</v>
      </c>
      <c r="G261" s="66" t="s">
        <v>29703</v>
      </c>
      <c r="H261" s="66" t="s">
        <v>1208</v>
      </c>
      <c r="I261" s="66" t="s">
        <v>303</v>
      </c>
      <c r="J261" s="66">
        <v>98104</v>
      </c>
      <c r="K261" s="66" t="s">
        <v>1209</v>
      </c>
      <c r="L261" s="66" t="s">
        <v>1210</v>
      </c>
      <c r="M261" s="66" t="s">
        <v>27</v>
      </c>
      <c r="N261" s="66" t="s">
        <v>29704</v>
      </c>
      <c r="O261" s="66" t="s">
        <v>400</v>
      </c>
      <c r="P261" s="66" t="s">
        <v>401</v>
      </c>
      <c r="Q261" s="76" t="s">
        <v>29705</v>
      </c>
      <c r="R261" s="66" t="s">
        <v>100</v>
      </c>
      <c r="S261" s="66" t="s">
        <v>28</v>
      </c>
      <c r="T261" s="77" t="s">
        <v>29681</v>
      </c>
      <c r="U261" s="77" t="s">
        <v>29438</v>
      </c>
      <c r="V261" s="77"/>
      <c r="W261" s="77" t="s">
        <v>100</v>
      </c>
      <c r="X261" s="77">
        <v>2515</v>
      </c>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row>
    <row r="262" spans="1:63" s="78" customFormat="1" ht="12" customHeight="1" x14ac:dyDescent="0.2">
      <c r="A262" s="66" t="s">
        <v>29839</v>
      </c>
      <c r="B262" s="66">
        <v>26</v>
      </c>
      <c r="C262" s="66" t="s">
        <v>20</v>
      </c>
      <c r="D262" s="66" t="s">
        <v>48</v>
      </c>
      <c r="E262" s="66"/>
      <c r="F262" s="69">
        <v>42845</v>
      </c>
      <c r="G262" s="66" t="s">
        <v>29840</v>
      </c>
      <c r="H262" s="66" t="s">
        <v>24366</v>
      </c>
      <c r="I262" s="66" t="s">
        <v>32</v>
      </c>
      <c r="J262" s="66">
        <v>29927</v>
      </c>
      <c r="K262" s="66" t="s">
        <v>5099</v>
      </c>
      <c r="L262" s="66" t="s">
        <v>29841</v>
      </c>
      <c r="M262" s="66" t="s">
        <v>27</v>
      </c>
      <c r="N262" s="66" t="s">
        <v>29842</v>
      </c>
      <c r="O262" s="66" t="s">
        <v>400</v>
      </c>
      <c r="P262" s="66" t="s">
        <v>401</v>
      </c>
      <c r="Q262" s="76" t="s">
        <v>29843</v>
      </c>
      <c r="R262" s="66" t="s">
        <v>100</v>
      </c>
      <c r="S262" s="66" t="s">
        <v>28</v>
      </c>
      <c r="T262" s="77" t="s">
        <v>29681</v>
      </c>
      <c r="U262" s="77" t="s">
        <v>29438</v>
      </c>
      <c r="V262" s="77" t="s">
        <v>29439</v>
      </c>
      <c r="W262" s="77" t="s">
        <v>100</v>
      </c>
      <c r="X262" s="77">
        <v>2517</v>
      </c>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row>
    <row r="263" spans="1:63" s="78" customFormat="1" ht="12" customHeight="1" x14ac:dyDescent="0.2">
      <c r="A263" s="66" t="s">
        <v>30089</v>
      </c>
      <c r="B263" s="66">
        <v>55</v>
      </c>
      <c r="C263" s="66" t="s">
        <v>20</v>
      </c>
      <c r="D263" s="66" t="s">
        <v>30</v>
      </c>
      <c r="E263" s="66"/>
      <c r="F263" s="69">
        <v>42845</v>
      </c>
      <c r="G263" s="66" t="s">
        <v>30090</v>
      </c>
      <c r="H263" s="66" t="s">
        <v>575</v>
      </c>
      <c r="I263" s="66" t="s">
        <v>73</v>
      </c>
      <c r="J263" s="66">
        <v>78207</v>
      </c>
      <c r="K263" s="66" t="s">
        <v>576</v>
      </c>
      <c r="L263" s="66" t="s">
        <v>577</v>
      </c>
      <c r="M263" s="77" t="s">
        <v>5411</v>
      </c>
      <c r="N263" s="66" t="s">
        <v>30091</v>
      </c>
      <c r="O263" s="66" t="s">
        <v>400</v>
      </c>
      <c r="P263" s="66" t="s">
        <v>401</v>
      </c>
      <c r="Q263" s="76" t="s">
        <v>30092</v>
      </c>
      <c r="R263" s="66" t="s">
        <v>100</v>
      </c>
      <c r="S263" s="66" t="s">
        <v>28</v>
      </c>
      <c r="T263" s="77" t="s">
        <v>29674</v>
      </c>
      <c r="U263" s="77" t="s">
        <v>29436</v>
      </c>
      <c r="V263" s="77"/>
      <c r="W263" s="77" t="s">
        <v>100</v>
      </c>
      <c r="X263" s="77">
        <v>2516</v>
      </c>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BK263" s="1"/>
    </row>
    <row r="264" spans="1:63" s="78" customFormat="1" ht="12" customHeight="1" x14ac:dyDescent="0.2">
      <c r="A264" s="66" t="s">
        <v>29906</v>
      </c>
      <c r="B264" s="66">
        <v>17</v>
      </c>
      <c r="C264" s="66" t="s">
        <v>114</v>
      </c>
      <c r="D264" s="66" t="s">
        <v>37</v>
      </c>
      <c r="E264" s="66" t="s">
        <v>31033</v>
      </c>
      <c r="F264" s="69">
        <v>42845</v>
      </c>
      <c r="G264" s="66" t="s">
        <v>29799</v>
      </c>
      <c r="H264" s="66" t="s">
        <v>3324</v>
      </c>
      <c r="I264" s="66" t="s">
        <v>123</v>
      </c>
      <c r="J264" s="66">
        <v>85301</v>
      </c>
      <c r="K264" s="66" t="s">
        <v>633</v>
      </c>
      <c r="L264" s="66" t="s">
        <v>29800</v>
      </c>
      <c r="M264" s="66" t="s">
        <v>27</v>
      </c>
      <c r="N264" s="66" t="s">
        <v>29907</v>
      </c>
      <c r="O264" s="66" t="s">
        <v>400</v>
      </c>
      <c r="P264" s="66" t="s">
        <v>401</v>
      </c>
      <c r="Q264" s="76" t="s">
        <v>29802</v>
      </c>
      <c r="R264" s="66" t="s">
        <v>100</v>
      </c>
      <c r="S264" s="66" t="s">
        <v>18</v>
      </c>
      <c r="T264" s="77" t="s">
        <v>29760</v>
      </c>
      <c r="U264" s="77" t="s">
        <v>29441</v>
      </c>
      <c r="V264" s="77"/>
      <c r="W264" s="77" t="s">
        <v>100</v>
      </c>
      <c r="X264" s="77">
        <v>2525</v>
      </c>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BK264" s="1"/>
    </row>
    <row r="265" spans="1:63" s="78" customFormat="1" ht="12" customHeight="1" x14ac:dyDescent="0.2">
      <c r="A265" s="66" t="s">
        <v>29797</v>
      </c>
      <c r="B265" s="66">
        <v>25</v>
      </c>
      <c r="C265" s="66" t="s">
        <v>20</v>
      </c>
      <c r="D265" s="66" t="s">
        <v>48</v>
      </c>
      <c r="E265" s="76" t="s">
        <v>29798</v>
      </c>
      <c r="F265" s="69">
        <v>42845</v>
      </c>
      <c r="G265" s="66" t="s">
        <v>29799</v>
      </c>
      <c r="H265" s="66" t="s">
        <v>3324</v>
      </c>
      <c r="I265" s="66" t="s">
        <v>123</v>
      </c>
      <c r="J265" s="66">
        <v>85301</v>
      </c>
      <c r="K265" s="66" t="s">
        <v>633</v>
      </c>
      <c r="L265" s="66" t="s">
        <v>29800</v>
      </c>
      <c r="M265" s="66" t="s">
        <v>27</v>
      </c>
      <c r="N265" s="66" t="s">
        <v>29801</v>
      </c>
      <c r="O265" s="66" t="s">
        <v>400</v>
      </c>
      <c r="P265" s="66" t="s">
        <v>401</v>
      </c>
      <c r="Q265" s="76" t="s">
        <v>29802</v>
      </c>
      <c r="R265" s="66" t="s">
        <v>100</v>
      </c>
      <c r="S265" s="66" t="s">
        <v>379</v>
      </c>
      <c r="T265" s="77" t="s">
        <v>29773</v>
      </c>
      <c r="U265" s="77" t="s">
        <v>29436</v>
      </c>
      <c r="V265" s="77" t="s">
        <v>29437</v>
      </c>
      <c r="W265" s="77" t="s">
        <v>100</v>
      </c>
      <c r="X265" s="77">
        <v>2518</v>
      </c>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BK265" s="11"/>
    </row>
    <row r="266" spans="1:63" s="78" customFormat="1" ht="12" customHeight="1" x14ac:dyDescent="0.2">
      <c r="A266" s="66" t="s">
        <v>30342</v>
      </c>
      <c r="B266" s="66">
        <v>6</v>
      </c>
      <c r="C266" s="66" t="s">
        <v>20</v>
      </c>
      <c r="D266" s="66" t="s">
        <v>37</v>
      </c>
      <c r="E266" s="76" t="s">
        <v>30343</v>
      </c>
      <c r="F266" s="69">
        <v>42845</v>
      </c>
      <c r="G266" s="66" t="s">
        <v>30344</v>
      </c>
      <c r="H266" s="66" t="s">
        <v>922</v>
      </c>
      <c r="I266" s="66" t="s">
        <v>195</v>
      </c>
      <c r="J266" s="66">
        <v>87112</v>
      </c>
      <c r="K266" s="66" t="s">
        <v>467</v>
      </c>
      <c r="L266" s="66" t="s">
        <v>4961</v>
      </c>
      <c r="M266" s="66" t="s">
        <v>379</v>
      </c>
      <c r="N266" s="66" t="s">
        <v>30345</v>
      </c>
      <c r="O266" s="66" t="s">
        <v>400</v>
      </c>
      <c r="P266" s="66" t="s">
        <v>401</v>
      </c>
      <c r="Q266" s="76" t="s">
        <v>30346</v>
      </c>
      <c r="R266" s="66" t="s">
        <v>100</v>
      </c>
      <c r="S266" s="66" t="s">
        <v>379</v>
      </c>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BK266" s="1"/>
    </row>
    <row r="267" spans="1:63" s="78" customFormat="1" ht="12" customHeight="1" x14ac:dyDescent="0.2">
      <c r="A267" s="66" t="s">
        <v>30347</v>
      </c>
      <c r="B267" s="66">
        <v>30</v>
      </c>
      <c r="C267" s="66" t="s">
        <v>20</v>
      </c>
      <c r="D267" s="66" t="s">
        <v>37</v>
      </c>
      <c r="E267" s="76" t="s">
        <v>30348</v>
      </c>
      <c r="F267" s="69">
        <v>42845</v>
      </c>
      <c r="G267" s="66" t="s">
        <v>30349</v>
      </c>
      <c r="H267" s="66" t="s">
        <v>821</v>
      </c>
      <c r="I267" s="66" t="s">
        <v>32</v>
      </c>
      <c r="J267" s="66">
        <v>29483</v>
      </c>
      <c r="K267" s="66" t="s">
        <v>822</v>
      </c>
      <c r="L267" s="66" t="s">
        <v>19314</v>
      </c>
      <c r="M267" s="66" t="s">
        <v>379</v>
      </c>
      <c r="N267" s="66" t="s">
        <v>30350</v>
      </c>
      <c r="O267" s="66" t="s">
        <v>400</v>
      </c>
      <c r="P267" s="66" t="s">
        <v>401</v>
      </c>
      <c r="Q267" s="76" t="s">
        <v>30351</v>
      </c>
      <c r="R267" s="66" t="s">
        <v>100</v>
      </c>
      <c r="S267" s="66" t="s">
        <v>379</v>
      </c>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BK267" s="1"/>
    </row>
    <row r="268" spans="1:63" s="78" customFormat="1" ht="12" customHeight="1" x14ac:dyDescent="0.2">
      <c r="A268" s="66" t="s">
        <v>29975</v>
      </c>
      <c r="B268" s="66">
        <v>64</v>
      </c>
      <c r="C268" s="66" t="s">
        <v>20</v>
      </c>
      <c r="D268" s="66" t="s">
        <v>37</v>
      </c>
      <c r="E268" s="66"/>
      <c r="F268" s="69">
        <v>42845</v>
      </c>
      <c r="G268" s="66" t="s">
        <v>29976</v>
      </c>
      <c r="H268" s="66" t="s">
        <v>2132</v>
      </c>
      <c r="I268" s="66" t="s">
        <v>395</v>
      </c>
      <c r="J268" s="66">
        <v>73034</v>
      </c>
      <c r="K268" s="66" t="s">
        <v>1095</v>
      </c>
      <c r="L268" s="66" t="s">
        <v>29977</v>
      </c>
      <c r="M268" s="66" t="s">
        <v>27</v>
      </c>
      <c r="N268" s="66" t="s">
        <v>29978</v>
      </c>
      <c r="O268" s="66" t="s">
        <v>400</v>
      </c>
      <c r="P268" s="66" t="s">
        <v>401</v>
      </c>
      <c r="Q268" s="76" t="s">
        <v>29979</v>
      </c>
      <c r="R268" s="66" t="s">
        <v>29</v>
      </c>
      <c r="S268" s="66" t="s">
        <v>28</v>
      </c>
      <c r="T268" s="77" t="s">
        <v>29681</v>
      </c>
      <c r="U268" s="77" t="s">
        <v>29438</v>
      </c>
      <c r="V268" s="77" t="s">
        <v>29439</v>
      </c>
      <c r="W268" s="77" t="s">
        <v>100</v>
      </c>
      <c r="X268" s="77">
        <v>2513</v>
      </c>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row>
    <row r="269" spans="1:63" s="78" customFormat="1" ht="12" customHeight="1" x14ac:dyDescent="0.2">
      <c r="A269" s="66" t="s">
        <v>29696</v>
      </c>
      <c r="B269" s="66">
        <v>21</v>
      </c>
      <c r="C269" s="66" t="s">
        <v>20</v>
      </c>
      <c r="D269" s="66" t="s">
        <v>85</v>
      </c>
      <c r="E269" s="76" t="s">
        <v>29697</v>
      </c>
      <c r="F269" s="69">
        <v>42844</v>
      </c>
      <c r="G269" s="66" t="s">
        <v>29698</v>
      </c>
      <c r="H269" s="66" t="s">
        <v>224</v>
      </c>
      <c r="I269" s="66" t="s">
        <v>225</v>
      </c>
      <c r="J269" s="66">
        <v>19809</v>
      </c>
      <c r="K269" s="66" t="s">
        <v>3810</v>
      </c>
      <c r="L269" s="66" t="s">
        <v>29699</v>
      </c>
      <c r="M269" s="66" t="s">
        <v>27</v>
      </c>
      <c r="N269" s="66" t="s">
        <v>29700</v>
      </c>
      <c r="O269" s="66" t="s">
        <v>400</v>
      </c>
      <c r="P269" s="66" t="s">
        <v>401</v>
      </c>
      <c r="Q269" s="76" t="s">
        <v>29701</v>
      </c>
      <c r="R269" s="66" t="s">
        <v>100</v>
      </c>
      <c r="S269" s="66" t="s">
        <v>28</v>
      </c>
      <c r="T269" s="77" t="s">
        <v>29681</v>
      </c>
      <c r="U269" s="77" t="s">
        <v>29438</v>
      </c>
      <c r="V269" s="77" t="s">
        <v>21212</v>
      </c>
      <c r="W269" s="77" t="s">
        <v>555</v>
      </c>
      <c r="X269" s="77">
        <v>2514</v>
      </c>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row>
    <row r="270" spans="1:63" s="78" customFormat="1" ht="12" customHeight="1" x14ac:dyDescent="0.2">
      <c r="A270" s="66" t="s">
        <v>30056</v>
      </c>
      <c r="B270" s="66">
        <v>32</v>
      </c>
      <c r="C270" s="66" t="s">
        <v>20</v>
      </c>
      <c r="D270" s="66" t="s">
        <v>37</v>
      </c>
      <c r="E270" s="76" t="s">
        <v>30057</v>
      </c>
      <c r="F270" s="69">
        <v>42843</v>
      </c>
      <c r="G270" s="66" t="s">
        <v>30058</v>
      </c>
      <c r="H270" s="66" t="s">
        <v>30059</v>
      </c>
      <c r="I270" s="66" t="s">
        <v>150</v>
      </c>
      <c r="J270" s="66">
        <v>26802</v>
      </c>
      <c r="K270" s="66" t="s">
        <v>7515</v>
      </c>
      <c r="L270" s="66" t="s">
        <v>30060</v>
      </c>
      <c r="M270" s="66" t="s">
        <v>27</v>
      </c>
      <c r="N270" s="66" t="s">
        <v>30061</v>
      </c>
      <c r="O270" s="66" t="s">
        <v>400</v>
      </c>
      <c r="P270" s="66" t="s">
        <v>401</v>
      </c>
      <c r="Q270" s="76" t="s">
        <v>30062</v>
      </c>
      <c r="R270" s="66" t="s">
        <v>100</v>
      </c>
      <c r="S270" s="66" t="s">
        <v>379</v>
      </c>
      <c r="T270" s="77" t="s">
        <v>29773</v>
      </c>
      <c r="U270" s="77" t="s">
        <v>29438</v>
      </c>
      <c r="V270" s="77" t="s">
        <v>29437</v>
      </c>
      <c r="W270" s="77" t="s">
        <v>100</v>
      </c>
      <c r="X270" s="77">
        <v>2511</v>
      </c>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BK270" s="11"/>
    </row>
    <row r="271" spans="1:63" s="78" customFormat="1" ht="12" customHeight="1" x14ac:dyDescent="0.2">
      <c r="A271" s="66" t="s">
        <v>30036</v>
      </c>
      <c r="B271" s="66">
        <v>47</v>
      </c>
      <c r="C271" s="66" t="s">
        <v>20</v>
      </c>
      <c r="D271" s="66" t="s">
        <v>37</v>
      </c>
      <c r="E271" s="66"/>
      <c r="F271" s="69">
        <v>42841</v>
      </c>
      <c r="G271" s="66" t="s">
        <v>30037</v>
      </c>
      <c r="H271" s="66" t="s">
        <v>3592</v>
      </c>
      <c r="I271" s="66" t="s">
        <v>133</v>
      </c>
      <c r="J271" s="66">
        <v>55110</v>
      </c>
      <c r="K271" s="66" t="s">
        <v>3594</v>
      </c>
      <c r="L271" s="66" t="s">
        <v>30038</v>
      </c>
      <c r="M271" s="66" t="s">
        <v>27</v>
      </c>
      <c r="N271" s="66" t="s">
        <v>30039</v>
      </c>
      <c r="O271" s="66" t="s">
        <v>400</v>
      </c>
      <c r="P271" s="66" t="s">
        <v>401</v>
      </c>
      <c r="Q271" s="76" t="s">
        <v>30040</v>
      </c>
      <c r="R271" s="66" t="s">
        <v>100</v>
      </c>
      <c r="S271" s="66" t="s">
        <v>35</v>
      </c>
      <c r="T271" s="77" t="s">
        <v>29441</v>
      </c>
      <c r="U271" s="77" t="s">
        <v>29441</v>
      </c>
      <c r="V271" s="77" t="s">
        <v>29439</v>
      </c>
      <c r="W271" s="77" t="s">
        <v>100</v>
      </c>
      <c r="X271" s="77">
        <v>2508</v>
      </c>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BK271" s="70"/>
    </row>
    <row r="272" spans="1:63" s="78" customFormat="1" ht="12" customHeight="1" x14ac:dyDescent="0.2">
      <c r="A272" s="66" t="s">
        <v>29691</v>
      </c>
      <c r="B272" s="66">
        <v>33</v>
      </c>
      <c r="C272" s="66" t="s">
        <v>20</v>
      </c>
      <c r="D272" s="66" t="s">
        <v>85</v>
      </c>
      <c r="E272" s="66"/>
      <c r="F272" s="69">
        <v>42840</v>
      </c>
      <c r="G272" s="66" t="s">
        <v>29692</v>
      </c>
      <c r="H272" s="66" t="s">
        <v>25020</v>
      </c>
      <c r="I272" s="66" t="s">
        <v>978</v>
      </c>
      <c r="J272" s="66">
        <v>72301</v>
      </c>
      <c r="K272" s="66" t="s">
        <v>5706</v>
      </c>
      <c r="L272" s="66" t="s">
        <v>29693</v>
      </c>
      <c r="M272" s="66" t="s">
        <v>27</v>
      </c>
      <c r="N272" s="66" t="s">
        <v>29694</v>
      </c>
      <c r="O272" s="66" t="s">
        <v>400</v>
      </c>
      <c r="P272" s="66" t="s">
        <v>401</v>
      </c>
      <c r="Q272" s="76" t="s">
        <v>29695</v>
      </c>
      <c r="R272" s="66" t="s">
        <v>100</v>
      </c>
      <c r="S272" s="66" t="s">
        <v>28</v>
      </c>
      <c r="T272" s="77" t="s">
        <v>29681</v>
      </c>
      <c r="U272" s="77" t="s">
        <v>29438</v>
      </c>
      <c r="V272" s="77"/>
      <c r="W272" s="77" t="s">
        <v>100</v>
      </c>
      <c r="X272" s="77">
        <v>2506</v>
      </c>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row>
    <row r="273" spans="1:63" s="78" customFormat="1" ht="12" customHeight="1" x14ac:dyDescent="0.2">
      <c r="A273" s="66" t="s">
        <v>29898</v>
      </c>
      <c r="B273" s="66">
        <v>56</v>
      </c>
      <c r="C273" s="66" t="s">
        <v>20</v>
      </c>
      <c r="D273" s="66" t="s">
        <v>30</v>
      </c>
      <c r="E273" s="66"/>
      <c r="F273" s="69">
        <v>42840</v>
      </c>
      <c r="G273" s="66" t="s">
        <v>29899</v>
      </c>
      <c r="H273" s="66" t="s">
        <v>9558</v>
      </c>
      <c r="I273" s="66" t="s">
        <v>45</v>
      </c>
      <c r="J273" s="66">
        <v>92663</v>
      </c>
      <c r="K273" s="66" t="s">
        <v>1061</v>
      </c>
      <c r="L273" s="66" t="s">
        <v>9560</v>
      </c>
      <c r="M273" s="66" t="s">
        <v>27</v>
      </c>
      <c r="N273" s="66" t="s">
        <v>29900</v>
      </c>
      <c r="O273" s="66" t="s">
        <v>400</v>
      </c>
      <c r="P273" s="66" t="s">
        <v>401</v>
      </c>
      <c r="Q273" s="76" t="s">
        <v>29901</v>
      </c>
      <c r="R273" s="66" t="s">
        <v>100</v>
      </c>
      <c r="S273" s="66" t="s">
        <v>28</v>
      </c>
      <c r="T273" s="77" t="s">
        <v>29674</v>
      </c>
      <c r="U273" s="77" t="s">
        <v>29436</v>
      </c>
      <c r="V273" s="77" t="s">
        <v>29439</v>
      </c>
      <c r="W273" s="77" t="s">
        <v>100</v>
      </c>
      <c r="X273" s="77">
        <v>2509</v>
      </c>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row>
    <row r="274" spans="1:63" s="78" customFormat="1" ht="12" customHeight="1" x14ac:dyDescent="0.2">
      <c r="A274" s="66" t="s">
        <v>29786</v>
      </c>
      <c r="B274" s="66">
        <v>16</v>
      </c>
      <c r="C274" s="66" t="s">
        <v>20</v>
      </c>
      <c r="D274" s="66" t="s">
        <v>48</v>
      </c>
      <c r="E274" s="76" t="s">
        <v>29787</v>
      </c>
      <c r="F274" s="69">
        <v>42840</v>
      </c>
      <c r="G274" s="66" t="s">
        <v>29788</v>
      </c>
      <c r="H274" s="66" t="s">
        <v>200</v>
      </c>
      <c r="I274" s="66" t="s">
        <v>45</v>
      </c>
      <c r="J274" s="66">
        <v>93726</v>
      </c>
      <c r="K274" s="66" t="s">
        <v>200</v>
      </c>
      <c r="L274" s="66" t="s">
        <v>201</v>
      </c>
      <c r="M274" s="66" t="s">
        <v>27</v>
      </c>
      <c r="N274" s="66" t="s">
        <v>29789</v>
      </c>
      <c r="O274" s="66" t="s">
        <v>400</v>
      </c>
      <c r="P274" s="66" t="s">
        <v>401</v>
      </c>
      <c r="Q274" s="76" t="s">
        <v>29790</v>
      </c>
      <c r="R274" s="66" t="s">
        <v>100</v>
      </c>
      <c r="S274" s="66" t="s">
        <v>35</v>
      </c>
      <c r="T274" s="77" t="s">
        <v>29441</v>
      </c>
      <c r="U274" s="77" t="s">
        <v>29441</v>
      </c>
      <c r="V274" s="77" t="s">
        <v>29439</v>
      </c>
      <c r="W274" s="77" t="s">
        <v>555</v>
      </c>
      <c r="X274" s="77">
        <v>2520</v>
      </c>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BK274" s="70"/>
    </row>
    <row r="275" spans="1:63" s="78" customFormat="1" ht="12" customHeight="1" x14ac:dyDescent="0.2">
      <c r="A275" s="66" t="s">
        <v>30186</v>
      </c>
      <c r="B275" s="66">
        <v>42</v>
      </c>
      <c r="C275" s="66" t="s">
        <v>20</v>
      </c>
      <c r="D275" s="66" t="s">
        <v>85</v>
      </c>
      <c r="E275" s="66"/>
      <c r="F275" s="69">
        <v>42840</v>
      </c>
      <c r="G275" s="66" t="s">
        <v>30187</v>
      </c>
      <c r="H275" s="66" t="s">
        <v>723</v>
      </c>
      <c r="I275" s="66" t="s">
        <v>73</v>
      </c>
      <c r="J275" s="66">
        <v>77045</v>
      </c>
      <c r="K275" s="66" t="s">
        <v>558</v>
      </c>
      <c r="L275" s="66" t="s">
        <v>724</v>
      </c>
      <c r="M275" s="66" t="s">
        <v>391</v>
      </c>
      <c r="N275" s="66" t="s">
        <v>30188</v>
      </c>
      <c r="O275" s="66" t="s">
        <v>400</v>
      </c>
      <c r="P275" s="66" t="s">
        <v>401</v>
      </c>
      <c r="Q275" s="76" t="s">
        <v>30189</v>
      </c>
      <c r="R275" s="66" t="s">
        <v>555</v>
      </c>
      <c r="S275" s="66" t="s">
        <v>18</v>
      </c>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BK275" s="1"/>
    </row>
    <row r="276" spans="1:63" s="78" customFormat="1" ht="12" customHeight="1" x14ac:dyDescent="0.2">
      <c r="A276" s="66" t="s">
        <v>29812</v>
      </c>
      <c r="B276" s="66">
        <v>24</v>
      </c>
      <c r="C276" s="66" t="s">
        <v>20</v>
      </c>
      <c r="D276" s="66" t="s">
        <v>139</v>
      </c>
      <c r="E276" s="66"/>
      <c r="F276" s="69">
        <v>42839</v>
      </c>
      <c r="G276" s="66" t="s">
        <v>29813</v>
      </c>
      <c r="H276" s="66" t="s">
        <v>29814</v>
      </c>
      <c r="I276" s="66" t="s">
        <v>1716</v>
      </c>
      <c r="J276" s="66">
        <v>58554</v>
      </c>
      <c r="K276" s="66" t="s">
        <v>29815</v>
      </c>
      <c r="L276" s="66" t="s">
        <v>29816</v>
      </c>
      <c r="M276" s="66" t="s">
        <v>27</v>
      </c>
      <c r="N276" s="66" t="s">
        <v>29817</v>
      </c>
      <c r="O276" s="66" t="s">
        <v>400</v>
      </c>
      <c r="P276" s="66" t="s">
        <v>401</v>
      </c>
      <c r="Q276" s="76" t="s">
        <v>29818</v>
      </c>
      <c r="R276" s="66" t="s">
        <v>100</v>
      </c>
      <c r="S276" s="66" t="s">
        <v>28</v>
      </c>
      <c r="T276" s="77" t="s">
        <v>29674</v>
      </c>
      <c r="U276" s="77" t="s">
        <v>29436</v>
      </c>
      <c r="V276" s="77" t="s">
        <v>29439</v>
      </c>
      <c r="W276" s="77" t="s">
        <v>100</v>
      </c>
      <c r="X276" s="77">
        <v>2503</v>
      </c>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row>
    <row r="277" spans="1:63" s="78" customFormat="1" ht="12" customHeight="1" x14ac:dyDescent="0.2">
      <c r="A277" s="66" t="s">
        <v>29971</v>
      </c>
      <c r="B277" s="66">
        <v>33</v>
      </c>
      <c r="C277" s="66" t="s">
        <v>20</v>
      </c>
      <c r="D277" s="66" t="s">
        <v>37</v>
      </c>
      <c r="E277" s="66"/>
      <c r="F277" s="69">
        <v>42839</v>
      </c>
      <c r="G277" s="66" t="s">
        <v>29972</v>
      </c>
      <c r="H277" s="66" t="s">
        <v>882</v>
      </c>
      <c r="I277" s="66" t="s">
        <v>303</v>
      </c>
      <c r="J277" s="66">
        <v>98445</v>
      </c>
      <c r="K277" s="66" t="s">
        <v>883</v>
      </c>
      <c r="L277" s="66" t="s">
        <v>21836</v>
      </c>
      <c r="M277" s="66" t="s">
        <v>27</v>
      </c>
      <c r="N277" s="66" t="s">
        <v>29973</v>
      </c>
      <c r="O277" s="66" t="s">
        <v>400</v>
      </c>
      <c r="P277" s="66" t="s">
        <v>401</v>
      </c>
      <c r="Q277" s="76" t="s">
        <v>29974</v>
      </c>
      <c r="R277" s="66" t="s">
        <v>100</v>
      </c>
      <c r="S277" s="66" t="s">
        <v>28</v>
      </c>
      <c r="T277" s="77" t="s">
        <v>29681</v>
      </c>
      <c r="U277" s="77" t="s">
        <v>29441</v>
      </c>
      <c r="V277" s="77" t="s">
        <v>29437</v>
      </c>
      <c r="W277" s="77" t="s">
        <v>100</v>
      </c>
      <c r="X277" s="77">
        <v>2502</v>
      </c>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row>
    <row r="278" spans="1:63" s="78" customFormat="1" ht="12" customHeight="1" x14ac:dyDescent="0.2">
      <c r="A278" s="66" t="s">
        <v>3252</v>
      </c>
      <c r="B278" s="66" t="s">
        <v>29</v>
      </c>
      <c r="C278" s="66" t="s">
        <v>20</v>
      </c>
      <c r="D278" s="66" t="s">
        <v>30</v>
      </c>
      <c r="E278" s="66"/>
      <c r="F278" s="69">
        <v>42839</v>
      </c>
      <c r="G278" s="66" t="s">
        <v>30121</v>
      </c>
      <c r="H278" s="66" t="s">
        <v>12180</v>
      </c>
      <c r="I278" s="66" t="s">
        <v>81</v>
      </c>
      <c r="J278" s="66">
        <v>7514</v>
      </c>
      <c r="K278" s="66" t="s">
        <v>9477</v>
      </c>
      <c r="L278" s="66" t="s">
        <v>12182</v>
      </c>
      <c r="M278" s="66" t="s">
        <v>27</v>
      </c>
      <c r="N278" s="66" t="s">
        <v>30122</v>
      </c>
      <c r="O278" s="66" t="s">
        <v>400</v>
      </c>
      <c r="P278" s="66" t="s">
        <v>401</v>
      </c>
      <c r="Q278" s="76" t="s">
        <v>30123</v>
      </c>
      <c r="R278" s="66" t="s">
        <v>555</v>
      </c>
      <c r="S278" s="66" t="s">
        <v>28</v>
      </c>
      <c r="T278" s="77" t="s">
        <v>29681</v>
      </c>
      <c r="U278" s="77" t="s">
        <v>29438</v>
      </c>
      <c r="V278" s="77" t="s">
        <v>29439</v>
      </c>
      <c r="W278" s="77" t="s">
        <v>100</v>
      </c>
      <c r="X278" s="77">
        <v>2505</v>
      </c>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row>
    <row r="279" spans="1:63" s="78" customFormat="1" ht="12" customHeight="1" x14ac:dyDescent="0.2">
      <c r="A279" s="66" t="s">
        <v>29908</v>
      </c>
      <c r="B279" s="66">
        <v>57</v>
      </c>
      <c r="C279" s="66" t="s">
        <v>20</v>
      </c>
      <c r="D279" s="66" t="s">
        <v>30</v>
      </c>
      <c r="E279" s="66"/>
      <c r="F279" s="69">
        <v>42838</v>
      </c>
      <c r="G279" s="66" t="s">
        <v>29909</v>
      </c>
      <c r="H279" s="66" t="s">
        <v>29910</v>
      </c>
      <c r="I279" s="66" t="s">
        <v>41</v>
      </c>
      <c r="J279" s="66">
        <v>6078</v>
      </c>
      <c r="K279" s="66" t="s">
        <v>849</v>
      </c>
      <c r="L279" s="66" t="s">
        <v>29911</v>
      </c>
      <c r="M279" s="66" t="s">
        <v>27</v>
      </c>
      <c r="N279" s="66" t="s">
        <v>29912</v>
      </c>
      <c r="O279" s="66" t="s">
        <v>400</v>
      </c>
      <c r="P279" s="66" t="s">
        <v>401</v>
      </c>
      <c r="Q279" s="76" t="s">
        <v>29913</v>
      </c>
      <c r="R279" s="66" t="s">
        <v>100</v>
      </c>
      <c r="S279" s="66" t="s">
        <v>35</v>
      </c>
      <c r="T279" s="77" t="s">
        <v>29441</v>
      </c>
      <c r="U279" s="77" t="s">
        <v>29441</v>
      </c>
      <c r="V279" s="77"/>
      <c r="W279" s="77" t="s">
        <v>100</v>
      </c>
      <c r="X279" s="77">
        <v>2501</v>
      </c>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BK279" s="70"/>
    </row>
    <row r="280" spans="1:63" s="78" customFormat="1" ht="12" customHeight="1" x14ac:dyDescent="0.2">
      <c r="A280" s="66" t="s">
        <v>30316</v>
      </c>
      <c r="B280" s="66">
        <v>33</v>
      </c>
      <c r="C280" s="66" t="s">
        <v>20</v>
      </c>
      <c r="D280" s="66" t="s">
        <v>37</v>
      </c>
      <c r="E280" s="76" t="s">
        <v>30317</v>
      </c>
      <c r="F280" s="69">
        <v>42838</v>
      </c>
      <c r="G280" s="66" t="s">
        <v>30318</v>
      </c>
      <c r="H280" s="66" t="s">
        <v>12331</v>
      </c>
      <c r="I280" s="66" t="s">
        <v>319</v>
      </c>
      <c r="J280" s="66">
        <v>38583</v>
      </c>
      <c r="K280" s="66" t="s">
        <v>37</v>
      </c>
      <c r="L280" s="66" t="s">
        <v>30319</v>
      </c>
      <c r="M280" s="66" t="s">
        <v>27</v>
      </c>
      <c r="N280" s="66" t="s">
        <v>30320</v>
      </c>
      <c r="O280" s="66" t="s">
        <v>400</v>
      </c>
      <c r="P280" s="66" t="s">
        <v>401</v>
      </c>
      <c r="Q280" s="76" t="s">
        <v>30321</v>
      </c>
      <c r="R280" s="66" t="s">
        <v>100</v>
      </c>
      <c r="S280" s="66" t="s">
        <v>379</v>
      </c>
      <c r="T280" s="77"/>
      <c r="U280" s="77"/>
      <c r="V280" s="77"/>
      <c r="W280" s="77"/>
      <c r="X280" s="77"/>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BK280" s="11"/>
    </row>
    <row r="281" spans="1:63" s="78" customFormat="1" ht="12" customHeight="1" x14ac:dyDescent="0.2">
      <c r="A281" s="66" t="s">
        <v>29685</v>
      </c>
      <c r="B281" s="66">
        <v>28</v>
      </c>
      <c r="C281" s="66" t="s">
        <v>20</v>
      </c>
      <c r="D281" s="66" t="s">
        <v>85</v>
      </c>
      <c r="E281" s="76" t="s">
        <v>29686</v>
      </c>
      <c r="F281" s="69">
        <v>42837</v>
      </c>
      <c r="G281" s="66" t="s">
        <v>29687</v>
      </c>
      <c r="H281" s="66" t="s">
        <v>98</v>
      </c>
      <c r="I281" s="66" t="s">
        <v>45</v>
      </c>
      <c r="J281" s="66">
        <v>90002</v>
      </c>
      <c r="K281" s="66" t="s">
        <v>98</v>
      </c>
      <c r="L281" s="66" t="s">
        <v>29688</v>
      </c>
      <c r="M281" s="66" t="s">
        <v>27</v>
      </c>
      <c r="N281" s="66" t="s">
        <v>29689</v>
      </c>
      <c r="O281" s="66" t="s">
        <v>400</v>
      </c>
      <c r="P281" s="66" t="s">
        <v>401</v>
      </c>
      <c r="Q281" s="76" t="s">
        <v>29690</v>
      </c>
      <c r="R281" s="66" t="s">
        <v>100</v>
      </c>
      <c r="S281" s="66" t="s">
        <v>28</v>
      </c>
      <c r="T281" s="77" t="s">
        <v>29681</v>
      </c>
      <c r="U281" s="77" t="s">
        <v>29436</v>
      </c>
      <c r="V281" s="77" t="s">
        <v>29439</v>
      </c>
      <c r="W281" s="77" t="s">
        <v>100</v>
      </c>
      <c r="X281" s="77">
        <v>2496</v>
      </c>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row>
    <row r="282" spans="1:63" s="78" customFormat="1" ht="12" customHeight="1" x14ac:dyDescent="0.2">
      <c r="A282" s="66" t="s">
        <v>29965</v>
      </c>
      <c r="B282" s="66">
        <v>25</v>
      </c>
      <c r="C282" s="66" t="s">
        <v>20</v>
      </c>
      <c r="D282" s="66" t="s">
        <v>37</v>
      </c>
      <c r="E282" s="76" t="s">
        <v>29966</v>
      </c>
      <c r="F282" s="69">
        <v>42837</v>
      </c>
      <c r="G282" s="66" t="s">
        <v>29967</v>
      </c>
      <c r="H282" s="66" t="s">
        <v>29968</v>
      </c>
      <c r="I282" s="66" t="s">
        <v>363</v>
      </c>
      <c r="J282" s="66">
        <v>67146</v>
      </c>
      <c r="K282" s="66" t="s">
        <v>5515</v>
      </c>
      <c r="L282" s="66" t="s">
        <v>25149</v>
      </c>
      <c r="M282" s="66" t="s">
        <v>27</v>
      </c>
      <c r="N282" s="66" t="s">
        <v>29969</v>
      </c>
      <c r="O282" s="66" t="s">
        <v>400</v>
      </c>
      <c r="P282" s="66" t="s">
        <v>401</v>
      </c>
      <c r="Q282" s="76" t="s">
        <v>29970</v>
      </c>
      <c r="R282" s="66" t="s">
        <v>100</v>
      </c>
      <c r="S282" s="66" t="s">
        <v>28</v>
      </c>
      <c r="T282" s="77" t="s">
        <v>29681</v>
      </c>
      <c r="U282" s="77" t="s">
        <v>29438</v>
      </c>
      <c r="V282" s="77" t="s">
        <v>29437</v>
      </c>
      <c r="W282" s="77" t="s">
        <v>100</v>
      </c>
      <c r="X282" s="77">
        <v>2500</v>
      </c>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row>
    <row r="283" spans="1:63" s="78" customFormat="1" ht="12" customHeight="1" x14ac:dyDescent="0.2">
      <c r="A283" s="66" t="s">
        <v>8476</v>
      </c>
      <c r="B283" s="66">
        <v>25</v>
      </c>
      <c r="C283" s="66" t="s">
        <v>20</v>
      </c>
      <c r="D283" s="66" t="s">
        <v>85</v>
      </c>
      <c r="E283" s="76" t="s">
        <v>30182</v>
      </c>
      <c r="F283" s="69">
        <v>42837</v>
      </c>
      <c r="G283" s="66" t="s">
        <v>30183</v>
      </c>
      <c r="H283" s="66" t="s">
        <v>4313</v>
      </c>
      <c r="I283" s="66" t="s">
        <v>404</v>
      </c>
      <c r="J283" s="66">
        <v>19601</v>
      </c>
      <c r="K283" s="66" t="s">
        <v>4314</v>
      </c>
      <c r="L283" s="66" t="s">
        <v>28162</v>
      </c>
      <c r="M283" s="66" t="s">
        <v>391</v>
      </c>
      <c r="N283" s="66" t="s">
        <v>30184</v>
      </c>
      <c r="O283" s="66" t="s">
        <v>400</v>
      </c>
      <c r="P283" s="66" t="s">
        <v>401</v>
      </c>
      <c r="Q283" s="76" t="s">
        <v>30185</v>
      </c>
      <c r="R283" s="66" t="s">
        <v>100</v>
      </c>
      <c r="S283" s="66" t="s">
        <v>18</v>
      </c>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BK283" s="1"/>
    </row>
    <row r="284" spans="1:63" s="78" customFormat="1" ht="12" customHeight="1" x14ac:dyDescent="0.2">
      <c r="A284" s="66" t="s">
        <v>30051</v>
      </c>
      <c r="B284" s="66">
        <v>38</v>
      </c>
      <c r="C284" s="66" t="s">
        <v>20</v>
      </c>
      <c r="D284" s="66" t="s">
        <v>37</v>
      </c>
      <c r="E284" s="76" t="s">
        <v>30052</v>
      </c>
      <c r="F284" s="69">
        <v>42837</v>
      </c>
      <c r="G284" s="66" t="s">
        <v>30053</v>
      </c>
      <c r="H284" s="66" t="s">
        <v>6557</v>
      </c>
      <c r="I284" s="66" t="s">
        <v>123</v>
      </c>
      <c r="J284" s="66">
        <v>85392</v>
      </c>
      <c r="K284" s="66" t="s">
        <v>633</v>
      </c>
      <c r="L284" s="66" t="s">
        <v>634</v>
      </c>
      <c r="M284" s="66" t="s">
        <v>27</v>
      </c>
      <c r="N284" s="66" t="s">
        <v>30054</v>
      </c>
      <c r="O284" s="66" t="s">
        <v>400</v>
      </c>
      <c r="P284" s="66" t="s">
        <v>401</v>
      </c>
      <c r="Q284" s="76" t="s">
        <v>30055</v>
      </c>
      <c r="R284" s="66" t="s">
        <v>100</v>
      </c>
      <c r="S284" s="66" t="s">
        <v>379</v>
      </c>
      <c r="T284" s="77" t="s">
        <v>29773</v>
      </c>
      <c r="U284" s="77" t="s">
        <v>29436</v>
      </c>
      <c r="V284" s="77" t="s">
        <v>29439</v>
      </c>
      <c r="W284" s="77" t="s">
        <v>100</v>
      </c>
      <c r="X284" s="77">
        <v>2499</v>
      </c>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BK284" s="11"/>
    </row>
    <row r="285" spans="1:63" s="78" customFormat="1" ht="12" customHeight="1" x14ac:dyDescent="0.2">
      <c r="A285" s="66" t="s">
        <v>3252</v>
      </c>
      <c r="B285" s="66">
        <v>39</v>
      </c>
      <c r="C285" s="66" t="s">
        <v>20</v>
      </c>
      <c r="D285" s="66" t="s">
        <v>85</v>
      </c>
      <c r="E285" s="66"/>
      <c r="F285" s="69">
        <v>42835</v>
      </c>
      <c r="G285" s="66" t="s">
        <v>29682</v>
      </c>
      <c r="H285" s="66" t="s">
        <v>723</v>
      </c>
      <c r="I285" s="66" t="s">
        <v>73</v>
      </c>
      <c r="J285" s="66">
        <v>77091</v>
      </c>
      <c r="K285" s="66" t="s">
        <v>558</v>
      </c>
      <c r="L285" s="66" t="s">
        <v>724</v>
      </c>
      <c r="M285" s="66" t="s">
        <v>27</v>
      </c>
      <c r="N285" s="66" t="s">
        <v>29683</v>
      </c>
      <c r="O285" s="66" t="s">
        <v>400</v>
      </c>
      <c r="P285" s="66" t="s">
        <v>401</v>
      </c>
      <c r="Q285" s="76" t="s">
        <v>29684</v>
      </c>
      <c r="R285" s="66" t="s">
        <v>964</v>
      </c>
      <c r="S285" s="66" t="s">
        <v>28</v>
      </c>
      <c r="T285" s="77" t="s">
        <v>29681</v>
      </c>
      <c r="U285" s="77" t="s">
        <v>29436</v>
      </c>
      <c r="V285" s="77" t="s">
        <v>29440</v>
      </c>
      <c r="W285" s="77" t="s">
        <v>555</v>
      </c>
      <c r="X285" s="77">
        <v>2494</v>
      </c>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row>
    <row r="286" spans="1:63" s="78" customFormat="1" ht="12" customHeight="1" x14ac:dyDescent="0.2">
      <c r="A286" s="66" t="s">
        <v>29960</v>
      </c>
      <c r="B286" s="66">
        <v>30</v>
      </c>
      <c r="C286" s="66" t="s">
        <v>20</v>
      </c>
      <c r="D286" s="66" t="s">
        <v>37</v>
      </c>
      <c r="E286" s="76" t="s">
        <v>29961</v>
      </c>
      <c r="F286" s="69">
        <v>42835</v>
      </c>
      <c r="G286" s="66" t="s">
        <v>29962</v>
      </c>
      <c r="H286" s="66" t="s">
        <v>984</v>
      </c>
      <c r="I286" s="66" t="s">
        <v>69</v>
      </c>
      <c r="J286" s="66">
        <v>44109</v>
      </c>
      <c r="K286" s="66" t="s">
        <v>105</v>
      </c>
      <c r="L286" s="66" t="s">
        <v>3452</v>
      </c>
      <c r="M286" s="66" t="s">
        <v>27</v>
      </c>
      <c r="N286" s="66" t="s">
        <v>29963</v>
      </c>
      <c r="O286" s="66" t="s">
        <v>400</v>
      </c>
      <c r="P286" s="66" t="s">
        <v>401</v>
      </c>
      <c r="Q286" s="76" t="s">
        <v>29964</v>
      </c>
      <c r="R286" s="66" t="s">
        <v>100</v>
      </c>
      <c r="S286" s="66" t="s">
        <v>28</v>
      </c>
      <c r="T286" s="77" t="s">
        <v>29681</v>
      </c>
      <c r="U286" s="77" t="s">
        <v>29436</v>
      </c>
      <c r="V286" s="77" t="s">
        <v>29439</v>
      </c>
      <c r="W286" s="77" t="s">
        <v>100</v>
      </c>
      <c r="X286" s="77">
        <v>2493</v>
      </c>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row>
    <row r="287" spans="1:63" s="78" customFormat="1" ht="12" customHeight="1" x14ac:dyDescent="0.2">
      <c r="A287" s="66" t="s">
        <v>29835</v>
      </c>
      <c r="B287" s="66">
        <v>36</v>
      </c>
      <c r="C287" s="66" t="s">
        <v>20</v>
      </c>
      <c r="D287" s="66" t="s">
        <v>30</v>
      </c>
      <c r="E287" s="66"/>
      <c r="F287" s="69">
        <v>42834</v>
      </c>
      <c r="G287" s="66" t="s">
        <v>29836</v>
      </c>
      <c r="H287" s="66" t="s">
        <v>485</v>
      </c>
      <c r="I287" s="66" t="s">
        <v>45</v>
      </c>
      <c r="J287" s="66">
        <v>91764</v>
      </c>
      <c r="K287" s="66" t="s">
        <v>309</v>
      </c>
      <c r="L287" s="66" t="s">
        <v>486</v>
      </c>
      <c r="M287" s="66" t="s">
        <v>27</v>
      </c>
      <c r="N287" s="66" t="s">
        <v>29837</v>
      </c>
      <c r="O287" s="66" t="s">
        <v>400</v>
      </c>
      <c r="P287" s="66" t="s">
        <v>401</v>
      </c>
      <c r="Q287" s="76" t="s">
        <v>29838</v>
      </c>
      <c r="R287" s="66" t="s">
        <v>100</v>
      </c>
      <c r="S287" s="66" t="s">
        <v>28</v>
      </c>
      <c r="T287" s="77" t="s">
        <v>29681</v>
      </c>
      <c r="U287" s="77" t="s">
        <v>29436</v>
      </c>
      <c r="V287" s="77" t="s">
        <v>29439</v>
      </c>
      <c r="W287" s="77" t="s">
        <v>100</v>
      </c>
      <c r="X287" s="77">
        <v>2491</v>
      </c>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row>
    <row r="288" spans="1:63" s="78" customFormat="1" ht="12" customHeight="1" x14ac:dyDescent="0.2">
      <c r="A288" s="66" t="s">
        <v>30212</v>
      </c>
      <c r="B288" s="66">
        <v>24</v>
      </c>
      <c r="C288" s="66" t="s">
        <v>20</v>
      </c>
      <c r="D288" s="66" t="s">
        <v>30</v>
      </c>
      <c r="E288" s="66"/>
      <c r="F288" s="69">
        <v>42834</v>
      </c>
      <c r="G288" s="66" t="s">
        <v>30213</v>
      </c>
      <c r="H288" s="66" t="s">
        <v>1141</v>
      </c>
      <c r="I288" s="66" t="s">
        <v>45</v>
      </c>
      <c r="J288" s="66">
        <v>94555</v>
      </c>
      <c r="K288" s="66" t="s">
        <v>602</v>
      </c>
      <c r="L288" s="66" t="s">
        <v>1142</v>
      </c>
      <c r="M288" s="66" t="s">
        <v>27</v>
      </c>
      <c r="N288" s="66" t="s">
        <v>30214</v>
      </c>
      <c r="O288" s="66" t="s">
        <v>400</v>
      </c>
      <c r="P288" s="66" t="s">
        <v>401</v>
      </c>
      <c r="Q288" s="76" t="s">
        <v>30215</v>
      </c>
      <c r="R288" s="66" t="s">
        <v>100</v>
      </c>
      <c r="S288" s="66" t="s">
        <v>35</v>
      </c>
      <c r="T288" s="77"/>
      <c r="U288" s="77"/>
      <c r="V288" s="77"/>
      <c r="W288" s="77"/>
      <c r="X288" s="77"/>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BK288" s="70"/>
    </row>
    <row r="289" spans="1:63" s="78" customFormat="1" ht="12" customHeight="1" x14ac:dyDescent="0.2">
      <c r="A289" s="77" t="s">
        <v>29892</v>
      </c>
      <c r="B289" s="66">
        <v>36</v>
      </c>
      <c r="C289" s="66" t="s">
        <v>20</v>
      </c>
      <c r="D289" s="66" t="s">
        <v>48</v>
      </c>
      <c r="E289" s="66"/>
      <c r="F289" s="69">
        <v>42834</v>
      </c>
      <c r="G289" s="66" t="s">
        <v>29893</v>
      </c>
      <c r="H289" s="66" t="s">
        <v>29894</v>
      </c>
      <c r="I289" s="66" t="s">
        <v>45</v>
      </c>
      <c r="J289" s="66">
        <v>93060</v>
      </c>
      <c r="K289" s="66" t="s">
        <v>3235</v>
      </c>
      <c r="L289" s="66" t="s">
        <v>29895</v>
      </c>
      <c r="M289" s="66" t="s">
        <v>27</v>
      </c>
      <c r="N289" s="66" t="s">
        <v>29896</v>
      </c>
      <c r="O289" s="66" t="s">
        <v>400</v>
      </c>
      <c r="P289" s="66" t="s">
        <v>401</v>
      </c>
      <c r="Q289" s="76" t="s">
        <v>29897</v>
      </c>
      <c r="R289" s="66" t="s">
        <v>29</v>
      </c>
      <c r="S289" s="66" t="s">
        <v>28</v>
      </c>
      <c r="T289" s="77" t="s">
        <v>29674</v>
      </c>
      <c r="U289" s="77" t="s">
        <v>29441</v>
      </c>
      <c r="V289" s="77" t="s">
        <v>29439</v>
      </c>
      <c r="W289" s="77" t="s">
        <v>100</v>
      </c>
      <c r="X289" s="77">
        <v>2490</v>
      </c>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row>
    <row r="290" spans="1:63" s="78" customFormat="1" ht="12" customHeight="1" x14ac:dyDescent="0.2">
      <c r="A290" s="66" t="s">
        <v>30299</v>
      </c>
      <c r="B290" s="66">
        <v>22</v>
      </c>
      <c r="C290" s="66" t="s">
        <v>20</v>
      </c>
      <c r="D290" s="66" t="s">
        <v>30</v>
      </c>
      <c r="E290" s="66"/>
      <c r="F290" s="69">
        <v>42833</v>
      </c>
      <c r="G290" s="66" t="s">
        <v>30300</v>
      </c>
      <c r="H290" s="66" t="s">
        <v>5094</v>
      </c>
      <c r="I290" s="66" t="s">
        <v>366</v>
      </c>
      <c r="J290" s="66">
        <v>27217</v>
      </c>
      <c r="K290" s="66" t="s">
        <v>30301</v>
      </c>
      <c r="L290" s="66" t="s">
        <v>5096</v>
      </c>
      <c r="M290" s="66" t="s">
        <v>379</v>
      </c>
      <c r="N290" s="66" t="s">
        <v>30302</v>
      </c>
      <c r="O290" s="66" t="s">
        <v>1010</v>
      </c>
      <c r="P290" s="66" t="s">
        <v>401</v>
      </c>
      <c r="Q290" s="76" t="s">
        <v>30303</v>
      </c>
      <c r="R290" s="66" t="s">
        <v>100</v>
      </c>
      <c r="S290" s="66" t="s">
        <v>35</v>
      </c>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BK290" s="11"/>
    </row>
    <row r="291" spans="1:63" s="78" customFormat="1" ht="12" customHeight="1" x14ac:dyDescent="0.2">
      <c r="A291" s="66" t="s">
        <v>30014</v>
      </c>
      <c r="B291" s="66">
        <v>25</v>
      </c>
      <c r="C291" s="66" t="s">
        <v>20</v>
      </c>
      <c r="D291" s="66" t="s">
        <v>37</v>
      </c>
      <c r="E291" s="66"/>
      <c r="F291" s="69">
        <v>42833</v>
      </c>
      <c r="G291" s="66" t="s">
        <v>30015</v>
      </c>
      <c r="H291" s="66" t="s">
        <v>22998</v>
      </c>
      <c r="I291" s="66" t="s">
        <v>438</v>
      </c>
      <c r="J291" s="66">
        <v>54703</v>
      </c>
      <c r="K291" s="66" t="s">
        <v>22998</v>
      </c>
      <c r="L291" s="66" t="s">
        <v>28189</v>
      </c>
      <c r="M291" s="66" t="s">
        <v>27</v>
      </c>
      <c r="N291" s="66" t="s">
        <v>30016</v>
      </c>
      <c r="O291" s="66" t="s">
        <v>400</v>
      </c>
      <c r="P291" s="66" t="s">
        <v>401</v>
      </c>
      <c r="Q291" s="76" t="s">
        <v>30017</v>
      </c>
      <c r="R291" s="66" t="s">
        <v>29</v>
      </c>
      <c r="S291" s="66" t="s">
        <v>28</v>
      </c>
      <c r="T291" s="77" t="s">
        <v>29674</v>
      </c>
      <c r="U291" s="77" t="s">
        <v>29436</v>
      </c>
      <c r="V291" s="77" t="s">
        <v>29439</v>
      </c>
      <c r="W291" s="77" t="s">
        <v>100</v>
      </c>
      <c r="X291" s="77">
        <v>2492</v>
      </c>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row>
    <row r="292" spans="1:63" s="78" customFormat="1" ht="12" customHeight="1" x14ac:dyDescent="0.2">
      <c r="A292" s="66" t="s">
        <v>29808</v>
      </c>
      <c r="B292" s="66">
        <v>33</v>
      </c>
      <c r="C292" s="66" t="s">
        <v>20</v>
      </c>
      <c r="D292" s="66" t="s">
        <v>139</v>
      </c>
      <c r="E292" s="76" t="s">
        <v>29809</v>
      </c>
      <c r="F292" s="69">
        <v>42832</v>
      </c>
      <c r="G292" s="66"/>
      <c r="H292" s="66" t="s">
        <v>12776</v>
      </c>
      <c r="I292" s="66" t="s">
        <v>143</v>
      </c>
      <c r="J292" s="66">
        <v>57752</v>
      </c>
      <c r="K292" s="66" t="s">
        <v>24116</v>
      </c>
      <c r="L292" s="66" t="s">
        <v>27687</v>
      </c>
      <c r="M292" s="66" t="s">
        <v>27</v>
      </c>
      <c r="N292" s="66" t="s">
        <v>29810</v>
      </c>
      <c r="O292" s="66" t="s">
        <v>400</v>
      </c>
      <c r="P292" s="66" t="s">
        <v>401</v>
      </c>
      <c r="Q292" s="76" t="s">
        <v>29811</v>
      </c>
      <c r="R292" s="66" t="s">
        <v>100</v>
      </c>
      <c r="S292" s="66" t="s">
        <v>28</v>
      </c>
      <c r="T292" s="77" t="s">
        <v>29681</v>
      </c>
      <c r="U292" s="77" t="s">
        <v>29438</v>
      </c>
      <c r="V292" s="77" t="s">
        <v>29437</v>
      </c>
      <c r="W292" s="77" t="s">
        <v>100</v>
      </c>
      <c r="X292" s="77">
        <v>2495</v>
      </c>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row>
    <row r="293" spans="1:63" s="78" customFormat="1" ht="12" customHeight="1" x14ac:dyDescent="0.2">
      <c r="A293" s="66" t="s">
        <v>29675</v>
      </c>
      <c r="B293" s="66">
        <v>49</v>
      </c>
      <c r="C293" s="66" t="s">
        <v>20</v>
      </c>
      <c r="D293" s="66" t="s">
        <v>85</v>
      </c>
      <c r="E293" s="76" t="s">
        <v>29676</v>
      </c>
      <c r="F293" s="69">
        <v>42831</v>
      </c>
      <c r="G293" s="66" t="s">
        <v>29677</v>
      </c>
      <c r="H293" s="66" t="s">
        <v>29678</v>
      </c>
      <c r="I293" s="66" t="s">
        <v>62</v>
      </c>
      <c r="J293" s="66">
        <v>33771</v>
      </c>
      <c r="K293" s="66" t="s">
        <v>2309</v>
      </c>
      <c r="L293" s="66" t="s">
        <v>9832</v>
      </c>
      <c r="M293" s="66" t="s">
        <v>27</v>
      </c>
      <c r="N293" s="66" t="s">
        <v>29679</v>
      </c>
      <c r="O293" s="66" t="s">
        <v>400</v>
      </c>
      <c r="P293" s="66" t="s">
        <v>401</v>
      </c>
      <c r="Q293" s="76" t="s">
        <v>29680</v>
      </c>
      <c r="R293" s="66" t="s">
        <v>100</v>
      </c>
      <c r="S293" s="66" t="s">
        <v>28</v>
      </c>
      <c r="T293" s="77" t="s">
        <v>29681</v>
      </c>
      <c r="U293" s="77" t="s">
        <v>29438</v>
      </c>
      <c r="V293" s="77" t="s">
        <v>29439</v>
      </c>
      <c r="W293" s="77" t="s">
        <v>100</v>
      </c>
      <c r="X293" s="77">
        <v>2487</v>
      </c>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row>
    <row r="294" spans="1:63" s="78" customFormat="1" ht="12" customHeight="1" x14ac:dyDescent="0.2">
      <c r="A294" s="66" t="s">
        <v>29831</v>
      </c>
      <c r="B294" s="66">
        <v>37</v>
      </c>
      <c r="C294" s="66" t="s">
        <v>20</v>
      </c>
      <c r="D294" s="66" t="s">
        <v>30</v>
      </c>
      <c r="E294" s="66"/>
      <c r="F294" s="69">
        <v>42831</v>
      </c>
      <c r="G294" s="66" t="s">
        <v>29832</v>
      </c>
      <c r="H294" s="66" t="s">
        <v>526</v>
      </c>
      <c r="I294" s="66" t="s">
        <v>81</v>
      </c>
      <c r="J294" s="66">
        <v>7112</v>
      </c>
      <c r="K294" s="66" t="s">
        <v>528</v>
      </c>
      <c r="L294" s="66" t="s">
        <v>529</v>
      </c>
      <c r="M294" s="66" t="s">
        <v>27</v>
      </c>
      <c r="N294" s="66" t="s">
        <v>29833</v>
      </c>
      <c r="O294" s="66" t="s">
        <v>400</v>
      </c>
      <c r="P294" s="66" t="s">
        <v>401</v>
      </c>
      <c r="Q294" s="76" t="s">
        <v>29834</v>
      </c>
      <c r="R294" s="66" t="s">
        <v>100</v>
      </c>
      <c r="S294" s="66" t="s">
        <v>28</v>
      </c>
      <c r="T294" s="77" t="s">
        <v>29681</v>
      </c>
      <c r="U294" s="77" t="s">
        <v>29438</v>
      </c>
      <c r="V294" s="77" t="s">
        <v>29439</v>
      </c>
      <c r="W294" s="77" t="s">
        <v>100</v>
      </c>
      <c r="X294" s="77">
        <v>2488</v>
      </c>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row>
    <row r="295" spans="1:63" s="78" customFormat="1" ht="12" customHeight="1" x14ac:dyDescent="0.2">
      <c r="A295" s="66" t="s">
        <v>29954</v>
      </c>
      <c r="B295" s="66">
        <v>68</v>
      </c>
      <c r="C295" s="66" t="s">
        <v>20</v>
      </c>
      <c r="D295" s="66" t="s">
        <v>37</v>
      </c>
      <c r="E295" s="76" t="s">
        <v>29955</v>
      </c>
      <c r="F295" s="69">
        <v>42831</v>
      </c>
      <c r="G295" s="66" t="s">
        <v>29956</v>
      </c>
      <c r="H295" s="66" t="s">
        <v>3572</v>
      </c>
      <c r="I295" s="66" t="s">
        <v>62</v>
      </c>
      <c r="J295" s="66">
        <v>34207</v>
      </c>
      <c r="K295" s="66" t="s">
        <v>3574</v>
      </c>
      <c r="L295" s="66" t="s">
        <v>29957</v>
      </c>
      <c r="M295" s="66" t="s">
        <v>27</v>
      </c>
      <c r="N295" s="66" t="s">
        <v>29958</v>
      </c>
      <c r="O295" s="66" t="s">
        <v>400</v>
      </c>
      <c r="P295" s="66" t="s">
        <v>401</v>
      </c>
      <c r="Q295" s="76" t="s">
        <v>29959</v>
      </c>
      <c r="R295" s="66" t="s">
        <v>555</v>
      </c>
      <c r="S295" s="66" t="s">
        <v>28</v>
      </c>
      <c r="T295" s="77" t="s">
        <v>29681</v>
      </c>
      <c r="U295" s="77" t="s">
        <v>29438</v>
      </c>
      <c r="V295" s="77" t="s">
        <v>29439</v>
      </c>
      <c r="W295" s="77" t="s">
        <v>100</v>
      </c>
      <c r="X295" s="77">
        <v>2486</v>
      </c>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row>
    <row r="296" spans="1:63" s="78" customFormat="1" ht="12" customHeight="1" x14ac:dyDescent="0.2">
      <c r="A296" s="66" t="s">
        <v>30156</v>
      </c>
      <c r="B296" s="66">
        <v>38</v>
      </c>
      <c r="C296" s="66" t="s">
        <v>20</v>
      </c>
      <c r="D296" s="66" t="s">
        <v>37</v>
      </c>
      <c r="E296" s="76" t="s">
        <v>30157</v>
      </c>
      <c r="F296" s="69">
        <v>42831</v>
      </c>
      <c r="G296" s="66" t="s">
        <v>30158</v>
      </c>
      <c r="H296" s="66" t="s">
        <v>2160</v>
      </c>
      <c r="I296" s="66" t="s">
        <v>69</v>
      </c>
      <c r="J296" s="66">
        <v>44057</v>
      </c>
      <c r="K296" s="66" t="s">
        <v>1256</v>
      </c>
      <c r="L296" s="66" t="s">
        <v>1257</v>
      </c>
      <c r="M296" s="66" t="s">
        <v>27</v>
      </c>
      <c r="N296" s="66" t="s">
        <v>30159</v>
      </c>
      <c r="O296" s="66" t="s">
        <v>400</v>
      </c>
      <c r="P296" s="66" t="s">
        <v>401</v>
      </c>
      <c r="Q296" s="76" t="s">
        <v>30160</v>
      </c>
      <c r="R296" s="66" t="s">
        <v>555</v>
      </c>
      <c r="S296" s="66" t="s">
        <v>28</v>
      </c>
      <c r="T296" s="77" t="s">
        <v>29681</v>
      </c>
      <c r="U296" s="77" t="s">
        <v>29438</v>
      </c>
      <c r="V296" s="77" t="s">
        <v>29439</v>
      </c>
      <c r="W296" s="77" t="s">
        <v>100</v>
      </c>
      <c r="X296" s="77">
        <v>2485</v>
      </c>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row>
    <row r="297" spans="1:63" s="78" customFormat="1" ht="12" customHeight="1" x14ac:dyDescent="0.2">
      <c r="A297" s="66" t="s">
        <v>30111</v>
      </c>
      <c r="B297" s="66">
        <v>39</v>
      </c>
      <c r="C297" s="66" t="s">
        <v>20</v>
      </c>
      <c r="D297" s="66" t="s">
        <v>85</v>
      </c>
      <c r="E297" s="66"/>
      <c r="F297" s="69">
        <v>42831</v>
      </c>
      <c r="G297" s="66" t="s">
        <v>30112</v>
      </c>
      <c r="H297" s="66" t="s">
        <v>30113</v>
      </c>
      <c r="I297" s="66" t="s">
        <v>69</v>
      </c>
      <c r="J297" s="66">
        <v>43081</v>
      </c>
      <c r="K297" s="66" t="s">
        <v>1288</v>
      </c>
      <c r="L297" s="66" t="s">
        <v>3402</v>
      </c>
      <c r="M297" s="66" t="s">
        <v>27</v>
      </c>
      <c r="N297" s="66" t="s">
        <v>30114</v>
      </c>
      <c r="O297" s="66" t="s">
        <v>400</v>
      </c>
      <c r="P297" s="66" t="s">
        <v>401</v>
      </c>
      <c r="Q297" s="76" t="s">
        <v>30115</v>
      </c>
      <c r="R297" s="66" t="s">
        <v>555</v>
      </c>
      <c r="S297" s="66" t="s">
        <v>18</v>
      </c>
      <c r="T297" s="77" t="s">
        <v>30116</v>
      </c>
      <c r="U297" s="77" t="s">
        <v>29438</v>
      </c>
      <c r="V297" s="77" t="s">
        <v>29439</v>
      </c>
      <c r="W297" s="77" t="s">
        <v>100</v>
      </c>
      <c r="X297" s="77">
        <v>2484</v>
      </c>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BK297" s="1"/>
    </row>
    <row r="298" spans="1:63" s="78" customFormat="1" ht="12" customHeight="1" x14ac:dyDescent="0.2">
      <c r="A298" s="66" t="s">
        <v>29774</v>
      </c>
      <c r="B298" s="66">
        <v>19</v>
      </c>
      <c r="C298" s="66" t="s">
        <v>20</v>
      </c>
      <c r="D298" s="66" t="s">
        <v>48</v>
      </c>
      <c r="E298" s="76" t="s">
        <v>29775</v>
      </c>
      <c r="F298" s="69">
        <v>42830</v>
      </c>
      <c r="G298" s="66" t="s">
        <v>29776</v>
      </c>
      <c r="H298" s="66" t="s">
        <v>29777</v>
      </c>
      <c r="I298" s="66" t="s">
        <v>217</v>
      </c>
      <c r="J298" s="66">
        <v>46526</v>
      </c>
      <c r="K298" s="66" t="s">
        <v>7082</v>
      </c>
      <c r="L298" s="66" t="s">
        <v>29778</v>
      </c>
      <c r="M298" s="66" t="s">
        <v>27</v>
      </c>
      <c r="N298" s="66" t="s">
        <v>29779</v>
      </c>
      <c r="O298" s="66" t="s">
        <v>400</v>
      </c>
      <c r="P298" s="66" t="s">
        <v>401</v>
      </c>
      <c r="Q298" s="76" t="s">
        <v>29780</v>
      </c>
      <c r="R298" s="66" t="s">
        <v>100</v>
      </c>
      <c r="S298" s="66" t="s">
        <v>28</v>
      </c>
      <c r="T298" s="77" t="s">
        <v>29681</v>
      </c>
      <c r="U298" s="77" t="s">
        <v>29438</v>
      </c>
      <c r="V298" s="77" t="s">
        <v>29437</v>
      </c>
      <c r="W298" s="77" t="s">
        <v>100</v>
      </c>
      <c r="X298" s="77">
        <v>2482</v>
      </c>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row>
    <row r="299" spans="1:63" s="78" customFormat="1" ht="12" customHeight="1" x14ac:dyDescent="0.2">
      <c r="A299" s="66" t="s">
        <v>26554</v>
      </c>
      <c r="B299" s="66" t="s">
        <v>29</v>
      </c>
      <c r="C299" s="66" t="s">
        <v>20</v>
      </c>
      <c r="D299" s="66" t="s">
        <v>30</v>
      </c>
      <c r="E299" s="66"/>
      <c r="F299" s="69">
        <v>42830</v>
      </c>
      <c r="G299" s="66" t="s">
        <v>30295</v>
      </c>
      <c r="H299" s="66" t="s">
        <v>723</v>
      </c>
      <c r="I299" s="66" t="s">
        <v>73</v>
      </c>
      <c r="J299" s="66">
        <v>77049</v>
      </c>
      <c r="K299" s="66" t="s">
        <v>558</v>
      </c>
      <c r="L299" s="66" t="s">
        <v>30296</v>
      </c>
      <c r="M299" s="66" t="s">
        <v>379</v>
      </c>
      <c r="N299" s="66" t="s">
        <v>30297</v>
      </c>
      <c r="O299" s="66" t="s">
        <v>1010</v>
      </c>
      <c r="P299" s="66" t="s">
        <v>401</v>
      </c>
      <c r="Q299" s="76" t="s">
        <v>30298</v>
      </c>
      <c r="R299" s="66" t="s">
        <v>100</v>
      </c>
      <c r="S299" s="66" t="s">
        <v>379</v>
      </c>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BK299" s="1"/>
    </row>
    <row r="300" spans="1:63" s="78" customFormat="1" ht="12" customHeight="1" x14ac:dyDescent="0.2">
      <c r="A300" s="66" t="s">
        <v>30068</v>
      </c>
      <c r="B300" s="66">
        <v>22</v>
      </c>
      <c r="C300" s="66" t="s">
        <v>20</v>
      </c>
      <c r="D300" s="66" t="s">
        <v>37</v>
      </c>
      <c r="E300" s="76" t="s">
        <v>30069</v>
      </c>
      <c r="F300" s="69">
        <v>42830</v>
      </c>
      <c r="G300" s="66" t="s">
        <v>30070</v>
      </c>
      <c r="H300" s="66" t="s">
        <v>9752</v>
      </c>
      <c r="I300" s="66" t="s">
        <v>978</v>
      </c>
      <c r="J300" s="66">
        <v>72211</v>
      </c>
      <c r="K300" s="66" t="s">
        <v>2495</v>
      </c>
      <c r="L300" s="66" t="s">
        <v>9754</v>
      </c>
      <c r="M300" s="66" t="s">
        <v>27</v>
      </c>
      <c r="N300" s="66" t="s">
        <v>30071</v>
      </c>
      <c r="O300" s="66" t="s">
        <v>400</v>
      </c>
      <c r="P300" s="66" t="s">
        <v>401</v>
      </c>
      <c r="Q300" s="76" t="s">
        <v>30072</v>
      </c>
      <c r="R300" s="66" t="s">
        <v>100</v>
      </c>
      <c r="S300" s="66" t="s">
        <v>379</v>
      </c>
      <c r="T300" s="77" t="s">
        <v>29773</v>
      </c>
      <c r="U300" s="77" t="s">
        <v>29436</v>
      </c>
      <c r="V300" s="77"/>
      <c r="W300" s="77" t="s">
        <v>100</v>
      </c>
      <c r="X300" s="77">
        <v>2483</v>
      </c>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BK300" s="11"/>
    </row>
    <row r="301" spans="1:63" s="78" customFormat="1" ht="12" customHeight="1" x14ac:dyDescent="0.2">
      <c r="A301" s="66" t="s">
        <v>29948</v>
      </c>
      <c r="B301" s="66">
        <v>65</v>
      </c>
      <c r="C301" s="66" t="s">
        <v>20</v>
      </c>
      <c r="D301" s="66" t="s">
        <v>37</v>
      </c>
      <c r="E301" s="76" t="s">
        <v>29949</v>
      </c>
      <c r="F301" s="69">
        <v>42829</v>
      </c>
      <c r="G301" s="66" t="s">
        <v>29950</v>
      </c>
      <c r="H301" s="66" t="s">
        <v>3635</v>
      </c>
      <c r="I301" s="66" t="s">
        <v>45</v>
      </c>
      <c r="J301" s="66">
        <v>94558</v>
      </c>
      <c r="K301" s="66" t="s">
        <v>3635</v>
      </c>
      <c r="L301" s="66" t="s">
        <v>29951</v>
      </c>
      <c r="M301" s="66" t="s">
        <v>27</v>
      </c>
      <c r="N301" s="66" t="s">
        <v>29952</v>
      </c>
      <c r="O301" s="66" t="s">
        <v>400</v>
      </c>
      <c r="P301" s="66" t="s">
        <v>401</v>
      </c>
      <c r="Q301" s="76" t="s">
        <v>29953</v>
      </c>
      <c r="R301" s="66" t="s">
        <v>100</v>
      </c>
      <c r="S301" s="66" t="s">
        <v>28</v>
      </c>
      <c r="T301" s="77" t="s">
        <v>29681</v>
      </c>
      <c r="U301" s="77" t="s">
        <v>29438</v>
      </c>
      <c r="V301" s="77" t="s">
        <v>29437</v>
      </c>
      <c r="W301" s="77" t="s">
        <v>100</v>
      </c>
      <c r="X301" s="77">
        <v>2481</v>
      </c>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row>
    <row r="302" spans="1:63" s="78" customFormat="1" ht="12" customHeight="1" x14ac:dyDescent="0.2">
      <c r="A302" s="66" t="s">
        <v>29902</v>
      </c>
      <c r="B302" s="66">
        <v>47</v>
      </c>
      <c r="C302" s="66" t="s">
        <v>20</v>
      </c>
      <c r="D302" s="66" t="s">
        <v>48</v>
      </c>
      <c r="E302" s="66"/>
      <c r="F302" s="69">
        <v>42829</v>
      </c>
      <c r="G302" s="66" t="s">
        <v>29903</v>
      </c>
      <c r="H302" s="66" t="s">
        <v>679</v>
      </c>
      <c r="I302" s="66" t="s">
        <v>45</v>
      </c>
      <c r="J302" s="66">
        <v>93307</v>
      </c>
      <c r="K302" s="66" t="s">
        <v>680</v>
      </c>
      <c r="L302" s="66" t="s">
        <v>681</v>
      </c>
      <c r="M302" s="66" t="s">
        <v>27</v>
      </c>
      <c r="N302" s="66" t="s">
        <v>29904</v>
      </c>
      <c r="O302" s="66" t="s">
        <v>400</v>
      </c>
      <c r="P302" s="66" t="s">
        <v>401</v>
      </c>
      <c r="Q302" s="76" t="s">
        <v>29905</v>
      </c>
      <c r="R302" s="66" t="s">
        <v>100</v>
      </c>
      <c r="S302" s="66" t="s">
        <v>18</v>
      </c>
      <c r="T302" s="77" t="s">
        <v>29760</v>
      </c>
      <c r="U302" s="77" t="s">
        <v>29436</v>
      </c>
      <c r="V302" s="77" t="s">
        <v>29440</v>
      </c>
      <c r="W302" s="77" t="s">
        <v>100</v>
      </c>
      <c r="X302" s="77">
        <v>2479</v>
      </c>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BK302" s="1"/>
    </row>
    <row r="303" spans="1:63" s="78" customFormat="1" ht="12" customHeight="1" x14ac:dyDescent="0.2">
      <c r="A303" s="66" t="s">
        <v>30207</v>
      </c>
      <c r="B303" s="66">
        <v>15</v>
      </c>
      <c r="C303" s="66" t="s">
        <v>20</v>
      </c>
      <c r="D303" s="66" t="s">
        <v>85</v>
      </c>
      <c r="E303" s="76" t="s">
        <v>30208</v>
      </c>
      <c r="F303" s="69">
        <v>42829</v>
      </c>
      <c r="G303" s="66" t="s">
        <v>30209</v>
      </c>
      <c r="H303" s="66" t="s">
        <v>1760</v>
      </c>
      <c r="I303" s="66" t="s">
        <v>45</v>
      </c>
      <c r="J303" s="66">
        <v>95207</v>
      </c>
      <c r="K303" s="66" t="s">
        <v>1762</v>
      </c>
      <c r="L303" s="66" t="s">
        <v>1763</v>
      </c>
      <c r="M303" s="66" t="s">
        <v>379</v>
      </c>
      <c r="N303" s="66" t="s">
        <v>30210</v>
      </c>
      <c r="O303" s="66" t="s">
        <v>1010</v>
      </c>
      <c r="P303" s="66" t="s">
        <v>401</v>
      </c>
      <c r="Q303" s="76" t="s">
        <v>30211</v>
      </c>
      <c r="R303" s="66" t="s">
        <v>100</v>
      </c>
      <c r="S303" s="66" t="s">
        <v>379</v>
      </c>
      <c r="T303" s="66" t="s">
        <v>30738</v>
      </c>
      <c r="U303" s="1"/>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BK303" s="1"/>
    </row>
    <row r="304" spans="1:63" s="78" customFormat="1" ht="12" customHeight="1" x14ac:dyDescent="0.2">
      <c r="A304" s="66" t="s">
        <v>29791</v>
      </c>
      <c r="B304" s="66">
        <v>32</v>
      </c>
      <c r="C304" s="66" t="s">
        <v>20</v>
      </c>
      <c r="D304" s="66" t="s">
        <v>48</v>
      </c>
      <c r="E304" s="76" t="s">
        <v>29792</v>
      </c>
      <c r="F304" s="69">
        <v>42829</v>
      </c>
      <c r="G304" s="66" t="s">
        <v>29793</v>
      </c>
      <c r="H304" s="66" t="s">
        <v>723</v>
      </c>
      <c r="I304" s="66" t="s">
        <v>73</v>
      </c>
      <c r="J304" s="66">
        <v>77037</v>
      </c>
      <c r="K304" s="66" t="s">
        <v>558</v>
      </c>
      <c r="L304" s="66" t="s">
        <v>29794</v>
      </c>
      <c r="M304" s="66" t="s">
        <v>27</v>
      </c>
      <c r="N304" s="66" t="s">
        <v>29795</v>
      </c>
      <c r="O304" s="66" t="s">
        <v>400</v>
      </c>
      <c r="P304" s="66" t="s">
        <v>401</v>
      </c>
      <c r="Q304" s="76" t="s">
        <v>29796</v>
      </c>
      <c r="R304" s="66" t="s">
        <v>100</v>
      </c>
      <c r="S304" s="66" t="s">
        <v>379</v>
      </c>
      <c r="T304" s="77" t="s">
        <v>29773</v>
      </c>
      <c r="U304" s="77" t="s">
        <v>29438</v>
      </c>
      <c r="V304" s="77" t="s">
        <v>29437</v>
      </c>
      <c r="W304" s="77" t="s">
        <v>100</v>
      </c>
      <c r="X304" s="77">
        <v>2480</v>
      </c>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BK304" s="11"/>
    </row>
    <row r="305" spans="1:63" s="78" customFormat="1" ht="12" customHeight="1" x14ac:dyDescent="0.2">
      <c r="A305" s="66" t="s">
        <v>30290</v>
      </c>
      <c r="B305" s="66">
        <v>17</v>
      </c>
      <c r="C305" s="66" t="s">
        <v>20</v>
      </c>
      <c r="D305" s="66" t="s">
        <v>30</v>
      </c>
      <c r="E305" s="66"/>
      <c r="F305" s="69">
        <v>42829</v>
      </c>
      <c r="G305" s="66" t="s">
        <v>30209</v>
      </c>
      <c r="H305" s="66" t="s">
        <v>1760</v>
      </c>
      <c r="I305" s="66" t="s">
        <v>45</v>
      </c>
      <c r="J305" s="66">
        <v>95207</v>
      </c>
      <c r="K305" s="66" t="s">
        <v>1762</v>
      </c>
      <c r="L305" s="66" t="s">
        <v>1763</v>
      </c>
      <c r="M305" s="66" t="s">
        <v>379</v>
      </c>
      <c r="N305" s="66" t="s">
        <v>30210</v>
      </c>
      <c r="O305" s="66" t="s">
        <v>1010</v>
      </c>
      <c r="P305" s="66" t="s">
        <v>401</v>
      </c>
      <c r="Q305" s="76" t="s">
        <v>30211</v>
      </c>
      <c r="R305" s="66" t="s">
        <v>100</v>
      </c>
      <c r="S305" s="66" t="s">
        <v>379</v>
      </c>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BK305" s="1"/>
    </row>
    <row r="306" spans="1:63" s="78" customFormat="1" ht="12" customHeight="1" x14ac:dyDescent="0.2">
      <c r="A306" s="66" t="s">
        <v>30291</v>
      </c>
      <c r="B306" s="66">
        <v>24</v>
      </c>
      <c r="C306" s="66" t="s">
        <v>20</v>
      </c>
      <c r="D306" s="66" t="s">
        <v>30</v>
      </c>
      <c r="E306" s="66"/>
      <c r="F306" s="69">
        <v>42829</v>
      </c>
      <c r="G306" s="66" t="s">
        <v>30292</v>
      </c>
      <c r="H306" s="66" t="s">
        <v>9934</v>
      </c>
      <c r="I306" s="66" t="s">
        <v>52</v>
      </c>
      <c r="J306" s="66">
        <v>20678</v>
      </c>
      <c r="K306" s="66" t="s">
        <v>9936</v>
      </c>
      <c r="L306" s="66" t="s">
        <v>695</v>
      </c>
      <c r="M306" s="66" t="s">
        <v>379</v>
      </c>
      <c r="N306" s="66" t="s">
        <v>30293</v>
      </c>
      <c r="O306" s="66" t="s">
        <v>1010</v>
      </c>
      <c r="P306" s="66" t="s">
        <v>401</v>
      </c>
      <c r="Q306" s="76" t="s">
        <v>30294</v>
      </c>
      <c r="R306" s="66" t="s">
        <v>100</v>
      </c>
      <c r="S306" s="66" t="s">
        <v>379</v>
      </c>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BK306" s="1"/>
    </row>
    <row r="307" spans="1:63" s="78" customFormat="1" ht="12" customHeight="1" x14ac:dyDescent="0.2">
      <c r="A307" s="66" t="s">
        <v>30195</v>
      </c>
      <c r="B307" s="66">
        <v>28</v>
      </c>
      <c r="C307" s="66" t="s">
        <v>20</v>
      </c>
      <c r="D307" s="66" t="s">
        <v>85</v>
      </c>
      <c r="E307" s="76" t="s">
        <v>30196</v>
      </c>
      <c r="F307" s="69">
        <v>42828</v>
      </c>
      <c r="G307" s="66" t="s">
        <v>30197</v>
      </c>
      <c r="H307" s="66" t="s">
        <v>30198</v>
      </c>
      <c r="I307" s="66" t="s">
        <v>366</v>
      </c>
      <c r="J307" s="66">
        <v>27572</v>
      </c>
      <c r="K307" s="66" t="s">
        <v>1061</v>
      </c>
      <c r="L307" s="66" t="s">
        <v>30199</v>
      </c>
      <c r="M307" s="66" t="s">
        <v>379</v>
      </c>
      <c r="N307" s="66" t="s">
        <v>30200</v>
      </c>
      <c r="O307" s="66" t="s">
        <v>1010</v>
      </c>
      <c r="P307" s="66" t="s">
        <v>401</v>
      </c>
      <c r="Q307" s="76" t="s">
        <v>30201</v>
      </c>
      <c r="R307" s="66" t="s">
        <v>100</v>
      </c>
      <c r="S307" s="66" t="s">
        <v>379</v>
      </c>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BK307" s="1"/>
    </row>
    <row r="308" spans="1:63" s="78" customFormat="1" ht="12" customHeight="1" x14ac:dyDescent="0.2">
      <c r="A308" s="66" t="s">
        <v>30202</v>
      </c>
      <c r="B308" s="66">
        <v>18</v>
      </c>
      <c r="C308" s="66" t="s">
        <v>20</v>
      </c>
      <c r="D308" s="66" t="s">
        <v>85</v>
      </c>
      <c r="E308" s="76" t="s">
        <v>30203</v>
      </c>
      <c r="F308" s="69">
        <v>42828</v>
      </c>
      <c r="G308" s="66" t="s">
        <v>30204</v>
      </c>
      <c r="H308" s="66" t="s">
        <v>526</v>
      </c>
      <c r="I308" s="66" t="s">
        <v>81</v>
      </c>
      <c r="J308" s="66">
        <v>7108</v>
      </c>
      <c r="K308" s="66" t="s">
        <v>528</v>
      </c>
      <c r="L308" s="66" t="s">
        <v>529</v>
      </c>
      <c r="M308" s="66" t="s">
        <v>379</v>
      </c>
      <c r="N308" s="66" t="s">
        <v>30205</v>
      </c>
      <c r="O308" s="66" t="s">
        <v>1010</v>
      </c>
      <c r="P308" s="66" t="s">
        <v>401</v>
      </c>
      <c r="Q308" s="76" t="s">
        <v>30206</v>
      </c>
      <c r="R308" s="66" t="s">
        <v>100</v>
      </c>
      <c r="S308" s="66" t="s">
        <v>379</v>
      </c>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BK308" s="1"/>
    </row>
    <row r="309" spans="1:63" s="78" customFormat="1" ht="12" customHeight="1" x14ac:dyDescent="0.2">
      <c r="A309" s="66" t="s">
        <v>30250</v>
      </c>
      <c r="B309" s="66">
        <v>66</v>
      </c>
      <c r="C309" s="66" t="s">
        <v>20</v>
      </c>
      <c r="D309" s="66" t="s">
        <v>30</v>
      </c>
      <c r="E309" s="66"/>
      <c r="F309" s="69">
        <v>42828</v>
      </c>
      <c r="G309" s="66" t="s">
        <v>30251</v>
      </c>
      <c r="H309" s="66" t="s">
        <v>87</v>
      </c>
      <c r="I309" s="66" t="s">
        <v>44</v>
      </c>
      <c r="J309" s="66">
        <v>60628</v>
      </c>
      <c r="K309" s="66" t="s">
        <v>87</v>
      </c>
      <c r="L309" s="66" t="s">
        <v>89</v>
      </c>
      <c r="M309" s="66" t="s">
        <v>379</v>
      </c>
      <c r="N309" s="66" t="s">
        <v>30252</v>
      </c>
      <c r="O309" s="66" t="s">
        <v>400</v>
      </c>
      <c r="P309" s="66" t="s">
        <v>401</v>
      </c>
      <c r="Q309" s="76" t="s">
        <v>30253</v>
      </c>
      <c r="R309" s="66" t="s">
        <v>100</v>
      </c>
      <c r="S309" s="66" t="s">
        <v>379</v>
      </c>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BK309" s="1"/>
    </row>
    <row r="310" spans="1:63" s="78" customFormat="1" ht="12" customHeight="1" x14ac:dyDescent="0.2">
      <c r="A310" s="66" t="s">
        <v>30097</v>
      </c>
      <c r="B310" s="66">
        <v>46</v>
      </c>
      <c r="C310" s="66" t="s">
        <v>20</v>
      </c>
      <c r="D310" s="66" t="s">
        <v>48</v>
      </c>
      <c r="E310" s="66"/>
      <c r="F310" s="69">
        <v>42828</v>
      </c>
      <c r="G310" s="66" t="s">
        <v>30098</v>
      </c>
      <c r="H310" s="66" t="s">
        <v>7515</v>
      </c>
      <c r="I310" s="66" t="s">
        <v>32</v>
      </c>
      <c r="J310" s="66">
        <v>29670</v>
      </c>
      <c r="K310" s="66" t="s">
        <v>252</v>
      </c>
      <c r="L310" s="66" t="s">
        <v>30099</v>
      </c>
      <c r="M310" s="77" t="s">
        <v>5411</v>
      </c>
      <c r="N310" s="66" t="s">
        <v>30100</v>
      </c>
      <c r="O310" s="66" t="s">
        <v>400</v>
      </c>
      <c r="P310" s="66" t="s">
        <v>401</v>
      </c>
      <c r="Q310" s="76" t="s">
        <v>30101</v>
      </c>
      <c r="R310" s="66" t="s">
        <v>29</v>
      </c>
      <c r="S310" s="66" t="s">
        <v>379</v>
      </c>
      <c r="T310" s="77" t="s">
        <v>29773</v>
      </c>
      <c r="U310" s="77" t="s">
        <v>29436</v>
      </c>
      <c r="V310" s="77" t="s">
        <v>29439</v>
      </c>
      <c r="W310" s="77" t="s">
        <v>555</v>
      </c>
      <c r="X310" s="77">
        <v>2478</v>
      </c>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BK310" s="1"/>
    </row>
    <row r="311" spans="1:63" s="78" customFormat="1" ht="12" customHeight="1" x14ac:dyDescent="0.2">
      <c r="A311" s="66" t="s">
        <v>30280</v>
      </c>
      <c r="B311" s="66">
        <v>37</v>
      </c>
      <c r="C311" s="66" t="s">
        <v>20</v>
      </c>
      <c r="D311" s="66" t="s">
        <v>30</v>
      </c>
      <c r="E311" s="66"/>
      <c r="F311" s="69">
        <v>42827</v>
      </c>
      <c r="G311" s="66" t="s">
        <v>30281</v>
      </c>
      <c r="H311" s="66" t="s">
        <v>2158</v>
      </c>
      <c r="I311" s="66" t="s">
        <v>94</v>
      </c>
      <c r="J311" s="66">
        <v>35810</v>
      </c>
      <c r="K311" s="66" t="s">
        <v>2160</v>
      </c>
      <c r="L311" s="66" t="s">
        <v>2161</v>
      </c>
      <c r="M311" s="66" t="s">
        <v>379</v>
      </c>
      <c r="N311" s="66" t="s">
        <v>30282</v>
      </c>
      <c r="O311" s="66" t="s">
        <v>1010</v>
      </c>
      <c r="P311" s="66" t="s">
        <v>401</v>
      </c>
      <c r="Q311" s="76" t="s">
        <v>30283</v>
      </c>
      <c r="R311" s="66" t="s">
        <v>100</v>
      </c>
      <c r="S311" s="66" t="s">
        <v>379</v>
      </c>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BK311" s="1"/>
    </row>
    <row r="312" spans="1:63" s="78" customFormat="1" ht="12" customHeight="1" x14ac:dyDescent="0.2">
      <c r="A312" s="66" t="s">
        <v>30284</v>
      </c>
      <c r="B312" s="66">
        <v>32</v>
      </c>
      <c r="C312" s="66" t="s">
        <v>20</v>
      </c>
      <c r="D312" s="66" t="s">
        <v>30</v>
      </c>
      <c r="E312" s="66"/>
      <c r="F312" s="69">
        <v>42827</v>
      </c>
      <c r="G312" s="66" t="s">
        <v>30285</v>
      </c>
      <c r="H312" s="66" t="s">
        <v>30286</v>
      </c>
      <c r="I312" s="66" t="s">
        <v>45</v>
      </c>
      <c r="J312" s="66">
        <v>94954</v>
      </c>
      <c r="K312" s="66" t="s">
        <v>2669</v>
      </c>
      <c r="L312" s="66" t="s">
        <v>30287</v>
      </c>
      <c r="M312" s="66" t="s">
        <v>379</v>
      </c>
      <c r="N312" s="66" t="s">
        <v>30288</v>
      </c>
      <c r="O312" s="66" t="s">
        <v>1010</v>
      </c>
      <c r="P312" s="66" t="s">
        <v>401</v>
      </c>
      <c r="Q312" s="76" t="s">
        <v>30289</v>
      </c>
      <c r="R312" s="66" t="s">
        <v>100</v>
      </c>
      <c r="S312" s="66" t="s">
        <v>379</v>
      </c>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BK312" s="1"/>
    </row>
    <row r="313" spans="1:63" s="78" customFormat="1" ht="12" customHeight="1" x14ac:dyDescent="0.2">
      <c r="A313" s="66" t="s">
        <v>29670</v>
      </c>
      <c r="B313" s="66">
        <v>60</v>
      </c>
      <c r="C313" s="66" t="s">
        <v>20</v>
      </c>
      <c r="D313" s="66" t="s">
        <v>21</v>
      </c>
      <c r="E313" s="66"/>
      <c r="F313" s="69">
        <v>42826</v>
      </c>
      <c r="G313" s="66" t="s">
        <v>29671</v>
      </c>
      <c r="H313" s="66" t="s">
        <v>8614</v>
      </c>
      <c r="I313" s="66" t="s">
        <v>25</v>
      </c>
      <c r="J313" s="66">
        <v>70560</v>
      </c>
      <c r="K313" s="66" t="s">
        <v>8616</v>
      </c>
      <c r="L313" s="66" t="s">
        <v>11181</v>
      </c>
      <c r="M313" s="66" t="s">
        <v>27</v>
      </c>
      <c r="N313" s="66" t="s">
        <v>29672</v>
      </c>
      <c r="O313" s="66" t="s">
        <v>400</v>
      </c>
      <c r="P313" s="66" t="s">
        <v>401</v>
      </c>
      <c r="Q313" s="76" t="s">
        <v>29673</v>
      </c>
      <c r="R313" s="66" t="s">
        <v>100</v>
      </c>
      <c r="S313" s="66" t="s">
        <v>28</v>
      </c>
      <c r="T313" s="77" t="s">
        <v>29674</v>
      </c>
      <c r="U313" s="77" t="s">
        <v>29436</v>
      </c>
      <c r="V313" s="77"/>
      <c r="W313" s="77" t="s">
        <v>100</v>
      </c>
      <c r="X313" s="77">
        <v>2476</v>
      </c>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row>
    <row r="314" spans="1:63" s="78" customFormat="1" ht="12" customHeight="1" x14ac:dyDescent="0.2">
      <c r="A314" s="66" t="s">
        <v>29825</v>
      </c>
      <c r="B314" s="66" t="s">
        <v>29</v>
      </c>
      <c r="C314" s="66" t="s">
        <v>20</v>
      </c>
      <c r="D314" s="66" t="s">
        <v>30</v>
      </c>
      <c r="E314" s="66"/>
      <c r="F314" s="69">
        <v>42826</v>
      </c>
      <c r="G314" s="66" t="s">
        <v>29826</v>
      </c>
      <c r="H314" s="66" t="s">
        <v>29827</v>
      </c>
      <c r="I314" s="66" t="s">
        <v>62</v>
      </c>
      <c r="J314" s="66">
        <v>32533</v>
      </c>
      <c r="K314" s="66" t="s">
        <v>5437</v>
      </c>
      <c r="L314" s="66" t="s">
        <v>29828</v>
      </c>
      <c r="M314" s="66" t="s">
        <v>27</v>
      </c>
      <c r="N314" s="66" t="s">
        <v>29829</v>
      </c>
      <c r="O314" s="66" t="s">
        <v>400</v>
      </c>
      <c r="P314" s="66" t="s">
        <v>401</v>
      </c>
      <c r="Q314" s="76" t="s">
        <v>29830</v>
      </c>
      <c r="R314" s="66" t="s">
        <v>100</v>
      </c>
      <c r="S314" s="66" t="s">
        <v>28</v>
      </c>
      <c r="T314" s="77" t="s">
        <v>29681</v>
      </c>
      <c r="U314" s="77" t="s">
        <v>29438</v>
      </c>
      <c r="V314" s="77" t="s">
        <v>29440</v>
      </c>
      <c r="W314" s="77" t="s">
        <v>100</v>
      </c>
      <c r="X314" s="77">
        <v>2475</v>
      </c>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row>
    <row r="315" spans="1:63" s="78" customFormat="1" ht="12" customHeight="1" x14ac:dyDescent="0.2">
      <c r="A315" s="66" t="s">
        <v>29384</v>
      </c>
      <c r="B315" s="66">
        <v>46</v>
      </c>
      <c r="C315" s="66" t="s">
        <v>20</v>
      </c>
      <c r="D315" s="66" t="s">
        <v>37</v>
      </c>
      <c r="E315" s="76" t="s">
        <v>29385</v>
      </c>
      <c r="F315" s="69">
        <v>42824</v>
      </c>
      <c r="G315" s="66" t="s">
        <v>29386</v>
      </c>
      <c r="H315" s="66" t="s">
        <v>29387</v>
      </c>
      <c r="I315" s="66" t="s">
        <v>81</v>
      </c>
      <c r="J315" s="66">
        <v>8512</v>
      </c>
      <c r="K315" s="66" t="s">
        <v>42</v>
      </c>
      <c r="L315" s="66" t="s">
        <v>2477</v>
      </c>
      <c r="M315" s="66" t="s">
        <v>27</v>
      </c>
      <c r="N315" s="66" t="s">
        <v>29388</v>
      </c>
      <c r="O315" s="66" t="s">
        <v>400</v>
      </c>
      <c r="P315" s="66" t="s">
        <v>401</v>
      </c>
      <c r="Q315" s="76" t="s">
        <v>29389</v>
      </c>
      <c r="R315" s="66" t="s">
        <v>964</v>
      </c>
      <c r="S315" s="66" t="s">
        <v>379</v>
      </c>
      <c r="T315" s="77" t="s">
        <v>29773</v>
      </c>
      <c r="U315" s="77" t="s">
        <v>29436</v>
      </c>
      <c r="V315" s="77" t="s">
        <v>29437</v>
      </c>
      <c r="W315" s="77" t="s">
        <v>100</v>
      </c>
      <c r="X315" s="77">
        <v>2474</v>
      </c>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BK315" s="11"/>
    </row>
    <row r="316" spans="1:63" s="78" customFormat="1" ht="12" customHeight="1" x14ac:dyDescent="0.2">
      <c r="A316" s="8" t="s">
        <v>29379</v>
      </c>
      <c r="B316" s="8">
        <v>53</v>
      </c>
      <c r="C316" s="8" t="s">
        <v>20</v>
      </c>
      <c r="D316" s="8" t="s">
        <v>37</v>
      </c>
      <c r="E316" s="8" t="s">
        <v>29380</v>
      </c>
      <c r="F316" s="72">
        <v>42824</v>
      </c>
      <c r="G316" s="8" t="s">
        <v>29381</v>
      </c>
      <c r="H316" s="8" t="s">
        <v>2809</v>
      </c>
      <c r="I316" s="8" t="s">
        <v>62</v>
      </c>
      <c r="J316" s="8">
        <v>32401</v>
      </c>
      <c r="K316" s="8" t="s">
        <v>2811</v>
      </c>
      <c r="L316" s="8" t="s">
        <v>2812</v>
      </c>
      <c r="M316" s="8" t="s">
        <v>379</v>
      </c>
      <c r="N316" s="8" t="s">
        <v>29382</v>
      </c>
      <c r="O316" s="8" t="s">
        <v>400</v>
      </c>
      <c r="P316" s="11" t="s">
        <v>401</v>
      </c>
      <c r="Q316" s="11" t="s">
        <v>29383</v>
      </c>
      <c r="R316" s="8" t="s">
        <v>100</v>
      </c>
      <c r="S316" s="8" t="s">
        <v>18</v>
      </c>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44"/>
      <c r="AV316" s="44"/>
      <c r="AW316" s="44"/>
      <c r="AX316" s="1"/>
      <c r="AY316" s="1"/>
      <c r="AZ316" s="1"/>
      <c r="BA316" s="1"/>
      <c r="BB316" s="1"/>
      <c r="BC316" s="1"/>
      <c r="BD316" s="1"/>
      <c r="BE316" s="1"/>
      <c r="BF316" s="1"/>
      <c r="BG316" s="1"/>
      <c r="BH316" s="1"/>
      <c r="BI316" s="1"/>
      <c r="BJ316" s="1"/>
      <c r="BK316" s="1"/>
    </row>
    <row r="317" spans="1:63" s="78" customFormat="1" ht="12" customHeight="1" x14ac:dyDescent="0.2">
      <c r="A317" s="66" t="s">
        <v>29411</v>
      </c>
      <c r="B317" s="66">
        <v>26</v>
      </c>
      <c r="C317" s="66" t="s">
        <v>20</v>
      </c>
      <c r="D317" s="66" t="s">
        <v>37</v>
      </c>
      <c r="E317" s="76" t="s">
        <v>29412</v>
      </c>
      <c r="F317" s="69">
        <v>42823</v>
      </c>
      <c r="G317" s="66" t="s">
        <v>29507</v>
      </c>
      <c r="H317" s="66" t="s">
        <v>1214</v>
      </c>
      <c r="I317" s="66" t="s">
        <v>319</v>
      </c>
      <c r="J317" s="66">
        <v>37411</v>
      </c>
      <c r="K317" s="66" t="s">
        <v>548</v>
      </c>
      <c r="L317" s="66" t="s">
        <v>1215</v>
      </c>
      <c r="M317" s="66" t="s">
        <v>27</v>
      </c>
      <c r="N317" s="66" t="s">
        <v>29413</v>
      </c>
      <c r="O317" s="66" t="s">
        <v>400</v>
      </c>
      <c r="P317" s="66" t="s">
        <v>401</v>
      </c>
      <c r="Q317" s="76" t="s">
        <v>29414</v>
      </c>
      <c r="R317" s="66" t="s">
        <v>964</v>
      </c>
      <c r="S317" s="66" t="s">
        <v>28</v>
      </c>
      <c r="T317" s="77" t="s">
        <v>29681</v>
      </c>
      <c r="U317" s="77" t="s">
        <v>29436</v>
      </c>
      <c r="V317" s="77" t="s">
        <v>29439</v>
      </c>
      <c r="W317" s="77" t="s">
        <v>100</v>
      </c>
      <c r="X317" s="77">
        <v>2466</v>
      </c>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row>
    <row r="318" spans="1:63" s="78" customFormat="1" ht="12" customHeight="1" x14ac:dyDescent="0.2">
      <c r="A318" s="66" t="s">
        <v>29393</v>
      </c>
      <c r="B318" s="66">
        <v>41</v>
      </c>
      <c r="C318" s="66" t="s">
        <v>20</v>
      </c>
      <c r="D318" s="66" t="s">
        <v>37</v>
      </c>
      <c r="E318" s="76" t="s">
        <v>29394</v>
      </c>
      <c r="F318" s="69">
        <v>42823</v>
      </c>
      <c r="G318" s="66" t="s">
        <v>29395</v>
      </c>
      <c r="H318" s="66" t="s">
        <v>1760</v>
      </c>
      <c r="I318" s="66" t="s">
        <v>44</v>
      </c>
      <c r="J318" s="66">
        <v>61085</v>
      </c>
      <c r="K318" s="66" t="s">
        <v>29396</v>
      </c>
      <c r="L318" s="66" t="s">
        <v>1763</v>
      </c>
      <c r="M318" s="66" t="s">
        <v>27</v>
      </c>
      <c r="N318" s="66" t="s">
        <v>29397</v>
      </c>
      <c r="O318" s="66" t="s">
        <v>400</v>
      </c>
      <c r="P318" s="66" t="s">
        <v>401</v>
      </c>
      <c r="Q318" s="76" t="s">
        <v>29398</v>
      </c>
      <c r="R318" s="66" t="s">
        <v>100</v>
      </c>
      <c r="S318" s="66" t="s">
        <v>28</v>
      </c>
      <c r="T318" s="77" t="s">
        <v>29681</v>
      </c>
      <c r="U318" s="77" t="s">
        <v>29438</v>
      </c>
      <c r="V318" s="77" t="s">
        <v>29437</v>
      </c>
      <c r="W318" s="77" t="s">
        <v>100</v>
      </c>
      <c r="X318" s="77">
        <v>2468</v>
      </c>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row>
    <row r="319" spans="1:63" s="78" customFormat="1" ht="12" customHeight="1" x14ac:dyDescent="0.2">
      <c r="A319" s="66" t="s">
        <v>29399</v>
      </c>
      <c r="B319" s="66">
        <v>45</v>
      </c>
      <c r="C319" s="66" t="s">
        <v>20</v>
      </c>
      <c r="D319" s="66" t="s">
        <v>37</v>
      </c>
      <c r="E319" s="66"/>
      <c r="F319" s="69">
        <v>42823</v>
      </c>
      <c r="G319" s="66" t="s">
        <v>29400</v>
      </c>
      <c r="H319" s="66" t="s">
        <v>29401</v>
      </c>
      <c r="I319" s="66" t="s">
        <v>315</v>
      </c>
      <c r="J319" s="66">
        <v>40342</v>
      </c>
      <c r="K319" s="66" t="s">
        <v>252</v>
      </c>
      <c r="L319" s="66" t="s">
        <v>5700</v>
      </c>
      <c r="M319" s="66" t="s">
        <v>27</v>
      </c>
      <c r="N319" s="66" t="s">
        <v>29402</v>
      </c>
      <c r="O319" s="66" t="s">
        <v>400</v>
      </c>
      <c r="P319" s="66" t="s">
        <v>401</v>
      </c>
      <c r="Q319" s="76" t="s">
        <v>29403</v>
      </c>
      <c r="R319" s="66" t="s">
        <v>100</v>
      </c>
      <c r="S319" s="66" t="s">
        <v>28</v>
      </c>
      <c r="T319" s="77" t="s">
        <v>29681</v>
      </c>
      <c r="U319" s="77" t="s">
        <v>29438</v>
      </c>
      <c r="V319" s="77" t="s">
        <v>29439</v>
      </c>
      <c r="W319" s="77" t="s">
        <v>100</v>
      </c>
      <c r="X319" s="77">
        <v>2471</v>
      </c>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row>
    <row r="320" spans="1:63" s="78" customFormat="1" ht="12" customHeight="1" x14ac:dyDescent="0.2">
      <c r="A320" s="66" t="s">
        <v>29404</v>
      </c>
      <c r="B320" s="66">
        <v>59</v>
      </c>
      <c r="C320" s="66" t="s">
        <v>20</v>
      </c>
      <c r="D320" s="66" t="s">
        <v>37</v>
      </c>
      <c r="E320" s="66"/>
      <c r="F320" s="69">
        <v>42823</v>
      </c>
      <c r="G320" s="66" t="s">
        <v>29405</v>
      </c>
      <c r="H320" s="66" t="s">
        <v>29406</v>
      </c>
      <c r="I320" s="66" t="s">
        <v>395</v>
      </c>
      <c r="J320" s="66">
        <v>74831</v>
      </c>
      <c r="K320" s="66" t="s">
        <v>29407</v>
      </c>
      <c r="L320" s="66" t="s">
        <v>29408</v>
      </c>
      <c r="M320" s="66" t="s">
        <v>27</v>
      </c>
      <c r="N320" s="66" t="s">
        <v>29409</v>
      </c>
      <c r="O320" s="66" t="s">
        <v>400</v>
      </c>
      <c r="P320" s="66" t="s">
        <v>401</v>
      </c>
      <c r="Q320" s="76" t="s">
        <v>29410</v>
      </c>
      <c r="R320" s="66" t="s">
        <v>100</v>
      </c>
      <c r="S320" s="66" t="s">
        <v>28</v>
      </c>
      <c r="T320" s="77" t="s">
        <v>29681</v>
      </c>
      <c r="U320" s="77" t="s">
        <v>29438</v>
      </c>
      <c r="V320" s="77" t="s">
        <v>29437</v>
      </c>
      <c r="W320" s="77" t="s">
        <v>100</v>
      </c>
      <c r="X320" s="77">
        <v>2469</v>
      </c>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row>
    <row r="321" spans="1:63" s="78" customFormat="1" ht="12" customHeight="1" x14ac:dyDescent="0.2">
      <c r="A321" s="66" t="s">
        <v>29415</v>
      </c>
      <c r="B321" s="66">
        <v>27</v>
      </c>
      <c r="C321" s="66" t="s">
        <v>20</v>
      </c>
      <c r="D321" s="66" t="s">
        <v>37</v>
      </c>
      <c r="E321" s="66"/>
      <c r="F321" s="69">
        <v>42823</v>
      </c>
      <c r="G321" s="66" t="s">
        <v>29416</v>
      </c>
      <c r="H321" s="66" t="s">
        <v>796</v>
      </c>
      <c r="I321" s="66" t="s">
        <v>73</v>
      </c>
      <c r="J321" s="66">
        <v>75439</v>
      </c>
      <c r="K321" s="66" t="s">
        <v>16222</v>
      </c>
      <c r="L321" s="66" t="s">
        <v>281</v>
      </c>
      <c r="M321" s="66" t="s">
        <v>27</v>
      </c>
      <c r="N321" s="66" t="s">
        <v>29417</v>
      </c>
      <c r="O321" s="66" t="s">
        <v>400</v>
      </c>
      <c r="P321" s="66" t="s">
        <v>401</v>
      </c>
      <c r="Q321" s="76" t="s">
        <v>29418</v>
      </c>
      <c r="R321" s="66" t="s">
        <v>100</v>
      </c>
      <c r="S321" s="66" t="s">
        <v>379</v>
      </c>
      <c r="T321" s="77" t="s">
        <v>29773</v>
      </c>
      <c r="U321" s="77" t="s">
        <v>29436</v>
      </c>
      <c r="V321" s="77" t="s">
        <v>29437</v>
      </c>
      <c r="W321" s="77" t="s">
        <v>100</v>
      </c>
      <c r="X321" s="77">
        <v>2473</v>
      </c>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BK321" s="11"/>
    </row>
    <row r="322" spans="1:63" s="78" customFormat="1" ht="12" customHeight="1" x14ac:dyDescent="0.2">
      <c r="A322" s="66" t="s">
        <v>29390</v>
      </c>
      <c r="B322" s="66">
        <v>28</v>
      </c>
      <c r="C322" s="66" t="s">
        <v>20</v>
      </c>
      <c r="D322" s="66" t="s">
        <v>85</v>
      </c>
      <c r="E322" s="66"/>
      <c r="F322" s="69">
        <v>42823</v>
      </c>
      <c r="G322" s="66" t="s">
        <v>29508</v>
      </c>
      <c r="H322" s="66" t="s">
        <v>3810</v>
      </c>
      <c r="I322" s="66" t="s">
        <v>225</v>
      </c>
      <c r="J322" s="66">
        <v>19720</v>
      </c>
      <c r="K322" s="66" t="s">
        <v>3810</v>
      </c>
      <c r="L322" s="66" t="s">
        <v>29772</v>
      </c>
      <c r="M322" s="66" t="s">
        <v>27</v>
      </c>
      <c r="N322" s="66" t="s">
        <v>29391</v>
      </c>
      <c r="O322" s="66" t="s">
        <v>400</v>
      </c>
      <c r="P322" s="66" t="s">
        <v>401</v>
      </c>
      <c r="Q322" s="76" t="s">
        <v>29392</v>
      </c>
      <c r="R322" s="66" t="s">
        <v>555</v>
      </c>
      <c r="S322" s="66" t="s">
        <v>379</v>
      </c>
      <c r="T322" s="77" t="s">
        <v>29773</v>
      </c>
      <c r="U322" s="77" t="s">
        <v>29436</v>
      </c>
      <c r="V322" s="77" t="s">
        <v>29437</v>
      </c>
      <c r="W322" s="77" t="s">
        <v>100</v>
      </c>
      <c r="X322" s="77">
        <v>2470</v>
      </c>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BK322" s="11"/>
    </row>
    <row r="323" spans="1:63" s="78" customFormat="1" ht="12" customHeight="1" x14ac:dyDescent="0.2">
      <c r="A323" s="8" t="s">
        <v>29419</v>
      </c>
      <c r="B323" s="68">
        <v>36</v>
      </c>
      <c r="C323" s="8" t="s">
        <v>20</v>
      </c>
      <c r="D323" s="8" t="s">
        <v>37</v>
      </c>
      <c r="E323" s="8"/>
      <c r="F323" s="69">
        <v>42822</v>
      </c>
      <c r="G323" s="8" t="s">
        <v>29367</v>
      </c>
      <c r="H323" s="8" t="s">
        <v>29368</v>
      </c>
      <c r="I323" s="8" t="s">
        <v>217</v>
      </c>
      <c r="J323" s="8">
        <v>47946</v>
      </c>
      <c r="K323" s="8" t="s">
        <v>2495</v>
      </c>
      <c r="L323" s="8" t="s">
        <v>19965</v>
      </c>
      <c r="M323" s="8" t="s">
        <v>27</v>
      </c>
      <c r="N323" s="8" t="s">
        <v>29369</v>
      </c>
      <c r="O323" s="8" t="s">
        <v>400</v>
      </c>
      <c r="P323" s="11" t="s">
        <v>401</v>
      </c>
      <c r="Q323" s="11" t="s">
        <v>29370</v>
      </c>
      <c r="R323" s="8" t="s">
        <v>100</v>
      </c>
      <c r="S323" s="8" t="s">
        <v>28</v>
      </c>
      <c r="T323" s="68" t="s">
        <v>27756</v>
      </c>
      <c r="U323" s="68" t="s">
        <v>29438</v>
      </c>
      <c r="V323" s="68" t="s">
        <v>29437</v>
      </c>
      <c r="W323" s="68" t="s">
        <v>100</v>
      </c>
      <c r="X323" s="68">
        <v>2463</v>
      </c>
      <c r="Y323" s="1"/>
      <c r="Z323" s="1"/>
      <c r="AA323" s="1"/>
      <c r="AB323" s="1"/>
      <c r="AC323" s="1"/>
      <c r="AD323" s="1"/>
      <c r="AE323" s="1"/>
      <c r="AF323" s="1"/>
      <c r="AG323" s="1"/>
      <c r="AH323" s="1"/>
      <c r="AI323" s="1"/>
      <c r="AJ323" s="1"/>
      <c r="AK323" s="1"/>
      <c r="AL323" s="1"/>
      <c r="AM323" s="1"/>
      <c r="AN323" s="1"/>
      <c r="AO323" s="1"/>
      <c r="AP323" s="1"/>
      <c r="AQ323" s="1"/>
      <c r="AR323" s="1"/>
      <c r="AS323" s="1"/>
      <c r="AT323" s="1"/>
      <c r="AU323" s="70"/>
      <c r="AV323" s="70"/>
      <c r="AW323" s="44"/>
      <c r="AX323" s="1"/>
      <c r="AY323" s="1"/>
      <c r="AZ323" s="70"/>
      <c r="BA323" s="44"/>
      <c r="BB323" s="44"/>
      <c r="BC323" s="1"/>
      <c r="BD323" s="1"/>
      <c r="BE323" s="1"/>
      <c r="BF323" s="1"/>
      <c r="BG323" s="1"/>
      <c r="BH323" s="1"/>
      <c r="BI323" s="1"/>
      <c r="BJ323" s="1"/>
    </row>
    <row r="324" spans="1:63" s="78" customFormat="1" ht="12" customHeight="1" x14ac:dyDescent="0.2">
      <c r="A324" s="8" t="s">
        <v>29420</v>
      </c>
      <c r="B324" s="68">
        <v>73</v>
      </c>
      <c r="C324" s="8" t="s">
        <v>20</v>
      </c>
      <c r="D324" s="68" t="s">
        <v>37</v>
      </c>
      <c r="E324" s="8"/>
      <c r="F324" s="69">
        <v>42822</v>
      </c>
      <c r="G324" s="8" t="s">
        <v>29509</v>
      </c>
      <c r="H324" s="8" t="s">
        <v>29421</v>
      </c>
      <c r="I324" s="8" t="s">
        <v>57</v>
      </c>
      <c r="J324" s="8">
        <v>49660</v>
      </c>
      <c r="K324" s="8" t="s">
        <v>29421</v>
      </c>
      <c r="L324" s="8" t="s">
        <v>29422</v>
      </c>
      <c r="M324" s="8" t="s">
        <v>27</v>
      </c>
      <c r="N324" s="8" t="s">
        <v>29423</v>
      </c>
      <c r="O324" s="8" t="s">
        <v>400</v>
      </c>
      <c r="P324" s="11" t="s">
        <v>401</v>
      </c>
      <c r="Q324" s="11" t="s">
        <v>29424</v>
      </c>
      <c r="R324" s="8" t="s">
        <v>100</v>
      </c>
      <c r="S324" s="8" t="s">
        <v>28</v>
      </c>
      <c r="T324" s="68" t="s">
        <v>27756</v>
      </c>
      <c r="U324" s="68" t="s">
        <v>29438</v>
      </c>
      <c r="V324" s="68" t="s">
        <v>29439</v>
      </c>
      <c r="W324" s="68" t="s">
        <v>100</v>
      </c>
      <c r="X324" s="68">
        <v>2467</v>
      </c>
      <c r="Y324" s="1"/>
      <c r="Z324" s="1"/>
      <c r="AA324" s="1"/>
      <c r="AB324" s="1"/>
      <c r="AC324" s="1"/>
      <c r="AD324" s="1"/>
      <c r="AE324" s="1"/>
      <c r="AF324" s="1"/>
      <c r="AG324" s="1"/>
      <c r="AH324" s="1"/>
      <c r="AI324" s="1"/>
      <c r="AJ324" s="1"/>
      <c r="AK324" s="1"/>
      <c r="AL324" s="1"/>
      <c r="AM324" s="1"/>
      <c r="AN324" s="1"/>
      <c r="AO324" s="1"/>
      <c r="AP324" s="1"/>
      <c r="AQ324" s="1"/>
      <c r="AR324" s="1"/>
      <c r="AS324" s="1"/>
      <c r="AT324" s="1"/>
      <c r="AU324" s="70"/>
      <c r="AV324" s="70"/>
      <c r="AW324" s="1"/>
      <c r="AX324" s="1"/>
      <c r="AY324" s="1"/>
      <c r="AZ324" s="70"/>
      <c r="BA324" s="44"/>
      <c r="BB324" s="44"/>
      <c r="BC324" s="1"/>
      <c r="BD324" s="1"/>
      <c r="BE324" s="1"/>
      <c r="BF324" s="1"/>
      <c r="BG324" s="1"/>
      <c r="BH324" s="1"/>
      <c r="BI324" s="1"/>
      <c r="BJ324" s="1"/>
    </row>
    <row r="325" spans="1:63" s="78" customFormat="1" ht="12" customHeight="1" x14ac:dyDescent="0.2">
      <c r="A325" s="8" t="s">
        <v>29425</v>
      </c>
      <c r="B325" s="8">
        <v>31</v>
      </c>
      <c r="C325" s="8" t="s">
        <v>20</v>
      </c>
      <c r="D325" s="8" t="s">
        <v>48</v>
      </c>
      <c r="E325" s="75" t="s">
        <v>29664</v>
      </c>
      <c r="F325" s="72">
        <v>42822</v>
      </c>
      <c r="G325" s="8" t="s">
        <v>29426</v>
      </c>
      <c r="H325" s="8" t="s">
        <v>3897</v>
      </c>
      <c r="I325" s="8" t="s">
        <v>366</v>
      </c>
      <c r="J325" s="8">
        <v>28147</v>
      </c>
      <c r="K325" s="8" t="s">
        <v>10886</v>
      </c>
      <c r="L325" s="8" t="s">
        <v>29427</v>
      </c>
      <c r="M325" s="8" t="s">
        <v>379</v>
      </c>
      <c r="N325" s="8" t="s">
        <v>29428</v>
      </c>
      <c r="O325" s="8" t="s">
        <v>400</v>
      </c>
      <c r="P325" s="11" t="s">
        <v>401</v>
      </c>
      <c r="Q325" s="11" t="s">
        <v>29429</v>
      </c>
      <c r="R325" s="8" t="s">
        <v>100</v>
      </c>
      <c r="S325" s="8" t="s">
        <v>18</v>
      </c>
      <c r="T325" s="18" t="s">
        <v>29760</v>
      </c>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44"/>
      <c r="AV325" s="44"/>
      <c r="AW325" s="44"/>
      <c r="AX325" s="1"/>
      <c r="AY325" s="1"/>
      <c r="AZ325" s="1"/>
      <c r="BA325" s="1"/>
      <c r="BB325" s="1"/>
      <c r="BC325" s="1"/>
      <c r="BD325" s="1"/>
      <c r="BE325" s="1"/>
      <c r="BF325" s="1"/>
      <c r="BG325" s="1"/>
      <c r="BH325" s="1"/>
      <c r="BI325" s="1"/>
      <c r="BJ325" s="1"/>
      <c r="BK325" s="1"/>
    </row>
    <row r="326" spans="1:63" s="78" customFormat="1" ht="12" customHeight="1" x14ac:dyDescent="0.2">
      <c r="A326" s="8" t="s">
        <v>29347</v>
      </c>
      <c r="B326" s="68">
        <v>28</v>
      </c>
      <c r="C326" s="8" t="s">
        <v>20</v>
      </c>
      <c r="D326" s="68" t="s">
        <v>37</v>
      </c>
      <c r="E326" s="8"/>
      <c r="F326" s="69">
        <v>42821</v>
      </c>
      <c r="G326" s="8" t="s">
        <v>29348</v>
      </c>
      <c r="H326" s="8" t="s">
        <v>29349</v>
      </c>
      <c r="I326" s="8" t="s">
        <v>52</v>
      </c>
      <c r="J326" s="8" t="s">
        <v>29350</v>
      </c>
      <c r="K326" s="8" t="s">
        <v>1056</v>
      </c>
      <c r="L326" s="8" t="s">
        <v>2357</v>
      </c>
      <c r="M326" s="8" t="s">
        <v>27</v>
      </c>
      <c r="N326" s="8" t="s">
        <v>29351</v>
      </c>
      <c r="O326" s="8" t="s">
        <v>400</v>
      </c>
      <c r="P326" s="11" t="s">
        <v>401</v>
      </c>
      <c r="Q326" s="62" t="s">
        <v>29352</v>
      </c>
      <c r="R326" s="8" t="s">
        <v>100</v>
      </c>
      <c r="S326" s="8" t="s">
        <v>28</v>
      </c>
      <c r="T326" s="68" t="s">
        <v>29493</v>
      </c>
      <c r="U326" s="68" t="s">
        <v>29436</v>
      </c>
      <c r="V326" s="68" t="s">
        <v>29439</v>
      </c>
      <c r="W326" s="68" t="s">
        <v>555</v>
      </c>
      <c r="X326" s="68">
        <v>2462</v>
      </c>
      <c r="Y326" s="1"/>
      <c r="Z326" s="1"/>
      <c r="AA326" s="1"/>
      <c r="AB326" s="1"/>
      <c r="AC326" s="1"/>
      <c r="AD326" s="1"/>
      <c r="AE326" s="1"/>
      <c r="AF326" s="1"/>
      <c r="AG326" s="1"/>
      <c r="AH326" s="1"/>
      <c r="AI326" s="1"/>
      <c r="AJ326" s="1"/>
      <c r="AK326" s="1"/>
      <c r="AL326" s="1"/>
      <c r="AM326" s="1"/>
      <c r="AN326" s="1"/>
      <c r="AO326" s="1"/>
      <c r="AP326" s="1"/>
      <c r="AQ326" s="1"/>
      <c r="AR326" s="1"/>
      <c r="AS326" s="1"/>
      <c r="AT326" s="1"/>
      <c r="AU326" s="70"/>
      <c r="AV326" s="70"/>
      <c r="AW326" s="44"/>
      <c r="AX326" s="1"/>
      <c r="AY326" s="1"/>
      <c r="AZ326" s="70"/>
      <c r="BA326" s="44"/>
      <c r="BB326" s="44"/>
      <c r="BC326" s="1"/>
      <c r="BD326" s="1"/>
      <c r="BE326" s="1"/>
      <c r="BF326" s="1"/>
      <c r="BG326" s="1"/>
      <c r="BH326" s="1"/>
      <c r="BI326" s="1"/>
      <c r="BJ326" s="1"/>
    </row>
    <row r="327" spans="1:63" s="78" customFormat="1" ht="12" customHeight="1" x14ac:dyDescent="0.2">
      <c r="A327" s="8" t="s">
        <v>29353</v>
      </c>
      <c r="B327" s="68">
        <v>45</v>
      </c>
      <c r="C327" s="8" t="s">
        <v>20</v>
      </c>
      <c r="D327" s="8" t="s">
        <v>37</v>
      </c>
      <c r="E327" s="62" t="s">
        <v>29354</v>
      </c>
      <c r="F327" s="69">
        <v>42821</v>
      </c>
      <c r="G327" s="8" t="s">
        <v>29355</v>
      </c>
      <c r="H327" s="8" t="s">
        <v>29356</v>
      </c>
      <c r="I327" s="8" t="s">
        <v>669</v>
      </c>
      <c r="J327" s="8" t="s">
        <v>29357</v>
      </c>
      <c r="K327" s="8" t="s">
        <v>3261</v>
      </c>
      <c r="L327" s="8" t="s">
        <v>3001</v>
      </c>
      <c r="M327" s="8" t="s">
        <v>27</v>
      </c>
      <c r="N327" s="8" t="s">
        <v>29358</v>
      </c>
      <c r="O327" s="8" t="s">
        <v>400</v>
      </c>
      <c r="P327" s="11" t="s">
        <v>401</v>
      </c>
      <c r="Q327" s="62" t="s">
        <v>29359</v>
      </c>
      <c r="R327" s="8" t="s">
        <v>100</v>
      </c>
      <c r="S327" s="8" t="s">
        <v>28</v>
      </c>
      <c r="T327" s="68" t="s">
        <v>27756</v>
      </c>
      <c r="U327" s="68" t="s">
        <v>29438</v>
      </c>
      <c r="V327" s="68" t="s">
        <v>29437</v>
      </c>
      <c r="W327" s="68" t="s">
        <v>100</v>
      </c>
      <c r="X327" s="68">
        <v>2461</v>
      </c>
      <c r="Y327" s="1"/>
      <c r="Z327" s="1"/>
      <c r="AA327" s="1"/>
      <c r="AB327" s="1"/>
      <c r="AC327" s="1"/>
      <c r="AD327" s="1"/>
      <c r="AE327" s="1"/>
      <c r="AF327" s="1"/>
      <c r="AG327" s="1"/>
      <c r="AH327" s="1"/>
      <c r="AI327" s="1"/>
      <c r="AJ327" s="1"/>
      <c r="AK327" s="1"/>
      <c r="AL327" s="1"/>
      <c r="AM327" s="1"/>
      <c r="AN327" s="1"/>
      <c r="AO327" s="1"/>
      <c r="AP327" s="1"/>
      <c r="AQ327" s="1"/>
      <c r="AR327" s="1"/>
      <c r="AS327" s="1"/>
      <c r="AT327" s="1"/>
      <c r="AU327" s="70"/>
      <c r="AV327" s="70"/>
      <c r="AW327" s="1"/>
      <c r="AX327" s="1"/>
      <c r="AY327" s="1"/>
      <c r="AZ327" s="70"/>
      <c r="BA327" s="44"/>
      <c r="BB327" s="44"/>
      <c r="BC327" s="1"/>
      <c r="BD327" s="1"/>
      <c r="BE327" s="1"/>
      <c r="BF327" s="1"/>
      <c r="BG327" s="1"/>
      <c r="BH327" s="1"/>
      <c r="BI327" s="1"/>
      <c r="BJ327" s="1"/>
    </row>
    <row r="328" spans="1:63" s="78" customFormat="1" ht="12" customHeight="1" x14ac:dyDescent="0.2">
      <c r="A328" s="8" t="s">
        <v>29360</v>
      </c>
      <c r="B328" s="68">
        <v>51</v>
      </c>
      <c r="C328" s="8" t="s">
        <v>20</v>
      </c>
      <c r="D328" s="8" t="s">
        <v>37</v>
      </c>
      <c r="E328" s="62" t="s">
        <v>29361</v>
      </c>
      <c r="F328" s="69">
        <v>42821</v>
      </c>
      <c r="G328" s="8" t="s">
        <v>29362</v>
      </c>
      <c r="H328" s="8" t="s">
        <v>18567</v>
      </c>
      <c r="I328" s="8" t="s">
        <v>319</v>
      </c>
      <c r="J328" s="8" t="s">
        <v>29363</v>
      </c>
      <c r="K328" s="8" t="s">
        <v>659</v>
      </c>
      <c r="L328" s="8" t="s">
        <v>29364</v>
      </c>
      <c r="M328" s="8" t="s">
        <v>27</v>
      </c>
      <c r="N328" s="8" t="s">
        <v>29365</v>
      </c>
      <c r="O328" s="8" t="s">
        <v>400</v>
      </c>
      <c r="P328" s="11" t="s">
        <v>401</v>
      </c>
      <c r="Q328" s="62" t="s">
        <v>29366</v>
      </c>
      <c r="R328" s="8" t="s">
        <v>100</v>
      </c>
      <c r="S328" s="8" t="s">
        <v>28</v>
      </c>
      <c r="T328" s="68" t="s">
        <v>27756</v>
      </c>
      <c r="U328" s="68" t="s">
        <v>29438</v>
      </c>
      <c r="V328" s="68" t="s">
        <v>29439</v>
      </c>
      <c r="W328" s="68" t="s">
        <v>100</v>
      </c>
      <c r="X328" s="68">
        <v>2460</v>
      </c>
      <c r="Y328" s="1"/>
      <c r="Z328" s="1"/>
      <c r="AA328" s="1"/>
      <c r="AB328" s="1"/>
      <c r="AC328" s="1"/>
      <c r="AD328" s="1"/>
      <c r="AE328" s="1"/>
      <c r="AF328" s="1"/>
      <c r="AG328" s="1"/>
      <c r="AH328" s="1"/>
      <c r="AI328" s="1"/>
      <c r="AJ328" s="1"/>
      <c r="AK328" s="1"/>
      <c r="AL328" s="1"/>
      <c r="AM328" s="1"/>
      <c r="AN328" s="1"/>
      <c r="AO328" s="1"/>
      <c r="AP328" s="1"/>
      <c r="AQ328" s="1"/>
      <c r="AR328" s="1"/>
      <c r="AS328" s="1"/>
      <c r="AT328" s="1"/>
      <c r="AU328" s="70"/>
      <c r="AV328" s="70"/>
      <c r="AW328" s="1"/>
      <c r="AX328" s="1"/>
      <c r="AY328" s="1"/>
      <c r="AZ328" s="70"/>
      <c r="BA328" s="44"/>
      <c r="BB328" s="44"/>
      <c r="BC328" s="1"/>
      <c r="BD328" s="1"/>
      <c r="BE328" s="1"/>
      <c r="BF328" s="1"/>
      <c r="BG328" s="1"/>
      <c r="BH328" s="1"/>
      <c r="BI328" s="1"/>
      <c r="BJ328" s="1"/>
    </row>
    <row r="329" spans="1:63" s="78" customFormat="1" ht="12" customHeight="1" x14ac:dyDescent="0.2">
      <c r="A329" s="8" t="s">
        <v>29334</v>
      </c>
      <c r="B329" s="68">
        <v>36</v>
      </c>
      <c r="C329" s="8" t="s">
        <v>20</v>
      </c>
      <c r="D329" s="8" t="s">
        <v>139</v>
      </c>
      <c r="E329" s="8"/>
      <c r="F329" s="69">
        <v>42820</v>
      </c>
      <c r="G329" s="8" t="s">
        <v>29335</v>
      </c>
      <c r="H329" s="8" t="s">
        <v>7214</v>
      </c>
      <c r="I329" s="8" t="s">
        <v>330</v>
      </c>
      <c r="J329" s="8" t="s">
        <v>11208</v>
      </c>
      <c r="K329" s="8" t="s">
        <v>21801</v>
      </c>
      <c r="L329" s="8" t="s">
        <v>11209</v>
      </c>
      <c r="M329" s="8" t="s">
        <v>27</v>
      </c>
      <c r="N329" s="8" t="s">
        <v>29336</v>
      </c>
      <c r="O329" s="8" t="s">
        <v>400</v>
      </c>
      <c r="P329" s="11" t="s">
        <v>401</v>
      </c>
      <c r="Q329" s="62" t="s">
        <v>29337</v>
      </c>
      <c r="R329" s="8" t="s">
        <v>100</v>
      </c>
      <c r="S329" s="8" t="s">
        <v>28</v>
      </c>
      <c r="T329" s="68" t="s">
        <v>27756</v>
      </c>
      <c r="U329" s="68" t="s">
        <v>29438</v>
      </c>
      <c r="V329" s="68" t="s">
        <v>21212</v>
      </c>
      <c r="W329" s="68" t="s">
        <v>100</v>
      </c>
      <c r="X329" s="68">
        <v>2459</v>
      </c>
      <c r="Y329" s="1"/>
      <c r="Z329" s="1"/>
      <c r="AA329" s="1"/>
      <c r="AB329" s="1"/>
      <c r="AC329" s="1"/>
      <c r="AD329" s="1"/>
      <c r="AE329" s="1"/>
      <c r="AF329" s="1"/>
      <c r="AG329" s="1"/>
      <c r="AH329" s="1"/>
      <c r="AI329" s="1"/>
      <c r="AJ329" s="1"/>
      <c r="AK329" s="1"/>
      <c r="AL329" s="1"/>
      <c r="AM329" s="1"/>
      <c r="AN329" s="1"/>
      <c r="AO329" s="1"/>
      <c r="AP329" s="1"/>
      <c r="AQ329" s="1"/>
      <c r="AR329" s="1"/>
      <c r="AS329" s="1"/>
      <c r="AT329" s="1"/>
      <c r="AU329" s="70"/>
      <c r="AV329" s="70"/>
      <c r="AW329" s="44"/>
      <c r="AX329" s="1"/>
      <c r="AY329" s="1"/>
      <c r="AZ329" s="70"/>
      <c r="BA329" s="44"/>
      <c r="BB329" s="44"/>
      <c r="BC329" s="1"/>
      <c r="BD329" s="1"/>
      <c r="BE329" s="1"/>
      <c r="BF329" s="1"/>
      <c r="BG329" s="1"/>
      <c r="BH329" s="1"/>
      <c r="BI329" s="1"/>
      <c r="BJ329" s="1"/>
    </row>
    <row r="330" spans="1:63" s="78" customFormat="1" ht="12" customHeight="1" x14ac:dyDescent="0.2">
      <c r="A330" s="8" t="s">
        <v>29338</v>
      </c>
      <c r="B330" s="68">
        <v>54</v>
      </c>
      <c r="C330" s="8" t="s">
        <v>20</v>
      </c>
      <c r="D330" s="8" t="s">
        <v>37</v>
      </c>
      <c r="E330" s="62" t="s">
        <v>29339</v>
      </c>
      <c r="F330" s="69">
        <v>42820</v>
      </c>
      <c r="G330" s="8" t="s">
        <v>29340</v>
      </c>
      <c r="H330" s="8" t="s">
        <v>9752</v>
      </c>
      <c r="I330" s="8" t="s">
        <v>978</v>
      </c>
      <c r="J330" s="8" t="s">
        <v>29341</v>
      </c>
      <c r="K330" s="8" t="s">
        <v>2495</v>
      </c>
      <c r="L330" s="8" t="s">
        <v>9754</v>
      </c>
      <c r="M330" s="8" t="s">
        <v>27</v>
      </c>
      <c r="N330" s="8" t="s">
        <v>29342</v>
      </c>
      <c r="O330" s="8" t="s">
        <v>400</v>
      </c>
      <c r="P330" s="11" t="s">
        <v>401</v>
      </c>
      <c r="Q330" s="62" t="s">
        <v>29343</v>
      </c>
      <c r="R330" s="8" t="s">
        <v>100</v>
      </c>
      <c r="S330" s="8" t="s">
        <v>28</v>
      </c>
      <c r="T330" s="68" t="s">
        <v>27756</v>
      </c>
      <c r="U330" s="68" t="s">
        <v>29438</v>
      </c>
      <c r="V330" s="68" t="s">
        <v>29440</v>
      </c>
      <c r="W330" s="68" t="s">
        <v>100</v>
      </c>
      <c r="X330" s="68">
        <v>2457</v>
      </c>
      <c r="Y330" s="1"/>
      <c r="Z330" s="1"/>
      <c r="AA330" s="1"/>
      <c r="AB330" s="1"/>
      <c r="AC330" s="1"/>
      <c r="AD330" s="1"/>
      <c r="AE330" s="1"/>
      <c r="AF330" s="1"/>
      <c r="AG330" s="1"/>
      <c r="AH330" s="1"/>
      <c r="AI330" s="1"/>
      <c r="AJ330" s="1"/>
      <c r="AK330" s="1"/>
      <c r="AL330" s="1"/>
      <c r="AM330" s="1"/>
      <c r="AN330" s="1"/>
      <c r="AO330" s="1"/>
      <c r="AP330" s="1"/>
      <c r="AQ330" s="1"/>
      <c r="AR330" s="1"/>
      <c r="AS330" s="1"/>
      <c r="AT330" s="1"/>
      <c r="AU330" s="70"/>
      <c r="AV330" s="70"/>
      <c r="AW330" s="1"/>
      <c r="AX330" s="1"/>
      <c r="AY330" s="1"/>
      <c r="AZ330" s="70"/>
      <c r="BA330" s="44"/>
      <c r="BB330" s="44"/>
      <c r="BC330" s="1"/>
      <c r="BD330" s="1"/>
      <c r="BE330" s="1"/>
      <c r="BF330" s="1"/>
      <c r="BG330" s="1"/>
      <c r="BH330" s="1"/>
      <c r="BI330" s="1"/>
      <c r="BJ330" s="1"/>
    </row>
    <row r="331" spans="1:63" s="78" customFormat="1" ht="12" customHeight="1" x14ac:dyDescent="0.2">
      <c r="A331" s="68" t="s">
        <v>29430</v>
      </c>
      <c r="B331" s="68">
        <v>53</v>
      </c>
      <c r="C331" s="8" t="s">
        <v>20</v>
      </c>
      <c r="D331" s="68" t="s">
        <v>37</v>
      </c>
      <c r="E331" s="8"/>
      <c r="F331" s="69">
        <v>42820</v>
      </c>
      <c r="G331" s="8" t="s">
        <v>29344</v>
      </c>
      <c r="H331" s="8" t="s">
        <v>252</v>
      </c>
      <c r="I331" s="8" t="s">
        <v>45</v>
      </c>
      <c r="J331" s="8" t="s">
        <v>15318</v>
      </c>
      <c r="K331" s="8" t="s">
        <v>7542</v>
      </c>
      <c r="L331" s="8" t="s">
        <v>12455</v>
      </c>
      <c r="M331" s="8" t="s">
        <v>27</v>
      </c>
      <c r="N331" s="8" t="s">
        <v>29345</v>
      </c>
      <c r="O331" s="8" t="s">
        <v>400</v>
      </c>
      <c r="P331" s="11" t="s">
        <v>401</v>
      </c>
      <c r="Q331" s="62" t="s">
        <v>29346</v>
      </c>
      <c r="R331" s="8" t="s">
        <v>100</v>
      </c>
      <c r="S331" s="8" t="s">
        <v>28</v>
      </c>
      <c r="T331" s="68" t="s">
        <v>27756</v>
      </c>
      <c r="U331" s="68" t="s">
        <v>29438</v>
      </c>
      <c r="V331" s="68" t="s">
        <v>29439</v>
      </c>
      <c r="W331" s="68" t="s">
        <v>100</v>
      </c>
      <c r="X331" s="68">
        <v>2455</v>
      </c>
      <c r="Y331" s="1"/>
      <c r="Z331" s="1"/>
      <c r="AA331" s="1"/>
      <c r="AB331" s="1"/>
      <c r="AC331" s="1"/>
      <c r="AD331" s="1"/>
      <c r="AE331" s="1"/>
      <c r="AF331" s="1"/>
      <c r="AG331" s="1"/>
      <c r="AH331" s="1"/>
      <c r="AI331" s="1"/>
      <c r="AJ331" s="1"/>
      <c r="AK331" s="1"/>
      <c r="AL331" s="1"/>
      <c r="AM331" s="1"/>
      <c r="AN331" s="1"/>
      <c r="AO331" s="1"/>
      <c r="AP331" s="1"/>
      <c r="AQ331" s="1"/>
      <c r="AR331" s="1"/>
      <c r="AS331" s="1"/>
      <c r="AT331" s="1"/>
      <c r="AU331" s="70"/>
      <c r="AV331" s="70"/>
      <c r="AW331" s="1"/>
      <c r="AX331" s="1"/>
      <c r="AY331" s="1"/>
      <c r="AZ331" s="70"/>
      <c r="BA331" s="44"/>
      <c r="BB331" s="11"/>
      <c r="BC331" s="1"/>
      <c r="BD331" s="1"/>
      <c r="BE331" s="1"/>
      <c r="BF331" s="1"/>
      <c r="BG331" s="1"/>
      <c r="BH331" s="1"/>
      <c r="BI331" s="1"/>
      <c r="BJ331" s="1"/>
    </row>
    <row r="332" spans="1:63" s="78" customFormat="1" ht="12" customHeight="1" x14ac:dyDescent="0.2">
      <c r="A332" s="8" t="s">
        <v>29306</v>
      </c>
      <c r="B332" s="68">
        <v>35</v>
      </c>
      <c r="C332" s="8" t="s">
        <v>20</v>
      </c>
      <c r="D332" s="8" t="s">
        <v>48</v>
      </c>
      <c r="E332" s="8"/>
      <c r="F332" s="69">
        <v>42819</v>
      </c>
      <c r="G332" s="8" t="s">
        <v>29307</v>
      </c>
      <c r="H332" s="8" t="s">
        <v>29308</v>
      </c>
      <c r="I332" s="8" t="s">
        <v>45</v>
      </c>
      <c r="J332" s="8" t="s">
        <v>3004</v>
      </c>
      <c r="K332" s="8" t="s">
        <v>98</v>
      </c>
      <c r="L332" s="8" t="s">
        <v>99</v>
      </c>
      <c r="M332" s="8" t="s">
        <v>27</v>
      </c>
      <c r="N332" s="8" t="s">
        <v>29309</v>
      </c>
      <c r="O332" s="8" t="s">
        <v>400</v>
      </c>
      <c r="P332" s="11" t="s">
        <v>401</v>
      </c>
      <c r="Q332" s="62" t="s">
        <v>29310</v>
      </c>
      <c r="R332" s="8" t="s">
        <v>100</v>
      </c>
      <c r="S332" s="8" t="s">
        <v>28</v>
      </c>
      <c r="T332" s="68" t="s">
        <v>27756</v>
      </c>
      <c r="U332" s="68" t="s">
        <v>29436</v>
      </c>
      <c r="V332" s="68" t="s">
        <v>29440</v>
      </c>
      <c r="W332" s="68" t="s">
        <v>100</v>
      </c>
      <c r="X332" s="68">
        <v>2454</v>
      </c>
      <c r="Y332" s="1"/>
      <c r="Z332" s="1"/>
      <c r="AA332" s="1"/>
      <c r="AB332" s="1"/>
      <c r="AC332" s="1"/>
      <c r="AD332" s="1"/>
      <c r="AE332" s="1"/>
      <c r="AF332" s="1"/>
      <c r="AG332" s="1"/>
      <c r="AH332" s="1"/>
      <c r="AI332" s="1"/>
      <c r="AJ332" s="1"/>
      <c r="AK332" s="1"/>
      <c r="AL332" s="1"/>
      <c r="AM332" s="1"/>
      <c r="AN332" s="1"/>
      <c r="AO332" s="1"/>
      <c r="AP332" s="1"/>
      <c r="AQ332" s="1"/>
      <c r="AR332" s="1"/>
      <c r="AS332" s="1"/>
      <c r="AT332" s="1"/>
      <c r="AU332" s="70"/>
      <c r="AV332" s="70"/>
      <c r="AW332" s="11"/>
      <c r="AX332" s="1"/>
      <c r="AY332" s="1"/>
      <c r="AZ332" s="70"/>
      <c r="BA332" s="44"/>
      <c r="BB332" s="44"/>
      <c r="BC332" s="1"/>
      <c r="BD332" s="1"/>
      <c r="BE332" s="1"/>
      <c r="BF332" s="1"/>
      <c r="BG332" s="1"/>
      <c r="BH332" s="1"/>
      <c r="BI332" s="1"/>
      <c r="BJ332" s="1"/>
    </row>
    <row r="333" spans="1:63" s="78" customFormat="1" ht="12" customHeight="1" x14ac:dyDescent="0.2">
      <c r="A333" s="8" t="s">
        <v>29329</v>
      </c>
      <c r="B333" s="47">
        <v>28</v>
      </c>
      <c r="C333" s="8" t="s">
        <v>20</v>
      </c>
      <c r="D333" s="8" t="s">
        <v>48</v>
      </c>
      <c r="E333" s="8"/>
      <c r="F333" s="72">
        <v>42819</v>
      </c>
      <c r="G333" s="8" t="s">
        <v>29330</v>
      </c>
      <c r="H333" s="8" t="s">
        <v>4085</v>
      </c>
      <c r="I333" s="8" t="s">
        <v>404</v>
      </c>
      <c r="J333" s="8" t="s">
        <v>29331</v>
      </c>
      <c r="K333" s="8" t="s">
        <v>4087</v>
      </c>
      <c r="L333" s="8" t="s">
        <v>17903</v>
      </c>
      <c r="M333" s="8" t="s">
        <v>27</v>
      </c>
      <c r="N333" s="8" t="s">
        <v>29332</v>
      </c>
      <c r="O333" s="8" t="s">
        <v>400</v>
      </c>
      <c r="P333" s="11" t="s">
        <v>401</v>
      </c>
      <c r="Q333" s="62" t="s">
        <v>29333</v>
      </c>
      <c r="R333" s="8" t="s">
        <v>100</v>
      </c>
      <c r="S333" s="13" t="s">
        <v>28</v>
      </c>
      <c r="T333" s="68" t="s">
        <v>27756</v>
      </c>
      <c r="U333" s="68"/>
      <c r="V333" s="68"/>
      <c r="W333" s="68"/>
      <c r="X333" s="68"/>
      <c r="Y333" s="1"/>
      <c r="Z333" s="1"/>
      <c r="AA333" s="1"/>
      <c r="AB333" s="1"/>
      <c r="AC333" s="1"/>
      <c r="AD333" s="1"/>
      <c r="AE333" s="1"/>
      <c r="AF333" s="1"/>
      <c r="AG333" s="1"/>
      <c r="AH333" s="1"/>
      <c r="AI333" s="1"/>
      <c r="AJ333" s="1"/>
      <c r="AK333" s="1"/>
      <c r="AL333" s="1"/>
      <c r="AM333" s="1"/>
      <c r="AN333" s="1"/>
      <c r="AO333" s="1"/>
      <c r="AP333" s="1"/>
      <c r="AQ333" s="1"/>
      <c r="AR333" s="1"/>
      <c r="AS333" s="1"/>
      <c r="AT333" s="1"/>
      <c r="AU333" s="70"/>
      <c r="AV333" s="70"/>
      <c r="AW333" s="1"/>
      <c r="AX333" s="1"/>
      <c r="AY333" s="1"/>
      <c r="AZ333" s="1"/>
      <c r="BA333" s="1"/>
      <c r="BB333" s="1"/>
      <c r="BC333" s="1"/>
      <c r="BD333" s="1"/>
      <c r="BE333" s="1"/>
      <c r="BF333" s="1"/>
      <c r="BG333" s="1"/>
      <c r="BH333" s="1"/>
      <c r="BI333" s="1"/>
      <c r="BJ333" s="1"/>
    </row>
    <row r="334" spans="1:63" s="78" customFormat="1" ht="12" customHeight="1" x14ac:dyDescent="0.2">
      <c r="A334" s="8" t="s">
        <v>29315</v>
      </c>
      <c r="B334" s="68">
        <v>26</v>
      </c>
      <c r="C334" s="8" t="s">
        <v>20</v>
      </c>
      <c r="D334" s="8" t="s">
        <v>48</v>
      </c>
      <c r="E334" s="62" t="s">
        <v>29316</v>
      </c>
      <c r="F334" s="69">
        <v>42818</v>
      </c>
      <c r="G334" s="8" t="s">
        <v>29317</v>
      </c>
      <c r="H334" s="8" t="s">
        <v>29318</v>
      </c>
      <c r="I334" s="8" t="s">
        <v>73</v>
      </c>
      <c r="J334" s="8" t="s">
        <v>29319</v>
      </c>
      <c r="K334" s="8" t="s">
        <v>29320</v>
      </c>
      <c r="L334" s="8" t="s">
        <v>281</v>
      </c>
      <c r="M334" s="8" t="s">
        <v>27</v>
      </c>
      <c r="N334" s="8" t="s">
        <v>29321</v>
      </c>
      <c r="O334" s="8" t="s">
        <v>400</v>
      </c>
      <c r="P334" s="11" t="s">
        <v>401</v>
      </c>
      <c r="Q334" s="62" t="s">
        <v>29322</v>
      </c>
      <c r="R334" s="8" t="s">
        <v>100</v>
      </c>
      <c r="S334" s="8" t="s">
        <v>28</v>
      </c>
      <c r="T334" s="68" t="s">
        <v>27756</v>
      </c>
      <c r="U334" s="68" t="s">
        <v>29436</v>
      </c>
      <c r="V334" s="68" t="s">
        <v>29440</v>
      </c>
      <c r="W334" s="68" t="s">
        <v>100</v>
      </c>
      <c r="X334" s="68">
        <v>2458</v>
      </c>
      <c r="Y334" s="1"/>
      <c r="Z334" s="1"/>
      <c r="AA334" s="1"/>
      <c r="AB334" s="1"/>
      <c r="AC334" s="1"/>
      <c r="AD334" s="1"/>
      <c r="AE334" s="1"/>
      <c r="AF334" s="1"/>
      <c r="AG334" s="1"/>
      <c r="AH334" s="1"/>
      <c r="AI334" s="1"/>
      <c r="AJ334" s="1"/>
      <c r="AK334" s="1"/>
      <c r="AL334" s="1"/>
      <c r="AM334" s="1"/>
      <c r="AN334" s="1"/>
      <c r="AO334" s="1"/>
      <c r="AP334" s="1"/>
      <c r="AQ334" s="1"/>
      <c r="AR334" s="1"/>
      <c r="AS334" s="1"/>
      <c r="AT334" s="1"/>
      <c r="AU334" s="70"/>
      <c r="AV334" s="70"/>
      <c r="AW334" s="44"/>
      <c r="AX334" s="64"/>
      <c r="AY334" s="64"/>
      <c r="AZ334" s="70"/>
      <c r="BA334" s="44"/>
      <c r="BB334" s="44"/>
      <c r="BC334" s="1"/>
      <c r="BD334" s="1"/>
      <c r="BE334" s="1"/>
      <c r="BF334" s="1"/>
      <c r="BG334" s="1"/>
      <c r="BH334" s="1"/>
      <c r="BI334" s="1"/>
      <c r="BJ334" s="1"/>
    </row>
    <row r="335" spans="1:63" s="78" customFormat="1" ht="12" customHeight="1" x14ac:dyDescent="0.2">
      <c r="A335" s="8" t="s">
        <v>29323</v>
      </c>
      <c r="B335" s="68">
        <v>18</v>
      </c>
      <c r="C335" s="8" t="s">
        <v>20</v>
      </c>
      <c r="D335" s="8" t="s">
        <v>37</v>
      </c>
      <c r="E335" s="62" t="s">
        <v>29324</v>
      </c>
      <c r="F335" s="69">
        <v>42818</v>
      </c>
      <c r="G335" s="8" t="s">
        <v>29325</v>
      </c>
      <c r="H335" s="8" t="s">
        <v>2034</v>
      </c>
      <c r="I335" s="8" t="s">
        <v>45</v>
      </c>
      <c r="J335" s="8" t="s">
        <v>29326</v>
      </c>
      <c r="K335" s="8" t="s">
        <v>2958</v>
      </c>
      <c r="L335" s="8" t="s">
        <v>957</v>
      </c>
      <c r="M335" s="8" t="s">
        <v>27</v>
      </c>
      <c r="N335" s="8" t="s">
        <v>29327</v>
      </c>
      <c r="O335" s="8" t="s">
        <v>400</v>
      </c>
      <c r="P335" s="11" t="s">
        <v>401</v>
      </c>
      <c r="Q335" s="62" t="s">
        <v>29328</v>
      </c>
      <c r="R335" s="8" t="s">
        <v>100</v>
      </c>
      <c r="S335" s="8" t="s">
        <v>28</v>
      </c>
      <c r="T335" s="68" t="s">
        <v>27756</v>
      </c>
      <c r="U335" s="68" t="s">
        <v>29438</v>
      </c>
      <c r="V335" s="68" t="s">
        <v>29439</v>
      </c>
      <c r="W335" s="68" t="s">
        <v>100</v>
      </c>
      <c r="X335" s="68">
        <v>2456</v>
      </c>
      <c r="Y335" s="1"/>
      <c r="Z335" s="1"/>
      <c r="AA335" s="1"/>
      <c r="AB335" s="1"/>
      <c r="AC335" s="1"/>
      <c r="AD335" s="1"/>
      <c r="AE335" s="1"/>
      <c r="AF335" s="1"/>
      <c r="AG335" s="1"/>
      <c r="AH335" s="1"/>
      <c r="AI335" s="1"/>
      <c r="AJ335" s="1"/>
      <c r="AK335" s="1"/>
      <c r="AL335" s="1"/>
      <c r="AM335" s="1"/>
      <c r="AN335" s="1"/>
      <c r="AO335" s="1"/>
      <c r="AP335" s="1"/>
      <c r="AQ335" s="1"/>
      <c r="AR335" s="1"/>
      <c r="AS335" s="1"/>
      <c r="AT335" s="1"/>
      <c r="AU335" s="70"/>
      <c r="AV335" s="70"/>
      <c r="AW335" s="70"/>
      <c r="AX335" s="1"/>
      <c r="AY335" s="1"/>
      <c r="AZ335" s="70"/>
      <c r="BA335" s="44"/>
      <c r="BB335" s="44"/>
      <c r="BC335" s="1"/>
      <c r="BD335" s="1"/>
      <c r="BE335" s="1"/>
      <c r="BF335" s="1"/>
      <c r="BG335" s="1"/>
      <c r="BH335" s="1"/>
      <c r="BI335" s="1"/>
      <c r="BJ335" s="1"/>
    </row>
    <row r="336" spans="1:63" s="78" customFormat="1" ht="12" customHeight="1" x14ac:dyDescent="0.2">
      <c r="A336" s="8" t="s">
        <v>29311</v>
      </c>
      <c r="B336" s="68">
        <v>39</v>
      </c>
      <c r="C336" s="8" t="s">
        <v>20</v>
      </c>
      <c r="D336" s="8" t="s">
        <v>85</v>
      </c>
      <c r="E336" s="62" t="s">
        <v>29312</v>
      </c>
      <c r="F336" s="69">
        <v>42818</v>
      </c>
      <c r="G336" s="8" t="s">
        <v>29510</v>
      </c>
      <c r="H336" s="8" t="s">
        <v>1592</v>
      </c>
      <c r="I336" s="8" t="s">
        <v>52</v>
      </c>
      <c r="J336" s="8" t="s">
        <v>2769</v>
      </c>
      <c r="K336" s="8" t="s">
        <v>4697</v>
      </c>
      <c r="L336" s="8" t="s">
        <v>2770</v>
      </c>
      <c r="M336" s="8" t="s">
        <v>27</v>
      </c>
      <c r="N336" s="8" t="s">
        <v>29313</v>
      </c>
      <c r="O336" s="8" t="s">
        <v>400</v>
      </c>
      <c r="P336" s="11" t="s">
        <v>401</v>
      </c>
      <c r="Q336" s="62" t="s">
        <v>29314</v>
      </c>
      <c r="R336" s="8" t="s">
        <v>29</v>
      </c>
      <c r="S336" s="8" t="s">
        <v>28</v>
      </c>
      <c r="T336" s="68" t="s">
        <v>29493</v>
      </c>
      <c r="U336" s="68" t="s">
        <v>29436</v>
      </c>
      <c r="V336" s="68" t="s">
        <v>29439</v>
      </c>
      <c r="W336" s="68" t="s">
        <v>555</v>
      </c>
      <c r="X336" s="68">
        <v>2452</v>
      </c>
      <c r="Y336" s="1"/>
      <c r="Z336" s="1"/>
      <c r="AA336" s="1"/>
      <c r="AB336" s="1"/>
      <c r="AC336" s="1"/>
      <c r="AD336" s="1"/>
      <c r="AE336" s="1"/>
      <c r="AF336" s="1"/>
      <c r="AG336" s="1"/>
      <c r="AH336" s="1"/>
      <c r="AI336" s="1"/>
      <c r="AJ336" s="1"/>
      <c r="AK336" s="1"/>
      <c r="AL336" s="1"/>
      <c r="AM336" s="1"/>
      <c r="AN336" s="1"/>
      <c r="AO336" s="1"/>
      <c r="AP336" s="1"/>
      <c r="AQ336" s="1"/>
      <c r="AR336" s="1"/>
      <c r="AS336" s="1"/>
      <c r="AT336" s="1"/>
      <c r="AU336" s="70"/>
      <c r="AV336" s="70"/>
      <c r="AW336" s="44"/>
      <c r="AX336" s="44"/>
      <c r="AY336" s="44"/>
      <c r="AZ336" s="70"/>
      <c r="BA336" s="1"/>
      <c r="BB336" s="1"/>
      <c r="BC336" s="70"/>
      <c r="BD336" s="70"/>
      <c r="BE336" s="70"/>
      <c r="BF336" s="70"/>
      <c r="BG336" s="70"/>
      <c r="BH336" s="70"/>
      <c r="BI336" s="70"/>
      <c r="BJ336" s="70"/>
    </row>
    <row r="337" spans="1:63" s="78" customFormat="1" ht="12" customHeight="1" x14ac:dyDescent="0.2">
      <c r="A337" s="8" t="s">
        <v>7963</v>
      </c>
      <c r="B337" s="68">
        <v>42</v>
      </c>
      <c r="C337" s="8" t="s">
        <v>20</v>
      </c>
      <c r="D337" s="8" t="s">
        <v>85</v>
      </c>
      <c r="E337" s="8"/>
      <c r="F337" s="69">
        <v>42817</v>
      </c>
      <c r="G337" s="8" t="s">
        <v>29283</v>
      </c>
      <c r="H337" s="8" t="s">
        <v>26334</v>
      </c>
      <c r="I337" s="8" t="s">
        <v>978</v>
      </c>
      <c r="J337" s="8" t="s">
        <v>29284</v>
      </c>
      <c r="K337" s="8" t="s">
        <v>397</v>
      </c>
      <c r="L337" s="8" t="s">
        <v>29285</v>
      </c>
      <c r="M337" s="8" t="s">
        <v>27</v>
      </c>
      <c r="N337" s="8" t="s">
        <v>29286</v>
      </c>
      <c r="O337" s="8" t="s">
        <v>400</v>
      </c>
      <c r="P337" s="11" t="s">
        <v>401</v>
      </c>
      <c r="Q337" s="62" t="s">
        <v>29287</v>
      </c>
      <c r="R337" s="8" t="s">
        <v>100</v>
      </c>
      <c r="S337" s="8" t="s">
        <v>28</v>
      </c>
      <c r="T337" s="68" t="s">
        <v>29493</v>
      </c>
      <c r="U337" s="68" t="s">
        <v>29438</v>
      </c>
      <c r="V337" s="68" t="s">
        <v>29437</v>
      </c>
      <c r="W337" s="68" t="s">
        <v>100</v>
      </c>
      <c r="X337" s="68">
        <v>2451</v>
      </c>
      <c r="Y337" s="1"/>
      <c r="Z337" s="1"/>
      <c r="AA337" s="1"/>
      <c r="AB337" s="1"/>
      <c r="AC337" s="1"/>
      <c r="AD337" s="1"/>
      <c r="AE337" s="1"/>
      <c r="AF337" s="1"/>
      <c r="AG337" s="1"/>
      <c r="AH337" s="1"/>
      <c r="AI337" s="1"/>
      <c r="AJ337" s="1"/>
      <c r="AK337" s="1"/>
      <c r="AL337" s="1"/>
      <c r="AM337" s="1"/>
      <c r="AN337" s="1"/>
      <c r="AO337" s="1"/>
      <c r="AP337" s="1"/>
      <c r="AQ337" s="1"/>
      <c r="AR337" s="1"/>
      <c r="AS337" s="1"/>
      <c r="AT337" s="1"/>
      <c r="AU337" s="70"/>
      <c r="AV337" s="70"/>
      <c r="AW337" s="1"/>
      <c r="AX337" s="44"/>
      <c r="AY337" s="44"/>
      <c r="AZ337" s="70"/>
      <c r="BA337" s="44"/>
      <c r="BB337" s="44"/>
      <c r="BC337" s="70"/>
      <c r="BD337" s="70"/>
      <c r="BE337" s="70"/>
      <c r="BF337" s="70"/>
      <c r="BG337" s="70"/>
      <c r="BH337" s="70"/>
      <c r="BI337" s="70"/>
      <c r="BJ337" s="70"/>
    </row>
    <row r="338" spans="1:63" s="78" customFormat="1" ht="12" customHeight="1" x14ac:dyDescent="0.2">
      <c r="A338" s="8" t="s">
        <v>29506</v>
      </c>
      <c r="B338" s="8" t="s">
        <v>29</v>
      </c>
      <c r="C338" s="8" t="s">
        <v>20</v>
      </c>
      <c r="D338" s="8" t="s">
        <v>85</v>
      </c>
      <c r="E338" s="8"/>
      <c r="F338" s="72">
        <v>42817</v>
      </c>
      <c r="G338" s="8" t="s">
        <v>29511</v>
      </c>
      <c r="H338" s="8" t="s">
        <v>17171</v>
      </c>
      <c r="I338" s="8" t="s">
        <v>303</v>
      </c>
      <c r="J338" s="8" t="s">
        <v>17172</v>
      </c>
      <c r="K338" s="8" t="s">
        <v>1209</v>
      </c>
      <c r="L338" s="8" t="s">
        <v>3467</v>
      </c>
      <c r="M338" s="8" t="s">
        <v>27</v>
      </c>
      <c r="N338" s="8" t="s">
        <v>29304</v>
      </c>
      <c r="O338" s="8" t="s">
        <v>400</v>
      </c>
      <c r="P338" s="11" t="s">
        <v>401</v>
      </c>
      <c r="Q338" s="62" t="s">
        <v>29305</v>
      </c>
      <c r="R338" s="8" t="s">
        <v>29</v>
      </c>
      <c r="S338" s="8" t="s">
        <v>28</v>
      </c>
      <c r="T338" s="66" t="s">
        <v>29459</v>
      </c>
      <c r="U338" s="66" t="s">
        <v>29436</v>
      </c>
      <c r="V338" s="66" t="s">
        <v>29439</v>
      </c>
      <c r="W338" s="66" t="s">
        <v>100</v>
      </c>
      <c r="X338" s="66">
        <v>2449</v>
      </c>
      <c r="Y338" s="1"/>
      <c r="Z338" s="1"/>
      <c r="AA338" s="1"/>
      <c r="AB338" s="1"/>
      <c r="AC338" s="1"/>
      <c r="AD338" s="1"/>
      <c r="AE338" s="1"/>
      <c r="AF338" s="1"/>
      <c r="AG338" s="1"/>
      <c r="AH338" s="1"/>
      <c r="AI338" s="1"/>
      <c r="AJ338" s="1"/>
      <c r="AK338" s="1"/>
      <c r="AL338" s="1"/>
      <c r="AM338" s="1"/>
      <c r="AN338" s="1"/>
      <c r="AO338" s="1"/>
      <c r="AP338" s="1"/>
      <c r="AQ338" s="1"/>
      <c r="AR338" s="1"/>
      <c r="AS338" s="1"/>
      <c r="AT338" s="1"/>
      <c r="AU338" s="70"/>
      <c r="AV338" s="70"/>
      <c r="AW338" s="1"/>
      <c r="AX338" s="1"/>
      <c r="AY338" s="1"/>
      <c r="AZ338" s="1"/>
      <c r="BA338" s="1"/>
      <c r="BB338" s="1"/>
      <c r="BC338" s="70"/>
      <c r="BD338" s="70"/>
      <c r="BE338" s="70"/>
      <c r="BF338" s="70"/>
      <c r="BG338" s="70"/>
      <c r="BH338" s="70"/>
      <c r="BI338" s="70"/>
      <c r="BJ338" s="70"/>
    </row>
    <row r="339" spans="1:63" s="78" customFormat="1" ht="12" customHeight="1" x14ac:dyDescent="0.2">
      <c r="A339" s="8" t="s">
        <v>29288</v>
      </c>
      <c r="B339" s="68">
        <v>24</v>
      </c>
      <c r="C339" s="8" t="s">
        <v>20</v>
      </c>
      <c r="D339" s="8" t="s">
        <v>48</v>
      </c>
      <c r="E339" s="8"/>
      <c r="F339" s="69">
        <v>42817</v>
      </c>
      <c r="G339" s="8" t="s">
        <v>29289</v>
      </c>
      <c r="H339" s="8" t="s">
        <v>632</v>
      </c>
      <c r="I339" s="8" t="s">
        <v>123</v>
      </c>
      <c r="J339" s="8" t="s">
        <v>14958</v>
      </c>
      <c r="K339" s="8" t="s">
        <v>633</v>
      </c>
      <c r="L339" s="8" t="s">
        <v>634</v>
      </c>
      <c r="M339" s="8" t="s">
        <v>27</v>
      </c>
      <c r="N339" s="8" t="s">
        <v>29290</v>
      </c>
      <c r="O339" s="8" t="s">
        <v>400</v>
      </c>
      <c r="P339" s="11" t="s">
        <v>401</v>
      </c>
      <c r="Q339" s="62" t="s">
        <v>29291</v>
      </c>
      <c r="R339" s="8" t="s">
        <v>29</v>
      </c>
      <c r="S339" s="8" t="s">
        <v>28</v>
      </c>
      <c r="T339" s="68" t="s">
        <v>29493</v>
      </c>
      <c r="U339" s="68" t="s">
        <v>29438</v>
      </c>
      <c r="V339" s="68" t="s">
        <v>29439</v>
      </c>
      <c r="W339" s="68" t="s">
        <v>100</v>
      </c>
      <c r="X339" s="68">
        <v>2453</v>
      </c>
      <c r="Y339" s="1"/>
      <c r="Z339" s="1"/>
      <c r="AA339" s="1"/>
      <c r="AB339" s="1"/>
      <c r="AC339" s="1"/>
      <c r="AD339" s="1"/>
      <c r="AE339" s="1"/>
      <c r="AF339" s="1"/>
      <c r="AG339" s="1"/>
      <c r="AH339" s="1"/>
      <c r="AI339" s="1"/>
      <c r="AJ339" s="1"/>
      <c r="AK339" s="1"/>
      <c r="AL339" s="1"/>
      <c r="AM339" s="1"/>
      <c r="AN339" s="1"/>
      <c r="AO339" s="1"/>
      <c r="AP339" s="1"/>
      <c r="AQ339" s="1"/>
      <c r="AR339" s="1"/>
      <c r="AS339" s="1"/>
      <c r="AT339" s="1"/>
      <c r="AU339" s="70"/>
      <c r="AV339" s="70"/>
      <c r="AW339" s="11"/>
      <c r="AX339" s="1"/>
      <c r="AY339" s="1"/>
      <c r="AZ339" s="70"/>
      <c r="BA339" s="1"/>
      <c r="BB339" s="1"/>
      <c r="BC339" s="1"/>
      <c r="BD339" s="1"/>
      <c r="BE339" s="1"/>
      <c r="BF339" s="1"/>
      <c r="BG339" s="1"/>
      <c r="BH339" s="1"/>
      <c r="BI339" s="1"/>
      <c r="BJ339" s="1"/>
    </row>
    <row r="340" spans="1:63" s="78" customFormat="1" ht="12" customHeight="1" x14ac:dyDescent="0.2">
      <c r="A340" s="8" t="s">
        <v>29374</v>
      </c>
      <c r="B340" s="68">
        <v>45</v>
      </c>
      <c r="C340" s="8" t="s">
        <v>20</v>
      </c>
      <c r="D340" s="8" t="s">
        <v>21</v>
      </c>
      <c r="E340" s="62" t="s">
        <v>29375</v>
      </c>
      <c r="F340" s="69">
        <v>42816</v>
      </c>
      <c r="G340" s="8" t="s">
        <v>29376</v>
      </c>
      <c r="H340" s="8" t="s">
        <v>1542</v>
      </c>
      <c r="I340" s="8" t="s">
        <v>438</v>
      </c>
      <c r="J340" s="8">
        <v>54476</v>
      </c>
      <c r="K340" s="8" t="s">
        <v>23488</v>
      </c>
      <c r="L340" s="8" t="s">
        <v>28934</v>
      </c>
      <c r="M340" s="8" t="s">
        <v>27</v>
      </c>
      <c r="N340" s="8" t="s">
        <v>29377</v>
      </c>
      <c r="O340" s="8" t="s">
        <v>400</v>
      </c>
      <c r="P340" s="11" t="s">
        <v>401</v>
      </c>
      <c r="Q340" s="11" t="s">
        <v>29378</v>
      </c>
      <c r="R340" s="8" t="s">
        <v>100</v>
      </c>
      <c r="S340" s="8" t="s">
        <v>28</v>
      </c>
      <c r="T340" s="68" t="s">
        <v>27756</v>
      </c>
      <c r="U340" s="68" t="s">
        <v>29438</v>
      </c>
      <c r="V340" s="68"/>
      <c r="W340" s="68" t="s">
        <v>100</v>
      </c>
      <c r="X340" s="68">
        <v>2477</v>
      </c>
      <c r="Y340" s="1"/>
      <c r="Z340" s="1"/>
      <c r="AA340" s="1"/>
      <c r="AB340" s="1"/>
      <c r="AC340" s="1"/>
      <c r="AD340" s="1"/>
      <c r="AE340" s="1"/>
      <c r="AF340" s="1"/>
      <c r="AG340" s="1"/>
      <c r="AH340" s="1"/>
      <c r="AI340" s="1"/>
      <c r="AJ340" s="1"/>
      <c r="AK340" s="1"/>
      <c r="AL340" s="1"/>
      <c r="AM340" s="1"/>
      <c r="AN340" s="1"/>
      <c r="AO340" s="1"/>
      <c r="AP340" s="1"/>
      <c r="AQ340" s="1"/>
      <c r="AR340" s="1"/>
      <c r="AS340" s="1"/>
      <c r="AT340" s="1"/>
      <c r="AU340" s="70"/>
      <c r="AV340" s="70"/>
      <c r="AW340" s="1"/>
      <c r="AX340" s="70"/>
      <c r="AY340" s="70"/>
      <c r="AZ340" s="70"/>
      <c r="BA340" s="44"/>
      <c r="BB340" s="44"/>
      <c r="BC340" s="70"/>
      <c r="BD340" s="70"/>
      <c r="BE340" s="70"/>
      <c r="BF340" s="70"/>
      <c r="BG340" s="70"/>
      <c r="BH340" s="70"/>
      <c r="BI340" s="70"/>
      <c r="BJ340" s="70"/>
    </row>
    <row r="341" spans="1:63" s="78" customFormat="1" ht="12" customHeight="1" x14ac:dyDescent="0.2">
      <c r="A341" s="8" t="s">
        <v>29300</v>
      </c>
      <c r="B341" s="68">
        <v>27</v>
      </c>
      <c r="C341" s="8" t="s">
        <v>20</v>
      </c>
      <c r="D341" s="68" t="s">
        <v>85</v>
      </c>
      <c r="E341" s="8"/>
      <c r="F341" s="69">
        <v>42816</v>
      </c>
      <c r="G341" s="8" t="s">
        <v>29512</v>
      </c>
      <c r="H341" s="8" t="s">
        <v>7976</v>
      </c>
      <c r="I341" s="8" t="s">
        <v>25</v>
      </c>
      <c r="J341" s="8" t="s">
        <v>7977</v>
      </c>
      <c r="K341" s="8" t="s">
        <v>29301</v>
      </c>
      <c r="L341" s="8" t="s">
        <v>7979</v>
      </c>
      <c r="M341" s="8" t="s">
        <v>27</v>
      </c>
      <c r="N341" s="8" t="s">
        <v>29302</v>
      </c>
      <c r="O341" s="8" t="s">
        <v>400</v>
      </c>
      <c r="P341" s="11" t="s">
        <v>401</v>
      </c>
      <c r="Q341" s="62" t="s">
        <v>29303</v>
      </c>
      <c r="R341" s="8" t="s">
        <v>100</v>
      </c>
      <c r="S341" s="8" t="s">
        <v>28</v>
      </c>
      <c r="T341" s="68" t="s">
        <v>27756</v>
      </c>
      <c r="U341" s="68" t="s">
        <v>29438</v>
      </c>
      <c r="V341" s="68" t="s">
        <v>29439</v>
      </c>
      <c r="W341" s="68" t="s">
        <v>100</v>
      </c>
      <c r="X341" s="68">
        <v>2450</v>
      </c>
      <c r="Y341" s="1"/>
      <c r="Z341" s="1"/>
      <c r="AA341" s="1"/>
      <c r="AB341" s="1"/>
      <c r="AC341" s="1"/>
      <c r="AD341" s="1"/>
      <c r="AE341" s="1"/>
      <c r="AF341" s="1"/>
      <c r="AG341" s="1"/>
      <c r="AH341" s="1"/>
      <c r="AI341" s="1"/>
      <c r="AJ341" s="1"/>
      <c r="AK341" s="1"/>
      <c r="AL341" s="1"/>
      <c r="AM341" s="1"/>
      <c r="AN341" s="1"/>
      <c r="AO341" s="1"/>
      <c r="AP341" s="1"/>
      <c r="AQ341" s="1"/>
      <c r="AR341" s="1"/>
      <c r="AS341" s="1"/>
      <c r="AT341" s="1"/>
      <c r="AU341" s="70"/>
      <c r="AV341" s="70"/>
      <c r="AW341" s="44"/>
      <c r="AX341" s="1"/>
      <c r="AY341" s="1"/>
      <c r="AZ341" s="70"/>
      <c r="BA341" s="44"/>
      <c r="BB341" s="44"/>
      <c r="BC341" s="70"/>
      <c r="BD341" s="70"/>
      <c r="BE341" s="70"/>
      <c r="BF341" s="70"/>
      <c r="BG341" s="70"/>
      <c r="BH341" s="70"/>
      <c r="BI341" s="70"/>
      <c r="BJ341" s="70"/>
    </row>
    <row r="342" spans="1:63" s="78" customFormat="1" ht="12" customHeight="1" x14ac:dyDescent="0.2">
      <c r="A342" s="8" t="s">
        <v>29292</v>
      </c>
      <c r="B342" s="68">
        <v>42</v>
      </c>
      <c r="C342" s="8" t="s">
        <v>20</v>
      </c>
      <c r="D342" s="68" t="s">
        <v>37</v>
      </c>
      <c r="E342" s="8"/>
      <c r="F342" s="69">
        <v>42816</v>
      </c>
      <c r="G342" s="8" t="s">
        <v>29293</v>
      </c>
      <c r="H342" s="8" t="s">
        <v>29294</v>
      </c>
      <c r="I342" s="8" t="s">
        <v>315</v>
      </c>
      <c r="J342" s="8" t="s">
        <v>29295</v>
      </c>
      <c r="K342" s="8" t="s">
        <v>29296</v>
      </c>
      <c r="L342" s="8" t="s">
        <v>29297</v>
      </c>
      <c r="M342" s="8" t="s">
        <v>27</v>
      </c>
      <c r="N342" s="8" t="s">
        <v>29298</v>
      </c>
      <c r="O342" s="8" t="s">
        <v>400</v>
      </c>
      <c r="P342" s="11" t="s">
        <v>401</v>
      </c>
      <c r="Q342" s="62" t="s">
        <v>29299</v>
      </c>
      <c r="R342" s="8" t="s">
        <v>100</v>
      </c>
      <c r="S342" s="8" t="s">
        <v>28</v>
      </c>
      <c r="T342" s="68" t="s">
        <v>29493</v>
      </c>
      <c r="U342" s="68" t="s">
        <v>29441</v>
      </c>
      <c r="V342" s="68"/>
      <c r="W342" s="68" t="s">
        <v>100</v>
      </c>
      <c r="X342" s="68">
        <v>2448</v>
      </c>
      <c r="Y342" s="1"/>
      <c r="Z342" s="1"/>
      <c r="AA342" s="1"/>
      <c r="AB342" s="1"/>
      <c r="AC342" s="1"/>
      <c r="AD342" s="1"/>
      <c r="AE342" s="1"/>
      <c r="AF342" s="1"/>
      <c r="AG342" s="1"/>
      <c r="AH342" s="1"/>
      <c r="AI342" s="1"/>
      <c r="AJ342" s="1"/>
      <c r="AK342" s="1"/>
      <c r="AL342" s="1"/>
      <c r="AM342" s="1"/>
      <c r="AN342" s="1"/>
      <c r="AO342" s="1"/>
      <c r="AP342" s="1"/>
      <c r="AQ342" s="1"/>
      <c r="AR342" s="1"/>
      <c r="AS342" s="1"/>
      <c r="AT342" s="1"/>
      <c r="AU342" s="70"/>
      <c r="AV342" s="70"/>
      <c r="AW342" s="1"/>
      <c r="AX342" s="1"/>
      <c r="AY342" s="1"/>
      <c r="AZ342" s="70"/>
      <c r="BA342" s="44"/>
      <c r="BB342" s="44"/>
      <c r="BC342" s="1"/>
      <c r="BD342" s="1"/>
      <c r="BE342" s="1"/>
      <c r="BF342" s="1"/>
      <c r="BG342" s="1"/>
      <c r="BH342" s="1"/>
      <c r="BI342" s="1"/>
      <c r="BJ342" s="1"/>
    </row>
    <row r="343" spans="1:63" s="78" customFormat="1" ht="12" customHeight="1" x14ac:dyDescent="0.2">
      <c r="A343" s="8" t="s">
        <v>29266</v>
      </c>
      <c r="B343" s="47">
        <v>43</v>
      </c>
      <c r="C343" s="8" t="s">
        <v>20</v>
      </c>
      <c r="D343" s="8" t="s">
        <v>30</v>
      </c>
      <c r="E343" s="8"/>
      <c r="F343" s="72">
        <v>42815</v>
      </c>
      <c r="G343" s="8" t="s">
        <v>29514</v>
      </c>
      <c r="H343" s="8" t="s">
        <v>29267</v>
      </c>
      <c r="I343" s="8" t="s">
        <v>45</v>
      </c>
      <c r="J343" s="8" t="s">
        <v>29268</v>
      </c>
      <c r="K343" s="8" t="s">
        <v>4631</v>
      </c>
      <c r="L343" s="8" t="s">
        <v>29269</v>
      </c>
      <c r="M343" s="8" t="s">
        <v>27</v>
      </c>
      <c r="N343" s="8" t="s">
        <v>29270</v>
      </c>
      <c r="O343" s="8" t="s">
        <v>400</v>
      </c>
      <c r="P343" s="11" t="s">
        <v>401</v>
      </c>
      <c r="Q343" s="62" t="s">
        <v>29271</v>
      </c>
      <c r="R343" s="8" t="s">
        <v>100</v>
      </c>
      <c r="S343" s="13" t="s">
        <v>28</v>
      </c>
      <c r="T343" s="68" t="s">
        <v>27756</v>
      </c>
      <c r="U343" s="68"/>
      <c r="V343" s="68"/>
      <c r="W343" s="68"/>
      <c r="X343" s="68"/>
      <c r="Y343" s="1"/>
      <c r="Z343" s="1"/>
      <c r="AA343" s="1"/>
      <c r="AB343" s="1"/>
      <c r="AC343" s="1"/>
      <c r="AD343" s="1"/>
      <c r="AE343" s="1"/>
      <c r="AF343" s="1"/>
      <c r="AG343" s="1"/>
      <c r="AH343" s="1"/>
      <c r="AI343" s="1"/>
      <c r="AJ343" s="1"/>
      <c r="AK343" s="1"/>
      <c r="AL343" s="1"/>
      <c r="AM343" s="1"/>
      <c r="AN343" s="1"/>
      <c r="AO343" s="1"/>
      <c r="AP343" s="1"/>
      <c r="AQ343" s="1"/>
      <c r="AR343" s="1"/>
      <c r="AS343" s="1"/>
      <c r="AT343" s="1"/>
      <c r="AU343" s="70"/>
      <c r="AV343" s="70"/>
      <c r="AW343" s="1"/>
      <c r="AX343" s="1"/>
      <c r="AY343" s="1"/>
      <c r="AZ343" s="1"/>
      <c r="BA343" s="1"/>
      <c r="BB343" s="1"/>
      <c r="BC343" s="1"/>
      <c r="BD343" s="1"/>
      <c r="BE343" s="1"/>
      <c r="BF343" s="1"/>
      <c r="BG343" s="1"/>
      <c r="BH343" s="1"/>
      <c r="BI343" s="1"/>
      <c r="BJ343" s="1"/>
    </row>
    <row r="344" spans="1:63" s="78" customFormat="1" ht="12" customHeight="1" x14ac:dyDescent="0.2">
      <c r="A344" s="8" t="s">
        <v>29260</v>
      </c>
      <c r="B344" s="47">
        <v>23</v>
      </c>
      <c r="C344" s="8" t="s">
        <v>20</v>
      </c>
      <c r="D344" s="8" t="s">
        <v>85</v>
      </c>
      <c r="E344" s="62" t="s">
        <v>29261</v>
      </c>
      <c r="F344" s="72">
        <v>42815</v>
      </c>
      <c r="G344" s="8" t="s">
        <v>29262</v>
      </c>
      <c r="H344" s="8" t="s">
        <v>5949</v>
      </c>
      <c r="I344" s="8" t="s">
        <v>978</v>
      </c>
      <c r="J344" s="8" t="s">
        <v>29263</v>
      </c>
      <c r="K344" s="8" t="s">
        <v>118</v>
      </c>
      <c r="L344" s="8" t="s">
        <v>5951</v>
      </c>
      <c r="M344" s="1" t="s">
        <v>14359</v>
      </c>
      <c r="N344" s="8" t="s">
        <v>29264</v>
      </c>
      <c r="O344" s="8" t="s">
        <v>400</v>
      </c>
      <c r="P344" s="11" t="s">
        <v>401</v>
      </c>
      <c r="Q344" s="62" t="s">
        <v>29265</v>
      </c>
      <c r="R344" s="8" t="s">
        <v>100</v>
      </c>
      <c r="S344" s="13" t="s">
        <v>18</v>
      </c>
      <c r="T344" s="18" t="s">
        <v>29760</v>
      </c>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4"/>
      <c r="AY344" s="44"/>
      <c r="AZ344" s="1"/>
      <c r="BA344" s="1"/>
      <c r="BB344" s="1"/>
      <c r="BC344" s="70"/>
      <c r="BD344" s="70"/>
      <c r="BE344" s="70"/>
      <c r="BF344" s="70"/>
      <c r="BG344" s="70"/>
      <c r="BH344" s="70"/>
      <c r="BI344" s="70"/>
      <c r="BJ344" s="70"/>
      <c r="BK344" s="11"/>
    </row>
    <row r="345" spans="1:63" s="78" customFormat="1" ht="12" customHeight="1" x14ac:dyDescent="0.2">
      <c r="A345" s="8" t="s">
        <v>29272</v>
      </c>
      <c r="B345" s="47">
        <v>1</v>
      </c>
      <c r="C345" s="8" t="s">
        <v>20</v>
      </c>
      <c r="D345" s="8" t="s">
        <v>30</v>
      </c>
      <c r="E345" s="8"/>
      <c r="F345" s="72">
        <v>42815</v>
      </c>
      <c r="G345" s="8" t="s">
        <v>29513</v>
      </c>
      <c r="H345" s="8" t="s">
        <v>224</v>
      </c>
      <c r="I345" s="8" t="s">
        <v>366</v>
      </c>
      <c r="J345" s="8" t="s">
        <v>29273</v>
      </c>
      <c r="K345" s="8" t="s">
        <v>8584</v>
      </c>
      <c r="L345" s="8" t="s">
        <v>29274</v>
      </c>
      <c r="M345" s="8" t="s">
        <v>379</v>
      </c>
      <c r="N345" s="8" t="s">
        <v>29275</v>
      </c>
      <c r="O345" s="8" t="s">
        <v>400</v>
      </c>
      <c r="P345" s="11" t="s">
        <v>401</v>
      </c>
      <c r="Q345" s="62" t="s">
        <v>29276</v>
      </c>
      <c r="R345" s="8" t="s">
        <v>100</v>
      </c>
      <c r="S345" s="2" t="s">
        <v>18</v>
      </c>
      <c r="T345" s="2" t="s">
        <v>29760</v>
      </c>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44"/>
      <c r="AV345" s="44"/>
      <c r="AW345" s="44"/>
      <c r="AX345" s="1"/>
      <c r="AY345" s="1"/>
      <c r="AZ345" s="1"/>
      <c r="BA345" s="1"/>
      <c r="BB345" s="1"/>
      <c r="BC345" s="1"/>
      <c r="BD345" s="1"/>
      <c r="BE345" s="1"/>
      <c r="BF345" s="1"/>
      <c r="BG345" s="1"/>
      <c r="BH345" s="1"/>
      <c r="BI345" s="1"/>
      <c r="BJ345" s="1"/>
      <c r="BK345" s="1"/>
    </row>
    <row r="346" spans="1:63" s="78" customFormat="1" ht="12" customHeight="1" x14ac:dyDescent="0.2">
      <c r="A346" s="8" t="s">
        <v>29277</v>
      </c>
      <c r="B346" s="47">
        <v>29</v>
      </c>
      <c r="C346" s="8" t="s">
        <v>20</v>
      </c>
      <c r="D346" s="8" t="s">
        <v>37</v>
      </c>
      <c r="E346" s="62" t="s">
        <v>29278</v>
      </c>
      <c r="F346" s="72">
        <v>42815</v>
      </c>
      <c r="G346" s="8" t="s">
        <v>29515</v>
      </c>
      <c r="H346" s="8" t="s">
        <v>2150</v>
      </c>
      <c r="I346" s="8" t="s">
        <v>303</v>
      </c>
      <c r="J346" s="8" t="s">
        <v>29279</v>
      </c>
      <c r="K346" s="8" t="s">
        <v>2150</v>
      </c>
      <c r="L346" s="8" t="s">
        <v>29280</v>
      </c>
      <c r="M346" s="1" t="s">
        <v>391</v>
      </c>
      <c r="N346" s="8" t="s">
        <v>29281</v>
      </c>
      <c r="O346" s="8" t="s">
        <v>400</v>
      </c>
      <c r="P346" s="11" t="s">
        <v>401</v>
      </c>
      <c r="Q346" s="62" t="s">
        <v>29282</v>
      </c>
      <c r="R346" s="8" t="s">
        <v>555</v>
      </c>
      <c r="S346" s="13" t="s">
        <v>18</v>
      </c>
      <c r="T346" s="18" t="s">
        <v>29760</v>
      </c>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1"/>
      <c r="AV346" s="11"/>
      <c r="AW346" s="11"/>
      <c r="AX346" s="1"/>
      <c r="AY346" s="1"/>
      <c r="AZ346" s="1"/>
      <c r="BA346" s="1"/>
      <c r="BB346" s="1"/>
      <c r="BC346" s="1"/>
      <c r="BD346" s="1"/>
      <c r="BE346" s="1"/>
      <c r="BF346" s="1"/>
      <c r="BG346" s="1"/>
      <c r="BH346" s="1"/>
      <c r="BI346" s="1"/>
      <c r="BJ346" s="1"/>
      <c r="BK346" s="11"/>
    </row>
    <row r="347" spans="1:63" s="78" customFormat="1" ht="12" customHeight="1" x14ac:dyDescent="0.2">
      <c r="A347" s="8" t="s">
        <v>29254</v>
      </c>
      <c r="B347" s="47">
        <v>55</v>
      </c>
      <c r="C347" s="8" t="s">
        <v>20</v>
      </c>
      <c r="D347" s="8" t="s">
        <v>30</v>
      </c>
      <c r="E347" s="8"/>
      <c r="F347" s="72">
        <v>42814</v>
      </c>
      <c r="G347" s="8" t="s">
        <v>29255</v>
      </c>
      <c r="H347" s="8" t="s">
        <v>151</v>
      </c>
      <c r="I347" s="8" t="s">
        <v>366</v>
      </c>
      <c r="J347" s="8" t="s">
        <v>29256</v>
      </c>
      <c r="K347" s="8" t="s">
        <v>690</v>
      </c>
      <c r="L347" s="8" t="s">
        <v>29257</v>
      </c>
      <c r="M347" s="8" t="s">
        <v>379</v>
      </c>
      <c r="N347" s="8" t="s">
        <v>29258</v>
      </c>
      <c r="O347" s="8" t="s">
        <v>400</v>
      </c>
      <c r="P347" s="11" t="s">
        <v>401</v>
      </c>
      <c r="Q347" s="62" t="s">
        <v>29259</v>
      </c>
      <c r="R347" s="8" t="s">
        <v>100</v>
      </c>
      <c r="S347" s="2" t="s">
        <v>18</v>
      </c>
      <c r="T347" s="2" t="s">
        <v>29760</v>
      </c>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44"/>
      <c r="AV347" s="44"/>
      <c r="AW347" s="44"/>
      <c r="AX347" s="1"/>
      <c r="AY347" s="1"/>
      <c r="AZ347" s="1"/>
      <c r="BA347" s="1"/>
      <c r="BB347" s="1"/>
      <c r="BC347" s="1"/>
      <c r="BD347" s="1"/>
      <c r="BE347" s="1"/>
      <c r="BF347" s="1"/>
      <c r="BG347" s="1"/>
      <c r="BH347" s="1"/>
      <c r="BI347" s="1"/>
      <c r="BJ347" s="1"/>
      <c r="BK347" s="1"/>
    </row>
    <row r="348" spans="1:63" s="78" customFormat="1" ht="12" customHeight="1" x14ac:dyDescent="0.2">
      <c r="A348" s="8" t="s">
        <v>29243</v>
      </c>
      <c r="B348" s="47">
        <v>47</v>
      </c>
      <c r="C348" s="8" t="s">
        <v>20</v>
      </c>
      <c r="D348" s="8" t="s">
        <v>30</v>
      </c>
      <c r="E348" s="8"/>
      <c r="F348" s="72">
        <v>42814</v>
      </c>
      <c r="G348" s="8" t="s">
        <v>29244</v>
      </c>
      <c r="H348" s="8" t="s">
        <v>29245</v>
      </c>
      <c r="I348" s="8" t="s">
        <v>45</v>
      </c>
      <c r="J348" s="8" t="s">
        <v>29246</v>
      </c>
      <c r="K348" s="8" t="s">
        <v>98</v>
      </c>
      <c r="L348" s="8" t="s">
        <v>414</v>
      </c>
      <c r="M348" s="8" t="s">
        <v>27</v>
      </c>
      <c r="N348" s="8" t="s">
        <v>29247</v>
      </c>
      <c r="O348" s="8" t="s">
        <v>400</v>
      </c>
      <c r="P348" s="11" t="s">
        <v>401</v>
      </c>
      <c r="Q348" s="14" t="s">
        <v>29248</v>
      </c>
      <c r="R348" s="8" t="s">
        <v>100</v>
      </c>
      <c r="S348" s="13" t="s">
        <v>35</v>
      </c>
      <c r="T348" s="68" t="s">
        <v>29441</v>
      </c>
      <c r="U348" s="68"/>
      <c r="V348" s="68"/>
      <c r="W348" s="68"/>
      <c r="X348" s="68"/>
      <c r="Y348" s="1"/>
      <c r="Z348" s="1"/>
      <c r="AA348" s="1"/>
      <c r="AB348" s="1"/>
      <c r="AC348" s="1"/>
      <c r="AD348" s="1"/>
      <c r="AE348" s="1"/>
      <c r="AF348" s="1"/>
      <c r="AG348" s="1"/>
      <c r="AH348" s="1"/>
      <c r="AI348" s="1"/>
      <c r="AJ348" s="1"/>
      <c r="AK348" s="1"/>
      <c r="AL348" s="1"/>
      <c r="AM348" s="1"/>
      <c r="AN348" s="1"/>
      <c r="AO348" s="1"/>
      <c r="AP348" s="1"/>
      <c r="AQ348" s="1"/>
      <c r="AR348" s="1"/>
      <c r="AS348" s="1"/>
      <c r="AT348" s="1"/>
      <c r="AU348" s="70"/>
      <c r="AV348" s="70"/>
      <c r="AW348" s="1"/>
      <c r="AX348" s="1"/>
      <c r="AY348" s="1"/>
      <c r="AZ348" s="1"/>
      <c r="BA348" s="1"/>
      <c r="BB348" s="1"/>
      <c r="BC348" s="1"/>
      <c r="BD348" s="1"/>
      <c r="BE348" s="1"/>
      <c r="BF348" s="1"/>
      <c r="BG348" s="1"/>
      <c r="BH348" s="1"/>
      <c r="BI348" s="1"/>
      <c r="BJ348" s="1"/>
      <c r="BK348" s="70"/>
    </row>
    <row r="349" spans="1:63" s="78" customFormat="1" ht="12" customHeight="1" x14ac:dyDescent="0.2">
      <c r="A349" s="8" t="s">
        <v>29249</v>
      </c>
      <c r="B349" s="47">
        <v>73</v>
      </c>
      <c r="C349" s="8" t="s">
        <v>20</v>
      </c>
      <c r="D349" s="8" t="s">
        <v>30</v>
      </c>
      <c r="E349" s="8"/>
      <c r="F349" s="72">
        <v>42814</v>
      </c>
      <c r="G349" s="8" t="s">
        <v>29250</v>
      </c>
      <c r="H349" s="8" t="s">
        <v>5964</v>
      </c>
      <c r="I349" s="8" t="s">
        <v>133</v>
      </c>
      <c r="J349" s="8" t="s">
        <v>29251</v>
      </c>
      <c r="K349" s="8" t="s">
        <v>659</v>
      </c>
      <c r="L349" s="8" t="s">
        <v>257</v>
      </c>
      <c r="M349" s="8" t="s">
        <v>27</v>
      </c>
      <c r="N349" s="8" t="s">
        <v>29252</v>
      </c>
      <c r="O349" s="8" t="s">
        <v>400</v>
      </c>
      <c r="P349" s="11" t="s">
        <v>401</v>
      </c>
      <c r="Q349" s="62" t="s">
        <v>29253</v>
      </c>
      <c r="R349" s="8" t="s">
        <v>29</v>
      </c>
      <c r="S349" s="2" t="s">
        <v>28</v>
      </c>
      <c r="T349" s="68" t="s">
        <v>27756</v>
      </c>
      <c r="U349" s="68"/>
      <c r="V349" s="68"/>
      <c r="W349" s="68"/>
      <c r="X349" s="68"/>
      <c r="Y349" s="1"/>
      <c r="Z349" s="1"/>
      <c r="AA349" s="1"/>
      <c r="AB349" s="1"/>
      <c r="AC349" s="1"/>
      <c r="AD349" s="1"/>
      <c r="AE349" s="1"/>
      <c r="AF349" s="1"/>
      <c r="AG349" s="1"/>
      <c r="AH349" s="1"/>
      <c r="AI349" s="1"/>
      <c r="AJ349" s="1"/>
      <c r="AK349" s="1"/>
      <c r="AL349" s="1"/>
      <c r="AM349" s="1"/>
      <c r="AN349" s="1"/>
      <c r="AO349" s="1"/>
      <c r="AP349" s="1"/>
      <c r="AQ349" s="1"/>
      <c r="AR349" s="1"/>
      <c r="AS349" s="1"/>
      <c r="AT349" s="1"/>
      <c r="AU349" s="70"/>
      <c r="AV349" s="70"/>
      <c r="AW349" s="1"/>
      <c r="AX349" s="1"/>
      <c r="AY349" s="1"/>
      <c r="AZ349" s="1"/>
      <c r="BA349" s="1"/>
      <c r="BB349" s="1"/>
      <c r="BC349" s="1"/>
      <c r="BD349" s="1"/>
      <c r="BE349" s="1"/>
      <c r="BF349" s="1"/>
      <c r="BG349" s="1"/>
      <c r="BH349" s="1"/>
      <c r="BI349" s="1"/>
      <c r="BJ349" s="1"/>
    </row>
    <row r="350" spans="1:63" s="78" customFormat="1" ht="12" customHeight="1" x14ac:dyDescent="0.2">
      <c r="A350" s="8" t="s">
        <v>29224</v>
      </c>
      <c r="B350" s="68">
        <v>19</v>
      </c>
      <c r="C350" s="8" t="s">
        <v>20</v>
      </c>
      <c r="D350" s="8" t="s">
        <v>85</v>
      </c>
      <c r="E350" s="62" t="s">
        <v>29225</v>
      </c>
      <c r="F350" s="69">
        <v>42813</v>
      </c>
      <c r="G350" s="8" t="s">
        <v>29226</v>
      </c>
      <c r="H350" s="8" t="s">
        <v>29227</v>
      </c>
      <c r="I350" s="8" t="s">
        <v>62</v>
      </c>
      <c r="J350" s="8" t="s">
        <v>29228</v>
      </c>
      <c r="K350" s="8" t="s">
        <v>1769</v>
      </c>
      <c r="L350" s="8" t="s">
        <v>3765</v>
      </c>
      <c r="M350" s="8" t="s">
        <v>27</v>
      </c>
      <c r="N350" s="8" t="s">
        <v>29229</v>
      </c>
      <c r="O350" s="8" t="s">
        <v>400</v>
      </c>
      <c r="P350" s="11" t="s">
        <v>401</v>
      </c>
      <c r="Q350" s="14" t="s">
        <v>29230</v>
      </c>
      <c r="R350" s="8" t="s">
        <v>100</v>
      </c>
      <c r="S350" s="8" t="s">
        <v>28</v>
      </c>
      <c r="T350" s="68" t="s">
        <v>27756</v>
      </c>
      <c r="U350" s="68" t="s">
        <v>29438</v>
      </c>
      <c r="V350" s="68" t="s">
        <v>29440</v>
      </c>
      <c r="W350" s="68" t="s">
        <v>100</v>
      </c>
      <c r="X350" s="68">
        <v>2443</v>
      </c>
      <c r="Y350" s="1"/>
      <c r="Z350" s="1"/>
      <c r="AA350" s="1"/>
      <c r="AB350" s="1"/>
      <c r="AC350" s="1"/>
      <c r="AD350" s="1"/>
      <c r="AE350" s="1"/>
      <c r="AF350" s="1"/>
      <c r="AG350" s="1"/>
      <c r="AH350" s="1"/>
      <c r="AI350" s="1"/>
      <c r="AJ350" s="1"/>
      <c r="AK350" s="1"/>
      <c r="AL350" s="1"/>
      <c r="AM350" s="1"/>
      <c r="AN350" s="1"/>
      <c r="AO350" s="1"/>
      <c r="AP350" s="1"/>
      <c r="AQ350" s="1"/>
      <c r="AR350" s="1"/>
      <c r="AS350" s="1"/>
      <c r="AT350" s="1"/>
      <c r="AU350" s="70"/>
      <c r="AV350" s="70"/>
      <c r="AW350" s="70"/>
      <c r="AX350" s="44"/>
      <c r="AY350" s="44"/>
      <c r="AZ350" s="70"/>
      <c r="BA350" s="44"/>
      <c r="BB350" s="44"/>
      <c r="BC350" s="70"/>
      <c r="BD350" s="70"/>
      <c r="BE350" s="70"/>
      <c r="BF350" s="70"/>
      <c r="BG350" s="70"/>
      <c r="BH350" s="70"/>
      <c r="BI350" s="70"/>
      <c r="BJ350" s="70"/>
    </row>
    <row r="351" spans="1:63" s="78" customFormat="1" ht="12" customHeight="1" x14ac:dyDescent="0.2">
      <c r="A351" s="8" t="s">
        <v>3252</v>
      </c>
      <c r="B351" s="47" t="s">
        <v>29</v>
      </c>
      <c r="C351" s="8" t="s">
        <v>20</v>
      </c>
      <c r="D351" s="8" t="s">
        <v>30</v>
      </c>
      <c r="E351" s="8"/>
      <c r="F351" s="69">
        <v>42813</v>
      </c>
      <c r="G351" s="8" t="s">
        <v>29215</v>
      </c>
      <c r="H351" s="8" t="s">
        <v>14586</v>
      </c>
      <c r="I351" s="8" t="s">
        <v>45</v>
      </c>
      <c r="J351" s="8" t="s">
        <v>29216</v>
      </c>
      <c r="K351" s="8" t="s">
        <v>783</v>
      </c>
      <c r="L351" s="8" t="s">
        <v>784</v>
      </c>
      <c r="M351" s="8" t="s">
        <v>27</v>
      </c>
      <c r="N351" s="8" t="s">
        <v>29217</v>
      </c>
      <c r="O351" s="8" t="s">
        <v>400</v>
      </c>
      <c r="P351" s="11" t="s">
        <v>401</v>
      </c>
      <c r="Q351" s="14" t="s">
        <v>29218</v>
      </c>
      <c r="R351" s="8" t="s">
        <v>100</v>
      </c>
      <c r="S351" s="8" t="s">
        <v>28</v>
      </c>
      <c r="T351" s="68" t="s">
        <v>29493</v>
      </c>
      <c r="U351" s="68" t="s">
        <v>29438</v>
      </c>
      <c r="V351" s="68" t="s">
        <v>29439</v>
      </c>
      <c r="W351" s="68" t="s">
        <v>100</v>
      </c>
      <c r="X351" s="68">
        <v>2445</v>
      </c>
      <c r="Y351" s="1"/>
      <c r="Z351" s="1"/>
      <c r="AA351" s="1"/>
      <c r="AB351" s="1"/>
      <c r="AC351" s="1"/>
      <c r="AD351" s="1"/>
      <c r="AE351" s="1"/>
      <c r="AF351" s="1"/>
      <c r="AG351" s="1"/>
      <c r="AH351" s="1"/>
      <c r="AI351" s="1"/>
      <c r="AJ351" s="1"/>
      <c r="AK351" s="1"/>
      <c r="AL351" s="1"/>
      <c r="AM351" s="1"/>
      <c r="AN351" s="1"/>
      <c r="AO351" s="1"/>
      <c r="AP351" s="1"/>
      <c r="AQ351" s="1"/>
      <c r="AR351" s="1"/>
      <c r="AS351" s="1"/>
      <c r="AT351" s="1"/>
      <c r="AU351" s="70"/>
      <c r="AV351" s="70"/>
      <c r="AW351" s="1"/>
      <c r="AX351" s="1"/>
      <c r="AY351" s="1"/>
      <c r="AZ351" s="70"/>
      <c r="BA351" s="44"/>
      <c r="BB351" s="44"/>
      <c r="BC351" s="1"/>
      <c r="BD351" s="1"/>
      <c r="BE351" s="1"/>
      <c r="BF351" s="1"/>
      <c r="BG351" s="1"/>
      <c r="BH351" s="1"/>
      <c r="BI351" s="1"/>
      <c r="BJ351" s="1"/>
    </row>
    <row r="352" spans="1:63" s="78" customFormat="1" ht="12" customHeight="1" x14ac:dyDescent="0.2">
      <c r="A352" s="8" t="s">
        <v>29238</v>
      </c>
      <c r="B352" s="68">
        <v>59</v>
      </c>
      <c r="C352" s="8" t="s">
        <v>20</v>
      </c>
      <c r="D352" s="8" t="s">
        <v>37</v>
      </c>
      <c r="E352" s="62" t="s">
        <v>29239</v>
      </c>
      <c r="F352" s="69">
        <v>42813</v>
      </c>
      <c r="G352" s="8" t="s">
        <v>29516</v>
      </c>
      <c r="H352" s="8" t="s">
        <v>29240</v>
      </c>
      <c r="I352" s="8" t="s">
        <v>431</v>
      </c>
      <c r="J352" s="8" t="s">
        <v>22898</v>
      </c>
      <c r="K352" s="8" t="s">
        <v>709</v>
      </c>
      <c r="L352" s="8" t="s">
        <v>7158</v>
      </c>
      <c r="M352" s="8" t="s">
        <v>27</v>
      </c>
      <c r="N352" s="8" t="s">
        <v>29241</v>
      </c>
      <c r="O352" s="8" t="s">
        <v>400</v>
      </c>
      <c r="P352" s="11" t="s">
        <v>401</v>
      </c>
      <c r="Q352" s="14" t="s">
        <v>29242</v>
      </c>
      <c r="R352" s="8" t="s">
        <v>100</v>
      </c>
      <c r="S352" s="8" t="s">
        <v>28</v>
      </c>
      <c r="T352" s="68" t="s">
        <v>27756</v>
      </c>
      <c r="U352" s="68" t="s">
        <v>29438</v>
      </c>
      <c r="V352" s="68" t="s">
        <v>21212</v>
      </c>
      <c r="W352" s="68" t="s">
        <v>100</v>
      </c>
      <c r="X352" s="68">
        <v>2441</v>
      </c>
      <c r="Y352" s="1"/>
      <c r="Z352" s="1"/>
      <c r="AA352" s="1"/>
      <c r="AB352" s="1"/>
      <c r="AC352" s="1"/>
      <c r="AD352" s="1"/>
      <c r="AE352" s="1"/>
      <c r="AF352" s="1"/>
      <c r="AG352" s="1"/>
      <c r="AH352" s="1"/>
      <c r="AI352" s="1"/>
      <c r="AJ352" s="1"/>
      <c r="AK352" s="1"/>
      <c r="AL352" s="1"/>
      <c r="AM352" s="1"/>
      <c r="AN352" s="1"/>
      <c r="AO352" s="1"/>
      <c r="AP352" s="1"/>
      <c r="AQ352" s="1"/>
      <c r="AR352" s="1"/>
      <c r="AS352" s="1"/>
      <c r="AT352" s="1"/>
      <c r="AU352" s="70"/>
      <c r="AV352" s="70"/>
      <c r="AW352" s="1"/>
      <c r="AX352" s="1"/>
      <c r="AY352" s="1"/>
      <c r="AZ352" s="70"/>
      <c r="BA352" s="44"/>
      <c r="BB352" s="44"/>
      <c r="BC352" s="1"/>
      <c r="BD352" s="1"/>
      <c r="BE352" s="1"/>
      <c r="BF352" s="1"/>
      <c r="BG352" s="1"/>
      <c r="BH352" s="1"/>
      <c r="BI352" s="1"/>
      <c r="BJ352" s="1"/>
    </row>
    <row r="353" spans="1:63" s="78" customFormat="1" ht="12" customHeight="1" x14ac:dyDescent="0.2">
      <c r="A353" s="8" t="s">
        <v>29219</v>
      </c>
      <c r="B353" s="68">
        <v>21</v>
      </c>
      <c r="C353" s="8" t="s">
        <v>114</v>
      </c>
      <c r="D353" s="8" t="s">
        <v>85</v>
      </c>
      <c r="E353" s="62" t="s">
        <v>29220</v>
      </c>
      <c r="F353" s="69">
        <v>42813</v>
      </c>
      <c r="G353" s="8" t="s">
        <v>29221</v>
      </c>
      <c r="H353" s="8" t="s">
        <v>1733</v>
      </c>
      <c r="I353" s="8" t="s">
        <v>62</v>
      </c>
      <c r="J353" s="8" t="s">
        <v>1734</v>
      </c>
      <c r="K353" s="8" t="s">
        <v>1735</v>
      </c>
      <c r="L353" s="8" t="s">
        <v>1736</v>
      </c>
      <c r="M353" s="8" t="s">
        <v>27</v>
      </c>
      <c r="N353" s="8" t="s">
        <v>29222</v>
      </c>
      <c r="O353" s="8" t="s">
        <v>400</v>
      </c>
      <c r="P353" s="11" t="s">
        <v>401</v>
      </c>
      <c r="Q353" s="14" t="s">
        <v>29223</v>
      </c>
      <c r="R353" s="8" t="s">
        <v>100</v>
      </c>
      <c r="S353" s="2" t="s">
        <v>18</v>
      </c>
      <c r="T353" s="68" t="s">
        <v>28345</v>
      </c>
      <c r="U353" s="68" t="s">
        <v>29436</v>
      </c>
      <c r="V353" s="68" t="s">
        <v>29439</v>
      </c>
      <c r="W353" s="68" t="s">
        <v>100</v>
      </c>
      <c r="X353" s="68">
        <v>2442</v>
      </c>
      <c r="Y353" s="1"/>
      <c r="Z353" s="1"/>
      <c r="AA353" s="1"/>
      <c r="AB353" s="1"/>
      <c r="AC353" s="1"/>
      <c r="AD353" s="1"/>
      <c r="AE353" s="1"/>
      <c r="AF353" s="1"/>
      <c r="AG353" s="1"/>
      <c r="AH353" s="1"/>
      <c r="AI353" s="1"/>
      <c r="AJ353" s="1"/>
      <c r="AK353" s="1"/>
      <c r="AL353" s="1"/>
      <c r="AM353" s="1"/>
      <c r="AN353" s="1"/>
      <c r="AO353" s="1"/>
      <c r="AP353" s="1"/>
      <c r="AQ353" s="1"/>
      <c r="AR353" s="1"/>
      <c r="AS353" s="1"/>
      <c r="AT353" s="1"/>
      <c r="AU353" s="70"/>
      <c r="AV353" s="70"/>
      <c r="AW353" s="70"/>
      <c r="AX353" s="70"/>
      <c r="AY353" s="70"/>
      <c r="AZ353" s="70"/>
      <c r="BA353" s="44"/>
      <c r="BB353" s="44"/>
      <c r="BC353" s="70"/>
      <c r="BD353" s="70"/>
      <c r="BE353" s="70"/>
      <c r="BF353" s="70"/>
      <c r="BG353" s="70"/>
      <c r="BH353" s="70"/>
      <c r="BI353" s="70"/>
      <c r="BJ353" s="70"/>
      <c r="BK353" s="1"/>
    </row>
    <row r="354" spans="1:63" s="78" customFormat="1" ht="12" customHeight="1" x14ac:dyDescent="0.2">
      <c r="A354" s="8" t="s">
        <v>29212</v>
      </c>
      <c r="B354" s="47">
        <v>23</v>
      </c>
      <c r="C354" s="8" t="s">
        <v>20</v>
      </c>
      <c r="D354" s="8" t="s">
        <v>37</v>
      </c>
      <c r="E354" s="8"/>
      <c r="F354" s="72">
        <v>42813</v>
      </c>
      <c r="G354" s="8" t="s">
        <v>29517</v>
      </c>
      <c r="H354" s="8" t="s">
        <v>7540</v>
      </c>
      <c r="I354" s="8" t="s">
        <v>45</v>
      </c>
      <c r="J354" s="8" t="s">
        <v>22258</v>
      </c>
      <c r="K354" s="8" t="s">
        <v>7542</v>
      </c>
      <c r="L354" s="8" t="s">
        <v>957</v>
      </c>
      <c r="M354" s="8" t="s">
        <v>27</v>
      </c>
      <c r="N354" s="8" t="s">
        <v>29213</v>
      </c>
      <c r="O354" s="8" t="s">
        <v>400</v>
      </c>
      <c r="P354" s="11" t="s">
        <v>401</v>
      </c>
      <c r="Q354" s="14" t="s">
        <v>29214</v>
      </c>
      <c r="R354" s="8" t="s">
        <v>100</v>
      </c>
      <c r="S354" s="13" t="s">
        <v>35</v>
      </c>
      <c r="T354" s="68" t="s">
        <v>29441</v>
      </c>
      <c r="U354" s="68"/>
      <c r="V354" s="68"/>
      <c r="W354" s="68"/>
      <c r="X354" s="68"/>
      <c r="Y354" s="1"/>
      <c r="Z354" s="1"/>
      <c r="AA354" s="1"/>
      <c r="AB354" s="1"/>
      <c r="AC354" s="1"/>
      <c r="AD354" s="1"/>
      <c r="AE354" s="1"/>
      <c r="AF354" s="1"/>
      <c r="AG354" s="1"/>
      <c r="AH354" s="1"/>
      <c r="AI354" s="1"/>
      <c r="AJ354" s="1"/>
      <c r="AK354" s="1"/>
      <c r="AL354" s="1"/>
      <c r="AM354" s="1"/>
      <c r="AN354" s="1"/>
      <c r="AO354" s="1"/>
      <c r="AP354" s="1"/>
      <c r="AQ354" s="1"/>
      <c r="AR354" s="1"/>
      <c r="AS354" s="1"/>
      <c r="AT354" s="1"/>
      <c r="AU354" s="70"/>
      <c r="AV354" s="70"/>
      <c r="AW354" s="1"/>
      <c r="AX354" s="1"/>
      <c r="AY354" s="1"/>
      <c r="AZ354" s="1"/>
      <c r="BA354" s="1"/>
      <c r="BB354" s="1"/>
      <c r="BC354" s="1"/>
      <c r="BD354" s="1"/>
      <c r="BE354" s="1"/>
      <c r="BF354" s="1"/>
      <c r="BG354" s="1"/>
      <c r="BH354" s="1"/>
      <c r="BI354" s="1"/>
      <c r="BJ354" s="1"/>
      <c r="BK354" s="70"/>
    </row>
    <row r="355" spans="1:63" s="78" customFormat="1" ht="12" customHeight="1" x14ac:dyDescent="0.2">
      <c r="A355" s="8" t="s">
        <v>29231</v>
      </c>
      <c r="B355" s="68">
        <v>45</v>
      </c>
      <c r="C355" s="8" t="s">
        <v>20</v>
      </c>
      <c r="D355" s="68" t="s">
        <v>48</v>
      </c>
      <c r="E355" s="62" t="s">
        <v>29232</v>
      </c>
      <c r="F355" s="69">
        <v>42813</v>
      </c>
      <c r="G355" s="8" t="s">
        <v>29233</v>
      </c>
      <c r="H355" s="8" t="s">
        <v>16816</v>
      </c>
      <c r="I355" s="8" t="s">
        <v>62</v>
      </c>
      <c r="J355" s="8" t="s">
        <v>29234</v>
      </c>
      <c r="K355" s="8" t="s">
        <v>3891</v>
      </c>
      <c r="L355" s="8" t="s">
        <v>29235</v>
      </c>
      <c r="M355" s="8" t="s">
        <v>27</v>
      </c>
      <c r="N355" s="8" t="s">
        <v>29236</v>
      </c>
      <c r="O355" s="8" t="s">
        <v>400</v>
      </c>
      <c r="P355" s="11" t="s">
        <v>401</v>
      </c>
      <c r="Q355" s="14" t="s">
        <v>29237</v>
      </c>
      <c r="R355" s="68" t="s">
        <v>555</v>
      </c>
      <c r="S355" s="8" t="s">
        <v>28</v>
      </c>
      <c r="T355" s="68" t="s">
        <v>27756</v>
      </c>
      <c r="U355" s="68" t="s">
        <v>29436</v>
      </c>
      <c r="V355" s="68" t="s">
        <v>29437</v>
      </c>
      <c r="W355" s="68" t="s">
        <v>100</v>
      </c>
      <c r="X355" s="68">
        <v>2444</v>
      </c>
      <c r="Y355" s="1"/>
      <c r="Z355" s="1"/>
      <c r="AA355" s="1"/>
      <c r="AB355" s="1"/>
      <c r="AC355" s="1"/>
      <c r="AD355" s="1"/>
      <c r="AE355" s="1"/>
      <c r="AF355" s="1"/>
      <c r="AG355" s="1"/>
      <c r="AH355" s="1"/>
      <c r="AI355" s="1"/>
      <c r="AJ355" s="1"/>
      <c r="AK355" s="1"/>
      <c r="AL355" s="1"/>
      <c r="AM355" s="1"/>
      <c r="AN355" s="1"/>
      <c r="AO355" s="1"/>
      <c r="AP355" s="1"/>
      <c r="AQ355" s="1"/>
      <c r="AR355" s="1"/>
      <c r="AS355" s="1"/>
      <c r="AT355" s="1"/>
      <c r="AU355" s="70"/>
      <c r="AV355" s="70"/>
      <c r="AW355" s="1"/>
      <c r="AX355" s="1"/>
      <c r="AY355" s="1"/>
      <c r="AZ355" s="70"/>
      <c r="BA355" s="70"/>
      <c r="BB355" s="70"/>
      <c r="BC355" s="1"/>
      <c r="BD355" s="1"/>
      <c r="BE355" s="1"/>
      <c r="BF355" s="1"/>
      <c r="BG355" s="1"/>
      <c r="BH355" s="1"/>
      <c r="BI355" s="1"/>
      <c r="BJ355" s="1"/>
    </row>
    <row r="356" spans="1:63" s="78" customFormat="1" ht="12" customHeight="1" x14ac:dyDescent="0.2">
      <c r="A356" s="8" t="s">
        <v>29195</v>
      </c>
      <c r="B356" s="68">
        <v>25</v>
      </c>
      <c r="C356" s="8" t="s">
        <v>20</v>
      </c>
      <c r="D356" s="68" t="s">
        <v>37</v>
      </c>
      <c r="E356" s="8"/>
      <c r="F356" s="69">
        <v>42812</v>
      </c>
      <c r="G356" s="8" t="s">
        <v>29196</v>
      </c>
      <c r="H356" s="8" t="s">
        <v>683</v>
      </c>
      <c r="I356" s="8" t="s">
        <v>363</v>
      </c>
      <c r="J356" s="8" t="s">
        <v>29197</v>
      </c>
      <c r="K356" s="8" t="s">
        <v>684</v>
      </c>
      <c r="L356" s="8" t="s">
        <v>685</v>
      </c>
      <c r="M356" s="8" t="s">
        <v>27</v>
      </c>
      <c r="N356" s="8" t="s">
        <v>29198</v>
      </c>
      <c r="O356" s="8" t="s">
        <v>400</v>
      </c>
      <c r="P356" s="11" t="s">
        <v>401</v>
      </c>
      <c r="Q356" s="14" t="s">
        <v>29199</v>
      </c>
      <c r="R356" s="8" t="s">
        <v>100</v>
      </c>
      <c r="S356" s="8" t="s">
        <v>28</v>
      </c>
      <c r="T356" s="68" t="s">
        <v>27756</v>
      </c>
      <c r="U356" s="68" t="s">
        <v>29438</v>
      </c>
      <c r="V356" s="68" t="s">
        <v>29439</v>
      </c>
      <c r="W356" s="68" t="s">
        <v>100</v>
      </c>
      <c r="X356" s="68">
        <v>2437</v>
      </c>
      <c r="Y356" s="1"/>
      <c r="Z356" s="1"/>
      <c r="AA356" s="1"/>
      <c r="AB356" s="1"/>
      <c r="AC356" s="1"/>
      <c r="AD356" s="1"/>
      <c r="AE356" s="1"/>
      <c r="AF356" s="1"/>
      <c r="AG356" s="1"/>
      <c r="AH356" s="1"/>
      <c r="AI356" s="1"/>
      <c r="AJ356" s="1"/>
      <c r="AK356" s="1"/>
      <c r="AL356" s="1"/>
      <c r="AM356" s="1"/>
      <c r="AN356" s="1"/>
      <c r="AO356" s="1"/>
      <c r="AP356" s="1"/>
      <c r="AQ356" s="1"/>
      <c r="AR356" s="1"/>
      <c r="AS356" s="1"/>
      <c r="AT356" s="1"/>
      <c r="AU356" s="70"/>
      <c r="AV356" s="70"/>
      <c r="AW356" s="11"/>
      <c r="AX356" s="1"/>
      <c r="AY356" s="1"/>
      <c r="AZ356" s="70"/>
      <c r="BA356" s="44"/>
      <c r="BB356" s="44"/>
      <c r="BC356" s="1"/>
      <c r="BD356" s="1"/>
      <c r="BE356" s="1"/>
      <c r="BF356" s="1"/>
      <c r="BG356" s="1"/>
      <c r="BH356" s="1"/>
      <c r="BI356" s="1"/>
      <c r="BJ356" s="1"/>
    </row>
    <row r="357" spans="1:63" s="78" customFormat="1" ht="12" customHeight="1" x14ac:dyDescent="0.2">
      <c r="A357" s="8" t="s">
        <v>29200</v>
      </c>
      <c r="B357" s="47">
        <v>21</v>
      </c>
      <c r="C357" s="8" t="s">
        <v>114</v>
      </c>
      <c r="D357" s="8" t="s">
        <v>37</v>
      </c>
      <c r="E357" s="62" t="s">
        <v>29201</v>
      </c>
      <c r="F357" s="72">
        <v>42812</v>
      </c>
      <c r="G357" s="8" t="s">
        <v>29518</v>
      </c>
      <c r="H357" s="8" t="s">
        <v>2487</v>
      </c>
      <c r="I357" s="8" t="s">
        <v>395</v>
      </c>
      <c r="J357" s="8" t="s">
        <v>29202</v>
      </c>
      <c r="K357" s="8" t="s">
        <v>2487</v>
      </c>
      <c r="L357" s="8" t="s">
        <v>3379</v>
      </c>
      <c r="M357" s="8" t="s">
        <v>379</v>
      </c>
      <c r="N357" s="8" t="s">
        <v>29203</v>
      </c>
      <c r="O357" s="8" t="s">
        <v>400</v>
      </c>
      <c r="P357" s="11" t="s">
        <v>401</v>
      </c>
      <c r="Q357" s="14" t="s">
        <v>29204</v>
      </c>
      <c r="R357" s="8" t="s">
        <v>100</v>
      </c>
      <c r="S357" s="2" t="s">
        <v>28</v>
      </c>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44"/>
      <c r="AV357" s="44"/>
      <c r="AW357" s="44"/>
      <c r="AX357" s="1"/>
      <c r="AY357" s="1"/>
      <c r="AZ357" s="1"/>
      <c r="BA357" s="1"/>
      <c r="BB357" s="1"/>
      <c r="BC357" s="1"/>
      <c r="BD357" s="1"/>
      <c r="BE357" s="1"/>
      <c r="BF357" s="1"/>
      <c r="BG357" s="1"/>
      <c r="BH357" s="1"/>
      <c r="BI357" s="1"/>
      <c r="BJ357" s="1"/>
      <c r="BK357" s="1"/>
    </row>
    <row r="358" spans="1:63" s="78" customFormat="1" ht="12" customHeight="1" x14ac:dyDescent="0.2">
      <c r="A358" s="8" t="s">
        <v>3252</v>
      </c>
      <c r="B358" s="47" t="s">
        <v>29</v>
      </c>
      <c r="C358" s="8" t="s">
        <v>20</v>
      </c>
      <c r="D358" s="8" t="s">
        <v>30</v>
      </c>
      <c r="E358" s="8"/>
      <c r="F358" s="72">
        <v>42812</v>
      </c>
      <c r="G358" s="8" t="s">
        <v>29185</v>
      </c>
      <c r="H358" s="8" t="s">
        <v>1916</v>
      </c>
      <c r="I358" s="8" t="s">
        <v>173</v>
      </c>
      <c r="J358" s="8" t="s">
        <v>29186</v>
      </c>
      <c r="K358" s="8" t="s">
        <v>1556</v>
      </c>
      <c r="L358" s="8" t="s">
        <v>27811</v>
      </c>
      <c r="M358" s="8" t="s">
        <v>27</v>
      </c>
      <c r="N358" s="8" t="s">
        <v>29187</v>
      </c>
      <c r="O358" s="8" t="s">
        <v>400</v>
      </c>
      <c r="P358" s="11" t="s">
        <v>401</v>
      </c>
      <c r="Q358" s="14" t="s">
        <v>29188</v>
      </c>
      <c r="R358" s="8" t="s">
        <v>100</v>
      </c>
      <c r="S358" s="13" t="s">
        <v>35</v>
      </c>
      <c r="T358" s="68"/>
      <c r="U358" s="68"/>
      <c r="V358" s="68"/>
      <c r="W358" s="68"/>
      <c r="X358" s="68"/>
      <c r="Y358" s="1"/>
      <c r="Z358" s="1"/>
      <c r="AA358" s="1"/>
      <c r="AB358" s="1"/>
      <c r="AC358" s="1"/>
      <c r="AD358" s="1"/>
      <c r="AE358" s="1"/>
      <c r="AF358" s="1"/>
      <c r="AG358" s="1"/>
      <c r="AH358" s="1"/>
      <c r="AI358" s="1"/>
      <c r="AJ358" s="1"/>
      <c r="AK358" s="1"/>
      <c r="AL358" s="1"/>
      <c r="AM358" s="1"/>
      <c r="AN358" s="1"/>
      <c r="AO358" s="1"/>
      <c r="AP358" s="1"/>
      <c r="AQ358" s="1"/>
      <c r="AR358" s="1"/>
      <c r="AS358" s="1"/>
      <c r="AT358" s="1"/>
      <c r="AU358" s="70"/>
      <c r="AV358" s="70"/>
      <c r="AW358" s="1"/>
      <c r="AX358" s="1"/>
      <c r="AY358" s="1"/>
      <c r="AZ358" s="1"/>
      <c r="BA358" s="1"/>
      <c r="BB358" s="1"/>
      <c r="BC358" s="1"/>
      <c r="BD358" s="1"/>
      <c r="BE358" s="1"/>
      <c r="BF358" s="1"/>
      <c r="BG358" s="1"/>
      <c r="BH358" s="1"/>
      <c r="BI358" s="1"/>
      <c r="BJ358" s="1"/>
      <c r="BK358" s="70"/>
    </row>
    <row r="359" spans="1:63" s="78" customFormat="1" ht="12" customHeight="1" x14ac:dyDescent="0.2">
      <c r="A359" s="8" t="s">
        <v>29181</v>
      </c>
      <c r="B359" s="68">
        <v>36</v>
      </c>
      <c r="C359" s="8" t="s">
        <v>20</v>
      </c>
      <c r="D359" s="68" t="s">
        <v>37</v>
      </c>
      <c r="E359" s="8"/>
      <c r="F359" s="69">
        <v>42812</v>
      </c>
      <c r="G359" s="8" t="s">
        <v>29182</v>
      </c>
      <c r="H359" s="8" t="s">
        <v>7145</v>
      </c>
      <c r="I359" s="8" t="s">
        <v>173</v>
      </c>
      <c r="J359" s="8" t="s">
        <v>7146</v>
      </c>
      <c r="K359" s="8" t="s">
        <v>1864</v>
      </c>
      <c r="L359" s="8" t="s">
        <v>19821</v>
      </c>
      <c r="M359" s="8" t="s">
        <v>27</v>
      </c>
      <c r="N359" s="8" t="s">
        <v>29183</v>
      </c>
      <c r="O359" s="8" t="s">
        <v>400</v>
      </c>
      <c r="P359" s="11" t="s">
        <v>401</v>
      </c>
      <c r="Q359" s="14" t="s">
        <v>29184</v>
      </c>
      <c r="R359" s="8" t="s">
        <v>100</v>
      </c>
      <c r="S359" s="2" t="s">
        <v>379</v>
      </c>
      <c r="T359" s="68" t="s">
        <v>379</v>
      </c>
      <c r="U359" s="68" t="s">
        <v>29436</v>
      </c>
      <c r="V359" s="68" t="s">
        <v>29437</v>
      </c>
      <c r="W359" s="68" t="s">
        <v>100</v>
      </c>
      <c r="X359" s="68">
        <v>2446</v>
      </c>
      <c r="Y359" s="1"/>
      <c r="Z359" s="1"/>
      <c r="AA359" s="1"/>
      <c r="AB359" s="1"/>
      <c r="AC359" s="1"/>
      <c r="AD359" s="1"/>
      <c r="AE359" s="1"/>
      <c r="AF359" s="1"/>
      <c r="AG359" s="1"/>
      <c r="AH359" s="1"/>
      <c r="AI359" s="1"/>
      <c r="AJ359" s="1"/>
      <c r="AK359" s="1"/>
      <c r="AL359" s="1"/>
      <c r="AM359" s="1"/>
      <c r="AN359" s="1"/>
      <c r="AO359" s="1"/>
      <c r="AP359" s="1"/>
      <c r="AQ359" s="1"/>
      <c r="AR359" s="1"/>
      <c r="AS359" s="1"/>
      <c r="AT359" s="1"/>
      <c r="AU359" s="70"/>
      <c r="AV359" s="70"/>
      <c r="AW359" s="44"/>
      <c r="AX359" s="1"/>
      <c r="AY359" s="1"/>
      <c r="AZ359" s="70"/>
      <c r="BA359" s="44"/>
      <c r="BB359" s="44"/>
      <c r="BC359" s="1"/>
      <c r="BD359" s="1"/>
      <c r="BE359" s="1"/>
      <c r="BF359" s="1"/>
      <c r="BG359" s="1"/>
      <c r="BH359" s="1"/>
      <c r="BI359" s="1"/>
      <c r="BJ359" s="1"/>
      <c r="BK359" s="11"/>
    </row>
    <row r="360" spans="1:63" s="78" customFormat="1" ht="12" customHeight="1" x14ac:dyDescent="0.2">
      <c r="A360" s="8" t="s">
        <v>29189</v>
      </c>
      <c r="B360" s="68">
        <v>42</v>
      </c>
      <c r="C360" s="8" t="s">
        <v>20</v>
      </c>
      <c r="D360" s="8" t="s">
        <v>37</v>
      </c>
      <c r="E360" s="62" t="s">
        <v>29190</v>
      </c>
      <c r="F360" s="69">
        <v>42812</v>
      </c>
      <c r="G360" s="8" t="s">
        <v>29191</v>
      </c>
      <c r="H360" s="8" t="s">
        <v>4238</v>
      </c>
      <c r="I360" s="8" t="s">
        <v>790</v>
      </c>
      <c r="J360" s="8" t="s">
        <v>29192</v>
      </c>
      <c r="K360" s="8" t="s">
        <v>4240</v>
      </c>
      <c r="L360" s="8" t="s">
        <v>4241</v>
      </c>
      <c r="M360" s="8" t="s">
        <v>27</v>
      </c>
      <c r="N360" s="8" t="s">
        <v>29193</v>
      </c>
      <c r="O360" s="8" t="s">
        <v>400</v>
      </c>
      <c r="P360" s="11" t="s">
        <v>401</v>
      </c>
      <c r="Q360" s="14" t="s">
        <v>29194</v>
      </c>
      <c r="R360" s="8" t="s">
        <v>29</v>
      </c>
      <c r="S360" s="8" t="s">
        <v>28</v>
      </c>
      <c r="T360" s="68" t="s">
        <v>27756</v>
      </c>
      <c r="U360" s="68" t="s">
        <v>29438</v>
      </c>
      <c r="V360" s="68" t="s">
        <v>29439</v>
      </c>
      <c r="W360" s="68" t="s">
        <v>100</v>
      </c>
      <c r="X360" s="68">
        <v>2438</v>
      </c>
      <c r="Y360" s="1"/>
      <c r="Z360" s="1"/>
      <c r="AA360" s="1"/>
      <c r="AB360" s="1"/>
      <c r="AC360" s="1"/>
      <c r="AD360" s="1"/>
      <c r="AE360" s="1"/>
      <c r="AF360" s="1"/>
      <c r="AG360" s="1"/>
      <c r="AH360" s="1"/>
      <c r="AI360" s="1"/>
      <c r="AJ360" s="1"/>
      <c r="AK360" s="1"/>
      <c r="AL360" s="1"/>
      <c r="AM360" s="1"/>
      <c r="AN360" s="1"/>
      <c r="AO360" s="1"/>
      <c r="AP360" s="1"/>
      <c r="AQ360" s="1"/>
      <c r="AR360" s="1"/>
      <c r="AS360" s="1"/>
      <c r="AT360" s="1"/>
      <c r="AU360" s="70"/>
      <c r="AV360" s="70"/>
      <c r="AW360" s="1"/>
      <c r="AX360" s="1"/>
      <c r="AY360" s="1"/>
      <c r="AZ360" s="70"/>
      <c r="BA360" s="1"/>
      <c r="BB360" s="1"/>
      <c r="BC360" s="1"/>
      <c r="BD360" s="1"/>
      <c r="BE360" s="1"/>
      <c r="BF360" s="1"/>
      <c r="BG360" s="1"/>
      <c r="BH360" s="1"/>
      <c r="BI360" s="1"/>
      <c r="BJ360" s="1"/>
    </row>
    <row r="361" spans="1:63" s="78" customFormat="1" ht="12" customHeight="1" x14ac:dyDescent="0.2">
      <c r="A361" s="8" t="s">
        <v>3252</v>
      </c>
      <c r="B361" s="47" t="s">
        <v>29</v>
      </c>
      <c r="C361" s="8" t="s">
        <v>20</v>
      </c>
      <c r="D361" s="8" t="s">
        <v>30</v>
      </c>
      <c r="E361" s="8"/>
      <c r="F361" s="72">
        <v>42811</v>
      </c>
      <c r="G361" s="8" t="s">
        <v>29521</v>
      </c>
      <c r="H361" s="8" t="s">
        <v>12215</v>
      </c>
      <c r="I361" s="8" t="s">
        <v>209</v>
      </c>
      <c r="J361" s="8" t="s">
        <v>11893</v>
      </c>
      <c r="K361" s="8" t="s">
        <v>1924</v>
      </c>
      <c r="L361" s="8" t="s">
        <v>11894</v>
      </c>
      <c r="M361" s="1" t="s">
        <v>391</v>
      </c>
      <c r="N361" s="8" t="s">
        <v>29175</v>
      </c>
      <c r="O361" s="8" t="s">
        <v>400</v>
      </c>
      <c r="P361" s="11" t="s">
        <v>401</v>
      </c>
      <c r="Q361" s="14" t="s">
        <v>29176</v>
      </c>
      <c r="R361" s="8" t="s">
        <v>100</v>
      </c>
      <c r="S361" s="13" t="s">
        <v>35</v>
      </c>
      <c r="T361" s="18" t="s">
        <v>29441</v>
      </c>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1"/>
      <c r="AV361" s="11"/>
      <c r="AW361" s="11"/>
      <c r="AX361" s="1"/>
      <c r="AY361" s="1"/>
      <c r="AZ361" s="1"/>
      <c r="BA361" s="1"/>
      <c r="BB361" s="1"/>
      <c r="BC361" s="1"/>
      <c r="BD361" s="1"/>
      <c r="BE361" s="1"/>
      <c r="BF361" s="1"/>
      <c r="BG361" s="1"/>
      <c r="BH361" s="1"/>
      <c r="BI361" s="1"/>
      <c r="BJ361" s="1"/>
      <c r="BK361" s="11"/>
    </row>
    <row r="362" spans="1:63" s="78" customFormat="1" ht="12" customHeight="1" x14ac:dyDescent="0.2">
      <c r="A362" s="8" t="s">
        <v>29144</v>
      </c>
      <c r="B362" s="68">
        <v>25</v>
      </c>
      <c r="C362" s="8" t="s">
        <v>20</v>
      </c>
      <c r="D362" s="8" t="s">
        <v>37</v>
      </c>
      <c r="E362" s="8"/>
      <c r="F362" s="69">
        <v>42811</v>
      </c>
      <c r="G362" s="8" t="s">
        <v>29145</v>
      </c>
      <c r="H362" s="8" t="s">
        <v>23639</v>
      </c>
      <c r="I362" s="8" t="s">
        <v>4371</v>
      </c>
      <c r="J362" s="8" t="s">
        <v>29146</v>
      </c>
      <c r="K362" s="8" t="s">
        <v>4373</v>
      </c>
      <c r="L362" s="8" t="s">
        <v>23640</v>
      </c>
      <c r="M362" s="8" t="s">
        <v>27</v>
      </c>
      <c r="N362" s="8" t="s">
        <v>29147</v>
      </c>
      <c r="O362" s="8" t="s">
        <v>400</v>
      </c>
      <c r="P362" s="11" t="s">
        <v>401</v>
      </c>
      <c r="Q362" s="14" t="s">
        <v>29148</v>
      </c>
      <c r="R362" s="8" t="s">
        <v>29</v>
      </c>
      <c r="S362" s="8" t="s">
        <v>28</v>
      </c>
      <c r="T362" s="68" t="s">
        <v>29493</v>
      </c>
      <c r="U362" s="68" t="s">
        <v>29436</v>
      </c>
      <c r="V362" s="68" t="s">
        <v>29439</v>
      </c>
      <c r="W362" s="68" t="s">
        <v>100</v>
      </c>
      <c r="X362" s="68">
        <v>2436</v>
      </c>
      <c r="Y362" s="1"/>
      <c r="Z362" s="1"/>
      <c r="AA362" s="1"/>
      <c r="AB362" s="1"/>
      <c r="AC362" s="1"/>
      <c r="AD362" s="1"/>
      <c r="AE362" s="1"/>
      <c r="AF362" s="1"/>
      <c r="AG362" s="1"/>
      <c r="AH362" s="1"/>
      <c r="AI362" s="1"/>
      <c r="AJ362" s="1"/>
      <c r="AK362" s="1"/>
      <c r="AL362" s="1"/>
      <c r="AM362" s="1"/>
      <c r="AN362" s="1"/>
      <c r="AO362" s="1"/>
      <c r="AP362" s="1"/>
      <c r="AQ362" s="1"/>
      <c r="AR362" s="1"/>
      <c r="AS362" s="1"/>
      <c r="AT362" s="1"/>
      <c r="AU362" s="70"/>
      <c r="AV362" s="70"/>
      <c r="AW362" s="11"/>
      <c r="AX362" s="1"/>
      <c r="AY362" s="1"/>
      <c r="AZ362" s="70"/>
      <c r="BA362" s="1"/>
      <c r="BB362" s="1"/>
      <c r="BC362" s="1"/>
      <c r="BD362" s="1"/>
      <c r="BE362" s="1"/>
      <c r="BF362" s="1"/>
      <c r="BG362" s="1"/>
      <c r="BH362" s="1"/>
      <c r="BI362" s="1"/>
      <c r="BJ362" s="1"/>
    </row>
    <row r="363" spans="1:63" s="78" customFormat="1" ht="12" customHeight="1" x14ac:dyDescent="0.2">
      <c r="A363" s="8" t="s">
        <v>29170</v>
      </c>
      <c r="B363" s="68">
        <v>25</v>
      </c>
      <c r="C363" s="8" t="s">
        <v>20</v>
      </c>
      <c r="D363" s="8" t="s">
        <v>85</v>
      </c>
      <c r="E363" s="62" t="s">
        <v>29171</v>
      </c>
      <c r="F363" s="69">
        <v>42811</v>
      </c>
      <c r="G363" s="8" t="s">
        <v>29519</v>
      </c>
      <c r="H363" s="8" t="s">
        <v>14053</v>
      </c>
      <c r="I363" s="8" t="s">
        <v>45</v>
      </c>
      <c r="J363" s="8" t="s">
        <v>29172</v>
      </c>
      <c r="K363" s="8" t="s">
        <v>5235</v>
      </c>
      <c r="L363" s="8" t="s">
        <v>14054</v>
      </c>
      <c r="M363" s="68" t="s">
        <v>5411</v>
      </c>
      <c r="N363" s="8" t="s">
        <v>29173</v>
      </c>
      <c r="O363" s="8" t="s">
        <v>400</v>
      </c>
      <c r="P363" s="11" t="s">
        <v>401</v>
      </c>
      <c r="Q363" s="14" t="s">
        <v>29174</v>
      </c>
      <c r="R363" s="68" t="s">
        <v>555</v>
      </c>
      <c r="S363" s="8" t="s">
        <v>28</v>
      </c>
      <c r="T363" s="68" t="s">
        <v>29493</v>
      </c>
      <c r="U363" s="68" t="s">
        <v>29436</v>
      </c>
      <c r="V363" s="68" t="s">
        <v>29439</v>
      </c>
      <c r="W363" s="68" t="s">
        <v>100</v>
      </c>
      <c r="X363" s="68">
        <v>2440</v>
      </c>
      <c r="Y363" s="1"/>
      <c r="Z363" s="1"/>
      <c r="AA363" s="1"/>
      <c r="AB363" s="1"/>
      <c r="AC363" s="1"/>
      <c r="AD363" s="1"/>
      <c r="AE363" s="1"/>
      <c r="AF363" s="1"/>
      <c r="AG363" s="1"/>
      <c r="AH363" s="1"/>
      <c r="AI363" s="1"/>
      <c r="AJ363" s="1"/>
      <c r="AK363" s="1"/>
      <c r="AL363" s="1"/>
      <c r="AM363" s="1"/>
      <c r="AN363" s="1"/>
      <c r="AO363" s="1"/>
      <c r="AP363" s="1"/>
      <c r="AQ363" s="1"/>
      <c r="AR363" s="1"/>
      <c r="AS363" s="1"/>
      <c r="AT363" s="1"/>
      <c r="AU363" s="70"/>
      <c r="AV363" s="70"/>
      <c r="AW363" s="11"/>
      <c r="AX363" s="44"/>
      <c r="AY363" s="44"/>
      <c r="AZ363" s="70"/>
      <c r="BA363" s="70"/>
      <c r="BB363" s="70"/>
      <c r="BC363" s="70"/>
      <c r="BD363" s="70"/>
      <c r="BE363" s="70"/>
      <c r="BF363" s="70"/>
      <c r="BG363" s="70"/>
      <c r="BH363" s="70"/>
      <c r="BI363" s="70"/>
      <c r="BJ363" s="70"/>
      <c r="BK363" s="1"/>
    </row>
    <row r="364" spans="1:63" s="78" customFormat="1" ht="12" customHeight="1" x14ac:dyDescent="0.2">
      <c r="A364" s="8" t="s">
        <v>29177</v>
      </c>
      <c r="B364" s="68">
        <v>59</v>
      </c>
      <c r="C364" s="8" t="s">
        <v>114</v>
      </c>
      <c r="D364" s="68" t="s">
        <v>37</v>
      </c>
      <c r="E364" s="8"/>
      <c r="F364" s="69">
        <v>42811</v>
      </c>
      <c r="G364" s="8" t="s">
        <v>29520</v>
      </c>
      <c r="H364" s="8" t="s">
        <v>4020</v>
      </c>
      <c r="I364" s="8" t="s">
        <v>319</v>
      </c>
      <c r="J364" s="8" t="s">
        <v>29178</v>
      </c>
      <c r="K364" s="8" t="s">
        <v>1193</v>
      </c>
      <c r="L364" s="8" t="s">
        <v>24786</v>
      </c>
      <c r="M364" s="8" t="s">
        <v>27</v>
      </c>
      <c r="N364" s="8" t="s">
        <v>29179</v>
      </c>
      <c r="O364" s="8" t="s">
        <v>400</v>
      </c>
      <c r="P364" s="11" t="s">
        <v>401</v>
      </c>
      <c r="Q364" s="14" t="s">
        <v>29180</v>
      </c>
      <c r="R364" s="68" t="s">
        <v>555</v>
      </c>
      <c r="S364" s="2" t="s">
        <v>18</v>
      </c>
      <c r="T364" s="68" t="s">
        <v>29612</v>
      </c>
      <c r="U364" s="68" t="s">
        <v>29438</v>
      </c>
      <c r="V364" s="68" t="s">
        <v>29439</v>
      </c>
      <c r="W364" s="68" t="s">
        <v>100</v>
      </c>
      <c r="X364" s="68">
        <v>2439</v>
      </c>
      <c r="Y364" s="1"/>
      <c r="Z364" s="1"/>
      <c r="AA364" s="1"/>
      <c r="AB364" s="1"/>
      <c r="AC364" s="1"/>
      <c r="AD364" s="1"/>
      <c r="AE364" s="1"/>
      <c r="AF364" s="1"/>
      <c r="AG364" s="1"/>
      <c r="AH364" s="1"/>
      <c r="AI364" s="1"/>
      <c r="AJ364" s="1"/>
      <c r="AK364" s="1"/>
      <c r="AL364" s="1"/>
      <c r="AM364" s="1"/>
      <c r="AN364" s="1"/>
      <c r="AO364" s="1"/>
      <c r="AP364" s="1"/>
      <c r="AQ364" s="1"/>
      <c r="AR364" s="1"/>
      <c r="AS364" s="1"/>
      <c r="AT364" s="1"/>
      <c r="AU364" s="70"/>
      <c r="AV364" s="70"/>
      <c r="AW364" s="1"/>
      <c r="AX364" s="1"/>
      <c r="AY364" s="1"/>
      <c r="AZ364" s="70"/>
      <c r="BA364" s="70"/>
      <c r="BB364" s="44"/>
      <c r="BC364" s="1"/>
      <c r="BD364" s="1"/>
      <c r="BE364" s="1"/>
      <c r="BF364" s="1"/>
      <c r="BG364" s="1"/>
      <c r="BH364" s="1"/>
      <c r="BI364" s="1"/>
      <c r="BJ364" s="1"/>
      <c r="BK364" s="1"/>
    </row>
    <row r="365" spans="1:63" s="78" customFormat="1" ht="12" customHeight="1" x14ac:dyDescent="0.2">
      <c r="A365" s="8" t="s">
        <v>29149</v>
      </c>
      <c r="B365" s="68">
        <v>34</v>
      </c>
      <c r="C365" s="8" t="s">
        <v>20</v>
      </c>
      <c r="D365" s="68" t="s">
        <v>85</v>
      </c>
      <c r="E365" s="8"/>
      <c r="F365" s="69">
        <v>42810</v>
      </c>
      <c r="G365" s="8" t="s">
        <v>29150</v>
      </c>
      <c r="H365" s="8" t="s">
        <v>5964</v>
      </c>
      <c r="I365" s="8" t="s">
        <v>57</v>
      </c>
      <c r="J365" s="8" t="s">
        <v>29151</v>
      </c>
      <c r="K365" s="8" t="s">
        <v>1111</v>
      </c>
      <c r="L365" s="8" t="s">
        <v>5634</v>
      </c>
      <c r="M365" s="8" t="s">
        <v>27</v>
      </c>
      <c r="N365" s="8" t="s">
        <v>29152</v>
      </c>
      <c r="O365" s="8" t="s">
        <v>400</v>
      </c>
      <c r="P365" s="11" t="s">
        <v>401</v>
      </c>
      <c r="Q365" s="14" t="s">
        <v>29153</v>
      </c>
      <c r="R365" s="8" t="s">
        <v>100</v>
      </c>
      <c r="S365" s="8" t="s">
        <v>28</v>
      </c>
      <c r="T365" s="68" t="s">
        <v>27756</v>
      </c>
      <c r="U365" s="68" t="s">
        <v>29438</v>
      </c>
      <c r="V365" s="68" t="s">
        <v>29439</v>
      </c>
      <c r="W365" s="68" t="s">
        <v>100</v>
      </c>
      <c r="X365" s="68">
        <v>2429</v>
      </c>
      <c r="Y365" s="1"/>
      <c r="Z365" s="1"/>
      <c r="AA365" s="1"/>
      <c r="AB365" s="1"/>
      <c r="AC365" s="1"/>
      <c r="AD365" s="1"/>
      <c r="AE365" s="1"/>
      <c r="AF365" s="1"/>
      <c r="AG365" s="1"/>
      <c r="AH365" s="1"/>
      <c r="AI365" s="1"/>
      <c r="AJ365" s="1"/>
      <c r="AK365" s="1"/>
      <c r="AL365" s="1"/>
      <c r="AM365" s="1"/>
      <c r="AN365" s="1"/>
      <c r="AO365" s="1"/>
      <c r="AP365" s="1"/>
      <c r="AQ365" s="1"/>
      <c r="AR365" s="1"/>
      <c r="AS365" s="1"/>
      <c r="AT365" s="1"/>
      <c r="AU365" s="70"/>
      <c r="AV365" s="70"/>
      <c r="AW365" s="11"/>
      <c r="AX365" s="1"/>
      <c r="AY365" s="1"/>
      <c r="AZ365" s="70"/>
      <c r="BA365" s="44"/>
      <c r="BB365" s="44"/>
      <c r="BC365" s="70"/>
      <c r="BD365" s="70"/>
      <c r="BE365" s="70"/>
      <c r="BF365" s="70"/>
      <c r="BG365" s="70"/>
      <c r="BH365" s="70"/>
      <c r="BI365" s="70"/>
      <c r="BJ365" s="70"/>
    </row>
    <row r="366" spans="1:63" s="78" customFormat="1" ht="12" customHeight="1" x14ac:dyDescent="0.2">
      <c r="A366" s="8" t="s">
        <v>29165</v>
      </c>
      <c r="B366" s="68">
        <v>32</v>
      </c>
      <c r="C366" s="8" t="s">
        <v>20</v>
      </c>
      <c r="D366" s="8" t="s">
        <v>85</v>
      </c>
      <c r="E366" s="62" t="s">
        <v>29166</v>
      </c>
      <c r="F366" s="69">
        <v>42810</v>
      </c>
      <c r="G366" s="8" t="s">
        <v>29523</v>
      </c>
      <c r="H366" s="8" t="s">
        <v>887</v>
      </c>
      <c r="I366" s="8" t="s">
        <v>438</v>
      </c>
      <c r="J366" s="8" t="s">
        <v>29167</v>
      </c>
      <c r="K366" s="8" t="s">
        <v>887</v>
      </c>
      <c r="L366" s="8" t="s">
        <v>29371</v>
      </c>
      <c r="M366" s="8" t="s">
        <v>27</v>
      </c>
      <c r="N366" s="8" t="s">
        <v>29168</v>
      </c>
      <c r="O366" s="8" t="s">
        <v>400</v>
      </c>
      <c r="P366" s="11" t="s">
        <v>401</v>
      </c>
      <c r="Q366" s="14" t="s">
        <v>29169</v>
      </c>
      <c r="R366" s="8" t="s">
        <v>100</v>
      </c>
      <c r="S366" s="8" t="s">
        <v>28</v>
      </c>
      <c r="T366" s="68" t="s">
        <v>27756</v>
      </c>
      <c r="U366" s="68" t="s">
        <v>29436</v>
      </c>
      <c r="V366" s="68" t="s">
        <v>29439</v>
      </c>
      <c r="W366" s="68" t="s">
        <v>100</v>
      </c>
      <c r="X366" s="68">
        <v>2431</v>
      </c>
      <c r="Y366" s="1"/>
      <c r="Z366" s="1"/>
      <c r="AA366" s="1"/>
      <c r="AB366" s="1"/>
      <c r="AC366" s="1"/>
      <c r="AD366" s="1"/>
      <c r="AE366" s="1"/>
      <c r="AF366" s="1"/>
      <c r="AG366" s="1"/>
      <c r="AH366" s="1"/>
      <c r="AI366" s="1"/>
      <c r="AJ366" s="1"/>
      <c r="AK366" s="1"/>
      <c r="AL366" s="1"/>
      <c r="AM366" s="1"/>
      <c r="AN366" s="1"/>
      <c r="AO366" s="1"/>
      <c r="AP366" s="1"/>
      <c r="AQ366" s="1"/>
      <c r="AR366" s="1"/>
      <c r="AS366" s="1"/>
      <c r="AT366" s="1"/>
      <c r="AU366" s="70"/>
      <c r="AV366" s="70"/>
      <c r="AW366" s="11"/>
      <c r="AX366" s="11"/>
      <c r="AY366" s="11"/>
      <c r="AZ366" s="70"/>
      <c r="BA366" s="44"/>
      <c r="BB366" s="44"/>
      <c r="BC366" s="70"/>
      <c r="BD366" s="70"/>
      <c r="BE366" s="70"/>
      <c r="BF366" s="70"/>
      <c r="BG366" s="70"/>
      <c r="BH366" s="70"/>
      <c r="BI366" s="70"/>
      <c r="BJ366" s="70"/>
    </row>
    <row r="367" spans="1:63" s="78" customFormat="1" ht="12" customHeight="1" x14ac:dyDescent="0.2">
      <c r="A367" s="8" t="s">
        <v>29154</v>
      </c>
      <c r="B367" s="68">
        <v>32</v>
      </c>
      <c r="C367" s="8" t="s">
        <v>20</v>
      </c>
      <c r="D367" s="8" t="s">
        <v>85</v>
      </c>
      <c r="E367" s="62" t="s">
        <v>29155</v>
      </c>
      <c r="F367" s="69">
        <v>42810</v>
      </c>
      <c r="G367" s="8" t="s">
        <v>29522</v>
      </c>
      <c r="H367" s="8" t="s">
        <v>5949</v>
      </c>
      <c r="I367" s="8" t="s">
        <v>366</v>
      </c>
      <c r="J367" s="8" t="s">
        <v>16953</v>
      </c>
      <c r="K367" s="8" t="s">
        <v>3152</v>
      </c>
      <c r="L367" s="8" t="s">
        <v>5951</v>
      </c>
      <c r="M367" s="68" t="s">
        <v>5411</v>
      </c>
      <c r="N367" s="8" t="s">
        <v>29156</v>
      </c>
      <c r="O367" s="8" t="s">
        <v>400</v>
      </c>
      <c r="P367" s="11" t="s">
        <v>401</v>
      </c>
      <c r="Q367" s="14" t="s">
        <v>29157</v>
      </c>
      <c r="R367" s="8" t="s">
        <v>100</v>
      </c>
      <c r="S367" s="8" t="s">
        <v>28</v>
      </c>
      <c r="T367" s="68" t="s">
        <v>27756</v>
      </c>
      <c r="U367" s="68" t="s">
        <v>29438</v>
      </c>
      <c r="V367" s="68" t="s">
        <v>29439</v>
      </c>
      <c r="W367" s="68" t="s">
        <v>100</v>
      </c>
      <c r="X367" s="68">
        <v>2432</v>
      </c>
      <c r="Y367" s="1"/>
      <c r="Z367" s="1"/>
      <c r="AA367" s="1"/>
      <c r="AB367" s="1"/>
      <c r="AC367" s="1"/>
      <c r="AD367" s="1"/>
      <c r="AE367" s="1"/>
      <c r="AF367" s="1"/>
      <c r="AG367" s="1"/>
      <c r="AH367" s="1"/>
      <c r="AI367" s="1"/>
      <c r="AJ367" s="1"/>
      <c r="AK367" s="1"/>
      <c r="AL367" s="1"/>
      <c r="AM367" s="1"/>
      <c r="AN367" s="1"/>
      <c r="AO367" s="1"/>
      <c r="AP367" s="1"/>
      <c r="AQ367" s="1"/>
      <c r="AR367" s="1"/>
      <c r="AS367" s="1"/>
      <c r="AT367" s="1"/>
      <c r="AU367" s="70"/>
      <c r="AV367" s="70"/>
      <c r="AW367" s="11"/>
      <c r="AX367" s="11"/>
      <c r="AY367" s="11"/>
      <c r="AZ367" s="70"/>
      <c r="BA367" s="44"/>
      <c r="BB367" s="70"/>
      <c r="BC367" s="70"/>
      <c r="BD367" s="70"/>
      <c r="BE367" s="70"/>
      <c r="BF367" s="70"/>
      <c r="BG367" s="70"/>
      <c r="BH367" s="70"/>
      <c r="BI367" s="70"/>
      <c r="BJ367" s="70"/>
      <c r="BK367" s="1"/>
    </row>
    <row r="368" spans="1:63" s="78" customFormat="1" ht="12" customHeight="1" x14ac:dyDescent="0.2">
      <c r="A368" s="8" t="s">
        <v>29138</v>
      </c>
      <c r="B368" s="68">
        <v>58</v>
      </c>
      <c r="C368" s="8" t="s">
        <v>20</v>
      </c>
      <c r="D368" s="8" t="s">
        <v>37</v>
      </c>
      <c r="E368" s="62" t="s">
        <v>29139</v>
      </c>
      <c r="F368" s="69">
        <v>42810</v>
      </c>
      <c r="G368" s="8" t="s">
        <v>29140</v>
      </c>
      <c r="H368" s="8" t="s">
        <v>3889</v>
      </c>
      <c r="I368" s="8" t="s">
        <v>62</v>
      </c>
      <c r="J368" s="8" t="s">
        <v>21271</v>
      </c>
      <c r="K368" s="8" t="s">
        <v>3891</v>
      </c>
      <c r="L368" s="8" t="s">
        <v>29141</v>
      </c>
      <c r="M368" s="8" t="s">
        <v>27</v>
      </c>
      <c r="N368" s="8" t="s">
        <v>29142</v>
      </c>
      <c r="O368" s="8" t="s">
        <v>400</v>
      </c>
      <c r="P368" s="11" t="s">
        <v>401</v>
      </c>
      <c r="Q368" s="14" t="s">
        <v>29143</v>
      </c>
      <c r="R368" s="68" t="s">
        <v>555</v>
      </c>
      <c r="S368" s="8" t="s">
        <v>28</v>
      </c>
      <c r="T368" s="68" t="s">
        <v>27756</v>
      </c>
      <c r="U368" s="68" t="s">
        <v>29438</v>
      </c>
      <c r="V368" s="68" t="s">
        <v>29439</v>
      </c>
      <c r="W368" s="68" t="s">
        <v>100</v>
      </c>
      <c r="X368" s="68">
        <v>2433</v>
      </c>
      <c r="Y368" s="1"/>
      <c r="Z368" s="1"/>
      <c r="AA368" s="1"/>
      <c r="AB368" s="1"/>
      <c r="AC368" s="1"/>
      <c r="AD368" s="1"/>
      <c r="AE368" s="1"/>
      <c r="AF368" s="1"/>
      <c r="AG368" s="1"/>
      <c r="AH368" s="1"/>
      <c r="AI368" s="1"/>
      <c r="AJ368" s="1"/>
      <c r="AK368" s="1"/>
      <c r="AL368" s="1"/>
      <c r="AM368" s="1"/>
      <c r="AN368" s="1"/>
      <c r="AO368" s="1"/>
      <c r="AP368" s="1"/>
      <c r="AQ368" s="1"/>
      <c r="AR368" s="1"/>
      <c r="AS368" s="1"/>
      <c r="AT368" s="1"/>
      <c r="AU368" s="70"/>
      <c r="AV368" s="70"/>
      <c r="AW368" s="1"/>
      <c r="AX368" s="1"/>
      <c r="AY368" s="1"/>
      <c r="AZ368" s="70"/>
      <c r="BA368" s="44"/>
      <c r="BB368" s="11"/>
      <c r="BC368" s="1"/>
      <c r="BD368" s="1"/>
      <c r="BE368" s="1"/>
      <c r="BF368" s="1"/>
      <c r="BG368" s="1"/>
      <c r="BH368" s="1"/>
      <c r="BI368" s="1"/>
      <c r="BJ368" s="1"/>
    </row>
    <row r="369" spans="1:63" s="78" customFormat="1" ht="12" customHeight="1" x14ac:dyDescent="0.2">
      <c r="A369" s="8" t="s">
        <v>29158</v>
      </c>
      <c r="B369" s="68">
        <v>36</v>
      </c>
      <c r="C369" s="8" t="s">
        <v>20</v>
      </c>
      <c r="D369" s="8" t="s">
        <v>85</v>
      </c>
      <c r="E369" s="62" t="s">
        <v>29159</v>
      </c>
      <c r="F369" s="69">
        <v>42810</v>
      </c>
      <c r="G369" s="8" t="s">
        <v>29160</v>
      </c>
      <c r="H369" s="8" t="s">
        <v>23621</v>
      </c>
      <c r="I369" s="8" t="s">
        <v>319</v>
      </c>
      <c r="J369" s="8" t="s">
        <v>29161</v>
      </c>
      <c r="K369" s="8" t="s">
        <v>23651</v>
      </c>
      <c r="L369" s="8" t="s">
        <v>29162</v>
      </c>
      <c r="M369" s="8" t="s">
        <v>27</v>
      </c>
      <c r="N369" s="8" t="s">
        <v>29163</v>
      </c>
      <c r="O369" s="8" t="s">
        <v>400</v>
      </c>
      <c r="P369" s="11" t="s">
        <v>401</v>
      </c>
      <c r="Q369" s="14" t="s">
        <v>29164</v>
      </c>
      <c r="R369" s="68" t="s">
        <v>555</v>
      </c>
      <c r="S369" s="2" t="s">
        <v>379</v>
      </c>
      <c r="T369" s="68" t="s">
        <v>379</v>
      </c>
      <c r="U369" s="68" t="s">
        <v>29438</v>
      </c>
      <c r="V369" s="68" t="s">
        <v>29439</v>
      </c>
      <c r="W369" s="68" t="s">
        <v>555</v>
      </c>
      <c r="X369" s="68">
        <v>2434</v>
      </c>
      <c r="Y369" s="1"/>
      <c r="Z369" s="1"/>
      <c r="AA369" s="1"/>
      <c r="AB369" s="1"/>
      <c r="AC369" s="1"/>
      <c r="AD369" s="1"/>
      <c r="AE369" s="1"/>
      <c r="AF369" s="1"/>
      <c r="AG369" s="1"/>
      <c r="AH369" s="1"/>
      <c r="AI369" s="1"/>
      <c r="AJ369" s="1"/>
      <c r="AK369" s="1"/>
      <c r="AL369" s="1"/>
      <c r="AM369" s="1"/>
      <c r="AN369" s="1"/>
      <c r="AO369" s="1"/>
      <c r="AP369" s="1"/>
      <c r="AQ369" s="1"/>
      <c r="AR369" s="1"/>
      <c r="AS369" s="1"/>
      <c r="AT369" s="1"/>
      <c r="AU369" s="70"/>
      <c r="AV369" s="70"/>
      <c r="AW369" s="44"/>
      <c r="AX369" s="11"/>
      <c r="AY369" s="11"/>
      <c r="AZ369" s="70"/>
      <c r="BA369" s="70"/>
      <c r="BB369" s="44"/>
      <c r="BC369" s="70"/>
      <c r="BD369" s="70"/>
      <c r="BE369" s="70"/>
      <c r="BF369" s="70"/>
      <c r="BG369" s="70"/>
      <c r="BH369" s="70"/>
      <c r="BI369" s="70"/>
      <c r="BJ369" s="70"/>
      <c r="BK369" s="11"/>
    </row>
    <row r="370" spans="1:63" s="78" customFormat="1" ht="12" customHeight="1" x14ac:dyDescent="0.2">
      <c r="A370" s="8" t="s">
        <v>29126</v>
      </c>
      <c r="B370" s="47">
        <v>68</v>
      </c>
      <c r="C370" s="8" t="s">
        <v>20</v>
      </c>
      <c r="D370" s="8" t="s">
        <v>37</v>
      </c>
      <c r="E370" s="62" t="s">
        <v>29127</v>
      </c>
      <c r="F370" s="72">
        <v>42809</v>
      </c>
      <c r="G370" s="8" t="s">
        <v>29128</v>
      </c>
      <c r="H370" s="8" t="s">
        <v>17647</v>
      </c>
      <c r="I370" s="8" t="s">
        <v>62</v>
      </c>
      <c r="J370" s="8" t="s">
        <v>29129</v>
      </c>
      <c r="K370" s="8" t="s">
        <v>2309</v>
      </c>
      <c r="L370" s="8" t="s">
        <v>5943</v>
      </c>
      <c r="M370" s="8" t="s">
        <v>27</v>
      </c>
      <c r="N370" s="8" t="s">
        <v>29130</v>
      </c>
      <c r="O370" s="8" t="s">
        <v>400</v>
      </c>
      <c r="P370" s="11" t="s">
        <v>401</v>
      </c>
      <c r="Q370" s="14" t="s">
        <v>29131</v>
      </c>
      <c r="R370" s="8" t="s">
        <v>100</v>
      </c>
      <c r="S370" s="13" t="s">
        <v>18</v>
      </c>
      <c r="T370" s="68" t="s">
        <v>29760</v>
      </c>
      <c r="U370" s="68"/>
      <c r="V370" s="68"/>
      <c r="W370" s="68"/>
      <c r="X370" s="68"/>
      <c r="Y370" s="1"/>
      <c r="Z370" s="1"/>
      <c r="AA370" s="1"/>
      <c r="AB370" s="1"/>
      <c r="AC370" s="1"/>
      <c r="AD370" s="1"/>
      <c r="AE370" s="1"/>
      <c r="AF370" s="1"/>
      <c r="AG370" s="1"/>
      <c r="AH370" s="1"/>
      <c r="AI370" s="1"/>
      <c r="AJ370" s="1"/>
      <c r="AK370" s="1"/>
      <c r="AL370" s="1"/>
      <c r="AM370" s="1"/>
      <c r="AN370" s="1"/>
      <c r="AO370" s="1"/>
      <c r="AP370" s="1"/>
      <c r="AQ370" s="1"/>
      <c r="AR370" s="1"/>
      <c r="AS370" s="1"/>
      <c r="AT370" s="1"/>
      <c r="AU370" s="70"/>
      <c r="AV370" s="70"/>
      <c r="AW370" s="1"/>
      <c r="AX370" s="1"/>
      <c r="AY370" s="1"/>
      <c r="AZ370" s="1"/>
      <c r="BA370" s="1"/>
      <c r="BB370" s="1"/>
      <c r="BC370" s="1"/>
      <c r="BD370" s="1"/>
      <c r="BE370" s="1"/>
      <c r="BF370" s="1"/>
      <c r="BG370" s="1"/>
      <c r="BH370" s="1"/>
      <c r="BI370" s="1"/>
      <c r="BJ370" s="1"/>
      <c r="BK370" s="70"/>
    </row>
    <row r="371" spans="1:63" s="78" customFormat="1" ht="12" customHeight="1" x14ac:dyDescent="0.2">
      <c r="A371" s="8" t="s">
        <v>29132</v>
      </c>
      <c r="B371" s="68">
        <v>29</v>
      </c>
      <c r="C371" s="8" t="s">
        <v>20</v>
      </c>
      <c r="D371" s="8" t="s">
        <v>85</v>
      </c>
      <c r="E371" s="62" t="s">
        <v>29133</v>
      </c>
      <c r="F371" s="69">
        <v>42809</v>
      </c>
      <c r="G371" s="8" t="s">
        <v>29134</v>
      </c>
      <c r="H371" s="8" t="s">
        <v>29135</v>
      </c>
      <c r="I371" s="8" t="s">
        <v>133</v>
      </c>
      <c r="J371" s="8" t="s">
        <v>3593</v>
      </c>
      <c r="K371" s="8" t="s">
        <v>3594</v>
      </c>
      <c r="L371" s="8" t="s">
        <v>4914</v>
      </c>
      <c r="M371" s="8" t="s">
        <v>27</v>
      </c>
      <c r="N371" s="8" t="s">
        <v>29136</v>
      </c>
      <c r="O371" s="8" t="s">
        <v>400</v>
      </c>
      <c r="P371" s="11" t="s">
        <v>401</v>
      </c>
      <c r="Q371" s="14" t="s">
        <v>29137</v>
      </c>
      <c r="R371" s="8" t="s">
        <v>100</v>
      </c>
      <c r="S371" s="2" t="s">
        <v>35</v>
      </c>
      <c r="T371" s="66" t="s">
        <v>29441</v>
      </c>
      <c r="U371" s="68" t="s">
        <v>29436</v>
      </c>
      <c r="V371" s="68" t="s">
        <v>29439</v>
      </c>
      <c r="W371" s="68" t="s">
        <v>100</v>
      </c>
      <c r="X371" s="68">
        <v>2418</v>
      </c>
      <c r="Y371" s="1"/>
      <c r="Z371" s="1"/>
      <c r="AA371" s="1"/>
      <c r="AB371" s="1"/>
      <c r="AC371" s="1"/>
      <c r="AD371" s="1"/>
      <c r="AE371" s="1"/>
      <c r="AF371" s="1"/>
      <c r="AG371" s="1"/>
      <c r="AH371" s="1"/>
      <c r="AI371" s="1"/>
      <c r="AJ371" s="1"/>
      <c r="AK371" s="1"/>
      <c r="AL371" s="1"/>
      <c r="AM371" s="1"/>
      <c r="AN371" s="1"/>
      <c r="AO371" s="1"/>
      <c r="AP371" s="1"/>
      <c r="AQ371" s="1"/>
      <c r="AR371" s="1"/>
      <c r="AS371" s="1"/>
      <c r="AT371" s="1"/>
      <c r="AU371" s="70"/>
      <c r="AV371" s="70"/>
      <c r="AW371" s="44"/>
      <c r="AX371" s="11"/>
      <c r="AY371" s="11"/>
      <c r="AZ371" s="70"/>
      <c r="BA371" s="44"/>
      <c r="BB371" s="44"/>
      <c r="BC371" s="70"/>
      <c r="BD371" s="70"/>
      <c r="BE371" s="70"/>
      <c r="BF371" s="70"/>
      <c r="BG371" s="70"/>
      <c r="BH371" s="70"/>
      <c r="BI371" s="70"/>
      <c r="BJ371" s="70"/>
      <c r="BK371" s="70"/>
    </row>
    <row r="372" spans="1:63" s="78" customFormat="1" ht="12" customHeight="1" x14ac:dyDescent="0.2">
      <c r="A372" s="8" t="s">
        <v>29120</v>
      </c>
      <c r="B372" s="68">
        <v>25</v>
      </c>
      <c r="C372" s="8" t="s">
        <v>20</v>
      </c>
      <c r="D372" s="8" t="s">
        <v>37</v>
      </c>
      <c r="E372" s="62" t="s">
        <v>29121</v>
      </c>
      <c r="F372" s="69">
        <v>42809</v>
      </c>
      <c r="G372" s="8" t="s">
        <v>29122</v>
      </c>
      <c r="H372" s="8" t="s">
        <v>632</v>
      </c>
      <c r="I372" s="8" t="s">
        <v>123</v>
      </c>
      <c r="J372" s="8" t="s">
        <v>29123</v>
      </c>
      <c r="K372" s="8" t="s">
        <v>633</v>
      </c>
      <c r="L372" s="8" t="s">
        <v>634</v>
      </c>
      <c r="M372" s="8" t="s">
        <v>27</v>
      </c>
      <c r="N372" s="8" t="s">
        <v>29124</v>
      </c>
      <c r="O372" s="8" t="s">
        <v>400</v>
      </c>
      <c r="P372" s="11" t="s">
        <v>401</v>
      </c>
      <c r="Q372" s="14" t="s">
        <v>29125</v>
      </c>
      <c r="R372" s="8" t="s">
        <v>100</v>
      </c>
      <c r="S372" s="8" t="s">
        <v>379</v>
      </c>
      <c r="T372" s="68" t="s">
        <v>379</v>
      </c>
      <c r="U372" s="68" t="s">
        <v>29436</v>
      </c>
      <c r="V372" s="68" t="s">
        <v>29437</v>
      </c>
      <c r="W372" s="68" t="s">
        <v>100</v>
      </c>
      <c r="X372" s="68">
        <v>2428</v>
      </c>
      <c r="Y372" s="1"/>
      <c r="Z372" s="1"/>
      <c r="AA372" s="1"/>
      <c r="AB372" s="1"/>
      <c r="AC372" s="1"/>
      <c r="AD372" s="1"/>
      <c r="AE372" s="1"/>
      <c r="AF372" s="1"/>
      <c r="AG372" s="1"/>
      <c r="AH372" s="1"/>
      <c r="AI372" s="1"/>
      <c r="AJ372" s="1"/>
      <c r="AK372" s="1"/>
      <c r="AL372" s="1"/>
      <c r="AM372" s="1"/>
      <c r="AN372" s="1"/>
      <c r="AO372" s="1"/>
      <c r="AP372" s="1"/>
      <c r="AQ372" s="1"/>
      <c r="AR372" s="1"/>
      <c r="AS372" s="1"/>
      <c r="AT372" s="1"/>
      <c r="AU372" s="70"/>
      <c r="AV372" s="70"/>
      <c r="AW372" s="11"/>
      <c r="AX372" s="1"/>
      <c r="AY372" s="1"/>
      <c r="AZ372" s="70"/>
      <c r="BA372" s="44"/>
      <c r="BB372" s="44"/>
      <c r="BC372" s="1"/>
      <c r="BD372" s="1"/>
      <c r="BE372" s="1"/>
      <c r="BF372" s="1"/>
      <c r="BG372" s="1"/>
      <c r="BH372" s="1"/>
      <c r="BI372" s="1"/>
      <c r="BJ372" s="1"/>
      <c r="BK372" s="11"/>
    </row>
    <row r="373" spans="1:63" s="78" customFormat="1" ht="12" customHeight="1" x14ac:dyDescent="0.2">
      <c r="A373" s="8" t="s">
        <v>29092</v>
      </c>
      <c r="B373" s="68">
        <v>43</v>
      </c>
      <c r="C373" s="8" t="s">
        <v>20</v>
      </c>
      <c r="D373" s="8" t="s">
        <v>37</v>
      </c>
      <c r="E373" s="62" t="s">
        <v>29093</v>
      </c>
      <c r="F373" s="69">
        <v>42808</v>
      </c>
      <c r="G373" s="8" t="s">
        <v>29094</v>
      </c>
      <c r="H373" s="8" t="s">
        <v>29095</v>
      </c>
      <c r="I373" s="8" t="s">
        <v>62</v>
      </c>
      <c r="J373" s="8" t="s">
        <v>29096</v>
      </c>
      <c r="K373" s="8" t="s">
        <v>2811</v>
      </c>
      <c r="L373" s="8" t="s">
        <v>29097</v>
      </c>
      <c r="M373" s="8" t="s">
        <v>27</v>
      </c>
      <c r="N373" s="8" t="s">
        <v>29098</v>
      </c>
      <c r="O373" s="8" t="s">
        <v>400</v>
      </c>
      <c r="P373" s="11" t="s">
        <v>401</v>
      </c>
      <c r="Q373" s="14" t="s">
        <v>29099</v>
      </c>
      <c r="R373" s="8" t="s">
        <v>100</v>
      </c>
      <c r="S373" s="2" t="s">
        <v>28</v>
      </c>
      <c r="T373" s="68" t="s">
        <v>27756</v>
      </c>
      <c r="U373" s="68" t="s">
        <v>29438</v>
      </c>
      <c r="V373" s="68"/>
      <c r="W373" s="68" t="s">
        <v>100</v>
      </c>
      <c r="X373" s="68">
        <v>2424</v>
      </c>
      <c r="Y373" s="1"/>
      <c r="Z373" s="1"/>
      <c r="AA373" s="1"/>
      <c r="AB373" s="1"/>
      <c r="AC373" s="1"/>
      <c r="AD373" s="1"/>
      <c r="AE373" s="1"/>
      <c r="AF373" s="1"/>
      <c r="AG373" s="1"/>
      <c r="AH373" s="1"/>
      <c r="AI373" s="1"/>
      <c r="AJ373" s="1"/>
      <c r="AK373" s="1"/>
      <c r="AL373" s="1"/>
      <c r="AM373" s="1"/>
      <c r="AN373" s="1"/>
      <c r="AO373" s="1"/>
      <c r="AP373" s="1"/>
      <c r="AQ373" s="1"/>
      <c r="AR373" s="1"/>
      <c r="AS373" s="1"/>
      <c r="AT373" s="1"/>
      <c r="AU373" s="70"/>
      <c r="AV373" s="70"/>
      <c r="AW373" s="1"/>
      <c r="AX373" s="1"/>
      <c r="AY373" s="1"/>
      <c r="AZ373" s="70"/>
      <c r="BA373" s="44"/>
      <c r="BB373" s="44"/>
      <c r="BC373" s="1"/>
      <c r="BD373" s="1"/>
      <c r="BE373" s="1"/>
      <c r="BF373" s="1"/>
      <c r="BG373" s="1"/>
      <c r="BH373" s="1"/>
      <c r="BI373" s="1"/>
      <c r="BJ373" s="1"/>
    </row>
    <row r="374" spans="1:63" s="78" customFormat="1" ht="12" customHeight="1" x14ac:dyDescent="0.2">
      <c r="A374" s="8" t="s">
        <v>29079</v>
      </c>
      <c r="B374" s="68">
        <v>16</v>
      </c>
      <c r="C374" s="8" t="s">
        <v>114</v>
      </c>
      <c r="D374" s="8" t="s">
        <v>85</v>
      </c>
      <c r="E374" s="62" t="s">
        <v>29080</v>
      </c>
      <c r="F374" s="69">
        <v>42808</v>
      </c>
      <c r="G374" s="8" t="s">
        <v>29081</v>
      </c>
      <c r="H374" s="8" t="s">
        <v>8718</v>
      </c>
      <c r="I374" s="8" t="s">
        <v>45</v>
      </c>
      <c r="J374" s="8" t="s">
        <v>29082</v>
      </c>
      <c r="K374" s="8" t="s">
        <v>602</v>
      </c>
      <c r="L374" s="8" t="s">
        <v>1142</v>
      </c>
      <c r="M374" s="8" t="s">
        <v>27</v>
      </c>
      <c r="N374" s="8" t="s">
        <v>29083</v>
      </c>
      <c r="O374" s="8" t="s">
        <v>400</v>
      </c>
      <c r="P374" s="11" t="s">
        <v>401</v>
      </c>
      <c r="Q374" s="14" t="s">
        <v>29084</v>
      </c>
      <c r="R374" s="8" t="s">
        <v>100</v>
      </c>
      <c r="S374" s="2" t="s">
        <v>18</v>
      </c>
      <c r="T374" s="68" t="s">
        <v>28345</v>
      </c>
      <c r="U374" s="68" t="s">
        <v>29436</v>
      </c>
      <c r="V374" s="68"/>
      <c r="W374" s="68" t="s">
        <v>100</v>
      </c>
      <c r="X374" s="68">
        <v>2426</v>
      </c>
      <c r="Y374" s="1"/>
      <c r="Z374" s="1"/>
      <c r="AA374" s="1"/>
      <c r="AB374" s="1"/>
      <c r="AC374" s="1"/>
      <c r="AD374" s="1"/>
      <c r="AE374" s="1"/>
      <c r="AF374" s="1"/>
      <c r="AG374" s="1"/>
      <c r="AH374" s="1"/>
      <c r="AI374" s="1"/>
      <c r="AJ374" s="1"/>
      <c r="AK374" s="1"/>
      <c r="AL374" s="1"/>
      <c r="AM374" s="1"/>
      <c r="AN374" s="1"/>
      <c r="AO374" s="1"/>
      <c r="AP374" s="1"/>
      <c r="AQ374" s="1"/>
      <c r="AR374" s="1"/>
      <c r="AS374" s="1"/>
      <c r="AT374" s="1"/>
      <c r="AU374" s="70"/>
      <c r="AV374" s="70"/>
      <c r="AW374" s="70"/>
      <c r="AX374" s="44"/>
      <c r="AY374" s="44"/>
      <c r="AZ374" s="70"/>
      <c r="BA374" s="44"/>
      <c r="BB374" s="44"/>
      <c r="BC374" s="70"/>
      <c r="BD374" s="70"/>
      <c r="BE374" s="70"/>
      <c r="BF374" s="70"/>
      <c r="BG374" s="70"/>
      <c r="BH374" s="70"/>
      <c r="BI374" s="70"/>
      <c r="BJ374" s="70"/>
      <c r="BK374" s="1"/>
    </row>
    <row r="375" spans="1:63" s="78" customFormat="1" ht="12" customHeight="1" x14ac:dyDescent="0.2">
      <c r="A375" s="8" t="s">
        <v>29085</v>
      </c>
      <c r="B375" s="68">
        <v>18</v>
      </c>
      <c r="C375" s="8" t="s">
        <v>20</v>
      </c>
      <c r="D375" s="8" t="s">
        <v>37</v>
      </c>
      <c r="E375" s="62" t="s">
        <v>29086</v>
      </c>
      <c r="F375" s="69">
        <v>42808</v>
      </c>
      <c r="G375" s="8" t="s">
        <v>29087</v>
      </c>
      <c r="H375" s="8" t="s">
        <v>23256</v>
      </c>
      <c r="I375" s="8" t="s">
        <v>209</v>
      </c>
      <c r="J375" s="8" t="s">
        <v>29088</v>
      </c>
      <c r="K375" s="8" t="s">
        <v>1924</v>
      </c>
      <c r="L375" s="8" t="s">
        <v>29089</v>
      </c>
      <c r="M375" s="8" t="s">
        <v>27</v>
      </c>
      <c r="N375" s="8" t="s">
        <v>29090</v>
      </c>
      <c r="O375" s="8" t="s">
        <v>400</v>
      </c>
      <c r="P375" s="11" t="s">
        <v>401</v>
      </c>
      <c r="Q375" s="14" t="s">
        <v>29091</v>
      </c>
      <c r="R375" s="8" t="s">
        <v>100</v>
      </c>
      <c r="S375" s="2" t="s">
        <v>35</v>
      </c>
      <c r="T375" s="68" t="s">
        <v>29442</v>
      </c>
      <c r="U375" s="68" t="s">
        <v>29438</v>
      </c>
      <c r="V375" s="68" t="s">
        <v>29439</v>
      </c>
      <c r="W375" s="68" t="s">
        <v>100</v>
      </c>
      <c r="X375" s="68">
        <v>2423</v>
      </c>
      <c r="Y375" s="1"/>
      <c r="Z375" s="1"/>
      <c r="AA375" s="1"/>
      <c r="AB375" s="1"/>
      <c r="AC375" s="1"/>
      <c r="AD375" s="1"/>
      <c r="AE375" s="1"/>
      <c r="AF375" s="1"/>
      <c r="AG375" s="1"/>
      <c r="AH375" s="1"/>
      <c r="AI375" s="1"/>
      <c r="AJ375" s="1"/>
      <c r="AK375" s="1"/>
      <c r="AL375" s="1"/>
      <c r="AM375" s="1"/>
      <c r="AN375" s="1"/>
      <c r="AO375" s="1"/>
      <c r="AP375" s="1"/>
      <c r="AQ375" s="1"/>
      <c r="AR375" s="1"/>
      <c r="AS375" s="1"/>
      <c r="AT375" s="1"/>
      <c r="AU375" s="70"/>
      <c r="AV375" s="70"/>
      <c r="AW375" s="70"/>
      <c r="AX375" s="1"/>
      <c r="AY375" s="1"/>
      <c r="AZ375" s="70"/>
      <c r="BA375" s="44"/>
      <c r="BB375" s="44"/>
      <c r="BC375" s="1"/>
      <c r="BD375" s="1"/>
      <c r="BE375" s="1"/>
      <c r="BF375" s="1"/>
      <c r="BG375" s="1"/>
      <c r="BH375" s="1"/>
      <c r="BI375" s="1"/>
      <c r="BJ375" s="1"/>
      <c r="BK375" s="70"/>
    </row>
    <row r="376" spans="1:63" s="78" customFormat="1" ht="12" customHeight="1" x14ac:dyDescent="0.2">
      <c r="A376" s="8" t="s">
        <v>29113</v>
      </c>
      <c r="B376" s="68">
        <v>36</v>
      </c>
      <c r="C376" s="8" t="s">
        <v>20</v>
      </c>
      <c r="D376" s="68" t="s">
        <v>37</v>
      </c>
      <c r="E376" s="8"/>
      <c r="F376" s="69">
        <v>42808</v>
      </c>
      <c r="G376" s="8" t="s">
        <v>29114</v>
      </c>
      <c r="H376" s="8" t="s">
        <v>29115</v>
      </c>
      <c r="I376" s="8" t="s">
        <v>303</v>
      </c>
      <c r="J376" s="8" t="s">
        <v>29116</v>
      </c>
      <c r="K376" s="8" t="s">
        <v>883</v>
      </c>
      <c r="L376" s="8" t="s">
        <v>29117</v>
      </c>
      <c r="M376" s="8" t="s">
        <v>27</v>
      </c>
      <c r="N376" s="8" t="s">
        <v>29118</v>
      </c>
      <c r="O376" s="8" t="s">
        <v>400</v>
      </c>
      <c r="P376" s="11" t="s">
        <v>401</v>
      </c>
      <c r="Q376" s="14" t="s">
        <v>29119</v>
      </c>
      <c r="R376" s="8" t="s">
        <v>100</v>
      </c>
      <c r="S376" s="8" t="s">
        <v>379</v>
      </c>
      <c r="T376" s="68" t="s">
        <v>379</v>
      </c>
      <c r="U376" s="68" t="s">
        <v>29438</v>
      </c>
      <c r="V376" s="68" t="s">
        <v>29439</v>
      </c>
      <c r="W376" s="68" t="s">
        <v>100</v>
      </c>
      <c r="X376" s="68">
        <v>2422</v>
      </c>
      <c r="Y376" s="1"/>
      <c r="Z376" s="1"/>
      <c r="AA376" s="1"/>
      <c r="AB376" s="1"/>
      <c r="AC376" s="1"/>
      <c r="AD376" s="1"/>
      <c r="AE376" s="1"/>
      <c r="AF376" s="1"/>
      <c r="AG376" s="1"/>
      <c r="AH376" s="1"/>
      <c r="AI376" s="1"/>
      <c r="AJ376" s="1"/>
      <c r="AK376" s="1"/>
      <c r="AL376" s="1"/>
      <c r="AM376" s="1"/>
      <c r="AN376" s="1"/>
      <c r="AO376" s="1"/>
      <c r="AP376" s="1"/>
      <c r="AQ376" s="1"/>
      <c r="AR376" s="1"/>
      <c r="AS376" s="1"/>
      <c r="AT376" s="1"/>
      <c r="AU376" s="70"/>
      <c r="AV376" s="70"/>
      <c r="AW376" s="44"/>
      <c r="AX376" s="1"/>
      <c r="AY376" s="1"/>
      <c r="AZ376" s="70"/>
      <c r="BA376" s="11"/>
      <c r="BB376" s="44"/>
      <c r="BC376" s="1"/>
      <c r="BD376" s="1"/>
      <c r="BE376" s="1"/>
      <c r="BF376" s="1"/>
      <c r="BG376" s="1"/>
      <c r="BH376" s="1"/>
      <c r="BI376" s="1"/>
      <c r="BJ376" s="1"/>
      <c r="BK376" s="11"/>
    </row>
    <row r="377" spans="1:63" s="78" customFormat="1" ht="12" customHeight="1" x14ac:dyDescent="0.2">
      <c r="A377" s="8" t="s">
        <v>29107</v>
      </c>
      <c r="B377" s="68">
        <v>56</v>
      </c>
      <c r="C377" s="8" t="s">
        <v>20</v>
      </c>
      <c r="D377" s="68" t="s">
        <v>37</v>
      </c>
      <c r="E377" s="8"/>
      <c r="F377" s="69">
        <v>42808</v>
      </c>
      <c r="G377" s="8" t="s">
        <v>29108</v>
      </c>
      <c r="H377" s="8" t="s">
        <v>21852</v>
      </c>
      <c r="I377" s="8" t="s">
        <v>81</v>
      </c>
      <c r="J377" s="8" t="s">
        <v>29109</v>
      </c>
      <c r="K377" s="8" t="s">
        <v>643</v>
      </c>
      <c r="L377" s="8" t="s">
        <v>29110</v>
      </c>
      <c r="M377" s="8" t="s">
        <v>27</v>
      </c>
      <c r="N377" s="8" t="s">
        <v>29111</v>
      </c>
      <c r="O377" s="8" t="s">
        <v>400</v>
      </c>
      <c r="P377" s="11" t="s">
        <v>401</v>
      </c>
      <c r="Q377" s="14" t="s">
        <v>29112</v>
      </c>
      <c r="R377" s="8" t="s">
        <v>555</v>
      </c>
      <c r="S377" s="2" t="s">
        <v>18</v>
      </c>
      <c r="T377" s="68" t="s">
        <v>28345</v>
      </c>
      <c r="U377" s="68" t="s">
        <v>29438</v>
      </c>
      <c r="V377" s="68"/>
      <c r="W377" s="68" t="s">
        <v>100</v>
      </c>
      <c r="X377" s="68">
        <v>2419</v>
      </c>
      <c r="Y377" s="1"/>
      <c r="Z377" s="1"/>
      <c r="AA377" s="1"/>
      <c r="AB377" s="1"/>
      <c r="AC377" s="1"/>
      <c r="AD377" s="1"/>
      <c r="AE377" s="1"/>
      <c r="AF377" s="1"/>
      <c r="AG377" s="1"/>
      <c r="AH377" s="1"/>
      <c r="AI377" s="1"/>
      <c r="AJ377" s="1"/>
      <c r="AK377" s="1"/>
      <c r="AL377" s="1"/>
      <c r="AM377" s="1"/>
      <c r="AN377" s="1"/>
      <c r="AO377" s="1"/>
      <c r="AP377" s="1"/>
      <c r="AQ377" s="1"/>
      <c r="AR377" s="1"/>
      <c r="AS377" s="1"/>
      <c r="AT377" s="1"/>
      <c r="AU377" s="70"/>
      <c r="AV377" s="70"/>
      <c r="AW377" s="1"/>
      <c r="AX377" s="1"/>
      <c r="AY377" s="1"/>
      <c r="AZ377" s="70"/>
      <c r="BA377" s="44"/>
      <c r="BB377" s="11"/>
      <c r="BC377" s="1"/>
      <c r="BD377" s="1"/>
      <c r="BE377" s="1"/>
      <c r="BF377" s="1"/>
      <c r="BG377" s="1"/>
      <c r="BH377" s="1"/>
      <c r="BI377" s="1"/>
      <c r="BJ377" s="1"/>
      <c r="BK377" s="1"/>
    </row>
    <row r="378" spans="1:63" s="78" customFormat="1" ht="12" customHeight="1" x14ac:dyDescent="0.2">
      <c r="A378" s="8" t="s">
        <v>29100</v>
      </c>
      <c r="B378" s="68">
        <v>20</v>
      </c>
      <c r="C378" s="8" t="s">
        <v>20</v>
      </c>
      <c r="D378" s="8" t="s">
        <v>85</v>
      </c>
      <c r="E378" s="62" t="s">
        <v>29101</v>
      </c>
      <c r="F378" s="69">
        <v>42807</v>
      </c>
      <c r="G378" s="8" t="s">
        <v>29102</v>
      </c>
      <c r="H378" s="8" t="s">
        <v>29103</v>
      </c>
      <c r="I378" s="8" t="s">
        <v>52</v>
      </c>
      <c r="J378" s="8" t="s">
        <v>29104</v>
      </c>
      <c r="K378" s="8" t="s">
        <v>1592</v>
      </c>
      <c r="L378" s="8" t="s">
        <v>231</v>
      </c>
      <c r="M378" s="8" t="s">
        <v>27</v>
      </c>
      <c r="N378" s="8" t="s">
        <v>29105</v>
      </c>
      <c r="O378" s="8" t="s">
        <v>400</v>
      </c>
      <c r="P378" s="11" t="s">
        <v>401</v>
      </c>
      <c r="Q378" s="14" t="s">
        <v>29106</v>
      </c>
      <c r="R378" s="8" t="s">
        <v>100</v>
      </c>
      <c r="S378" s="8" t="s">
        <v>379</v>
      </c>
      <c r="T378" s="68" t="s">
        <v>379</v>
      </c>
      <c r="U378" s="68" t="s">
        <v>29436</v>
      </c>
      <c r="V378" s="68" t="s">
        <v>21212</v>
      </c>
      <c r="W378" s="68" t="s">
        <v>555</v>
      </c>
      <c r="X378" s="68">
        <v>2421</v>
      </c>
      <c r="Y378" s="1"/>
      <c r="Z378" s="1"/>
      <c r="AA378" s="1"/>
      <c r="AB378" s="1"/>
      <c r="AC378" s="1"/>
      <c r="AD378" s="1"/>
      <c r="AE378" s="1"/>
      <c r="AF378" s="1"/>
      <c r="AG378" s="1"/>
      <c r="AH378" s="1"/>
      <c r="AI378" s="1"/>
      <c r="AJ378" s="1"/>
      <c r="AK378" s="1"/>
      <c r="AL378" s="1"/>
      <c r="AM378" s="1"/>
      <c r="AN378" s="1"/>
      <c r="AO378" s="1"/>
      <c r="AP378" s="1"/>
      <c r="AQ378" s="1"/>
      <c r="AR378" s="1"/>
      <c r="AS378" s="1"/>
      <c r="AT378" s="1"/>
      <c r="AU378" s="70"/>
      <c r="AV378" s="70"/>
      <c r="AW378" s="70"/>
      <c r="AX378" s="70"/>
      <c r="AY378" s="70"/>
      <c r="AZ378" s="70"/>
      <c r="BA378" s="44"/>
      <c r="BB378" s="44"/>
      <c r="BC378" s="70"/>
      <c r="BD378" s="70"/>
      <c r="BE378" s="70"/>
      <c r="BF378" s="70"/>
      <c r="BG378" s="70"/>
      <c r="BH378" s="70"/>
      <c r="BI378" s="70"/>
      <c r="BJ378" s="70"/>
      <c r="BK378" s="11"/>
    </row>
    <row r="379" spans="1:63" s="78" customFormat="1" ht="12" customHeight="1" x14ac:dyDescent="0.2">
      <c r="A379" s="8" t="s">
        <v>29067</v>
      </c>
      <c r="B379" s="68">
        <v>23</v>
      </c>
      <c r="C379" s="8" t="s">
        <v>20</v>
      </c>
      <c r="D379" s="68" t="s">
        <v>85</v>
      </c>
      <c r="E379" s="8"/>
      <c r="F379" s="69">
        <v>42807</v>
      </c>
      <c r="G379" s="8" t="s">
        <v>29068</v>
      </c>
      <c r="H379" s="8" t="s">
        <v>29069</v>
      </c>
      <c r="I379" s="8" t="s">
        <v>69</v>
      </c>
      <c r="J379" s="17" t="s">
        <v>29070</v>
      </c>
      <c r="K379" s="8" t="s">
        <v>105</v>
      </c>
      <c r="L379" s="8" t="s">
        <v>29071</v>
      </c>
      <c r="M379" s="8" t="s">
        <v>27</v>
      </c>
      <c r="N379" s="8" t="s">
        <v>29072</v>
      </c>
      <c r="O379" s="8" t="s">
        <v>400</v>
      </c>
      <c r="P379" s="11" t="s">
        <v>401</v>
      </c>
      <c r="Q379" s="62" t="s">
        <v>29073</v>
      </c>
      <c r="R379" s="8" t="s">
        <v>29</v>
      </c>
      <c r="S379" s="8" t="s">
        <v>379</v>
      </c>
      <c r="T379" s="68" t="s">
        <v>379</v>
      </c>
      <c r="U379" s="68" t="s">
        <v>29436</v>
      </c>
      <c r="V379" s="68"/>
      <c r="W379" s="68" t="s">
        <v>555</v>
      </c>
      <c r="X379" s="68">
        <v>2416</v>
      </c>
      <c r="Y379" s="1"/>
      <c r="Z379" s="1"/>
      <c r="AA379" s="1"/>
      <c r="AB379" s="1"/>
      <c r="AC379" s="1"/>
      <c r="AD379" s="1"/>
      <c r="AE379" s="1"/>
      <c r="AF379" s="1"/>
      <c r="AG379" s="1"/>
      <c r="AH379" s="1"/>
      <c r="AI379" s="1"/>
      <c r="AJ379" s="1"/>
      <c r="AK379" s="1"/>
      <c r="AL379" s="1"/>
      <c r="AM379" s="1"/>
      <c r="AN379" s="1"/>
      <c r="AO379" s="1"/>
      <c r="AP379" s="1"/>
      <c r="AQ379" s="1"/>
      <c r="AR379" s="1"/>
      <c r="AS379" s="1"/>
      <c r="AT379" s="1"/>
      <c r="AU379" s="70"/>
      <c r="AV379" s="70"/>
      <c r="AW379" s="44"/>
      <c r="AX379" s="1"/>
      <c r="AY379" s="1"/>
      <c r="AZ379" s="70"/>
      <c r="BA379" s="1"/>
      <c r="BB379" s="1"/>
      <c r="BC379" s="70"/>
      <c r="BD379" s="70"/>
      <c r="BE379" s="70"/>
      <c r="BF379" s="70"/>
      <c r="BG379" s="70"/>
      <c r="BH379" s="70"/>
      <c r="BI379" s="70"/>
      <c r="BJ379" s="70"/>
      <c r="BK379" s="11"/>
    </row>
    <row r="380" spans="1:63" s="78" customFormat="1" ht="12" customHeight="1" x14ac:dyDescent="0.2">
      <c r="A380" s="8" t="s">
        <v>29074</v>
      </c>
      <c r="B380" s="68">
        <v>23</v>
      </c>
      <c r="C380" s="8" t="s">
        <v>20</v>
      </c>
      <c r="D380" s="8" t="s">
        <v>37</v>
      </c>
      <c r="E380" s="8"/>
      <c r="F380" s="69">
        <v>42807</v>
      </c>
      <c r="G380" s="8" t="s">
        <v>29075</v>
      </c>
      <c r="H380" s="8" t="s">
        <v>3635</v>
      </c>
      <c r="I380" s="8" t="s">
        <v>45</v>
      </c>
      <c r="J380" s="17" t="s">
        <v>29076</v>
      </c>
      <c r="K380" s="8" t="s">
        <v>3635</v>
      </c>
      <c r="L380" s="8" t="s">
        <v>3637</v>
      </c>
      <c r="M380" s="8" t="s">
        <v>27</v>
      </c>
      <c r="N380" s="8" t="s">
        <v>29077</v>
      </c>
      <c r="O380" s="8" t="s">
        <v>400</v>
      </c>
      <c r="P380" s="11" t="s">
        <v>401</v>
      </c>
      <c r="Q380" s="62" t="s">
        <v>29078</v>
      </c>
      <c r="R380" s="8" t="s">
        <v>555</v>
      </c>
      <c r="S380" s="2" t="s">
        <v>28</v>
      </c>
      <c r="T380" s="68" t="s">
        <v>29493</v>
      </c>
      <c r="U380" s="68" t="s">
        <v>29436</v>
      </c>
      <c r="V380" s="68" t="s">
        <v>29439</v>
      </c>
      <c r="W380" s="68" t="s">
        <v>100</v>
      </c>
      <c r="X380" s="68">
        <v>2417</v>
      </c>
      <c r="Y380" s="1"/>
      <c r="Z380" s="1"/>
      <c r="AA380" s="1"/>
      <c r="AB380" s="1"/>
      <c r="AC380" s="1"/>
      <c r="AD380" s="1"/>
      <c r="AE380" s="1"/>
      <c r="AF380" s="1"/>
      <c r="AG380" s="1"/>
      <c r="AH380" s="1"/>
      <c r="AI380" s="1"/>
      <c r="AJ380" s="1"/>
      <c r="AK380" s="1"/>
      <c r="AL380" s="1"/>
      <c r="AM380" s="1"/>
      <c r="AN380" s="1"/>
      <c r="AO380" s="1"/>
      <c r="AP380" s="1"/>
      <c r="AQ380" s="1"/>
      <c r="AR380" s="1"/>
      <c r="AS380" s="1"/>
      <c r="AT380" s="1"/>
      <c r="AU380" s="70"/>
      <c r="AV380" s="70"/>
      <c r="AW380" s="44"/>
      <c r="AX380" s="44"/>
      <c r="AY380" s="44"/>
      <c r="AZ380" s="70"/>
      <c r="BA380" s="44"/>
      <c r="BB380" s="11"/>
      <c r="BC380" s="1"/>
      <c r="BD380" s="1"/>
      <c r="BE380" s="1"/>
      <c r="BF380" s="1"/>
      <c r="BG380" s="1"/>
      <c r="BH380" s="1"/>
      <c r="BI380" s="1"/>
      <c r="BJ380" s="1"/>
    </row>
    <row r="381" spans="1:63" s="78" customFormat="1" ht="12" customHeight="1" x14ac:dyDescent="0.2">
      <c r="A381" s="8" t="s">
        <v>29060</v>
      </c>
      <c r="B381" s="68">
        <v>28</v>
      </c>
      <c r="C381" s="8" t="s">
        <v>20</v>
      </c>
      <c r="D381" s="8" t="s">
        <v>48</v>
      </c>
      <c r="E381" s="8"/>
      <c r="F381" s="69">
        <v>42806</v>
      </c>
      <c r="G381" s="8" t="s">
        <v>29061</v>
      </c>
      <c r="H381" s="8" t="s">
        <v>29062</v>
      </c>
      <c r="I381" s="8" t="s">
        <v>303</v>
      </c>
      <c r="J381" s="17" t="s">
        <v>29063</v>
      </c>
      <c r="K381" s="8" t="s">
        <v>3473</v>
      </c>
      <c r="L381" s="8" t="s">
        <v>29064</v>
      </c>
      <c r="M381" s="8" t="s">
        <v>27</v>
      </c>
      <c r="N381" s="8" t="s">
        <v>29065</v>
      </c>
      <c r="O381" s="8" t="s">
        <v>400</v>
      </c>
      <c r="P381" s="11" t="s">
        <v>401</v>
      </c>
      <c r="Q381" s="62" t="s">
        <v>29066</v>
      </c>
      <c r="R381" s="8" t="s">
        <v>100</v>
      </c>
      <c r="S381" s="2" t="s">
        <v>28</v>
      </c>
      <c r="T381" s="68" t="s">
        <v>29493</v>
      </c>
      <c r="U381" s="68" t="s">
        <v>29438</v>
      </c>
      <c r="V381" s="68" t="s">
        <v>29440</v>
      </c>
      <c r="W381" s="68" t="s">
        <v>555</v>
      </c>
      <c r="X381" s="68">
        <v>2414</v>
      </c>
      <c r="Y381" s="1"/>
      <c r="Z381" s="1"/>
      <c r="AA381" s="1"/>
      <c r="AB381" s="1"/>
      <c r="AC381" s="1"/>
      <c r="AD381" s="1"/>
      <c r="AE381" s="1"/>
      <c r="AF381" s="1"/>
      <c r="AG381" s="1"/>
      <c r="AH381" s="1"/>
      <c r="AI381" s="1"/>
      <c r="AJ381" s="1"/>
      <c r="AK381" s="1"/>
      <c r="AL381" s="1"/>
      <c r="AM381" s="1"/>
      <c r="AN381" s="1"/>
      <c r="AO381" s="1"/>
      <c r="AP381" s="1"/>
      <c r="AQ381" s="1"/>
      <c r="AR381" s="1"/>
      <c r="AS381" s="1"/>
      <c r="AT381" s="1"/>
      <c r="AU381" s="70"/>
      <c r="AV381" s="70"/>
      <c r="AW381" s="44"/>
      <c r="AX381" s="1"/>
      <c r="AY381" s="1"/>
      <c r="AZ381" s="70"/>
      <c r="BA381" s="44"/>
      <c r="BB381" s="11"/>
      <c r="BC381" s="1"/>
      <c r="BD381" s="1"/>
      <c r="BE381" s="1"/>
      <c r="BF381" s="1"/>
      <c r="BG381" s="1"/>
      <c r="BH381" s="1"/>
      <c r="BI381" s="1"/>
      <c r="BJ381" s="1"/>
    </row>
    <row r="382" spans="1:63" s="78" customFormat="1" ht="12" customHeight="1" x14ac:dyDescent="0.2">
      <c r="A382" s="8" t="s">
        <v>29055</v>
      </c>
      <c r="B382" s="68">
        <v>33</v>
      </c>
      <c r="C382" s="8" t="s">
        <v>20</v>
      </c>
      <c r="D382" s="8" t="s">
        <v>48</v>
      </c>
      <c r="E382" s="62" t="s">
        <v>29056</v>
      </c>
      <c r="F382" s="69">
        <v>42806</v>
      </c>
      <c r="G382" s="8" t="s">
        <v>29524</v>
      </c>
      <c r="H382" s="8" t="s">
        <v>1061</v>
      </c>
      <c r="I382" s="8" t="s">
        <v>45</v>
      </c>
      <c r="J382" s="17" t="s">
        <v>29057</v>
      </c>
      <c r="K382" s="8" t="s">
        <v>1061</v>
      </c>
      <c r="L382" s="8" t="s">
        <v>16038</v>
      </c>
      <c r="M382" s="68" t="s">
        <v>5411</v>
      </c>
      <c r="N382" s="8" t="s">
        <v>29058</v>
      </c>
      <c r="O382" s="8" t="s">
        <v>400</v>
      </c>
      <c r="P382" s="11" t="s">
        <v>401</v>
      </c>
      <c r="Q382" s="62" t="s">
        <v>29059</v>
      </c>
      <c r="R382" s="68" t="s">
        <v>555</v>
      </c>
      <c r="S382" s="2" t="s">
        <v>28</v>
      </c>
      <c r="T382" s="68" t="s">
        <v>29493</v>
      </c>
      <c r="U382" s="68" t="s">
        <v>29436</v>
      </c>
      <c r="V382" s="68" t="s">
        <v>29439</v>
      </c>
      <c r="W382" s="68" t="s">
        <v>100</v>
      </c>
      <c r="X382" s="68">
        <v>2412</v>
      </c>
      <c r="Y382" s="1"/>
      <c r="Z382" s="1"/>
      <c r="AA382" s="1"/>
      <c r="AB382" s="1"/>
      <c r="AC382" s="1"/>
      <c r="AD382" s="1"/>
      <c r="AE382" s="1"/>
      <c r="AF382" s="1"/>
      <c r="AG382" s="1"/>
      <c r="AH382" s="1"/>
      <c r="AI382" s="1"/>
      <c r="AJ382" s="1"/>
      <c r="AK382" s="1"/>
      <c r="AL382" s="1"/>
      <c r="AM382" s="1"/>
      <c r="AN382" s="1"/>
      <c r="AO382" s="1"/>
      <c r="AP382" s="1"/>
      <c r="AQ382" s="1"/>
      <c r="AR382" s="1"/>
      <c r="AS382" s="1"/>
      <c r="AT382" s="1"/>
      <c r="AU382" s="70"/>
      <c r="AV382" s="70"/>
      <c r="AW382" s="11"/>
      <c r="AX382" s="1"/>
      <c r="AY382" s="1"/>
      <c r="AZ382" s="70"/>
      <c r="BA382" s="70"/>
      <c r="BB382" s="70"/>
      <c r="BC382" s="1"/>
      <c r="BD382" s="1"/>
      <c r="BE382" s="1"/>
      <c r="BF382" s="1"/>
      <c r="BG382" s="1"/>
      <c r="BH382" s="1"/>
      <c r="BI382" s="1"/>
      <c r="BJ382" s="1"/>
      <c r="BK382" s="1"/>
    </row>
    <row r="383" spans="1:63" s="78" customFormat="1" ht="12" customHeight="1" x14ac:dyDescent="0.2">
      <c r="A383" s="8" t="s">
        <v>29205</v>
      </c>
      <c r="B383" s="68">
        <v>30</v>
      </c>
      <c r="C383" s="8" t="s">
        <v>20</v>
      </c>
      <c r="D383" s="8" t="s">
        <v>85</v>
      </c>
      <c r="E383" s="62" t="s">
        <v>29206</v>
      </c>
      <c r="F383" s="69">
        <v>42805</v>
      </c>
      <c r="G383" s="8" t="s">
        <v>29207</v>
      </c>
      <c r="H383" s="8" t="s">
        <v>189</v>
      </c>
      <c r="I383" s="8" t="s">
        <v>25</v>
      </c>
      <c r="J383" s="8" t="s">
        <v>29208</v>
      </c>
      <c r="K383" s="8" t="s">
        <v>3743</v>
      </c>
      <c r="L383" s="8" t="s">
        <v>29209</v>
      </c>
      <c r="M383" s="8" t="s">
        <v>27</v>
      </c>
      <c r="N383" s="8" t="s">
        <v>29210</v>
      </c>
      <c r="O383" s="8" t="s">
        <v>400</v>
      </c>
      <c r="P383" s="11" t="s">
        <v>401</v>
      </c>
      <c r="Q383" s="62" t="s">
        <v>29211</v>
      </c>
      <c r="R383" s="8" t="s">
        <v>100</v>
      </c>
      <c r="S383" s="2" t="s">
        <v>28</v>
      </c>
      <c r="T383" s="68" t="s">
        <v>27756</v>
      </c>
      <c r="U383" s="68" t="s">
        <v>29438</v>
      </c>
      <c r="V383" s="68"/>
      <c r="W383" s="68" t="s">
        <v>100</v>
      </c>
      <c r="X383" s="68">
        <v>2447</v>
      </c>
      <c r="Y383" s="1"/>
      <c r="Z383" s="1"/>
      <c r="AA383" s="1"/>
      <c r="AB383" s="1"/>
      <c r="AC383" s="1"/>
      <c r="AD383" s="1"/>
      <c r="AE383" s="1"/>
      <c r="AF383" s="1"/>
      <c r="AG383" s="1"/>
      <c r="AH383" s="1"/>
      <c r="AI383" s="1"/>
      <c r="AJ383" s="1"/>
      <c r="AK383" s="1"/>
      <c r="AL383" s="1"/>
      <c r="AM383" s="1"/>
      <c r="AN383" s="1"/>
      <c r="AO383" s="1"/>
      <c r="AP383" s="1"/>
      <c r="AQ383" s="1"/>
      <c r="AR383" s="1"/>
      <c r="AS383" s="1"/>
      <c r="AT383" s="1"/>
      <c r="AU383" s="70"/>
      <c r="AV383" s="70"/>
      <c r="AW383" s="44"/>
      <c r="AX383" s="11"/>
      <c r="AY383" s="11"/>
      <c r="AZ383" s="70"/>
      <c r="BA383" s="44"/>
      <c r="BB383" s="44"/>
      <c r="BC383" s="70"/>
      <c r="BD383" s="70"/>
      <c r="BE383" s="70"/>
      <c r="BF383" s="70"/>
      <c r="BG383" s="70"/>
      <c r="BH383" s="70"/>
      <c r="BI383" s="70"/>
      <c r="BJ383" s="70"/>
    </row>
    <row r="384" spans="1:63" s="78" customFormat="1" ht="12" customHeight="1" x14ac:dyDescent="0.2">
      <c r="A384" s="8" t="s">
        <v>29045</v>
      </c>
      <c r="B384" s="68">
        <v>51</v>
      </c>
      <c r="C384" s="8" t="s">
        <v>20</v>
      </c>
      <c r="D384" s="8" t="s">
        <v>37</v>
      </c>
      <c r="E384" s="8"/>
      <c r="F384" s="69">
        <v>42805</v>
      </c>
      <c r="G384" s="8" t="s">
        <v>29525</v>
      </c>
      <c r="H384" s="8" t="s">
        <v>18438</v>
      </c>
      <c r="I384" s="8" t="s">
        <v>73</v>
      </c>
      <c r="J384" s="17" t="s">
        <v>29046</v>
      </c>
      <c r="K384" s="8" t="s">
        <v>1979</v>
      </c>
      <c r="L384" s="8" t="s">
        <v>29047</v>
      </c>
      <c r="M384" s="8" t="s">
        <v>27</v>
      </c>
      <c r="N384" s="8" t="s">
        <v>29048</v>
      </c>
      <c r="O384" s="8" t="s">
        <v>400</v>
      </c>
      <c r="P384" s="11" t="s">
        <v>401</v>
      </c>
      <c r="Q384" s="62" t="s">
        <v>29049</v>
      </c>
      <c r="R384" s="8" t="s">
        <v>100</v>
      </c>
      <c r="S384" s="2" t="s">
        <v>28</v>
      </c>
      <c r="T384" s="68" t="s">
        <v>27756</v>
      </c>
      <c r="U384" s="68" t="s">
        <v>29438</v>
      </c>
      <c r="V384" s="68" t="s">
        <v>29439</v>
      </c>
      <c r="W384" s="68" t="s">
        <v>100</v>
      </c>
      <c r="X384" s="68">
        <v>2413</v>
      </c>
      <c r="Y384" s="1"/>
      <c r="Z384" s="1"/>
      <c r="AA384" s="1"/>
      <c r="AB384" s="1"/>
      <c r="AC384" s="1"/>
      <c r="AD384" s="1"/>
      <c r="AE384" s="1"/>
      <c r="AF384" s="1"/>
      <c r="AG384" s="1"/>
      <c r="AH384" s="1"/>
      <c r="AI384" s="1"/>
      <c r="AJ384" s="1"/>
      <c r="AK384" s="1"/>
      <c r="AL384" s="1"/>
      <c r="AM384" s="1"/>
      <c r="AN384" s="1"/>
      <c r="AO384" s="1"/>
      <c r="AP384" s="1"/>
      <c r="AQ384" s="1"/>
      <c r="AR384" s="1"/>
      <c r="AS384" s="1"/>
      <c r="AT384" s="1"/>
      <c r="AU384" s="70"/>
      <c r="AV384" s="70"/>
      <c r="AW384" s="1"/>
      <c r="AX384" s="1"/>
      <c r="AY384" s="1"/>
      <c r="AZ384" s="70"/>
      <c r="BA384" s="44"/>
      <c r="BB384" s="44"/>
      <c r="BC384" s="1"/>
      <c r="BD384" s="1"/>
      <c r="BE384" s="1"/>
      <c r="BF384" s="1"/>
      <c r="BG384" s="1"/>
      <c r="BH384" s="1"/>
      <c r="BI384" s="1"/>
      <c r="BJ384" s="1"/>
    </row>
    <row r="385" spans="1:63" s="78" customFormat="1" ht="12" customHeight="1" x14ac:dyDescent="0.2">
      <c r="A385" s="8" t="s">
        <v>29050</v>
      </c>
      <c r="B385" s="47">
        <v>38</v>
      </c>
      <c r="C385" s="8" t="s">
        <v>114</v>
      </c>
      <c r="D385" s="8" t="s">
        <v>85</v>
      </c>
      <c r="E385" s="8" t="s">
        <v>31034</v>
      </c>
      <c r="F385" s="72">
        <v>42805</v>
      </c>
      <c r="G385" s="8" t="s">
        <v>29051</v>
      </c>
      <c r="H385" s="8" t="s">
        <v>887</v>
      </c>
      <c r="I385" s="8" t="s">
        <v>438</v>
      </c>
      <c r="J385" s="17" t="s">
        <v>29052</v>
      </c>
      <c r="K385" s="8" t="s">
        <v>887</v>
      </c>
      <c r="L385" s="8" t="s">
        <v>3865</v>
      </c>
      <c r="M385" s="8" t="s">
        <v>27</v>
      </c>
      <c r="N385" s="8" t="s">
        <v>29053</v>
      </c>
      <c r="O385" s="8" t="s">
        <v>25470</v>
      </c>
      <c r="P385" s="11" t="s">
        <v>401</v>
      </c>
      <c r="Q385" s="62" t="s">
        <v>29054</v>
      </c>
      <c r="R385" s="8" t="s">
        <v>100</v>
      </c>
      <c r="S385" s="2" t="s">
        <v>18</v>
      </c>
      <c r="T385" s="68" t="s">
        <v>29760</v>
      </c>
      <c r="U385" s="68"/>
      <c r="V385" s="68"/>
      <c r="W385" s="68"/>
      <c r="X385" s="68"/>
      <c r="Y385" s="1"/>
      <c r="Z385" s="1"/>
      <c r="AA385" s="1"/>
      <c r="AB385" s="1"/>
      <c r="AC385" s="1"/>
      <c r="AD385" s="1"/>
      <c r="AE385" s="1"/>
      <c r="AF385" s="1"/>
      <c r="AG385" s="1"/>
      <c r="AH385" s="1"/>
      <c r="AI385" s="1"/>
      <c r="AJ385" s="1"/>
      <c r="AK385" s="1"/>
      <c r="AL385" s="1"/>
      <c r="AM385" s="1"/>
      <c r="AN385" s="1"/>
      <c r="AO385" s="1"/>
      <c r="AP385" s="1"/>
      <c r="AQ385" s="1"/>
      <c r="AR385" s="1"/>
      <c r="AS385" s="1"/>
      <c r="AT385" s="1"/>
      <c r="AU385" s="70"/>
      <c r="AV385" s="70"/>
      <c r="AW385" s="1"/>
      <c r="AX385" s="1"/>
      <c r="AY385" s="1"/>
      <c r="AZ385" s="1"/>
      <c r="BA385" s="1"/>
      <c r="BB385" s="1"/>
      <c r="BC385" s="1"/>
      <c r="BD385" s="1"/>
      <c r="BE385" s="1"/>
      <c r="BF385" s="1"/>
      <c r="BG385" s="1"/>
      <c r="BH385" s="1"/>
      <c r="BI385" s="1"/>
      <c r="BJ385" s="1"/>
    </row>
    <row r="386" spans="1:63" s="78" customFormat="1" ht="12" customHeight="1" x14ac:dyDescent="0.2">
      <c r="A386" s="8" t="s">
        <v>29041</v>
      </c>
      <c r="B386" s="68">
        <v>40</v>
      </c>
      <c r="C386" s="8" t="s">
        <v>20</v>
      </c>
      <c r="D386" s="8" t="s">
        <v>37</v>
      </c>
      <c r="E386" s="62" t="s">
        <v>29042</v>
      </c>
      <c r="F386" s="69">
        <v>42804</v>
      </c>
      <c r="G386" s="8" t="s">
        <v>29526</v>
      </c>
      <c r="H386" s="8" t="s">
        <v>11900</v>
      </c>
      <c r="I386" s="8" t="s">
        <v>45</v>
      </c>
      <c r="J386" s="17" t="s">
        <v>16891</v>
      </c>
      <c r="K386" s="8" t="s">
        <v>156</v>
      </c>
      <c r="L386" s="8" t="s">
        <v>16892</v>
      </c>
      <c r="M386" s="8" t="s">
        <v>27</v>
      </c>
      <c r="N386" s="8" t="s">
        <v>29043</v>
      </c>
      <c r="O386" s="8" t="s">
        <v>400</v>
      </c>
      <c r="P386" s="11" t="s">
        <v>401</v>
      </c>
      <c r="Q386" s="62" t="s">
        <v>29044</v>
      </c>
      <c r="R386" s="8" t="s">
        <v>100</v>
      </c>
      <c r="S386" s="2" t="s">
        <v>28</v>
      </c>
      <c r="T386" s="68" t="s">
        <v>27756</v>
      </c>
      <c r="U386" s="68" t="s">
        <v>29438</v>
      </c>
      <c r="V386" s="68" t="s">
        <v>29439</v>
      </c>
      <c r="W386" s="68" t="s">
        <v>100</v>
      </c>
      <c r="X386" s="68">
        <v>2415</v>
      </c>
      <c r="Y386" s="1"/>
      <c r="Z386" s="1"/>
      <c r="AA386" s="1"/>
      <c r="AB386" s="1"/>
      <c r="AC386" s="1"/>
      <c r="AD386" s="1"/>
      <c r="AE386" s="1"/>
      <c r="AF386" s="1"/>
      <c r="AG386" s="1"/>
      <c r="AH386" s="1"/>
      <c r="AI386" s="1"/>
      <c r="AJ386" s="1"/>
      <c r="AK386" s="1"/>
      <c r="AL386" s="1"/>
      <c r="AM386" s="1"/>
      <c r="AN386" s="1"/>
      <c r="AO386" s="1"/>
      <c r="AP386" s="1"/>
      <c r="AQ386" s="1"/>
      <c r="AR386" s="1"/>
      <c r="AS386" s="1"/>
      <c r="AT386" s="1"/>
      <c r="AU386" s="70"/>
      <c r="AV386" s="70"/>
      <c r="AW386" s="44"/>
      <c r="AX386" s="1"/>
      <c r="AY386" s="1"/>
      <c r="AZ386" s="70"/>
      <c r="BA386" s="44"/>
      <c r="BB386" s="44"/>
      <c r="BC386" s="1"/>
      <c r="BD386" s="1"/>
      <c r="BE386" s="1"/>
      <c r="BF386" s="1"/>
      <c r="BG386" s="1"/>
      <c r="BH386" s="1"/>
      <c r="BI386" s="1"/>
      <c r="BJ386" s="1"/>
    </row>
    <row r="387" spans="1:63" s="78" customFormat="1" ht="12" customHeight="1" x14ac:dyDescent="0.2">
      <c r="A387" s="8" t="s">
        <v>29035</v>
      </c>
      <c r="B387" s="47">
        <v>35</v>
      </c>
      <c r="C387" s="8" t="s">
        <v>114</v>
      </c>
      <c r="D387" s="8" t="s">
        <v>37</v>
      </c>
      <c r="E387" s="62" t="s">
        <v>29036</v>
      </c>
      <c r="F387" s="72">
        <v>42803</v>
      </c>
      <c r="G387" s="8" t="s">
        <v>29037</v>
      </c>
      <c r="H387" s="8" t="s">
        <v>5282</v>
      </c>
      <c r="I387" s="8" t="s">
        <v>73</v>
      </c>
      <c r="J387" s="17" t="s">
        <v>29038</v>
      </c>
      <c r="K387" s="8" t="s">
        <v>5282</v>
      </c>
      <c r="L387" s="8" t="s">
        <v>22790</v>
      </c>
      <c r="M387" s="8" t="s">
        <v>27</v>
      </c>
      <c r="N387" s="8" t="s">
        <v>29039</v>
      </c>
      <c r="O387" s="8" t="s">
        <v>400</v>
      </c>
      <c r="P387" s="11" t="s">
        <v>401</v>
      </c>
      <c r="Q387" s="62" t="s">
        <v>29040</v>
      </c>
      <c r="R387" s="8" t="s">
        <v>100</v>
      </c>
      <c r="S387" s="13" t="s">
        <v>35</v>
      </c>
      <c r="T387" s="68"/>
      <c r="U387" s="68"/>
      <c r="V387" s="68"/>
      <c r="W387" s="68"/>
      <c r="X387" s="68"/>
      <c r="Y387" s="1"/>
      <c r="Z387" s="1"/>
      <c r="AA387" s="1"/>
      <c r="AB387" s="1"/>
      <c r="AC387" s="1"/>
      <c r="AD387" s="1"/>
      <c r="AE387" s="1"/>
      <c r="AF387" s="1"/>
      <c r="AG387" s="1"/>
      <c r="AH387" s="1"/>
      <c r="AI387" s="1"/>
      <c r="AJ387" s="1"/>
      <c r="AK387" s="1"/>
      <c r="AL387" s="1"/>
      <c r="AM387" s="1"/>
      <c r="AN387" s="1"/>
      <c r="AO387" s="1"/>
      <c r="AP387" s="1"/>
      <c r="AQ387" s="1"/>
      <c r="AR387" s="1"/>
      <c r="AS387" s="1"/>
      <c r="AT387" s="1"/>
      <c r="AU387" s="70"/>
      <c r="AV387" s="70"/>
      <c r="AW387" s="1"/>
      <c r="AX387" s="1"/>
      <c r="AY387" s="1"/>
      <c r="AZ387" s="1"/>
      <c r="BA387" s="1"/>
      <c r="BB387" s="1"/>
      <c r="BC387" s="1"/>
      <c r="BD387" s="1"/>
      <c r="BE387" s="1"/>
      <c r="BF387" s="1"/>
      <c r="BG387" s="1"/>
      <c r="BH387" s="1"/>
      <c r="BI387" s="1"/>
      <c r="BJ387" s="1"/>
      <c r="BK387" s="70"/>
    </row>
    <row r="388" spans="1:63" s="78" customFormat="1" ht="12" customHeight="1" x14ac:dyDescent="0.2">
      <c r="A388" s="8" t="s">
        <v>29025</v>
      </c>
      <c r="B388" s="68">
        <v>24</v>
      </c>
      <c r="C388" s="8" t="s">
        <v>20</v>
      </c>
      <c r="D388" s="8" t="s">
        <v>48</v>
      </c>
      <c r="E388" s="8" t="s">
        <v>29026</v>
      </c>
      <c r="F388" s="69">
        <v>42803</v>
      </c>
      <c r="G388" s="8" t="s">
        <v>29027</v>
      </c>
      <c r="H388" s="8" t="s">
        <v>607</v>
      </c>
      <c r="I388" s="8" t="s">
        <v>45</v>
      </c>
      <c r="J388" s="17" t="s">
        <v>29028</v>
      </c>
      <c r="K388" s="8" t="s">
        <v>607</v>
      </c>
      <c r="L388" s="8" t="s">
        <v>3358</v>
      </c>
      <c r="M388" s="68" t="s">
        <v>5411</v>
      </c>
      <c r="N388" s="8" t="s">
        <v>29029</v>
      </c>
      <c r="O388" s="8" t="s">
        <v>400</v>
      </c>
      <c r="P388" s="11" t="s">
        <v>401</v>
      </c>
      <c r="Q388" s="62" t="s">
        <v>29030</v>
      </c>
      <c r="R388" s="8" t="s">
        <v>555</v>
      </c>
      <c r="S388" s="2" t="s">
        <v>28</v>
      </c>
      <c r="T388" s="68" t="s">
        <v>29493</v>
      </c>
      <c r="U388" s="68" t="s">
        <v>29436</v>
      </c>
      <c r="V388" s="68"/>
      <c r="W388" s="68" t="s">
        <v>100</v>
      </c>
      <c r="X388" s="68">
        <v>2410</v>
      </c>
      <c r="Y388" s="1"/>
      <c r="Z388" s="1"/>
      <c r="AA388" s="1"/>
      <c r="AB388" s="1"/>
      <c r="AC388" s="1"/>
      <c r="AD388" s="1"/>
      <c r="AE388" s="1"/>
      <c r="AF388" s="1"/>
      <c r="AG388" s="1"/>
      <c r="AH388" s="1"/>
      <c r="AI388" s="1"/>
      <c r="AJ388" s="1"/>
      <c r="AK388" s="1"/>
      <c r="AL388" s="1"/>
      <c r="AM388" s="1"/>
      <c r="AN388" s="1"/>
      <c r="AO388" s="1"/>
      <c r="AP388" s="1"/>
      <c r="AQ388" s="1"/>
      <c r="AR388" s="1"/>
      <c r="AS388" s="1"/>
      <c r="AT388" s="1"/>
      <c r="AU388" s="70"/>
      <c r="AV388" s="70"/>
      <c r="AW388" s="11"/>
      <c r="AX388" s="1"/>
      <c r="AY388" s="1"/>
      <c r="AZ388" s="70"/>
      <c r="BA388" s="44"/>
      <c r="BB388" s="70"/>
      <c r="BC388" s="1"/>
      <c r="BD388" s="1"/>
      <c r="BE388" s="1"/>
      <c r="BF388" s="1"/>
      <c r="BG388" s="1"/>
      <c r="BH388" s="1"/>
      <c r="BI388" s="1"/>
      <c r="BJ388" s="1"/>
      <c r="BK388" s="1"/>
    </row>
    <row r="389" spans="1:63" s="78" customFormat="1" ht="12" customHeight="1" x14ac:dyDescent="0.2">
      <c r="A389" s="8" t="s">
        <v>29031</v>
      </c>
      <c r="B389" s="68">
        <v>29</v>
      </c>
      <c r="C389" s="8" t="s">
        <v>20</v>
      </c>
      <c r="D389" s="68" t="s">
        <v>37</v>
      </c>
      <c r="E389" s="8"/>
      <c r="F389" s="69">
        <v>42803</v>
      </c>
      <c r="G389" s="8" t="s">
        <v>29032</v>
      </c>
      <c r="H389" s="8" t="s">
        <v>6488</v>
      </c>
      <c r="I389" s="8" t="s">
        <v>45</v>
      </c>
      <c r="J389" s="17" t="s">
        <v>14987</v>
      </c>
      <c r="K389" s="8" t="s">
        <v>1061</v>
      </c>
      <c r="L389" s="8" t="s">
        <v>6490</v>
      </c>
      <c r="M389" s="8" t="s">
        <v>27</v>
      </c>
      <c r="N389" s="8" t="s">
        <v>29033</v>
      </c>
      <c r="O389" s="8" t="s">
        <v>400</v>
      </c>
      <c r="P389" s="11" t="s">
        <v>401</v>
      </c>
      <c r="Q389" s="62" t="s">
        <v>29034</v>
      </c>
      <c r="R389" s="68" t="s">
        <v>555</v>
      </c>
      <c r="S389" s="2" t="s">
        <v>28</v>
      </c>
      <c r="T389" s="68" t="s">
        <v>29443</v>
      </c>
      <c r="U389" s="68" t="s">
        <v>29436</v>
      </c>
      <c r="V389" s="68" t="s">
        <v>29439</v>
      </c>
      <c r="W389" s="68" t="s">
        <v>100</v>
      </c>
      <c r="X389" s="68">
        <v>2411</v>
      </c>
      <c r="Y389" s="1"/>
      <c r="Z389" s="1"/>
      <c r="AA389" s="1"/>
      <c r="AB389" s="1"/>
      <c r="AC389" s="1"/>
      <c r="AD389" s="1"/>
      <c r="AE389" s="1"/>
      <c r="AF389" s="1"/>
      <c r="AG389" s="1"/>
      <c r="AH389" s="1"/>
      <c r="AI389" s="1"/>
      <c r="AJ389" s="1"/>
      <c r="AK389" s="1"/>
      <c r="AL389" s="1"/>
      <c r="AM389" s="1"/>
      <c r="AN389" s="1"/>
      <c r="AO389" s="1"/>
      <c r="AP389" s="1"/>
      <c r="AQ389" s="1"/>
      <c r="AR389" s="1"/>
      <c r="AS389" s="1"/>
      <c r="AT389" s="1"/>
      <c r="AU389" s="70"/>
      <c r="AV389" s="70"/>
      <c r="AW389" s="44"/>
      <c r="AX389" s="1"/>
      <c r="AY389" s="1"/>
      <c r="AZ389" s="70"/>
      <c r="BA389" s="70"/>
      <c r="BB389" s="44"/>
      <c r="BC389" s="1"/>
      <c r="BD389" s="1"/>
      <c r="BE389" s="1"/>
      <c r="BF389" s="1"/>
      <c r="BG389" s="1"/>
      <c r="BH389" s="1"/>
      <c r="BI389" s="1"/>
      <c r="BJ389" s="1"/>
    </row>
    <row r="390" spans="1:63" s="78" customFormat="1" ht="12" customHeight="1" x14ac:dyDescent="0.2">
      <c r="A390" s="8" t="s">
        <v>3252</v>
      </c>
      <c r="B390" s="47" t="s">
        <v>29</v>
      </c>
      <c r="C390" s="8" t="s">
        <v>20</v>
      </c>
      <c r="D390" s="8" t="s">
        <v>30</v>
      </c>
      <c r="E390" s="8"/>
      <c r="F390" s="69">
        <v>42802</v>
      </c>
      <c r="G390" s="8" t="s">
        <v>29528</v>
      </c>
      <c r="H390" s="8" t="s">
        <v>5492</v>
      </c>
      <c r="I390" s="8" t="s">
        <v>45</v>
      </c>
      <c r="J390" s="17" t="s">
        <v>16133</v>
      </c>
      <c r="K390" s="8" t="s">
        <v>783</v>
      </c>
      <c r="L390" s="8" t="s">
        <v>784</v>
      </c>
      <c r="M390" s="8" t="s">
        <v>27</v>
      </c>
      <c r="N390" s="8" t="s">
        <v>29023</v>
      </c>
      <c r="O390" s="8" t="s">
        <v>400</v>
      </c>
      <c r="P390" s="11" t="s">
        <v>401</v>
      </c>
      <c r="Q390" s="62" t="s">
        <v>29024</v>
      </c>
      <c r="R390" s="8" t="s">
        <v>100</v>
      </c>
      <c r="S390" s="2" t="s">
        <v>28</v>
      </c>
      <c r="T390" s="68" t="s">
        <v>29493</v>
      </c>
      <c r="U390" s="68" t="s">
        <v>29436</v>
      </c>
      <c r="V390" s="68" t="s">
        <v>29439</v>
      </c>
      <c r="W390" s="68" t="s">
        <v>100</v>
      </c>
      <c r="X390" s="68">
        <v>2408</v>
      </c>
      <c r="Y390" s="1"/>
      <c r="Z390" s="1"/>
      <c r="AA390" s="1"/>
      <c r="AB390" s="1"/>
      <c r="AC390" s="1"/>
      <c r="AD390" s="1"/>
      <c r="AE390" s="1"/>
      <c r="AF390" s="1"/>
      <c r="AG390" s="1"/>
      <c r="AH390" s="1"/>
      <c r="AI390" s="1"/>
      <c r="AJ390" s="1"/>
      <c r="AK390" s="1"/>
      <c r="AL390" s="1"/>
      <c r="AM390" s="1"/>
      <c r="AN390" s="1"/>
      <c r="AO390" s="1"/>
      <c r="AP390" s="1"/>
      <c r="AQ390" s="1"/>
      <c r="AR390" s="1"/>
      <c r="AS390" s="1"/>
      <c r="AT390" s="1"/>
      <c r="AU390" s="70"/>
      <c r="AV390" s="70"/>
      <c r="AW390" s="1"/>
      <c r="AX390" s="1"/>
      <c r="AY390" s="1"/>
      <c r="AZ390" s="70"/>
      <c r="BA390" s="44"/>
      <c r="BB390" s="44"/>
      <c r="BC390" s="1"/>
      <c r="BD390" s="1"/>
      <c r="BE390" s="1"/>
      <c r="BF390" s="1"/>
      <c r="BG390" s="1"/>
      <c r="BH390" s="1"/>
      <c r="BI390" s="1"/>
      <c r="BJ390" s="1"/>
    </row>
    <row r="391" spans="1:63" s="78" customFormat="1" ht="12" customHeight="1" x14ac:dyDescent="0.2">
      <c r="A391" s="8" t="s">
        <v>29012</v>
      </c>
      <c r="B391" s="68">
        <v>91</v>
      </c>
      <c r="C391" s="8" t="s">
        <v>20</v>
      </c>
      <c r="D391" s="8" t="s">
        <v>37</v>
      </c>
      <c r="E391" s="62" t="s">
        <v>29013</v>
      </c>
      <c r="F391" s="69">
        <v>42802</v>
      </c>
      <c r="G391" s="8" t="s">
        <v>29014</v>
      </c>
      <c r="H391" s="8" t="s">
        <v>3810</v>
      </c>
      <c r="I391" s="8" t="s">
        <v>404</v>
      </c>
      <c r="J391" s="17" t="s">
        <v>29015</v>
      </c>
      <c r="K391" s="8" t="s">
        <v>2069</v>
      </c>
      <c r="L391" s="8" t="s">
        <v>29016</v>
      </c>
      <c r="M391" s="8" t="s">
        <v>27</v>
      </c>
      <c r="N391" s="8" t="s">
        <v>29017</v>
      </c>
      <c r="O391" s="8" t="s">
        <v>400</v>
      </c>
      <c r="P391" s="11" t="s">
        <v>401</v>
      </c>
      <c r="Q391" s="62" t="s">
        <v>29018</v>
      </c>
      <c r="R391" s="8" t="s">
        <v>100</v>
      </c>
      <c r="S391" s="2" t="s">
        <v>28</v>
      </c>
      <c r="T391" s="68" t="s">
        <v>27756</v>
      </c>
      <c r="U391" s="68" t="s">
        <v>29438</v>
      </c>
      <c r="V391" s="68" t="s">
        <v>29439</v>
      </c>
      <c r="W391" s="68" t="s">
        <v>100</v>
      </c>
      <c r="X391" s="68">
        <v>2407</v>
      </c>
      <c r="Y391" s="1"/>
      <c r="Z391" s="1"/>
      <c r="AA391" s="1"/>
      <c r="AB391" s="1"/>
      <c r="AC391" s="1"/>
      <c r="AD391" s="1"/>
      <c r="AE391" s="1"/>
      <c r="AF391" s="1"/>
      <c r="AG391" s="1"/>
      <c r="AH391" s="1"/>
      <c r="AI391" s="1"/>
      <c r="AJ391" s="1"/>
      <c r="AK391" s="1"/>
      <c r="AL391" s="1"/>
      <c r="AM391" s="1"/>
      <c r="AN391" s="1"/>
      <c r="AO391" s="1"/>
      <c r="AP391" s="1"/>
      <c r="AQ391" s="1"/>
      <c r="AR391" s="1"/>
      <c r="AS391" s="1"/>
      <c r="AT391" s="1"/>
      <c r="AU391" s="70"/>
      <c r="AV391" s="70"/>
      <c r="AW391" s="1"/>
      <c r="AX391" s="1"/>
      <c r="AY391" s="1"/>
      <c r="AZ391" s="70"/>
      <c r="BA391" s="44"/>
      <c r="BB391" s="44"/>
      <c r="BC391" s="1"/>
      <c r="BD391" s="1"/>
      <c r="BE391" s="1"/>
      <c r="BF391" s="1"/>
      <c r="BG391" s="1"/>
      <c r="BH391" s="1"/>
      <c r="BI391" s="1"/>
      <c r="BJ391" s="1"/>
    </row>
    <row r="392" spans="1:63" s="78" customFormat="1" ht="12" customHeight="1" x14ac:dyDescent="0.2">
      <c r="A392" s="8" t="s">
        <v>29005</v>
      </c>
      <c r="B392" s="47">
        <v>30</v>
      </c>
      <c r="C392" s="8" t="s">
        <v>20</v>
      </c>
      <c r="D392" s="8" t="s">
        <v>85</v>
      </c>
      <c r="E392" s="62" t="s">
        <v>29006</v>
      </c>
      <c r="F392" s="72">
        <v>42802</v>
      </c>
      <c r="G392" s="8" t="s">
        <v>29529</v>
      </c>
      <c r="H392" s="8" t="s">
        <v>21530</v>
      </c>
      <c r="I392" s="8" t="s">
        <v>244</v>
      </c>
      <c r="J392" s="17" t="s">
        <v>29007</v>
      </c>
      <c r="K392" s="8" t="s">
        <v>29008</v>
      </c>
      <c r="L392" s="8" t="s">
        <v>29009</v>
      </c>
      <c r="M392" s="44" t="s">
        <v>2291</v>
      </c>
      <c r="N392" s="8" t="s">
        <v>29010</v>
      </c>
      <c r="O392" s="8" t="s">
        <v>400</v>
      </c>
      <c r="P392" s="11" t="s">
        <v>401</v>
      </c>
      <c r="Q392" s="62" t="s">
        <v>29011</v>
      </c>
      <c r="R392" s="8" t="s">
        <v>29</v>
      </c>
      <c r="S392" s="2" t="s">
        <v>18</v>
      </c>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4"/>
      <c r="AY392" s="44"/>
      <c r="AZ392" s="1"/>
      <c r="BA392" s="1"/>
      <c r="BB392" s="1"/>
      <c r="BC392" s="70"/>
      <c r="BD392" s="70"/>
      <c r="BE392" s="70"/>
      <c r="BF392" s="70"/>
      <c r="BG392" s="70"/>
      <c r="BH392" s="70"/>
      <c r="BI392" s="70"/>
      <c r="BJ392" s="70"/>
      <c r="BK392" s="1"/>
    </row>
    <row r="393" spans="1:63" s="78" customFormat="1" ht="12" customHeight="1" x14ac:dyDescent="0.2">
      <c r="A393" s="8" t="s">
        <v>29019</v>
      </c>
      <c r="B393" s="68">
        <v>25</v>
      </c>
      <c r="C393" s="8" t="s">
        <v>20</v>
      </c>
      <c r="D393" s="8" t="s">
        <v>37</v>
      </c>
      <c r="E393" s="62" t="s">
        <v>29020</v>
      </c>
      <c r="F393" s="69">
        <v>42802</v>
      </c>
      <c r="G393" s="8" t="s">
        <v>29527</v>
      </c>
      <c r="H393" s="8" t="s">
        <v>4191</v>
      </c>
      <c r="I393" s="8" t="s">
        <v>366</v>
      </c>
      <c r="J393" s="17" t="s">
        <v>4192</v>
      </c>
      <c r="K393" s="8" t="s">
        <v>4193</v>
      </c>
      <c r="L393" s="8" t="s">
        <v>4194</v>
      </c>
      <c r="M393" s="8" t="s">
        <v>27</v>
      </c>
      <c r="N393" s="8" t="s">
        <v>29021</v>
      </c>
      <c r="O393" s="8" t="s">
        <v>400</v>
      </c>
      <c r="P393" s="11" t="s">
        <v>401</v>
      </c>
      <c r="Q393" s="62" t="s">
        <v>29022</v>
      </c>
      <c r="R393" s="8" t="s">
        <v>555</v>
      </c>
      <c r="S393" s="2" t="s">
        <v>28</v>
      </c>
      <c r="T393" s="68" t="s">
        <v>27756</v>
      </c>
      <c r="U393" s="68" t="s">
        <v>29436</v>
      </c>
      <c r="V393" s="68" t="s">
        <v>29439</v>
      </c>
      <c r="W393" s="68" t="s">
        <v>100</v>
      </c>
      <c r="X393" s="68">
        <v>2409</v>
      </c>
      <c r="Y393" s="1"/>
      <c r="Z393" s="1"/>
      <c r="AA393" s="1"/>
      <c r="AB393" s="1"/>
      <c r="AC393" s="1"/>
      <c r="AD393" s="1"/>
      <c r="AE393" s="1"/>
      <c r="AF393" s="1"/>
      <c r="AG393" s="1"/>
      <c r="AH393" s="1"/>
      <c r="AI393" s="1"/>
      <c r="AJ393" s="1"/>
      <c r="AK393" s="1"/>
      <c r="AL393" s="1"/>
      <c r="AM393" s="1"/>
      <c r="AN393" s="1"/>
      <c r="AO393" s="1"/>
      <c r="AP393" s="1"/>
      <c r="AQ393" s="1"/>
      <c r="AR393" s="1"/>
      <c r="AS393" s="1"/>
      <c r="AT393" s="1"/>
      <c r="AU393" s="70"/>
      <c r="AV393" s="70"/>
      <c r="AW393" s="11"/>
      <c r="AX393" s="1"/>
      <c r="AY393" s="1"/>
      <c r="AZ393" s="70"/>
      <c r="BA393" s="44"/>
      <c r="BB393" s="11"/>
      <c r="BC393" s="1"/>
      <c r="BD393" s="1"/>
      <c r="BE393" s="1"/>
      <c r="BF393" s="1"/>
      <c r="BG393" s="1"/>
      <c r="BH393" s="1"/>
      <c r="BI393" s="1"/>
      <c r="BJ393" s="1"/>
    </row>
    <row r="394" spans="1:63" s="78" customFormat="1" ht="12" customHeight="1" x14ac:dyDescent="0.2">
      <c r="A394" s="8" t="s">
        <v>28997</v>
      </c>
      <c r="B394" s="47">
        <v>38</v>
      </c>
      <c r="C394" s="8" t="s">
        <v>20</v>
      </c>
      <c r="D394" s="8" t="s">
        <v>37</v>
      </c>
      <c r="E394" s="62" t="s">
        <v>28998</v>
      </c>
      <c r="F394" s="69">
        <v>42801</v>
      </c>
      <c r="G394" s="8" t="s">
        <v>28999</v>
      </c>
      <c r="H394" s="8" t="s">
        <v>29000</v>
      </c>
      <c r="I394" s="8" t="s">
        <v>69</v>
      </c>
      <c r="J394" s="17" t="s">
        <v>29001</v>
      </c>
      <c r="K394" s="8" t="s">
        <v>105</v>
      </c>
      <c r="L394" s="8" t="s">
        <v>29002</v>
      </c>
      <c r="M394" s="8" t="s">
        <v>27</v>
      </c>
      <c r="N394" s="8" t="s">
        <v>29003</v>
      </c>
      <c r="O394" s="8" t="s">
        <v>400</v>
      </c>
      <c r="P394" s="11" t="s">
        <v>401</v>
      </c>
      <c r="Q394" s="62" t="s">
        <v>29004</v>
      </c>
      <c r="R394" s="8" t="s">
        <v>100</v>
      </c>
      <c r="S394" s="8" t="s">
        <v>379</v>
      </c>
      <c r="T394" s="68" t="s">
        <v>379</v>
      </c>
      <c r="U394" s="68" t="s">
        <v>29436</v>
      </c>
      <c r="V394" s="68" t="s">
        <v>29437</v>
      </c>
      <c r="W394" s="68" t="s">
        <v>100</v>
      </c>
      <c r="X394" s="68">
        <v>2405</v>
      </c>
      <c r="Y394" s="1"/>
      <c r="Z394" s="1"/>
      <c r="AA394" s="1"/>
      <c r="AB394" s="1"/>
      <c r="AC394" s="1"/>
      <c r="AD394" s="1"/>
      <c r="AE394" s="1"/>
      <c r="AF394" s="1"/>
      <c r="AG394" s="1"/>
      <c r="AH394" s="1"/>
      <c r="AI394" s="1"/>
      <c r="AJ394" s="1"/>
      <c r="AK394" s="1"/>
      <c r="AL394" s="1"/>
      <c r="AM394" s="1"/>
      <c r="AN394" s="1"/>
      <c r="AO394" s="1"/>
      <c r="AP394" s="1"/>
      <c r="AQ394" s="1"/>
      <c r="AR394" s="1"/>
      <c r="AS394" s="1"/>
      <c r="AT394" s="1"/>
      <c r="AU394" s="70"/>
      <c r="AV394" s="70"/>
      <c r="AW394" s="1"/>
      <c r="AX394" s="1"/>
      <c r="AY394" s="1"/>
      <c r="AZ394" s="70"/>
      <c r="BA394" s="44"/>
      <c r="BB394" s="44"/>
      <c r="BC394" s="1"/>
      <c r="BD394" s="1"/>
      <c r="BE394" s="1"/>
      <c r="BF394" s="1"/>
      <c r="BG394" s="1"/>
      <c r="BH394" s="1"/>
      <c r="BI394" s="1"/>
      <c r="BJ394" s="1"/>
      <c r="BK394" s="11"/>
    </row>
    <row r="395" spans="1:63" s="78" customFormat="1" ht="12" customHeight="1" x14ac:dyDescent="0.2">
      <c r="A395" s="8" t="s">
        <v>28991</v>
      </c>
      <c r="B395" s="68">
        <v>41</v>
      </c>
      <c r="C395" s="8" t="s">
        <v>20</v>
      </c>
      <c r="D395" s="8" t="s">
        <v>85</v>
      </c>
      <c r="E395" s="8"/>
      <c r="F395" s="69">
        <v>42801</v>
      </c>
      <c r="G395" s="8" t="s">
        <v>28992</v>
      </c>
      <c r="H395" s="8" t="s">
        <v>28993</v>
      </c>
      <c r="I395" s="8" t="s">
        <v>45</v>
      </c>
      <c r="J395" s="17" t="s">
        <v>28994</v>
      </c>
      <c r="K395" s="8" t="s">
        <v>98</v>
      </c>
      <c r="L395" s="8" t="s">
        <v>414</v>
      </c>
      <c r="M395" s="68" t="s">
        <v>5411</v>
      </c>
      <c r="N395" s="8" t="s">
        <v>28995</v>
      </c>
      <c r="O395" s="8" t="s">
        <v>400</v>
      </c>
      <c r="P395" s="11" t="s">
        <v>401</v>
      </c>
      <c r="Q395" s="62" t="s">
        <v>28996</v>
      </c>
      <c r="R395" s="8" t="s">
        <v>29</v>
      </c>
      <c r="S395" s="2" t="s">
        <v>35</v>
      </c>
      <c r="T395" s="68" t="s">
        <v>29444</v>
      </c>
      <c r="U395" s="68" t="s">
        <v>29436</v>
      </c>
      <c r="V395" s="68" t="s">
        <v>29439</v>
      </c>
      <c r="W395" s="68" t="s">
        <v>100</v>
      </c>
      <c r="X395" s="68">
        <v>2406</v>
      </c>
      <c r="Y395" s="1"/>
      <c r="Z395" s="1"/>
      <c r="AA395" s="1"/>
      <c r="AB395" s="1"/>
      <c r="AC395" s="1"/>
      <c r="AD395" s="1"/>
      <c r="AE395" s="1"/>
      <c r="AF395" s="1"/>
      <c r="AG395" s="1"/>
      <c r="AH395" s="1"/>
      <c r="AI395" s="1"/>
      <c r="AJ395" s="1"/>
      <c r="AK395" s="1"/>
      <c r="AL395" s="1"/>
      <c r="AM395" s="1"/>
      <c r="AN395" s="1"/>
      <c r="AO395" s="1"/>
      <c r="AP395" s="1"/>
      <c r="AQ395" s="1"/>
      <c r="AR395" s="1"/>
      <c r="AS395" s="1"/>
      <c r="AT395" s="1"/>
      <c r="AU395" s="70"/>
      <c r="AV395" s="70"/>
      <c r="AW395" s="1"/>
      <c r="AX395" s="44"/>
      <c r="AY395" s="44"/>
      <c r="AZ395" s="70"/>
      <c r="BA395" s="1"/>
      <c r="BB395" s="70"/>
      <c r="BC395" s="70"/>
      <c r="BD395" s="70"/>
      <c r="BE395" s="70"/>
      <c r="BF395" s="70"/>
      <c r="BG395" s="70"/>
      <c r="BH395" s="70"/>
      <c r="BI395" s="70"/>
      <c r="BJ395" s="70"/>
      <c r="BK395" s="11"/>
    </row>
    <row r="396" spans="1:63" s="78" customFormat="1" ht="12" customHeight="1" x14ac:dyDescent="0.2">
      <c r="A396" s="8" t="s">
        <v>28982</v>
      </c>
      <c r="B396" s="47">
        <v>47</v>
      </c>
      <c r="C396" s="8" t="s">
        <v>20</v>
      </c>
      <c r="D396" s="8" t="s">
        <v>30</v>
      </c>
      <c r="E396" s="8"/>
      <c r="F396" s="72">
        <v>42800</v>
      </c>
      <c r="G396" s="8" t="s">
        <v>28983</v>
      </c>
      <c r="H396" s="8" t="s">
        <v>838</v>
      </c>
      <c r="I396" s="8" t="s">
        <v>303</v>
      </c>
      <c r="J396" s="17" t="s">
        <v>28984</v>
      </c>
      <c r="K396" s="8" t="s">
        <v>838</v>
      </c>
      <c r="L396" s="8" t="s">
        <v>11484</v>
      </c>
      <c r="M396" s="8" t="s">
        <v>27</v>
      </c>
      <c r="N396" s="8" t="s">
        <v>28985</v>
      </c>
      <c r="O396" s="8" t="s">
        <v>400</v>
      </c>
      <c r="P396" s="11" t="s">
        <v>401</v>
      </c>
      <c r="Q396" s="62" t="s">
        <v>28986</v>
      </c>
      <c r="R396" s="8" t="s">
        <v>100</v>
      </c>
      <c r="S396" s="13" t="s">
        <v>35</v>
      </c>
      <c r="T396" s="68"/>
      <c r="U396" s="68"/>
      <c r="V396" s="68"/>
      <c r="W396" s="68"/>
      <c r="X396" s="68"/>
      <c r="Y396" s="1"/>
      <c r="Z396" s="1"/>
      <c r="AA396" s="1"/>
      <c r="AB396" s="1"/>
      <c r="AC396" s="1"/>
      <c r="AD396" s="1"/>
      <c r="AE396" s="1"/>
      <c r="AF396" s="1"/>
      <c r="AG396" s="1"/>
      <c r="AH396" s="1"/>
      <c r="AI396" s="1"/>
      <c r="AJ396" s="1"/>
      <c r="AK396" s="1"/>
      <c r="AL396" s="1"/>
      <c r="AM396" s="1"/>
      <c r="AN396" s="1"/>
      <c r="AO396" s="1"/>
      <c r="AP396" s="1"/>
      <c r="AQ396" s="1"/>
      <c r="AR396" s="1"/>
      <c r="AS396" s="1"/>
      <c r="AT396" s="1"/>
      <c r="AU396" s="70"/>
      <c r="AV396" s="70"/>
      <c r="AW396" s="1"/>
      <c r="AX396" s="1"/>
      <c r="AY396" s="1"/>
      <c r="AZ396" s="1"/>
      <c r="BA396" s="1"/>
      <c r="BB396" s="1"/>
      <c r="BC396" s="1"/>
      <c r="BD396" s="1"/>
      <c r="BE396" s="1"/>
      <c r="BF396" s="1"/>
      <c r="BG396" s="1"/>
      <c r="BH396" s="1"/>
      <c r="BI396" s="1"/>
      <c r="BJ396" s="1"/>
      <c r="BK396" s="70"/>
    </row>
    <row r="397" spans="1:63" s="78" customFormat="1" ht="12" customHeight="1" x14ac:dyDescent="0.2">
      <c r="A397" s="8" t="s">
        <v>3252</v>
      </c>
      <c r="B397" s="47" t="s">
        <v>29</v>
      </c>
      <c r="C397" s="8" t="s">
        <v>20</v>
      </c>
      <c r="D397" s="8" t="s">
        <v>30</v>
      </c>
      <c r="E397" s="8"/>
      <c r="F397" s="72">
        <v>42800</v>
      </c>
      <c r="G397" s="8" t="s">
        <v>28987</v>
      </c>
      <c r="H397" s="8" t="s">
        <v>890</v>
      </c>
      <c r="I397" s="8" t="s">
        <v>315</v>
      </c>
      <c r="J397" s="17" t="s">
        <v>28988</v>
      </c>
      <c r="K397" s="8" t="s">
        <v>1778</v>
      </c>
      <c r="L397" s="8" t="s">
        <v>891</v>
      </c>
      <c r="M397" s="8" t="s">
        <v>379</v>
      </c>
      <c r="N397" s="8" t="s">
        <v>28989</v>
      </c>
      <c r="O397" s="8" t="s">
        <v>1010</v>
      </c>
      <c r="P397" s="11" t="s">
        <v>401</v>
      </c>
      <c r="Q397" s="62" t="s">
        <v>28990</v>
      </c>
      <c r="R397" s="8" t="s">
        <v>100</v>
      </c>
      <c r="S397" s="2" t="s">
        <v>379</v>
      </c>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44"/>
      <c r="AV397" s="44"/>
      <c r="AW397" s="44"/>
      <c r="AX397" s="1"/>
      <c r="AY397" s="1"/>
      <c r="AZ397" s="1"/>
      <c r="BA397" s="1"/>
      <c r="BB397" s="1"/>
      <c r="BC397" s="1"/>
      <c r="BD397" s="1"/>
      <c r="BE397" s="1"/>
      <c r="BF397" s="1"/>
      <c r="BG397" s="1"/>
      <c r="BH397" s="1"/>
      <c r="BI397" s="1"/>
      <c r="BJ397" s="1"/>
      <c r="BK397" s="1"/>
    </row>
    <row r="398" spans="1:63" s="78" customFormat="1" ht="12" customHeight="1" x14ac:dyDescent="0.2">
      <c r="A398" s="8" t="s">
        <v>28966</v>
      </c>
      <c r="B398" s="68">
        <v>38</v>
      </c>
      <c r="C398" s="8" t="s">
        <v>20</v>
      </c>
      <c r="D398" s="8" t="s">
        <v>37</v>
      </c>
      <c r="E398" s="8"/>
      <c r="F398" s="69">
        <v>42798</v>
      </c>
      <c r="G398" s="8" t="s">
        <v>28967</v>
      </c>
      <c r="H398" s="8" t="s">
        <v>1094</v>
      </c>
      <c r="I398" s="8" t="s">
        <v>395</v>
      </c>
      <c r="J398" s="17" t="s">
        <v>17347</v>
      </c>
      <c r="K398" s="8" t="s">
        <v>1095</v>
      </c>
      <c r="L398" s="8" t="s">
        <v>1096</v>
      </c>
      <c r="M398" s="8" t="s">
        <v>27</v>
      </c>
      <c r="N398" s="8" t="s">
        <v>28968</v>
      </c>
      <c r="O398" s="8" t="s">
        <v>400</v>
      </c>
      <c r="P398" s="11" t="s">
        <v>401</v>
      </c>
      <c r="Q398" s="62" t="s">
        <v>28969</v>
      </c>
      <c r="R398" s="8" t="s">
        <v>100</v>
      </c>
      <c r="S398" s="2" t="s">
        <v>379</v>
      </c>
      <c r="T398" s="68" t="s">
        <v>379</v>
      </c>
      <c r="U398" s="68" t="s">
        <v>29438</v>
      </c>
      <c r="V398" s="68" t="s">
        <v>29437</v>
      </c>
      <c r="W398" s="68" t="s">
        <v>555</v>
      </c>
      <c r="X398" s="68">
        <v>2399</v>
      </c>
      <c r="Y398" s="1"/>
      <c r="Z398" s="1"/>
      <c r="AA398" s="1"/>
      <c r="AB398" s="1"/>
      <c r="AC398" s="1"/>
      <c r="AD398" s="1"/>
      <c r="AE398" s="1"/>
      <c r="AF398" s="1"/>
      <c r="AG398" s="1"/>
      <c r="AH398" s="1"/>
      <c r="AI398" s="1"/>
      <c r="AJ398" s="1"/>
      <c r="AK398" s="1"/>
      <c r="AL398" s="1"/>
      <c r="AM398" s="1"/>
      <c r="AN398" s="1"/>
      <c r="AO398" s="1"/>
      <c r="AP398" s="1"/>
      <c r="AQ398" s="1"/>
      <c r="AR398" s="1"/>
      <c r="AS398" s="1"/>
      <c r="AT398" s="1"/>
      <c r="AU398" s="70"/>
      <c r="AV398" s="70"/>
      <c r="AW398" s="11"/>
      <c r="AX398" s="1"/>
      <c r="AY398" s="1"/>
      <c r="AZ398" s="70"/>
      <c r="BA398" s="44"/>
      <c r="BB398" s="44"/>
      <c r="BC398" s="1"/>
      <c r="BD398" s="1"/>
      <c r="BE398" s="1"/>
      <c r="BF398" s="1"/>
      <c r="BG398" s="1"/>
      <c r="BH398" s="1"/>
      <c r="BI398" s="1"/>
      <c r="BJ398" s="1"/>
      <c r="BK398" s="11"/>
    </row>
    <row r="399" spans="1:63" s="78" customFormat="1" ht="12" customHeight="1" x14ac:dyDescent="0.2">
      <c r="A399" s="8" t="s">
        <v>28975</v>
      </c>
      <c r="B399" s="68">
        <v>70</v>
      </c>
      <c r="C399" s="8" t="s">
        <v>20</v>
      </c>
      <c r="D399" s="8" t="s">
        <v>48</v>
      </c>
      <c r="E399" s="8"/>
      <c r="F399" s="69">
        <v>42798</v>
      </c>
      <c r="G399" s="8" t="s">
        <v>28976</v>
      </c>
      <c r="H399" s="8" t="s">
        <v>98</v>
      </c>
      <c r="I399" s="8" t="s">
        <v>45</v>
      </c>
      <c r="J399" s="17" t="s">
        <v>12555</v>
      </c>
      <c r="K399" s="8" t="s">
        <v>98</v>
      </c>
      <c r="L399" s="8" t="s">
        <v>99</v>
      </c>
      <c r="M399" s="68" t="s">
        <v>5411</v>
      </c>
      <c r="N399" s="8" t="s">
        <v>28977</v>
      </c>
      <c r="O399" s="8" t="s">
        <v>400</v>
      </c>
      <c r="P399" s="11" t="s">
        <v>401</v>
      </c>
      <c r="Q399" s="62" t="s">
        <v>28978</v>
      </c>
      <c r="R399" s="8" t="s">
        <v>29</v>
      </c>
      <c r="S399" s="2" t="s">
        <v>28</v>
      </c>
      <c r="T399" s="68" t="s">
        <v>29445</v>
      </c>
      <c r="U399" s="68" t="s">
        <v>29436</v>
      </c>
      <c r="V399" s="68" t="s">
        <v>29439</v>
      </c>
      <c r="W399" s="68" t="s">
        <v>100</v>
      </c>
      <c r="X399" s="68">
        <v>2402</v>
      </c>
      <c r="Y399" s="1"/>
      <c r="Z399" s="1"/>
      <c r="AA399" s="1"/>
      <c r="AB399" s="1"/>
      <c r="AC399" s="1"/>
      <c r="AD399" s="1"/>
      <c r="AE399" s="1"/>
      <c r="AF399" s="1"/>
      <c r="AG399" s="1"/>
      <c r="AH399" s="1"/>
      <c r="AI399" s="1"/>
      <c r="AJ399" s="1"/>
      <c r="AK399" s="1"/>
      <c r="AL399" s="1"/>
      <c r="AM399" s="1"/>
      <c r="AN399" s="1"/>
      <c r="AO399" s="1"/>
      <c r="AP399" s="1"/>
      <c r="AQ399" s="1"/>
      <c r="AR399" s="1"/>
      <c r="AS399" s="1"/>
      <c r="AT399" s="1"/>
      <c r="AU399" s="70"/>
      <c r="AV399" s="70"/>
      <c r="AW399" s="1"/>
      <c r="AX399" s="1"/>
      <c r="AY399" s="1"/>
      <c r="AZ399" s="70"/>
      <c r="BA399" s="1"/>
      <c r="BB399" s="70"/>
      <c r="BC399" s="1"/>
      <c r="BD399" s="1"/>
      <c r="BE399" s="1"/>
      <c r="BF399" s="1"/>
      <c r="BG399" s="1"/>
      <c r="BH399" s="1"/>
      <c r="BI399" s="1"/>
      <c r="BJ399" s="1"/>
      <c r="BK399" s="1"/>
    </row>
    <row r="400" spans="1:63" s="78" customFormat="1" ht="12" customHeight="1" x14ac:dyDescent="0.2">
      <c r="A400" s="8" t="s">
        <v>3252</v>
      </c>
      <c r="B400" s="47" t="s">
        <v>29</v>
      </c>
      <c r="C400" s="8" t="s">
        <v>20</v>
      </c>
      <c r="D400" s="8" t="s">
        <v>30</v>
      </c>
      <c r="E400" s="8"/>
      <c r="F400" s="69">
        <v>42798</v>
      </c>
      <c r="G400" s="8" t="s">
        <v>28979</v>
      </c>
      <c r="H400" s="8" t="s">
        <v>15446</v>
      </c>
      <c r="I400" s="8" t="s">
        <v>45</v>
      </c>
      <c r="J400" s="17" t="s">
        <v>15447</v>
      </c>
      <c r="K400" s="8" t="s">
        <v>783</v>
      </c>
      <c r="L400" s="8" t="s">
        <v>784</v>
      </c>
      <c r="M400" s="8" t="s">
        <v>27</v>
      </c>
      <c r="N400" s="8" t="s">
        <v>28980</v>
      </c>
      <c r="O400" s="8" t="s">
        <v>400</v>
      </c>
      <c r="P400" s="11" t="s">
        <v>401</v>
      </c>
      <c r="Q400" s="62" t="s">
        <v>28981</v>
      </c>
      <c r="R400" s="8" t="s">
        <v>29</v>
      </c>
      <c r="S400" s="2" t="s">
        <v>18</v>
      </c>
      <c r="T400" s="68" t="s">
        <v>28345</v>
      </c>
      <c r="U400" s="68" t="s">
        <v>29436</v>
      </c>
      <c r="V400" s="68" t="s">
        <v>29440</v>
      </c>
      <c r="W400" s="68" t="s">
        <v>100</v>
      </c>
      <c r="X400" s="68">
        <v>2404</v>
      </c>
      <c r="Y400" s="1"/>
      <c r="Z400" s="1"/>
      <c r="AA400" s="1"/>
      <c r="AB400" s="1"/>
      <c r="AC400" s="1"/>
      <c r="AD400" s="1"/>
      <c r="AE400" s="1"/>
      <c r="AF400" s="1"/>
      <c r="AG400" s="1"/>
      <c r="AH400" s="1"/>
      <c r="AI400" s="1"/>
      <c r="AJ400" s="1"/>
      <c r="AK400" s="1"/>
      <c r="AL400" s="1"/>
      <c r="AM400" s="1"/>
      <c r="AN400" s="1"/>
      <c r="AO400" s="1"/>
      <c r="AP400" s="1"/>
      <c r="AQ400" s="1"/>
      <c r="AR400" s="1"/>
      <c r="AS400" s="1"/>
      <c r="AT400" s="1"/>
      <c r="AU400" s="70"/>
      <c r="AV400" s="70"/>
      <c r="AW400" s="1"/>
      <c r="AX400" s="1"/>
      <c r="AY400" s="1"/>
      <c r="AZ400" s="70"/>
      <c r="BA400" s="1"/>
      <c r="BB400" s="1"/>
      <c r="BC400" s="1"/>
      <c r="BD400" s="1"/>
      <c r="BE400" s="1"/>
      <c r="BF400" s="1"/>
      <c r="BG400" s="1"/>
      <c r="BH400" s="1"/>
      <c r="BI400" s="1"/>
      <c r="BJ400" s="1"/>
      <c r="BK400" s="1"/>
    </row>
    <row r="401" spans="1:63" s="78" customFormat="1" ht="12" customHeight="1" x14ac:dyDescent="0.2">
      <c r="A401" s="8" t="s">
        <v>28970</v>
      </c>
      <c r="B401" s="68">
        <v>50</v>
      </c>
      <c r="C401" s="8" t="s">
        <v>20</v>
      </c>
      <c r="D401" s="68" t="s">
        <v>37</v>
      </c>
      <c r="E401" s="8"/>
      <c r="F401" s="69">
        <v>42798</v>
      </c>
      <c r="G401" s="8" t="s">
        <v>29530</v>
      </c>
      <c r="H401" s="8" t="s">
        <v>28971</v>
      </c>
      <c r="I401" s="8" t="s">
        <v>32</v>
      </c>
      <c r="J401" s="17" t="s">
        <v>28972</v>
      </c>
      <c r="K401" s="8" t="s">
        <v>33</v>
      </c>
      <c r="L401" s="8" t="s">
        <v>34</v>
      </c>
      <c r="M401" s="8" t="s">
        <v>27</v>
      </c>
      <c r="N401" s="8" t="s">
        <v>28973</v>
      </c>
      <c r="O401" s="8" t="s">
        <v>400</v>
      </c>
      <c r="P401" s="11" t="s">
        <v>401</v>
      </c>
      <c r="Q401" s="62" t="s">
        <v>28974</v>
      </c>
      <c r="R401" s="68" t="s">
        <v>555</v>
      </c>
      <c r="S401" s="2" t="s">
        <v>28</v>
      </c>
      <c r="T401" s="68" t="s">
        <v>27756</v>
      </c>
      <c r="U401" s="68" t="s">
        <v>29438</v>
      </c>
      <c r="V401" s="68" t="s">
        <v>29439</v>
      </c>
      <c r="W401" s="68" t="s">
        <v>100</v>
      </c>
      <c r="X401" s="68">
        <v>2400</v>
      </c>
      <c r="Y401" s="1"/>
      <c r="Z401" s="1"/>
      <c r="AA401" s="1"/>
      <c r="AB401" s="1"/>
      <c r="AC401" s="1"/>
      <c r="AD401" s="1"/>
      <c r="AE401" s="1"/>
      <c r="AF401" s="1"/>
      <c r="AG401" s="1"/>
      <c r="AH401" s="1"/>
      <c r="AI401" s="1"/>
      <c r="AJ401" s="1"/>
      <c r="AK401" s="1"/>
      <c r="AL401" s="1"/>
      <c r="AM401" s="1"/>
      <c r="AN401" s="1"/>
      <c r="AO401" s="1"/>
      <c r="AP401" s="1"/>
      <c r="AQ401" s="1"/>
      <c r="AR401" s="1"/>
      <c r="AS401" s="1"/>
      <c r="AT401" s="1"/>
      <c r="AU401" s="70"/>
      <c r="AV401" s="70"/>
      <c r="AW401" s="1"/>
      <c r="AX401" s="1"/>
      <c r="AY401" s="1"/>
      <c r="AZ401" s="70"/>
      <c r="BA401" s="70"/>
      <c r="BB401" s="70"/>
      <c r="BC401" s="1"/>
      <c r="BD401" s="1"/>
      <c r="BE401" s="1"/>
      <c r="BF401" s="1"/>
      <c r="BG401" s="1"/>
      <c r="BH401" s="1"/>
      <c r="BI401" s="1"/>
      <c r="BJ401" s="1"/>
    </row>
    <row r="402" spans="1:63" s="78" customFormat="1" ht="12" customHeight="1" x14ac:dyDescent="0.2">
      <c r="A402" s="8" t="s">
        <v>28954</v>
      </c>
      <c r="B402" s="68">
        <v>32</v>
      </c>
      <c r="C402" s="8" t="s">
        <v>20</v>
      </c>
      <c r="D402" s="8" t="s">
        <v>37</v>
      </c>
      <c r="E402" s="62" t="s">
        <v>28955</v>
      </c>
      <c r="F402" s="69">
        <v>42797</v>
      </c>
      <c r="G402" s="8" t="s">
        <v>29531</v>
      </c>
      <c r="H402" s="8" t="s">
        <v>27953</v>
      </c>
      <c r="I402" s="8" t="s">
        <v>209</v>
      </c>
      <c r="J402" s="17" t="s">
        <v>28956</v>
      </c>
      <c r="K402" s="8" t="s">
        <v>3825</v>
      </c>
      <c r="L402" s="8" t="s">
        <v>28256</v>
      </c>
      <c r="M402" s="8" t="s">
        <v>27</v>
      </c>
      <c r="N402" s="8" t="s">
        <v>28957</v>
      </c>
      <c r="O402" s="8" t="s">
        <v>400</v>
      </c>
      <c r="P402" s="11" t="s">
        <v>401</v>
      </c>
      <c r="Q402" s="62" t="s">
        <v>28958</v>
      </c>
      <c r="R402" s="8" t="s">
        <v>100</v>
      </c>
      <c r="S402" s="2" t="s">
        <v>28</v>
      </c>
      <c r="T402" s="68" t="s">
        <v>27756</v>
      </c>
      <c r="U402" s="68" t="s">
        <v>29441</v>
      </c>
      <c r="V402" s="68" t="s">
        <v>29439</v>
      </c>
      <c r="W402" s="68" t="s">
        <v>100</v>
      </c>
      <c r="X402" s="68">
        <v>2401</v>
      </c>
      <c r="Y402" s="1"/>
      <c r="Z402" s="1"/>
      <c r="AA402" s="1"/>
      <c r="AB402" s="1"/>
      <c r="AC402" s="1"/>
      <c r="AD402" s="1"/>
      <c r="AE402" s="1"/>
      <c r="AF402" s="1"/>
      <c r="AG402" s="1"/>
      <c r="AH402" s="1"/>
      <c r="AI402" s="1"/>
      <c r="AJ402" s="1"/>
      <c r="AK402" s="1"/>
      <c r="AL402" s="1"/>
      <c r="AM402" s="1"/>
      <c r="AN402" s="1"/>
      <c r="AO402" s="1"/>
      <c r="AP402" s="1"/>
      <c r="AQ402" s="1"/>
      <c r="AR402" s="1"/>
      <c r="AS402" s="1"/>
      <c r="AT402" s="1"/>
      <c r="AU402" s="70"/>
      <c r="AV402" s="70"/>
      <c r="AW402" s="11"/>
      <c r="AX402" s="1"/>
      <c r="AY402" s="1"/>
      <c r="AZ402" s="70"/>
      <c r="BA402" s="44"/>
      <c r="BB402" s="44"/>
      <c r="BC402" s="1"/>
      <c r="BD402" s="1"/>
      <c r="BE402" s="1"/>
      <c r="BF402" s="1"/>
      <c r="BG402" s="1"/>
      <c r="BH402" s="1"/>
      <c r="BI402" s="1"/>
      <c r="BJ402" s="1"/>
    </row>
    <row r="403" spans="1:63" s="78" customFormat="1" ht="12" customHeight="1" x14ac:dyDescent="0.2">
      <c r="A403" s="8" t="s">
        <v>28959</v>
      </c>
      <c r="B403" s="68">
        <v>25</v>
      </c>
      <c r="C403" s="8" t="s">
        <v>20</v>
      </c>
      <c r="D403" s="8" t="s">
        <v>139</v>
      </c>
      <c r="E403" s="8"/>
      <c r="F403" s="69">
        <v>42797</v>
      </c>
      <c r="G403" s="8" t="s">
        <v>28960</v>
      </c>
      <c r="H403" s="8" t="s">
        <v>28961</v>
      </c>
      <c r="I403" s="8" t="s">
        <v>45</v>
      </c>
      <c r="J403" s="17" t="s">
        <v>28962</v>
      </c>
      <c r="K403" s="8" t="s">
        <v>1712</v>
      </c>
      <c r="L403" s="8" t="s">
        <v>28963</v>
      </c>
      <c r="M403" s="8" t="s">
        <v>27</v>
      </c>
      <c r="N403" s="8" t="s">
        <v>28964</v>
      </c>
      <c r="O403" s="8" t="s">
        <v>400</v>
      </c>
      <c r="P403" s="11" t="s">
        <v>401</v>
      </c>
      <c r="Q403" s="62" t="s">
        <v>28965</v>
      </c>
      <c r="R403" s="8" t="s">
        <v>100</v>
      </c>
      <c r="S403" s="2" t="s">
        <v>18</v>
      </c>
      <c r="T403" s="68" t="s">
        <v>29612</v>
      </c>
      <c r="U403" s="68" t="s">
        <v>29438</v>
      </c>
      <c r="V403" s="68" t="s">
        <v>29439</v>
      </c>
      <c r="W403" s="68" t="s">
        <v>100</v>
      </c>
      <c r="X403" s="68">
        <v>2403</v>
      </c>
      <c r="Y403" s="1"/>
      <c r="Z403" s="1"/>
      <c r="AA403" s="1"/>
      <c r="AB403" s="1"/>
      <c r="AC403" s="1"/>
      <c r="AD403" s="1"/>
      <c r="AE403" s="1"/>
      <c r="AF403" s="1"/>
      <c r="AG403" s="1"/>
      <c r="AH403" s="1"/>
      <c r="AI403" s="1"/>
      <c r="AJ403" s="1"/>
      <c r="AK403" s="1"/>
      <c r="AL403" s="1"/>
      <c r="AM403" s="1"/>
      <c r="AN403" s="1"/>
      <c r="AO403" s="1"/>
      <c r="AP403" s="1"/>
      <c r="AQ403" s="1"/>
      <c r="AR403" s="1"/>
      <c r="AS403" s="1"/>
      <c r="AT403" s="1"/>
      <c r="AU403" s="70"/>
      <c r="AV403" s="70"/>
      <c r="AW403" s="11"/>
      <c r="AX403" s="1"/>
      <c r="AY403" s="1"/>
      <c r="AZ403" s="70"/>
      <c r="BA403" s="44"/>
      <c r="BB403" s="44"/>
      <c r="BC403" s="1"/>
      <c r="BD403" s="1"/>
      <c r="BE403" s="1"/>
      <c r="BF403" s="1"/>
      <c r="BG403" s="1"/>
      <c r="BH403" s="1"/>
      <c r="BI403" s="1"/>
      <c r="BJ403" s="1"/>
      <c r="BK403" s="1"/>
    </row>
    <row r="404" spans="1:63" s="78" customFormat="1" ht="12" customHeight="1" x14ac:dyDescent="0.2">
      <c r="A404" s="8" t="s">
        <v>28924</v>
      </c>
      <c r="B404" s="68">
        <v>34</v>
      </c>
      <c r="C404" s="8" t="s">
        <v>20</v>
      </c>
      <c r="D404" s="8" t="s">
        <v>48</v>
      </c>
      <c r="E404" s="62" t="s">
        <v>28925</v>
      </c>
      <c r="F404" s="69">
        <v>42796</v>
      </c>
      <c r="G404" s="8" t="s">
        <v>29532</v>
      </c>
      <c r="H404" s="8" t="s">
        <v>14540</v>
      </c>
      <c r="I404" s="8" t="s">
        <v>45</v>
      </c>
      <c r="J404" s="17" t="s">
        <v>28926</v>
      </c>
      <c r="K404" s="8" t="s">
        <v>156</v>
      </c>
      <c r="L404" s="8" t="s">
        <v>2115</v>
      </c>
      <c r="M404" s="8" t="s">
        <v>27</v>
      </c>
      <c r="N404" s="8" t="s">
        <v>28927</v>
      </c>
      <c r="O404" s="8" t="s">
        <v>400</v>
      </c>
      <c r="P404" s="11" t="s">
        <v>401</v>
      </c>
      <c r="Q404" s="62" t="s">
        <v>28928</v>
      </c>
      <c r="R404" s="8" t="s">
        <v>100</v>
      </c>
      <c r="S404" s="2" t="s">
        <v>28</v>
      </c>
      <c r="T404" s="68" t="s">
        <v>29446</v>
      </c>
      <c r="U404" s="68" t="s">
        <v>29436</v>
      </c>
      <c r="V404" s="68" t="s">
        <v>29439</v>
      </c>
      <c r="W404" s="68" t="s">
        <v>100</v>
      </c>
      <c r="X404" s="68">
        <v>2396</v>
      </c>
      <c r="Y404" s="1"/>
      <c r="Z404" s="1"/>
      <c r="AA404" s="1"/>
      <c r="AB404" s="1"/>
      <c r="AC404" s="1"/>
      <c r="AD404" s="1"/>
      <c r="AE404" s="1"/>
      <c r="AF404" s="1"/>
      <c r="AG404" s="1"/>
      <c r="AH404" s="1"/>
      <c r="AI404" s="1"/>
      <c r="AJ404" s="1"/>
      <c r="AK404" s="1"/>
      <c r="AL404" s="1"/>
      <c r="AM404" s="1"/>
      <c r="AN404" s="1"/>
      <c r="AO404" s="1"/>
      <c r="AP404" s="1"/>
      <c r="AQ404" s="1"/>
      <c r="AR404" s="1"/>
      <c r="AS404" s="1"/>
      <c r="AT404" s="1"/>
      <c r="AU404" s="70"/>
      <c r="AV404" s="70"/>
      <c r="AW404" s="44"/>
      <c r="AX404" s="1"/>
      <c r="AY404" s="1"/>
      <c r="AZ404" s="70"/>
      <c r="BA404" s="44"/>
      <c r="BB404" s="44"/>
      <c r="BC404" s="1"/>
      <c r="BD404" s="1"/>
      <c r="BE404" s="1"/>
      <c r="BF404" s="1"/>
      <c r="BG404" s="1"/>
      <c r="BH404" s="1"/>
      <c r="BI404" s="1"/>
      <c r="BJ404" s="1"/>
    </row>
    <row r="405" spans="1:63" s="78" customFormat="1" ht="12" customHeight="1" x14ac:dyDescent="0.2">
      <c r="A405" s="8" t="s">
        <v>28937</v>
      </c>
      <c r="B405" s="68">
        <v>27</v>
      </c>
      <c r="C405" s="8" t="s">
        <v>20</v>
      </c>
      <c r="D405" s="68" t="s">
        <v>48</v>
      </c>
      <c r="E405" s="8"/>
      <c r="F405" s="69">
        <v>42796</v>
      </c>
      <c r="G405" s="8" t="s">
        <v>28938</v>
      </c>
      <c r="H405" s="8" t="s">
        <v>632</v>
      </c>
      <c r="I405" s="8" t="s">
        <v>123</v>
      </c>
      <c r="J405" s="17" t="s">
        <v>2804</v>
      </c>
      <c r="K405" s="8" t="s">
        <v>633</v>
      </c>
      <c r="L405" s="8" t="s">
        <v>634</v>
      </c>
      <c r="M405" s="8" t="s">
        <v>27</v>
      </c>
      <c r="N405" s="8" t="s">
        <v>28939</v>
      </c>
      <c r="O405" s="8" t="s">
        <v>400</v>
      </c>
      <c r="P405" s="11" t="s">
        <v>401</v>
      </c>
      <c r="Q405" s="62" t="s">
        <v>28940</v>
      </c>
      <c r="R405" s="8" t="s">
        <v>100</v>
      </c>
      <c r="S405" s="2" t="s">
        <v>18</v>
      </c>
      <c r="T405" s="68" t="s">
        <v>29612</v>
      </c>
      <c r="U405" s="68" t="s">
        <v>29438</v>
      </c>
      <c r="V405" s="68" t="s">
        <v>29439</v>
      </c>
      <c r="W405" s="68" t="s">
        <v>100</v>
      </c>
      <c r="X405" s="68">
        <v>2397</v>
      </c>
      <c r="Y405" s="1"/>
      <c r="Z405" s="1"/>
      <c r="AA405" s="1"/>
      <c r="AB405" s="1"/>
      <c r="AC405" s="1"/>
      <c r="AD405" s="1"/>
      <c r="AE405" s="1"/>
      <c r="AF405" s="1"/>
      <c r="AG405" s="1"/>
      <c r="AH405" s="1"/>
      <c r="AI405" s="1"/>
      <c r="AJ405" s="1"/>
      <c r="AK405" s="1"/>
      <c r="AL405" s="1"/>
      <c r="AM405" s="1"/>
      <c r="AN405" s="1"/>
      <c r="AO405" s="1"/>
      <c r="AP405" s="1"/>
      <c r="AQ405" s="1"/>
      <c r="AR405" s="1"/>
      <c r="AS405" s="1"/>
      <c r="AT405" s="1"/>
      <c r="AU405" s="70"/>
      <c r="AV405" s="70"/>
      <c r="AW405" s="44"/>
      <c r="AX405" s="1"/>
      <c r="AY405" s="1"/>
      <c r="AZ405" s="70"/>
      <c r="BA405" s="44"/>
      <c r="BB405" s="44"/>
      <c r="BC405" s="1"/>
      <c r="BD405" s="1"/>
      <c r="BE405" s="1"/>
      <c r="BF405" s="1"/>
      <c r="BG405" s="1"/>
      <c r="BH405" s="1"/>
      <c r="BI405" s="1"/>
      <c r="BJ405" s="1"/>
      <c r="BK405" s="1"/>
    </row>
    <row r="406" spans="1:63" s="78" customFormat="1" ht="12" customHeight="1" x14ac:dyDescent="0.2">
      <c r="A406" s="8" t="s">
        <v>28941</v>
      </c>
      <c r="B406" s="68">
        <v>25</v>
      </c>
      <c r="C406" s="8" t="s">
        <v>20</v>
      </c>
      <c r="D406" s="8" t="s">
        <v>48</v>
      </c>
      <c r="E406" s="8"/>
      <c r="F406" s="69">
        <v>42796</v>
      </c>
      <c r="G406" s="8" t="s">
        <v>28942</v>
      </c>
      <c r="H406" s="8" t="s">
        <v>1611</v>
      </c>
      <c r="I406" s="8" t="s">
        <v>269</v>
      </c>
      <c r="J406" s="17" t="s">
        <v>7468</v>
      </c>
      <c r="K406" s="8" t="s">
        <v>6245</v>
      </c>
      <c r="L406" s="8" t="s">
        <v>7469</v>
      </c>
      <c r="M406" s="8" t="s">
        <v>27</v>
      </c>
      <c r="N406" s="8" t="s">
        <v>28943</v>
      </c>
      <c r="O406" s="8" t="s">
        <v>400</v>
      </c>
      <c r="P406" s="11" t="s">
        <v>401</v>
      </c>
      <c r="Q406" s="62" t="s">
        <v>28944</v>
      </c>
      <c r="R406" s="8" t="s">
        <v>100</v>
      </c>
      <c r="S406" s="2" t="s">
        <v>35</v>
      </c>
      <c r="T406" s="66" t="s">
        <v>29441</v>
      </c>
      <c r="U406" s="68" t="s">
        <v>29441</v>
      </c>
      <c r="V406" s="68"/>
      <c r="W406" s="68" t="s">
        <v>100</v>
      </c>
      <c r="X406" s="68">
        <v>2398</v>
      </c>
      <c r="Y406" s="1"/>
      <c r="Z406" s="1"/>
      <c r="AA406" s="1"/>
      <c r="AB406" s="1"/>
      <c r="AC406" s="1"/>
      <c r="AD406" s="1"/>
      <c r="AE406" s="1"/>
      <c r="AF406" s="1"/>
      <c r="AG406" s="1"/>
      <c r="AH406" s="1"/>
      <c r="AI406" s="1"/>
      <c r="AJ406" s="1"/>
      <c r="AK406" s="1"/>
      <c r="AL406" s="1"/>
      <c r="AM406" s="1"/>
      <c r="AN406" s="1"/>
      <c r="AO406" s="1"/>
      <c r="AP406" s="1"/>
      <c r="AQ406" s="1"/>
      <c r="AR406" s="1"/>
      <c r="AS406" s="1"/>
      <c r="AT406" s="1"/>
      <c r="AU406" s="70"/>
      <c r="AV406" s="70"/>
      <c r="AW406" s="11"/>
      <c r="AX406" s="1"/>
      <c r="AY406" s="1"/>
      <c r="AZ406" s="70"/>
      <c r="BA406" s="44"/>
      <c r="BB406" s="44"/>
      <c r="BC406" s="1"/>
      <c r="BD406" s="1"/>
      <c r="BE406" s="1"/>
      <c r="BF406" s="1"/>
      <c r="BG406" s="1"/>
      <c r="BH406" s="1"/>
      <c r="BI406" s="1"/>
      <c r="BJ406" s="1"/>
      <c r="BK406" s="70"/>
    </row>
    <row r="407" spans="1:63" s="78" customFormat="1" ht="12" customHeight="1" x14ac:dyDescent="0.2">
      <c r="A407" s="8" t="s">
        <v>28945</v>
      </c>
      <c r="B407" s="47">
        <v>16</v>
      </c>
      <c r="C407" s="8" t="s">
        <v>20</v>
      </c>
      <c r="D407" s="8" t="s">
        <v>48</v>
      </c>
      <c r="E407" s="8"/>
      <c r="F407" s="72">
        <v>42796</v>
      </c>
      <c r="G407" s="8" t="s">
        <v>28946</v>
      </c>
      <c r="H407" s="8" t="s">
        <v>1907</v>
      </c>
      <c r="I407" s="8" t="s">
        <v>45</v>
      </c>
      <c r="J407" s="17" t="s">
        <v>7807</v>
      </c>
      <c r="K407" s="8" t="s">
        <v>7808</v>
      </c>
      <c r="L407" s="8" t="s">
        <v>1909</v>
      </c>
      <c r="M407" s="8" t="s">
        <v>379</v>
      </c>
      <c r="N407" s="8" t="s">
        <v>28947</v>
      </c>
      <c r="O407" s="8" t="s">
        <v>400</v>
      </c>
      <c r="P407" s="11" t="s">
        <v>401</v>
      </c>
      <c r="Q407" s="62" t="s">
        <v>28948</v>
      </c>
      <c r="R407" s="8" t="s">
        <v>100</v>
      </c>
      <c r="S407" s="66" t="s">
        <v>379</v>
      </c>
      <c r="T407" s="66" t="s">
        <v>30738</v>
      </c>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44"/>
      <c r="AV407" s="44"/>
      <c r="AW407" s="44"/>
      <c r="AX407" s="1"/>
      <c r="AY407" s="1"/>
      <c r="AZ407" s="1"/>
      <c r="BA407" s="1"/>
      <c r="BB407" s="1"/>
      <c r="BC407" s="1"/>
      <c r="BD407" s="1"/>
      <c r="BE407" s="1"/>
      <c r="BF407" s="1"/>
      <c r="BG407" s="1"/>
      <c r="BH407" s="1"/>
      <c r="BI407" s="1"/>
      <c r="BJ407" s="1"/>
      <c r="BK407" s="1"/>
    </row>
    <row r="408" spans="1:63" s="78" customFormat="1" ht="12" customHeight="1" x14ac:dyDescent="0.2">
      <c r="A408" s="8" t="s">
        <v>28949</v>
      </c>
      <c r="B408" s="68">
        <v>37</v>
      </c>
      <c r="C408" s="8" t="s">
        <v>20</v>
      </c>
      <c r="D408" s="8" t="s">
        <v>48</v>
      </c>
      <c r="E408" s="8"/>
      <c r="F408" s="69">
        <v>42796</v>
      </c>
      <c r="G408" s="8" t="s">
        <v>28950</v>
      </c>
      <c r="H408" s="8" t="s">
        <v>12180</v>
      </c>
      <c r="I408" s="8" t="s">
        <v>81</v>
      </c>
      <c r="J408" s="8" t="s">
        <v>28951</v>
      </c>
      <c r="K408" s="8" t="s">
        <v>9477</v>
      </c>
      <c r="L408" s="8" t="s">
        <v>12182</v>
      </c>
      <c r="M408" s="8" t="s">
        <v>27</v>
      </c>
      <c r="N408" s="8" t="s">
        <v>28952</v>
      </c>
      <c r="O408" s="8" t="s">
        <v>400</v>
      </c>
      <c r="P408" s="11" t="s">
        <v>401</v>
      </c>
      <c r="Q408" s="14" t="s">
        <v>28953</v>
      </c>
      <c r="R408" s="8" t="s">
        <v>555</v>
      </c>
      <c r="S408" s="2" t="s">
        <v>28</v>
      </c>
      <c r="T408" s="68" t="s">
        <v>29493</v>
      </c>
      <c r="U408" s="68" t="s">
        <v>29436</v>
      </c>
      <c r="V408" s="68" t="s">
        <v>29439</v>
      </c>
      <c r="W408" s="68" t="s">
        <v>100</v>
      </c>
      <c r="X408" s="68">
        <v>2435</v>
      </c>
      <c r="Y408" s="1"/>
      <c r="Z408" s="1"/>
      <c r="AA408" s="1"/>
      <c r="AB408" s="1"/>
      <c r="AC408" s="1"/>
      <c r="AD408" s="1"/>
      <c r="AE408" s="1"/>
      <c r="AF408" s="1"/>
      <c r="AG408" s="1"/>
      <c r="AH408" s="1"/>
      <c r="AI408" s="1"/>
      <c r="AJ408" s="1"/>
      <c r="AK408" s="1"/>
      <c r="AL408" s="1"/>
      <c r="AM408" s="1"/>
      <c r="AN408" s="1"/>
      <c r="AO408" s="1"/>
      <c r="AP408" s="1"/>
      <c r="AQ408" s="1"/>
      <c r="AR408" s="1"/>
      <c r="AS408" s="1"/>
      <c r="AT408" s="1"/>
      <c r="AU408" s="70"/>
      <c r="AV408" s="70"/>
      <c r="AW408" s="44"/>
      <c r="AX408" s="1"/>
      <c r="AY408" s="1"/>
      <c r="AZ408" s="70"/>
      <c r="BA408" s="44"/>
      <c r="BB408" s="11"/>
      <c r="BC408" s="1"/>
      <c r="BD408" s="1"/>
      <c r="BE408" s="1"/>
      <c r="BF408" s="1"/>
      <c r="BG408" s="1"/>
      <c r="BH408" s="1"/>
      <c r="BI408" s="1"/>
      <c r="BJ408" s="1"/>
    </row>
    <row r="409" spans="1:63" s="78" customFormat="1" ht="12" customHeight="1" x14ac:dyDescent="0.2">
      <c r="A409" s="8" t="s">
        <v>28929</v>
      </c>
      <c r="B409" s="68">
        <v>33</v>
      </c>
      <c r="C409" s="8" t="s">
        <v>20</v>
      </c>
      <c r="D409" s="8" t="s">
        <v>37</v>
      </c>
      <c r="E409" s="62" t="s">
        <v>28930</v>
      </c>
      <c r="F409" s="69">
        <v>42796</v>
      </c>
      <c r="G409" s="8" t="s">
        <v>28931</v>
      </c>
      <c r="H409" s="8" t="s">
        <v>28932</v>
      </c>
      <c r="I409" s="8" t="s">
        <v>438</v>
      </c>
      <c r="J409" s="17" t="s">
        <v>28933</v>
      </c>
      <c r="K409" s="8" t="s">
        <v>23488</v>
      </c>
      <c r="L409" s="8" t="s">
        <v>28934</v>
      </c>
      <c r="M409" s="8" t="s">
        <v>27</v>
      </c>
      <c r="N409" s="8" t="s">
        <v>28935</v>
      </c>
      <c r="O409" s="8" t="s">
        <v>400</v>
      </c>
      <c r="P409" s="11" t="s">
        <v>401</v>
      </c>
      <c r="Q409" s="62" t="s">
        <v>28936</v>
      </c>
      <c r="R409" s="68" t="s">
        <v>555</v>
      </c>
      <c r="S409" s="11" t="s">
        <v>35</v>
      </c>
      <c r="T409" s="66" t="s">
        <v>29441</v>
      </c>
      <c r="U409" s="68" t="s">
        <v>29438</v>
      </c>
      <c r="V409" s="68" t="s">
        <v>29439</v>
      </c>
      <c r="W409" s="68" t="s">
        <v>100</v>
      </c>
      <c r="X409" s="68">
        <v>2395</v>
      </c>
      <c r="Y409" s="1"/>
      <c r="Z409" s="1"/>
      <c r="AA409" s="1"/>
      <c r="AB409" s="1"/>
      <c r="AC409" s="1"/>
      <c r="AD409" s="1"/>
      <c r="AE409" s="1"/>
      <c r="AF409" s="1"/>
      <c r="AG409" s="1"/>
      <c r="AH409" s="1"/>
      <c r="AI409" s="1"/>
      <c r="AJ409" s="1"/>
      <c r="AK409" s="1"/>
      <c r="AL409" s="1"/>
      <c r="AM409" s="1"/>
      <c r="AN409" s="1"/>
      <c r="AO409" s="1"/>
      <c r="AP409" s="1"/>
      <c r="AQ409" s="1"/>
      <c r="AR409" s="1"/>
      <c r="AS409" s="1"/>
      <c r="AT409" s="1"/>
      <c r="AU409" s="70"/>
      <c r="AV409" s="70"/>
      <c r="AW409" s="11"/>
      <c r="AX409" s="1"/>
      <c r="AY409" s="1"/>
      <c r="AZ409" s="70"/>
      <c r="BA409" s="70"/>
      <c r="BB409" s="70"/>
      <c r="BC409" s="1"/>
      <c r="BD409" s="1"/>
      <c r="BE409" s="1"/>
      <c r="BF409" s="1"/>
      <c r="BG409" s="1"/>
      <c r="BH409" s="1"/>
      <c r="BI409" s="1"/>
      <c r="BJ409" s="1"/>
      <c r="BK409" s="70"/>
    </row>
    <row r="410" spans="1:63" s="78" customFormat="1" ht="12" customHeight="1" x14ac:dyDescent="0.2">
      <c r="A410" s="8" t="s">
        <v>28910</v>
      </c>
      <c r="B410" s="68">
        <v>40</v>
      </c>
      <c r="C410" s="8" t="s">
        <v>20</v>
      </c>
      <c r="D410" s="8" t="s">
        <v>85</v>
      </c>
      <c r="E410" s="62" t="s">
        <v>28911</v>
      </c>
      <c r="F410" s="69">
        <v>42795</v>
      </c>
      <c r="G410" s="8" t="s">
        <v>28912</v>
      </c>
      <c r="H410" s="8" t="s">
        <v>28913</v>
      </c>
      <c r="I410" s="8" t="s">
        <v>73</v>
      </c>
      <c r="J410" s="17" t="s">
        <v>28914</v>
      </c>
      <c r="K410" s="8" t="s">
        <v>14941</v>
      </c>
      <c r="L410" s="8" t="s">
        <v>28915</v>
      </c>
      <c r="M410" s="8" t="s">
        <v>27</v>
      </c>
      <c r="N410" s="8" t="s">
        <v>28916</v>
      </c>
      <c r="O410" s="8" t="s">
        <v>400</v>
      </c>
      <c r="P410" s="11" t="s">
        <v>401</v>
      </c>
      <c r="Q410" s="62" t="s">
        <v>28917</v>
      </c>
      <c r="R410" s="8" t="s">
        <v>100</v>
      </c>
      <c r="S410" s="2" t="s">
        <v>28</v>
      </c>
      <c r="T410" s="68" t="s">
        <v>29493</v>
      </c>
      <c r="U410" s="68" t="s">
        <v>29438</v>
      </c>
      <c r="V410" s="68" t="s">
        <v>29439</v>
      </c>
      <c r="W410" s="68" t="s">
        <v>555</v>
      </c>
      <c r="X410" s="68">
        <v>2392</v>
      </c>
      <c r="Y410" s="1"/>
      <c r="Z410" s="1"/>
      <c r="AA410" s="1"/>
      <c r="AB410" s="1"/>
      <c r="AC410" s="1"/>
      <c r="AD410" s="1"/>
      <c r="AE410" s="1"/>
      <c r="AF410" s="1"/>
      <c r="AG410" s="1"/>
      <c r="AH410" s="1"/>
      <c r="AI410" s="1"/>
      <c r="AJ410" s="1"/>
      <c r="AK410" s="1"/>
      <c r="AL410" s="1"/>
      <c r="AM410" s="1"/>
      <c r="AN410" s="1"/>
      <c r="AO410" s="1"/>
      <c r="AP410" s="1"/>
      <c r="AQ410" s="1"/>
      <c r="AR410" s="1"/>
      <c r="AS410" s="1"/>
      <c r="AT410" s="1"/>
      <c r="AU410" s="70"/>
      <c r="AV410" s="70"/>
      <c r="AW410" s="44"/>
      <c r="AX410" s="44"/>
      <c r="AY410" s="44"/>
      <c r="AZ410" s="70"/>
      <c r="BA410" s="44"/>
      <c r="BB410" s="44"/>
      <c r="BC410" s="70"/>
      <c r="BD410" s="70"/>
      <c r="BE410" s="70"/>
      <c r="BF410" s="70"/>
      <c r="BG410" s="70"/>
      <c r="BH410" s="70"/>
      <c r="BI410" s="70"/>
      <c r="BJ410" s="70"/>
    </row>
    <row r="411" spans="1:63" s="78" customFormat="1" ht="12" customHeight="1" x14ac:dyDescent="0.2">
      <c r="A411" s="8" t="s">
        <v>3252</v>
      </c>
      <c r="B411" s="47" t="s">
        <v>29</v>
      </c>
      <c r="C411" s="8" t="s">
        <v>20</v>
      </c>
      <c r="D411" s="8" t="s">
        <v>30</v>
      </c>
      <c r="E411" s="8"/>
      <c r="F411" s="72">
        <v>42795</v>
      </c>
      <c r="G411" s="8" t="s">
        <v>28918</v>
      </c>
      <c r="H411" s="8" t="s">
        <v>28919</v>
      </c>
      <c r="I411" s="8" t="s">
        <v>45</v>
      </c>
      <c r="J411" s="17" t="s">
        <v>28920</v>
      </c>
      <c r="K411" s="8" t="s">
        <v>156</v>
      </c>
      <c r="L411" s="8" t="s">
        <v>28921</v>
      </c>
      <c r="M411" s="8" t="s">
        <v>379</v>
      </c>
      <c r="N411" s="8" t="s">
        <v>28922</v>
      </c>
      <c r="O411" s="8" t="s">
        <v>1010</v>
      </c>
      <c r="P411" s="11" t="s">
        <v>401</v>
      </c>
      <c r="Q411" s="62" t="s">
        <v>28923</v>
      </c>
      <c r="R411" s="8" t="s">
        <v>100</v>
      </c>
      <c r="S411" s="2" t="s">
        <v>379</v>
      </c>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44"/>
      <c r="AV411" s="44"/>
      <c r="AW411" s="44"/>
      <c r="AX411" s="1"/>
      <c r="AY411" s="1"/>
      <c r="AZ411" s="1"/>
      <c r="BA411" s="1"/>
      <c r="BB411" s="1"/>
      <c r="BC411" s="1"/>
      <c r="BD411" s="1"/>
      <c r="BE411" s="1"/>
      <c r="BF411" s="1"/>
      <c r="BG411" s="1"/>
      <c r="BH411" s="1"/>
      <c r="BI411" s="1"/>
      <c r="BJ411" s="1"/>
      <c r="BK411" s="1"/>
    </row>
    <row r="412" spans="1:63" s="78" customFormat="1" ht="12" customHeight="1" x14ac:dyDescent="0.2">
      <c r="A412" s="8" t="s">
        <v>28888</v>
      </c>
      <c r="B412" s="68">
        <v>20</v>
      </c>
      <c r="C412" s="8" t="s">
        <v>20</v>
      </c>
      <c r="D412" s="8" t="s">
        <v>85</v>
      </c>
      <c r="E412" s="8"/>
      <c r="F412" s="69">
        <v>42794</v>
      </c>
      <c r="G412" s="8" t="s">
        <v>29533</v>
      </c>
      <c r="H412" s="8" t="s">
        <v>1060</v>
      </c>
      <c r="I412" s="8" t="s">
        <v>62</v>
      </c>
      <c r="J412" s="17" t="s">
        <v>17004</v>
      </c>
      <c r="K412" s="8" t="s">
        <v>1061</v>
      </c>
      <c r="L412" s="8" t="s">
        <v>4424</v>
      </c>
      <c r="M412" s="8" t="s">
        <v>27</v>
      </c>
      <c r="N412" s="8" t="s">
        <v>28889</v>
      </c>
      <c r="O412" s="8" t="s">
        <v>400</v>
      </c>
      <c r="P412" s="11" t="s">
        <v>401</v>
      </c>
      <c r="Q412" s="62" t="s">
        <v>28890</v>
      </c>
      <c r="R412" s="8" t="s">
        <v>100</v>
      </c>
      <c r="S412" s="2" t="s">
        <v>28</v>
      </c>
      <c r="T412" s="68" t="s">
        <v>27756</v>
      </c>
      <c r="U412" s="68" t="s">
        <v>29438</v>
      </c>
      <c r="V412" s="68" t="s">
        <v>29440</v>
      </c>
      <c r="W412" s="68" t="s">
        <v>100</v>
      </c>
      <c r="X412" s="68">
        <v>2394</v>
      </c>
      <c r="Y412" s="1"/>
      <c r="Z412" s="1"/>
      <c r="AA412" s="1"/>
      <c r="AB412" s="1"/>
      <c r="AC412" s="1"/>
      <c r="AD412" s="1"/>
      <c r="AE412" s="1"/>
      <c r="AF412" s="1"/>
      <c r="AG412" s="1"/>
      <c r="AH412" s="1"/>
      <c r="AI412" s="1"/>
      <c r="AJ412" s="1"/>
      <c r="AK412" s="1"/>
      <c r="AL412" s="1"/>
      <c r="AM412" s="1"/>
      <c r="AN412" s="1"/>
      <c r="AO412" s="1"/>
      <c r="AP412" s="1"/>
      <c r="AQ412" s="1"/>
      <c r="AR412" s="1"/>
      <c r="AS412" s="1"/>
      <c r="AT412" s="1"/>
      <c r="AU412" s="70"/>
      <c r="AV412" s="70"/>
      <c r="AW412" s="70"/>
      <c r="AX412" s="70"/>
      <c r="AY412" s="70"/>
      <c r="AZ412" s="70"/>
      <c r="BA412" s="44"/>
      <c r="BB412" s="44"/>
      <c r="BC412" s="70"/>
      <c r="BD412" s="70"/>
      <c r="BE412" s="70"/>
      <c r="BF412" s="70"/>
      <c r="BG412" s="70"/>
      <c r="BH412" s="70"/>
      <c r="BI412" s="70"/>
      <c r="BJ412" s="70"/>
    </row>
    <row r="413" spans="1:63" s="78" customFormat="1" ht="12" customHeight="1" x14ac:dyDescent="0.2">
      <c r="A413" s="8" t="s">
        <v>28891</v>
      </c>
      <c r="B413" s="68">
        <v>25</v>
      </c>
      <c r="C413" s="8" t="s">
        <v>20</v>
      </c>
      <c r="D413" s="8" t="s">
        <v>85</v>
      </c>
      <c r="E413" s="62" t="s">
        <v>28892</v>
      </c>
      <c r="F413" s="69">
        <v>42794</v>
      </c>
      <c r="G413" s="8" t="s">
        <v>28893</v>
      </c>
      <c r="H413" s="8" t="s">
        <v>723</v>
      </c>
      <c r="I413" s="8" t="s">
        <v>73</v>
      </c>
      <c r="J413" s="17" t="s">
        <v>28894</v>
      </c>
      <c r="K413" s="8" t="s">
        <v>558</v>
      </c>
      <c r="L413" s="8" t="s">
        <v>724</v>
      </c>
      <c r="M413" s="8" t="s">
        <v>27</v>
      </c>
      <c r="N413" s="8" t="s">
        <v>28895</v>
      </c>
      <c r="O413" s="8" t="s">
        <v>400</v>
      </c>
      <c r="P413" s="11" t="s">
        <v>401</v>
      </c>
      <c r="Q413" s="62" t="s">
        <v>28896</v>
      </c>
      <c r="R413" s="8" t="s">
        <v>100</v>
      </c>
      <c r="S413" s="2" t="s">
        <v>28</v>
      </c>
      <c r="T413" s="68" t="s">
        <v>27756</v>
      </c>
      <c r="U413" s="68" t="s">
        <v>29438</v>
      </c>
      <c r="V413" s="68" t="s">
        <v>29439</v>
      </c>
      <c r="W413" s="68" t="s">
        <v>100</v>
      </c>
      <c r="X413" s="68">
        <v>2393</v>
      </c>
      <c r="Y413" s="1"/>
      <c r="Z413" s="1"/>
      <c r="AA413" s="1"/>
      <c r="AB413" s="1"/>
      <c r="AC413" s="1"/>
      <c r="AD413" s="1"/>
      <c r="AE413" s="1"/>
      <c r="AF413" s="1"/>
      <c r="AG413" s="1"/>
      <c r="AH413" s="1"/>
      <c r="AI413" s="1"/>
      <c r="AJ413" s="1"/>
      <c r="AK413" s="1"/>
      <c r="AL413" s="1"/>
      <c r="AM413" s="1"/>
      <c r="AN413" s="1"/>
      <c r="AO413" s="1"/>
      <c r="AP413" s="1"/>
      <c r="AQ413" s="1"/>
      <c r="AR413" s="1"/>
      <c r="AS413" s="1"/>
      <c r="AT413" s="1"/>
      <c r="AU413" s="70"/>
      <c r="AV413" s="70"/>
      <c r="AW413" s="11"/>
      <c r="AX413" s="44"/>
      <c r="AY413" s="44"/>
      <c r="AZ413" s="70"/>
      <c r="BA413" s="44"/>
      <c r="BB413" s="44"/>
      <c r="BC413" s="70"/>
      <c r="BD413" s="70"/>
      <c r="BE413" s="70"/>
      <c r="BF413" s="70"/>
      <c r="BG413" s="70"/>
      <c r="BH413" s="70"/>
      <c r="BI413" s="70"/>
      <c r="BJ413" s="70"/>
    </row>
    <row r="414" spans="1:63" s="78" customFormat="1" ht="12" customHeight="1" x14ac:dyDescent="0.2">
      <c r="A414" s="8" t="s">
        <v>28897</v>
      </c>
      <c r="B414" s="47">
        <v>43</v>
      </c>
      <c r="C414" s="8" t="s">
        <v>20</v>
      </c>
      <c r="D414" s="8" t="s">
        <v>48</v>
      </c>
      <c r="E414" s="62" t="s">
        <v>28898</v>
      </c>
      <c r="F414" s="72">
        <v>42794</v>
      </c>
      <c r="G414" s="8" t="s">
        <v>29534</v>
      </c>
      <c r="H414" s="8" t="s">
        <v>1001</v>
      </c>
      <c r="I414" s="8" t="s">
        <v>25</v>
      </c>
      <c r="J414" s="17" t="s">
        <v>7048</v>
      </c>
      <c r="K414" s="8" t="s">
        <v>1002</v>
      </c>
      <c r="L414" s="8" t="s">
        <v>28899</v>
      </c>
      <c r="M414" s="8" t="s">
        <v>27</v>
      </c>
      <c r="N414" s="8" t="s">
        <v>28900</v>
      </c>
      <c r="O414" s="8" t="s">
        <v>400</v>
      </c>
      <c r="P414" s="11" t="s">
        <v>401</v>
      </c>
      <c r="Q414" s="62" t="s">
        <v>28901</v>
      </c>
      <c r="R414" s="8" t="s">
        <v>100</v>
      </c>
      <c r="S414" s="2" t="s">
        <v>28</v>
      </c>
      <c r="T414" s="68"/>
      <c r="U414" s="68"/>
      <c r="V414" s="68"/>
      <c r="W414" s="68"/>
      <c r="X414" s="68"/>
      <c r="Y414" s="1"/>
      <c r="Z414" s="1"/>
      <c r="AA414" s="1"/>
      <c r="AB414" s="1"/>
      <c r="AC414" s="1"/>
      <c r="AD414" s="1"/>
      <c r="AE414" s="1"/>
      <c r="AF414" s="1"/>
      <c r="AG414" s="1"/>
      <c r="AH414" s="1"/>
      <c r="AI414" s="1"/>
      <c r="AJ414" s="1"/>
      <c r="AK414" s="1"/>
      <c r="AL414" s="1"/>
      <c r="AM414" s="1"/>
      <c r="AN414" s="1"/>
      <c r="AO414" s="1"/>
      <c r="AP414" s="1"/>
      <c r="AQ414" s="1"/>
      <c r="AR414" s="1"/>
      <c r="AS414" s="1"/>
      <c r="AT414" s="1"/>
      <c r="AU414" s="70"/>
      <c r="AV414" s="70"/>
      <c r="AW414" s="1"/>
      <c r="AX414" s="1"/>
      <c r="AY414" s="1"/>
      <c r="AZ414" s="1"/>
      <c r="BA414" s="1"/>
      <c r="BB414" s="1"/>
      <c r="BC414" s="1"/>
      <c r="BD414" s="1"/>
      <c r="BE414" s="1"/>
      <c r="BF414" s="1"/>
      <c r="BG414" s="1"/>
      <c r="BH414" s="1"/>
      <c r="BI414" s="1"/>
      <c r="BJ414" s="1"/>
    </row>
    <row r="415" spans="1:63" s="78" customFormat="1" ht="12" customHeight="1" x14ac:dyDescent="0.2">
      <c r="A415" s="8" t="s">
        <v>28902</v>
      </c>
      <c r="B415" s="47">
        <v>42</v>
      </c>
      <c r="C415" s="8" t="s">
        <v>20</v>
      </c>
      <c r="D415" s="11" t="s">
        <v>30</v>
      </c>
      <c r="E415" s="8"/>
      <c r="F415" s="72">
        <v>42794</v>
      </c>
      <c r="G415" s="8" t="s">
        <v>28903</v>
      </c>
      <c r="H415" s="8" t="s">
        <v>28904</v>
      </c>
      <c r="I415" s="8" t="s">
        <v>44</v>
      </c>
      <c r="J415" s="17" t="s">
        <v>28905</v>
      </c>
      <c r="K415" s="8" t="s">
        <v>28906</v>
      </c>
      <c r="L415" s="8" t="s">
        <v>28907</v>
      </c>
      <c r="M415" s="8" t="s">
        <v>379</v>
      </c>
      <c r="N415" s="8" t="s">
        <v>28908</v>
      </c>
      <c r="O415" s="8" t="s">
        <v>400</v>
      </c>
      <c r="P415" s="11" t="s">
        <v>401</v>
      </c>
      <c r="Q415" s="62" t="s">
        <v>28909</v>
      </c>
      <c r="R415" s="8" t="s">
        <v>100</v>
      </c>
      <c r="S415" s="2" t="s">
        <v>379</v>
      </c>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44"/>
      <c r="AV415" s="44"/>
      <c r="AW415" s="44"/>
      <c r="AX415" s="1"/>
      <c r="AY415" s="1"/>
      <c r="AZ415" s="1"/>
      <c r="BA415" s="1"/>
      <c r="BB415" s="1"/>
      <c r="BC415" s="1"/>
      <c r="BD415" s="1"/>
      <c r="BE415" s="1"/>
      <c r="BF415" s="1"/>
      <c r="BG415" s="1"/>
      <c r="BH415" s="1"/>
      <c r="BI415" s="1"/>
      <c r="BJ415" s="1"/>
      <c r="BK415" s="1"/>
    </row>
    <row r="416" spans="1:63" s="78" customFormat="1" ht="12" customHeight="1" x14ac:dyDescent="0.2">
      <c r="A416" s="11" t="s">
        <v>28248</v>
      </c>
      <c r="B416" s="68">
        <v>40</v>
      </c>
      <c r="C416" s="11" t="s">
        <v>20</v>
      </c>
      <c r="D416" s="11" t="s">
        <v>37</v>
      </c>
      <c r="E416" s="71" t="s">
        <v>28249</v>
      </c>
      <c r="F416" s="69">
        <v>42793</v>
      </c>
      <c r="G416" s="11" t="s">
        <v>28250</v>
      </c>
      <c r="H416" s="11" t="s">
        <v>28251</v>
      </c>
      <c r="I416" s="11" t="s">
        <v>438</v>
      </c>
      <c r="J416" s="11">
        <v>54452</v>
      </c>
      <c r="K416" s="11" t="s">
        <v>2316</v>
      </c>
      <c r="L416" s="11" t="s">
        <v>10818</v>
      </c>
      <c r="M416" s="11" t="s">
        <v>27</v>
      </c>
      <c r="N416" s="11" t="s">
        <v>28252</v>
      </c>
      <c r="O416" s="11" t="s">
        <v>400</v>
      </c>
      <c r="P416" s="11" t="s">
        <v>401</v>
      </c>
      <c r="Q416" s="71" t="s">
        <v>28253</v>
      </c>
      <c r="R416" s="11" t="s">
        <v>100</v>
      </c>
      <c r="S416" s="11" t="s">
        <v>28</v>
      </c>
      <c r="T416" s="68" t="s">
        <v>27756</v>
      </c>
      <c r="U416" s="68" t="s">
        <v>29438</v>
      </c>
      <c r="V416" s="68" t="s">
        <v>29439</v>
      </c>
      <c r="W416" s="68" t="s">
        <v>100</v>
      </c>
      <c r="X416" s="68">
        <v>2391</v>
      </c>
      <c r="Y416" s="11"/>
      <c r="Z416" s="11"/>
      <c r="AA416" s="11"/>
      <c r="AB416" s="11"/>
      <c r="AC416" s="11"/>
      <c r="AD416" s="11"/>
      <c r="AE416" s="11"/>
      <c r="AF416" s="11"/>
      <c r="AG416" s="11"/>
      <c r="AH416" s="70"/>
      <c r="AI416" s="70"/>
      <c r="AJ416" s="70"/>
      <c r="AK416" s="70"/>
      <c r="AL416" s="70"/>
      <c r="AM416" s="70"/>
      <c r="AN416" s="70"/>
      <c r="AO416" s="70"/>
      <c r="AP416" s="70"/>
      <c r="AQ416" s="70"/>
      <c r="AR416" s="70"/>
      <c r="AS416" s="70"/>
      <c r="AT416" s="70"/>
      <c r="AU416" s="70"/>
      <c r="AV416" s="70"/>
      <c r="AW416" s="44"/>
      <c r="AX416" s="1"/>
      <c r="AY416" s="1"/>
      <c r="AZ416" s="70"/>
      <c r="BA416" s="44"/>
      <c r="BB416" s="44"/>
      <c r="BC416" s="1"/>
      <c r="BD416" s="1"/>
      <c r="BE416" s="1"/>
      <c r="BF416" s="1"/>
      <c r="BG416" s="1"/>
      <c r="BH416" s="1"/>
      <c r="BI416" s="1"/>
      <c r="BJ416" s="1"/>
    </row>
    <row r="417" spans="1:63" s="78" customFormat="1" ht="12" customHeight="1" x14ac:dyDescent="0.2">
      <c r="A417" s="11" t="s">
        <v>28024</v>
      </c>
      <c r="B417" s="68">
        <v>27</v>
      </c>
      <c r="C417" s="11" t="s">
        <v>20</v>
      </c>
      <c r="D417" s="11" t="s">
        <v>37</v>
      </c>
      <c r="E417" s="11"/>
      <c r="F417" s="69">
        <v>42793</v>
      </c>
      <c r="G417" s="11" t="s">
        <v>28025</v>
      </c>
      <c r="H417" s="11" t="s">
        <v>1193</v>
      </c>
      <c r="I417" s="11" t="s">
        <v>366</v>
      </c>
      <c r="J417" s="11">
        <v>28152</v>
      </c>
      <c r="K417" s="11" t="s">
        <v>984</v>
      </c>
      <c r="L417" s="11" t="s">
        <v>28026</v>
      </c>
      <c r="M417" s="11" t="s">
        <v>27</v>
      </c>
      <c r="N417" s="11" t="s">
        <v>28027</v>
      </c>
      <c r="O417" s="11" t="s">
        <v>400</v>
      </c>
      <c r="P417" s="11" t="s">
        <v>401</v>
      </c>
      <c r="Q417" s="71" t="s">
        <v>28028</v>
      </c>
      <c r="R417" s="68" t="s">
        <v>555</v>
      </c>
      <c r="S417" s="11" t="s">
        <v>28</v>
      </c>
      <c r="T417" s="68" t="s">
        <v>27756</v>
      </c>
      <c r="U417" s="68" t="s">
        <v>29438</v>
      </c>
      <c r="V417" s="68" t="s">
        <v>29440</v>
      </c>
      <c r="W417" s="68" t="s">
        <v>100</v>
      </c>
      <c r="X417" s="68">
        <v>2378</v>
      </c>
      <c r="Y417" s="11"/>
      <c r="Z417" s="11"/>
      <c r="AA417" s="11"/>
      <c r="AB417" s="11"/>
      <c r="AC417" s="11"/>
      <c r="AD417" s="11"/>
      <c r="AE417" s="11"/>
      <c r="AF417" s="11"/>
      <c r="AG417" s="11"/>
      <c r="AH417" s="70"/>
      <c r="AI417" s="70"/>
      <c r="AJ417" s="70"/>
      <c r="AK417" s="70"/>
      <c r="AL417" s="70"/>
      <c r="AM417" s="70"/>
      <c r="AN417" s="70"/>
      <c r="AO417" s="70"/>
      <c r="AP417" s="70"/>
      <c r="AQ417" s="70"/>
      <c r="AR417" s="70"/>
      <c r="AS417" s="70"/>
      <c r="AT417" s="70"/>
      <c r="AU417" s="70"/>
      <c r="AV417" s="70"/>
      <c r="AW417" s="44"/>
      <c r="AX417" s="1"/>
      <c r="AY417" s="1"/>
      <c r="AZ417" s="70"/>
      <c r="BA417" s="70"/>
      <c r="BB417" s="70"/>
      <c r="BC417" s="1"/>
      <c r="BD417" s="1"/>
      <c r="BE417" s="1"/>
      <c r="BF417" s="1"/>
      <c r="BG417" s="1"/>
      <c r="BH417" s="1"/>
      <c r="BI417" s="1"/>
      <c r="BJ417" s="1"/>
    </row>
    <row r="418" spans="1:63" s="78" customFormat="1" ht="12" customHeight="1" x14ac:dyDescent="0.2">
      <c r="A418" s="11" t="s">
        <v>27952</v>
      </c>
      <c r="B418" s="11">
        <v>41</v>
      </c>
      <c r="C418" s="11" t="s">
        <v>20</v>
      </c>
      <c r="D418" s="11" t="s">
        <v>37</v>
      </c>
      <c r="E418" s="11"/>
      <c r="F418" s="69">
        <v>42792</v>
      </c>
      <c r="G418" s="11" t="s">
        <v>28817</v>
      </c>
      <c r="H418" s="11" t="s">
        <v>27953</v>
      </c>
      <c r="I418" s="11" t="s">
        <v>62</v>
      </c>
      <c r="J418" s="11">
        <v>34224</v>
      </c>
      <c r="K418" s="11" t="s">
        <v>4191</v>
      </c>
      <c r="L418" s="11" t="s">
        <v>27954</v>
      </c>
      <c r="M418" s="11" t="s">
        <v>27</v>
      </c>
      <c r="N418" s="11" t="s">
        <v>27955</v>
      </c>
      <c r="O418" s="11" t="s">
        <v>400</v>
      </c>
      <c r="P418" s="11" t="s">
        <v>401</v>
      </c>
      <c r="Q418" s="71" t="s">
        <v>27956</v>
      </c>
      <c r="R418" s="11" t="s">
        <v>100</v>
      </c>
      <c r="S418" s="11" t="s">
        <v>28</v>
      </c>
      <c r="T418" s="68" t="s">
        <v>29493</v>
      </c>
      <c r="U418" s="68" t="s">
        <v>29436</v>
      </c>
      <c r="V418" s="68" t="s">
        <v>29439</v>
      </c>
      <c r="W418" s="68" t="s">
        <v>100</v>
      </c>
      <c r="X418" s="68">
        <v>2379</v>
      </c>
      <c r="Y418" s="11"/>
      <c r="Z418" s="11"/>
      <c r="AA418" s="11"/>
      <c r="AB418" s="11"/>
      <c r="AC418" s="11"/>
      <c r="AD418" s="11"/>
      <c r="AE418" s="11"/>
      <c r="AF418" s="11"/>
      <c r="AG418" s="11"/>
      <c r="AH418" s="70"/>
      <c r="AI418" s="70"/>
      <c r="AJ418" s="70"/>
      <c r="AK418" s="70"/>
      <c r="AL418" s="70"/>
      <c r="AM418" s="70"/>
      <c r="AN418" s="70"/>
      <c r="AO418" s="70"/>
      <c r="AP418" s="70"/>
      <c r="AQ418" s="70"/>
      <c r="AR418" s="70"/>
      <c r="AS418" s="70"/>
      <c r="AT418" s="70"/>
      <c r="AU418" s="70"/>
      <c r="AV418" s="70"/>
      <c r="AW418" s="1"/>
      <c r="AX418" s="1"/>
      <c r="AY418" s="1"/>
      <c r="AZ418" s="70"/>
      <c r="BA418" s="44"/>
      <c r="BB418" s="44"/>
      <c r="BC418" s="1"/>
      <c r="BD418" s="1"/>
      <c r="BE418" s="1"/>
      <c r="BF418" s="1"/>
      <c r="BG418" s="1"/>
      <c r="BH418" s="1"/>
      <c r="BI418" s="1"/>
      <c r="BJ418" s="1"/>
    </row>
    <row r="419" spans="1:63" s="78" customFormat="1" ht="12" customHeight="1" x14ac:dyDescent="0.2">
      <c r="A419" s="11" t="s">
        <v>27966</v>
      </c>
      <c r="B419" s="68">
        <v>66</v>
      </c>
      <c r="C419" s="11" t="s">
        <v>20</v>
      </c>
      <c r="D419" s="11" t="s">
        <v>37</v>
      </c>
      <c r="E419" s="11" t="s">
        <v>28877</v>
      </c>
      <c r="F419" s="69">
        <v>42792</v>
      </c>
      <c r="G419" s="11" t="s">
        <v>27967</v>
      </c>
      <c r="H419" s="11" t="s">
        <v>27968</v>
      </c>
      <c r="I419" s="11" t="s">
        <v>62</v>
      </c>
      <c r="J419" s="11">
        <v>34436</v>
      </c>
      <c r="K419" s="11" t="s">
        <v>5988</v>
      </c>
      <c r="L419" s="11" t="s">
        <v>23738</v>
      </c>
      <c r="M419" s="11" t="s">
        <v>27</v>
      </c>
      <c r="N419" s="11" t="s">
        <v>27969</v>
      </c>
      <c r="O419" s="11" t="s">
        <v>400</v>
      </c>
      <c r="P419" s="11" t="s">
        <v>401</v>
      </c>
      <c r="Q419" s="71" t="s">
        <v>27970</v>
      </c>
      <c r="R419" s="11" t="s">
        <v>100</v>
      </c>
      <c r="S419" s="11" t="s">
        <v>28</v>
      </c>
      <c r="T419" s="68" t="s">
        <v>27756</v>
      </c>
      <c r="U419" s="68" t="s">
        <v>29436</v>
      </c>
      <c r="V419" s="68" t="s">
        <v>29437</v>
      </c>
      <c r="W419" s="68" t="s">
        <v>100</v>
      </c>
      <c r="X419" s="68">
        <v>2382</v>
      </c>
      <c r="Y419" s="11"/>
      <c r="Z419" s="11"/>
      <c r="AA419" s="11"/>
      <c r="AB419" s="11"/>
      <c r="AC419" s="11"/>
      <c r="AD419" s="11"/>
      <c r="AE419" s="11"/>
      <c r="AF419" s="11"/>
      <c r="AG419" s="11"/>
      <c r="AH419" s="70"/>
      <c r="AI419" s="70"/>
      <c r="AJ419" s="70"/>
      <c r="AK419" s="70"/>
      <c r="AL419" s="70"/>
      <c r="AM419" s="70"/>
      <c r="AN419" s="70"/>
      <c r="AO419" s="70"/>
      <c r="AP419" s="70"/>
      <c r="AQ419" s="70"/>
      <c r="AR419" s="70"/>
      <c r="AS419" s="70"/>
      <c r="AT419" s="70"/>
      <c r="AU419" s="70"/>
      <c r="AV419" s="70"/>
      <c r="AW419" s="1"/>
      <c r="AX419" s="1"/>
      <c r="AY419" s="1"/>
      <c r="AZ419" s="70"/>
      <c r="BA419" s="44"/>
      <c r="BB419" s="44"/>
      <c r="BC419" s="1"/>
      <c r="BD419" s="1"/>
      <c r="BE419" s="1"/>
      <c r="BF419" s="1"/>
      <c r="BG419" s="1"/>
      <c r="BH419" s="1"/>
      <c r="BI419" s="1"/>
      <c r="BJ419" s="1"/>
    </row>
    <row r="420" spans="1:63" s="78" customFormat="1" ht="12" customHeight="1" x14ac:dyDescent="0.2">
      <c r="A420" s="11" t="s">
        <v>28616</v>
      </c>
      <c r="B420" s="11">
        <v>25</v>
      </c>
      <c r="C420" s="11" t="s">
        <v>20</v>
      </c>
      <c r="D420" s="11" t="s">
        <v>85</v>
      </c>
      <c r="E420" s="71" t="s">
        <v>28617</v>
      </c>
      <c r="F420" s="72">
        <v>42792</v>
      </c>
      <c r="G420" s="11" t="s">
        <v>28856</v>
      </c>
      <c r="H420" s="11" t="s">
        <v>28129</v>
      </c>
      <c r="I420" s="11" t="s">
        <v>217</v>
      </c>
      <c r="J420" s="11">
        <v>46404</v>
      </c>
      <c r="K420" s="11" t="s">
        <v>1256</v>
      </c>
      <c r="L420" s="11" t="s">
        <v>28618</v>
      </c>
      <c r="M420" s="11" t="s">
        <v>27</v>
      </c>
      <c r="N420" s="11" t="s">
        <v>28619</v>
      </c>
      <c r="O420" s="11" t="s">
        <v>400</v>
      </c>
      <c r="P420" s="11" t="s">
        <v>401</v>
      </c>
      <c r="Q420" s="71" t="s">
        <v>28620</v>
      </c>
      <c r="R420" s="11" t="s">
        <v>100</v>
      </c>
      <c r="S420" s="11" t="s">
        <v>35</v>
      </c>
      <c r="T420" s="68"/>
      <c r="U420" s="68"/>
      <c r="V420" s="68"/>
      <c r="W420" s="68"/>
      <c r="X420" s="68"/>
      <c r="Y420" s="11"/>
      <c r="Z420" s="11"/>
      <c r="AA420" s="11"/>
      <c r="AB420" s="11"/>
      <c r="AC420" s="11"/>
      <c r="AD420" s="11"/>
      <c r="AE420" s="11"/>
      <c r="AF420" s="11"/>
      <c r="AG420" s="11"/>
      <c r="AH420" s="70"/>
      <c r="AI420" s="70"/>
      <c r="AJ420" s="70"/>
      <c r="AK420" s="70"/>
      <c r="AL420" s="70"/>
      <c r="AM420" s="70"/>
      <c r="AN420" s="70"/>
      <c r="AO420" s="70"/>
      <c r="AP420" s="70"/>
      <c r="AQ420" s="70"/>
      <c r="AR420" s="70"/>
      <c r="AS420" s="70"/>
      <c r="AT420" s="70"/>
      <c r="AU420" s="70"/>
      <c r="AV420" s="70"/>
      <c r="AW420" s="1"/>
      <c r="AX420" s="44"/>
      <c r="AY420" s="44"/>
      <c r="AZ420" s="1"/>
      <c r="BA420" s="1"/>
      <c r="BB420" s="1"/>
      <c r="BC420" s="70"/>
      <c r="BD420" s="70"/>
      <c r="BE420" s="70"/>
      <c r="BF420" s="70"/>
      <c r="BG420" s="70"/>
      <c r="BH420" s="70"/>
      <c r="BI420" s="70"/>
      <c r="BJ420" s="70"/>
      <c r="BK420" s="70"/>
    </row>
    <row r="421" spans="1:63" s="78" customFormat="1" ht="12" customHeight="1" x14ac:dyDescent="0.2">
      <c r="A421" s="11" t="s">
        <v>28621</v>
      </c>
      <c r="B421" s="68">
        <v>46</v>
      </c>
      <c r="C421" s="11" t="s">
        <v>114</v>
      </c>
      <c r="D421" s="68" t="s">
        <v>37</v>
      </c>
      <c r="E421" s="11" t="s">
        <v>28885</v>
      </c>
      <c r="F421" s="69">
        <v>42792</v>
      </c>
      <c r="G421" s="11" t="s">
        <v>28622</v>
      </c>
      <c r="H421" s="11" t="s">
        <v>22007</v>
      </c>
      <c r="I421" s="11" t="s">
        <v>45</v>
      </c>
      <c r="J421" s="11">
        <v>95366</v>
      </c>
      <c r="K421" s="11" t="s">
        <v>1762</v>
      </c>
      <c r="L421" s="11" t="s">
        <v>28623</v>
      </c>
      <c r="M421" s="11" t="s">
        <v>27</v>
      </c>
      <c r="N421" s="11" t="s">
        <v>28624</v>
      </c>
      <c r="O421" s="11" t="s">
        <v>400</v>
      </c>
      <c r="P421" s="11" t="s">
        <v>401</v>
      </c>
      <c r="Q421" s="71" t="s">
        <v>28625</v>
      </c>
      <c r="R421" s="11" t="s">
        <v>100</v>
      </c>
      <c r="S421" s="11" t="s">
        <v>379</v>
      </c>
      <c r="T421" s="68" t="s">
        <v>379</v>
      </c>
      <c r="U421" s="68" t="s">
        <v>29436</v>
      </c>
      <c r="V421" s="68" t="s">
        <v>29437</v>
      </c>
      <c r="W421" s="68" t="s">
        <v>100</v>
      </c>
      <c r="X421" s="68">
        <v>2380</v>
      </c>
      <c r="Y421" s="11"/>
      <c r="Z421" s="11"/>
      <c r="AA421" s="11"/>
      <c r="AB421" s="11"/>
      <c r="AC421" s="11"/>
      <c r="AD421" s="11"/>
      <c r="AE421" s="11"/>
      <c r="AF421" s="11"/>
      <c r="AG421" s="11"/>
      <c r="AH421" s="70"/>
      <c r="AI421" s="70"/>
      <c r="AJ421" s="70"/>
      <c r="AK421" s="70"/>
      <c r="AL421" s="70"/>
      <c r="AM421" s="70"/>
      <c r="AN421" s="70"/>
      <c r="AO421" s="70"/>
      <c r="AP421" s="70"/>
      <c r="AQ421" s="70"/>
      <c r="AR421" s="70"/>
      <c r="AS421" s="70"/>
      <c r="AT421" s="70"/>
      <c r="AU421" s="70"/>
      <c r="AV421" s="70"/>
      <c r="AW421" s="1"/>
      <c r="AX421" s="1"/>
      <c r="AY421" s="1"/>
      <c r="AZ421" s="70"/>
      <c r="BA421" s="44"/>
      <c r="BB421" s="44"/>
      <c r="BC421" s="1"/>
      <c r="BD421" s="1"/>
      <c r="BE421" s="1"/>
      <c r="BF421" s="1"/>
      <c r="BG421" s="1"/>
      <c r="BH421" s="1"/>
      <c r="BI421" s="1"/>
      <c r="BJ421" s="1"/>
      <c r="BK421" s="11"/>
    </row>
    <row r="422" spans="1:63" s="78" customFormat="1" ht="12" customHeight="1" x14ac:dyDescent="0.2">
      <c r="A422" s="11" t="s">
        <v>3252</v>
      </c>
      <c r="B422" s="68">
        <v>36</v>
      </c>
      <c r="C422" s="11" t="s">
        <v>20</v>
      </c>
      <c r="D422" s="68" t="s">
        <v>37</v>
      </c>
      <c r="E422" s="11"/>
      <c r="F422" s="69">
        <v>42792</v>
      </c>
      <c r="G422" s="11" t="s">
        <v>28194</v>
      </c>
      <c r="H422" s="11" t="s">
        <v>5257</v>
      </c>
      <c r="I422" s="11" t="s">
        <v>240</v>
      </c>
      <c r="J422" s="11">
        <v>84074</v>
      </c>
      <c r="K422" s="11" t="s">
        <v>5257</v>
      </c>
      <c r="L422" s="11" t="s">
        <v>28195</v>
      </c>
      <c r="M422" s="11" t="s">
        <v>27</v>
      </c>
      <c r="N422" s="11" t="s">
        <v>28196</v>
      </c>
      <c r="O422" s="11" t="s">
        <v>400</v>
      </c>
      <c r="P422" s="11" t="s">
        <v>401</v>
      </c>
      <c r="Q422" s="71" t="s">
        <v>28197</v>
      </c>
      <c r="R422" s="68" t="s">
        <v>555</v>
      </c>
      <c r="S422" s="11" t="s">
        <v>28</v>
      </c>
      <c r="T422" s="68" t="s">
        <v>27756</v>
      </c>
      <c r="U422" s="68" t="s">
        <v>29436</v>
      </c>
      <c r="V422" s="68" t="s">
        <v>29439</v>
      </c>
      <c r="W422" s="68" t="s">
        <v>100</v>
      </c>
      <c r="X422" s="68">
        <v>2381</v>
      </c>
      <c r="Y422" s="11"/>
      <c r="Z422" s="11"/>
      <c r="AA422" s="11"/>
      <c r="AB422" s="11"/>
      <c r="AC422" s="11"/>
      <c r="AD422" s="11"/>
      <c r="AE422" s="11"/>
      <c r="AF422" s="11"/>
      <c r="AG422" s="11"/>
      <c r="AH422" s="70"/>
      <c r="AI422" s="70"/>
      <c r="AJ422" s="70"/>
      <c r="AK422" s="70"/>
      <c r="AL422" s="70"/>
      <c r="AM422" s="70"/>
      <c r="AN422" s="70"/>
      <c r="AO422" s="70"/>
      <c r="AP422" s="70"/>
      <c r="AQ422" s="70"/>
      <c r="AR422" s="70"/>
      <c r="AS422" s="70"/>
      <c r="AT422" s="70"/>
      <c r="AU422" s="70"/>
      <c r="AV422" s="70"/>
      <c r="AW422" s="44"/>
      <c r="AX422" s="1"/>
      <c r="AY422" s="1"/>
      <c r="AZ422" s="70"/>
      <c r="BA422" s="70"/>
      <c r="BB422" s="44"/>
      <c r="BC422" s="1"/>
      <c r="BD422" s="1"/>
      <c r="BE422" s="1"/>
      <c r="BF422" s="1"/>
      <c r="BG422" s="1"/>
      <c r="BH422" s="1"/>
      <c r="BI422" s="1"/>
      <c r="BJ422" s="1"/>
    </row>
    <row r="423" spans="1:63" s="78" customFormat="1" ht="12" customHeight="1" x14ac:dyDescent="0.2">
      <c r="A423" s="66" t="s">
        <v>29608</v>
      </c>
      <c r="B423" s="66">
        <v>39</v>
      </c>
      <c r="C423" s="66" t="s">
        <v>20</v>
      </c>
      <c r="D423" s="66" t="s">
        <v>37</v>
      </c>
      <c r="E423" s="66"/>
      <c r="F423" s="67">
        <v>42791</v>
      </c>
      <c r="G423" s="67"/>
      <c r="H423" s="66" t="s">
        <v>28405</v>
      </c>
      <c r="I423" s="66" t="s">
        <v>173</v>
      </c>
      <c r="J423" s="66"/>
      <c r="K423" s="66"/>
      <c r="L423" s="66"/>
      <c r="M423" s="66" t="s">
        <v>27</v>
      </c>
      <c r="N423" s="66"/>
      <c r="O423" s="66" t="s">
        <v>400</v>
      </c>
      <c r="P423" s="66" t="s">
        <v>401</v>
      </c>
      <c r="Q423" s="66" t="s">
        <v>31032</v>
      </c>
      <c r="R423" s="66" t="s">
        <v>100</v>
      </c>
      <c r="S423" s="66" t="s">
        <v>28</v>
      </c>
      <c r="T423" s="66" t="s">
        <v>27756</v>
      </c>
      <c r="U423" s="66" t="s">
        <v>29438</v>
      </c>
      <c r="V423" s="66" t="s">
        <v>29437</v>
      </c>
      <c r="W423" s="66" t="s">
        <v>100</v>
      </c>
      <c r="X423" s="66">
        <v>2384</v>
      </c>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c r="AY423" s="66"/>
      <c r="AZ423" s="66"/>
      <c r="BA423" s="66"/>
      <c r="BB423" s="66"/>
      <c r="BC423" s="1"/>
      <c r="BD423" s="1"/>
      <c r="BE423" s="1"/>
      <c r="BF423" s="1"/>
      <c r="BG423" s="1"/>
      <c r="BH423" s="1"/>
      <c r="BI423" s="1"/>
      <c r="BJ423" s="1"/>
    </row>
    <row r="424" spans="1:63" s="78" customFormat="1" ht="12" customHeight="1" x14ac:dyDescent="0.2">
      <c r="A424" s="11" t="s">
        <v>3252</v>
      </c>
      <c r="B424" s="68">
        <v>23</v>
      </c>
      <c r="C424" s="11" t="s">
        <v>20</v>
      </c>
      <c r="D424" s="68" t="s">
        <v>85</v>
      </c>
      <c r="E424" s="11"/>
      <c r="F424" s="69">
        <v>42791</v>
      </c>
      <c r="G424" s="11" t="s">
        <v>28864</v>
      </c>
      <c r="H424" s="11" t="s">
        <v>28716</v>
      </c>
      <c r="I424" s="11" t="s">
        <v>45</v>
      </c>
      <c r="J424" s="11">
        <v>95765</v>
      </c>
      <c r="K424" s="11" t="s">
        <v>1066</v>
      </c>
      <c r="L424" s="11" t="s">
        <v>28717</v>
      </c>
      <c r="M424" s="11" t="s">
        <v>27</v>
      </c>
      <c r="N424" s="11" t="s">
        <v>28718</v>
      </c>
      <c r="O424" s="11" t="s">
        <v>400</v>
      </c>
      <c r="P424" s="11" t="s">
        <v>401</v>
      </c>
      <c r="Q424" s="71" t="s">
        <v>28719</v>
      </c>
      <c r="R424" s="11" t="s">
        <v>100</v>
      </c>
      <c r="S424" s="11" t="s">
        <v>18</v>
      </c>
      <c r="T424" s="68" t="s">
        <v>29612</v>
      </c>
      <c r="U424" s="68" t="s">
        <v>29438</v>
      </c>
      <c r="V424" s="68" t="s">
        <v>29440</v>
      </c>
      <c r="W424" s="68" t="s">
        <v>100</v>
      </c>
      <c r="X424" s="68">
        <v>2383</v>
      </c>
      <c r="Y424" s="11"/>
      <c r="Z424" s="11"/>
      <c r="AA424" s="11"/>
      <c r="AB424" s="11"/>
      <c r="AC424" s="11"/>
      <c r="AD424" s="11"/>
      <c r="AE424" s="11"/>
      <c r="AF424" s="11"/>
      <c r="AG424" s="11"/>
      <c r="AH424" s="70"/>
      <c r="AI424" s="70"/>
      <c r="AJ424" s="70"/>
      <c r="AK424" s="70"/>
      <c r="AL424" s="70"/>
      <c r="AM424" s="70"/>
      <c r="AN424" s="70"/>
      <c r="AO424" s="70"/>
      <c r="AP424" s="70"/>
      <c r="AQ424" s="70"/>
      <c r="AR424" s="70"/>
      <c r="AS424" s="70"/>
      <c r="AT424" s="70"/>
      <c r="AU424" s="70"/>
      <c r="AV424" s="70"/>
      <c r="AW424" s="44"/>
      <c r="AX424" s="1"/>
      <c r="AY424" s="1"/>
      <c r="AZ424" s="70"/>
      <c r="BA424" s="44"/>
      <c r="BB424" s="44"/>
      <c r="BC424" s="70"/>
      <c r="BD424" s="70"/>
      <c r="BE424" s="70"/>
      <c r="BF424" s="70"/>
      <c r="BG424" s="70"/>
      <c r="BH424" s="70"/>
      <c r="BI424" s="70"/>
      <c r="BJ424" s="70"/>
      <c r="BK424" s="1"/>
    </row>
    <row r="425" spans="1:63" s="78" customFormat="1" ht="12" customHeight="1" x14ac:dyDescent="0.2">
      <c r="A425" s="11" t="s">
        <v>27940</v>
      </c>
      <c r="B425" s="11">
        <v>44</v>
      </c>
      <c r="C425" s="11" t="s">
        <v>20</v>
      </c>
      <c r="D425" s="11" t="s">
        <v>85</v>
      </c>
      <c r="E425" s="11" t="s">
        <v>28873</v>
      </c>
      <c r="F425" s="72">
        <v>42790</v>
      </c>
      <c r="G425" s="11" t="s">
        <v>27941</v>
      </c>
      <c r="H425" s="11" t="s">
        <v>9752</v>
      </c>
      <c r="I425" s="11" t="s">
        <v>978</v>
      </c>
      <c r="J425" s="11">
        <v>72205</v>
      </c>
      <c r="K425" s="11" t="s">
        <v>2495</v>
      </c>
      <c r="L425" s="11" t="s">
        <v>9754</v>
      </c>
      <c r="M425" s="11" t="s">
        <v>27</v>
      </c>
      <c r="N425" s="11" t="s">
        <v>27942</v>
      </c>
      <c r="O425" s="11" t="s">
        <v>400</v>
      </c>
      <c r="P425" s="11" t="s">
        <v>401</v>
      </c>
      <c r="Q425" s="71" t="s">
        <v>27943</v>
      </c>
      <c r="R425" s="11" t="s">
        <v>100</v>
      </c>
      <c r="S425" s="11" t="s">
        <v>28</v>
      </c>
      <c r="T425" s="68"/>
      <c r="U425" s="68"/>
      <c r="V425" s="68"/>
      <c r="W425" s="68"/>
      <c r="X425" s="68"/>
      <c r="Y425" s="11"/>
      <c r="Z425" s="11"/>
      <c r="AA425" s="11"/>
      <c r="AB425" s="11"/>
      <c r="AC425" s="11"/>
      <c r="AD425" s="11"/>
      <c r="AE425" s="11"/>
      <c r="AF425" s="11"/>
      <c r="AG425" s="11"/>
      <c r="AH425" s="70"/>
      <c r="AI425" s="70"/>
      <c r="AJ425" s="70"/>
      <c r="AK425" s="70"/>
      <c r="AL425" s="70"/>
      <c r="AM425" s="70"/>
      <c r="AN425" s="70"/>
      <c r="AO425" s="70"/>
      <c r="AP425" s="70"/>
      <c r="AQ425" s="70"/>
      <c r="AR425" s="70"/>
      <c r="AS425" s="70"/>
      <c r="AT425" s="70"/>
      <c r="AU425" s="70"/>
      <c r="AV425" s="70"/>
      <c r="AW425" s="1"/>
      <c r="AX425" s="44"/>
      <c r="AY425" s="44"/>
      <c r="AZ425" s="1"/>
      <c r="BA425" s="1"/>
      <c r="BB425" s="1"/>
      <c r="BC425" s="70"/>
      <c r="BD425" s="70"/>
      <c r="BE425" s="70"/>
      <c r="BF425" s="70"/>
      <c r="BG425" s="70"/>
      <c r="BH425" s="70"/>
      <c r="BI425" s="70"/>
      <c r="BJ425" s="70"/>
    </row>
    <row r="426" spans="1:63" s="78" customFormat="1" ht="12" customHeight="1" x14ac:dyDescent="0.2">
      <c r="A426" s="11" t="s">
        <v>27957</v>
      </c>
      <c r="B426" s="68">
        <v>33</v>
      </c>
      <c r="C426" s="11" t="s">
        <v>114</v>
      </c>
      <c r="D426" s="11" t="s">
        <v>37</v>
      </c>
      <c r="E426" s="11"/>
      <c r="F426" s="69">
        <v>42790</v>
      </c>
      <c r="G426" s="11" t="s">
        <v>27958</v>
      </c>
      <c r="H426" s="11" t="s">
        <v>4927</v>
      </c>
      <c r="I426" s="11" t="s">
        <v>73</v>
      </c>
      <c r="J426" s="11">
        <v>77566</v>
      </c>
      <c r="K426" s="11" t="s">
        <v>4929</v>
      </c>
      <c r="L426" s="11" t="s">
        <v>4930</v>
      </c>
      <c r="M426" s="11" t="s">
        <v>27</v>
      </c>
      <c r="N426" s="11" t="s">
        <v>27959</v>
      </c>
      <c r="O426" s="11" t="s">
        <v>400</v>
      </c>
      <c r="P426" s="11" t="s">
        <v>401</v>
      </c>
      <c r="Q426" s="71" t="s">
        <v>27960</v>
      </c>
      <c r="R426" s="11" t="s">
        <v>100</v>
      </c>
      <c r="S426" s="11" t="s">
        <v>28</v>
      </c>
      <c r="T426" s="68" t="s">
        <v>27756</v>
      </c>
      <c r="U426" s="68" t="s">
        <v>29438</v>
      </c>
      <c r="V426" s="68" t="s">
        <v>29437</v>
      </c>
      <c r="W426" s="68" t="s">
        <v>100</v>
      </c>
      <c r="X426" s="68">
        <v>2390</v>
      </c>
      <c r="Y426" s="11"/>
      <c r="Z426" s="11"/>
      <c r="AA426" s="11"/>
      <c r="AB426" s="11"/>
      <c r="AC426" s="11"/>
      <c r="AD426" s="11"/>
      <c r="AE426" s="11"/>
      <c r="AF426" s="11"/>
      <c r="AG426" s="11"/>
      <c r="AH426" s="70"/>
      <c r="AI426" s="70"/>
      <c r="AJ426" s="70"/>
      <c r="AK426" s="70"/>
      <c r="AL426" s="70"/>
      <c r="AM426" s="70"/>
      <c r="AN426" s="70"/>
      <c r="AO426" s="70"/>
      <c r="AP426" s="70"/>
      <c r="AQ426" s="70"/>
      <c r="AR426" s="70"/>
      <c r="AS426" s="70"/>
      <c r="AT426" s="70"/>
      <c r="AU426" s="70"/>
      <c r="AV426" s="70"/>
      <c r="AW426" s="11"/>
      <c r="AX426" s="1"/>
      <c r="AY426" s="1"/>
      <c r="AZ426" s="70"/>
      <c r="BA426" s="44"/>
      <c r="BB426" s="44"/>
      <c r="BC426" s="1"/>
      <c r="BD426" s="1"/>
      <c r="BE426" s="1"/>
      <c r="BF426" s="1"/>
      <c r="BG426" s="1"/>
      <c r="BH426" s="1"/>
      <c r="BI426" s="1"/>
      <c r="BJ426" s="1"/>
    </row>
    <row r="427" spans="1:63" s="78" customFormat="1" ht="12" customHeight="1" x14ac:dyDescent="0.2">
      <c r="A427" s="11" t="s">
        <v>28161</v>
      </c>
      <c r="B427" s="68">
        <v>62</v>
      </c>
      <c r="C427" s="11" t="s">
        <v>20</v>
      </c>
      <c r="D427" s="68" t="s">
        <v>37</v>
      </c>
      <c r="E427" s="11"/>
      <c r="F427" s="69">
        <v>42790</v>
      </c>
      <c r="G427" s="11" t="s">
        <v>28835</v>
      </c>
      <c r="H427" s="11" t="s">
        <v>4313</v>
      </c>
      <c r="I427" s="11" t="s">
        <v>404</v>
      </c>
      <c r="J427" s="11">
        <v>19602</v>
      </c>
      <c r="K427" s="11" t="s">
        <v>4314</v>
      </c>
      <c r="L427" s="11" t="s">
        <v>28162</v>
      </c>
      <c r="M427" s="11" t="s">
        <v>27</v>
      </c>
      <c r="N427" s="11" t="s">
        <v>28163</v>
      </c>
      <c r="O427" s="11" t="s">
        <v>400</v>
      </c>
      <c r="P427" s="11" t="s">
        <v>401</v>
      </c>
      <c r="Q427" s="71" t="s">
        <v>28164</v>
      </c>
      <c r="R427" s="11" t="s">
        <v>29</v>
      </c>
      <c r="S427" s="11" t="s">
        <v>28</v>
      </c>
      <c r="T427" s="68" t="s">
        <v>27756</v>
      </c>
      <c r="U427" s="68" t="s">
        <v>29438</v>
      </c>
      <c r="V427" s="68" t="s">
        <v>29439</v>
      </c>
      <c r="W427" s="68" t="s">
        <v>100</v>
      </c>
      <c r="X427" s="68">
        <v>2386</v>
      </c>
      <c r="Y427" s="11"/>
      <c r="Z427" s="11"/>
      <c r="AA427" s="11"/>
      <c r="AB427" s="11"/>
      <c r="AC427" s="11"/>
      <c r="AD427" s="11"/>
      <c r="AE427" s="11"/>
      <c r="AF427" s="11"/>
      <c r="AG427" s="11"/>
      <c r="AH427" s="70"/>
      <c r="AI427" s="70"/>
      <c r="AJ427" s="70"/>
      <c r="AK427" s="70"/>
      <c r="AL427" s="70"/>
      <c r="AM427" s="70"/>
      <c r="AN427" s="70"/>
      <c r="AO427" s="70"/>
      <c r="AP427" s="70"/>
      <c r="AQ427" s="70"/>
      <c r="AR427" s="70"/>
      <c r="AS427" s="70"/>
      <c r="AT427" s="70"/>
      <c r="AU427" s="70"/>
      <c r="AV427" s="70"/>
      <c r="AW427" s="1"/>
      <c r="AX427" s="1"/>
      <c r="AY427" s="1"/>
      <c r="AZ427" s="70"/>
      <c r="BA427" s="1"/>
      <c r="BB427" s="1"/>
      <c r="BC427" s="1"/>
      <c r="BD427" s="1"/>
      <c r="BE427" s="1"/>
      <c r="BF427" s="1"/>
      <c r="BG427" s="1"/>
      <c r="BH427" s="1"/>
      <c r="BI427" s="1"/>
      <c r="BJ427" s="1"/>
    </row>
    <row r="428" spans="1:63" s="78" customFormat="1" ht="12" customHeight="1" x14ac:dyDescent="0.2">
      <c r="A428" s="11" t="s">
        <v>28403</v>
      </c>
      <c r="B428" s="11">
        <v>53</v>
      </c>
      <c r="C428" s="11" t="s">
        <v>20</v>
      </c>
      <c r="D428" s="11" t="s">
        <v>37</v>
      </c>
      <c r="E428" s="11"/>
      <c r="F428" s="72">
        <v>42790</v>
      </c>
      <c r="G428" s="11" t="s">
        <v>28404</v>
      </c>
      <c r="H428" s="11" t="s">
        <v>28405</v>
      </c>
      <c r="I428" s="11" t="s">
        <v>173</v>
      </c>
      <c r="J428" s="11">
        <v>31815</v>
      </c>
      <c r="K428" s="11" t="s">
        <v>28406</v>
      </c>
      <c r="L428" s="11" t="s">
        <v>19821</v>
      </c>
      <c r="M428" s="1" t="s">
        <v>391</v>
      </c>
      <c r="N428" s="11" t="s">
        <v>28407</v>
      </c>
      <c r="O428" s="11" t="s">
        <v>400</v>
      </c>
      <c r="P428" s="11" t="s">
        <v>401</v>
      </c>
      <c r="Q428" s="71" t="s">
        <v>28408</v>
      </c>
      <c r="R428" s="11" t="s">
        <v>29</v>
      </c>
      <c r="S428" s="11" t="s">
        <v>18</v>
      </c>
      <c r="T428" s="11" t="s">
        <v>28345</v>
      </c>
      <c r="U428" s="11"/>
      <c r="V428" s="11"/>
      <c r="W428" s="11"/>
      <c r="X428" s="11"/>
      <c r="Y428" s="11"/>
      <c r="Z428" s="11"/>
      <c r="AA428" s="11"/>
      <c r="AB428" s="11"/>
      <c r="AC428" s="11"/>
      <c r="AD428" s="11"/>
      <c r="AE428" s="11"/>
      <c r="AF428" s="11"/>
      <c r="AG428" s="11"/>
      <c r="AH428" s="70"/>
      <c r="AI428" s="70"/>
      <c r="AJ428" s="70"/>
      <c r="AK428" s="70"/>
      <c r="AL428" s="70"/>
      <c r="AM428" s="70"/>
      <c r="AN428" s="70"/>
      <c r="AO428" s="70"/>
      <c r="AP428" s="70"/>
      <c r="AQ428" s="70"/>
      <c r="AR428" s="70"/>
      <c r="AS428" s="70"/>
      <c r="AT428" s="70"/>
      <c r="AU428" s="11"/>
      <c r="AV428" s="11"/>
      <c r="AW428" s="1"/>
      <c r="AX428" s="1"/>
      <c r="AY428" s="1"/>
      <c r="AZ428" s="70"/>
      <c r="BA428" s="1"/>
      <c r="BB428" s="1"/>
      <c r="BC428" s="1"/>
      <c r="BD428" s="1"/>
      <c r="BE428" s="1"/>
      <c r="BF428" s="1"/>
      <c r="BG428" s="1"/>
      <c r="BH428" s="1"/>
      <c r="BI428" s="1"/>
      <c r="BJ428" s="1"/>
      <c r="BK428" s="1"/>
    </row>
    <row r="429" spans="1:63" s="78" customFormat="1" ht="12" customHeight="1" x14ac:dyDescent="0.2">
      <c r="A429" s="11" t="s">
        <v>28019</v>
      </c>
      <c r="B429" s="68">
        <v>30</v>
      </c>
      <c r="C429" s="11" t="s">
        <v>20</v>
      </c>
      <c r="D429" s="11" t="s">
        <v>37</v>
      </c>
      <c r="E429" s="71" t="s">
        <v>28020</v>
      </c>
      <c r="F429" s="69">
        <v>42790</v>
      </c>
      <c r="G429" s="11" t="s">
        <v>28823</v>
      </c>
      <c r="H429" s="11" t="s">
        <v>28021</v>
      </c>
      <c r="I429" s="11" t="s">
        <v>315</v>
      </c>
      <c r="J429" s="11">
        <v>40744</v>
      </c>
      <c r="K429" s="11" t="s">
        <v>22682</v>
      </c>
      <c r="L429" s="11" t="s">
        <v>22683</v>
      </c>
      <c r="M429" s="11" t="s">
        <v>27</v>
      </c>
      <c r="N429" s="11" t="s">
        <v>28022</v>
      </c>
      <c r="O429" s="11" t="s">
        <v>400</v>
      </c>
      <c r="P429" s="11" t="s">
        <v>401</v>
      </c>
      <c r="Q429" s="71" t="s">
        <v>28023</v>
      </c>
      <c r="R429" s="68" t="s">
        <v>555</v>
      </c>
      <c r="S429" s="11" t="s">
        <v>28</v>
      </c>
      <c r="T429" s="68" t="s">
        <v>27756</v>
      </c>
      <c r="U429" s="68" t="s">
        <v>29438</v>
      </c>
      <c r="V429" s="68" t="s">
        <v>29439</v>
      </c>
      <c r="W429" s="68" t="s">
        <v>100</v>
      </c>
      <c r="X429" s="68">
        <v>2388</v>
      </c>
      <c r="Y429" s="11"/>
      <c r="Z429" s="11"/>
      <c r="AA429" s="11"/>
      <c r="AB429" s="11"/>
      <c r="AC429" s="11"/>
      <c r="AD429" s="11"/>
      <c r="AE429" s="11"/>
      <c r="AF429" s="11"/>
      <c r="AG429" s="11"/>
      <c r="AH429" s="70"/>
      <c r="AI429" s="70"/>
      <c r="AJ429" s="70"/>
      <c r="AK429" s="70"/>
      <c r="AL429" s="70"/>
      <c r="AM429" s="70"/>
      <c r="AN429" s="70"/>
      <c r="AO429" s="70"/>
      <c r="AP429" s="70"/>
      <c r="AQ429" s="70"/>
      <c r="AR429" s="70"/>
      <c r="AS429" s="70"/>
      <c r="AT429" s="70"/>
      <c r="AU429" s="70"/>
      <c r="AV429" s="70"/>
      <c r="AW429" s="44"/>
      <c r="AX429" s="1"/>
      <c r="AY429" s="1"/>
      <c r="AZ429" s="70"/>
      <c r="BA429" s="70"/>
      <c r="BB429" s="44"/>
      <c r="BC429" s="1"/>
      <c r="BD429" s="1"/>
      <c r="BE429" s="1"/>
      <c r="BF429" s="1"/>
      <c r="BG429" s="1"/>
      <c r="BH429" s="1"/>
      <c r="BI429" s="1"/>
      <c r="BJ429" s="1"/>
    </row>
    <row r="430" spans="1:63" s="78" customFormat="1" ht="12" customHeight="1" x14ac:dyDescent="0.2">
      <c r="A430" s="11" t="s">
        <v>28009</v>
      </c>
      <c r="B430" s="68">
        <v>38</v>
      </c>
      <c r="C430" s="11" t="s">
        <v>20</v>
      </c>
      <c r="D430" s="11" t="s">
        <v>37</v>
      </c>
      <c r="E430" s="71" t="s">
        <v>28010</v>
      </c>
      <c r="F430" s="69">
        <v>42789</v>
      </c>
      <c r="G430" s="11" t="s">
        <v>28822</v>
      </c>
      <c r="H430" s="11" t="s">
        <v>1287</v>
      </c>
      <c r="I430" s="11" t="s">
        <v>69</v>
      </c>
      <c r="J430" s="11">
        <v>43207</v>
      </c>
      <c r="K430" s="11" t="s">
        <v>1288</v>
      </c>
      <c r="L430" s="11" t="s">
        <v>3402</v>
      </c>
      <c r="M430" s="11" t="s">
        <v>27</v>
      </c>
      <c r="N430" s="11" t="s">
        <v>28011</v>
      </c>
      <c r="O430" s="11" t="s">
        <v>400</v>
      </c>
      <c r="P430" s="11" t="s">
        <v>401</v>
      </c>
      <c r="Q430" s="71" t="s">
        <v>28012</v>
      </c>
      <c r="R430" s="11" t="s">
        <v>964</v>
      </c>
      <c r="S430" s="11" t="s">
        <v>28</v>
      </c>
      <c r="T430" s="68" t="s">
        <v>27756</v>
      </c>
      <c r="U430" s="68" t="s">
        <v>29438</v>
      </c>
      <c r="V430" s="68" t="s">
        <v>29439</v>
      </c>
      <c r="W430" s="68" t="s">
        <v>100</v>
      </c>
      <c r="X430" s="68">
        <v>2375</v>
      </c>
      <c r="Y430" s="11"/>
      <c r="Z430" s="11"/>
      <c r="AA430" s="11"/>
      <c r="AB430" s="11"/>
      <c r="AC430" s="11"/>
      <c r="AD430" s="11"/>
      <c r="AE430" s="11"/>
      <c r="AF430" s="11"/>
      <c r="AG430" s="11"/>
      <c r="AH430" s="70"/>
      <c r="AI430" s="70"/>
      <c r="AJ430" s="70"/>
      <c r="AK430" s="70"/>
      <c r="AL430" s="70"/>
      <c r="AM430" s="70"/>
      <c r="AN430" s="70"/>
      <c r="AO430" s="70"/>
      <c r="AP430" s="70"/>
      <c r="AQ430" s="70"/>
      <c r="AR430" s="70"/>
      <c r="AS430" s="70"/>
      <c r="AT430" s="70"/>
      <c r="AU430" s="70"/>
      <c r="AV430" s="70"/>
      <c r="AW430" s="11"/>
      <c r="AX430" s="1"/>
      <c r="AY430" s="1"/>
      <c r="AZ430" s="70"/>
      <c r="BA430" s="44"/>
      <c r="BB430" s="44"/>
      <c r="BC430" s="1"/>
      <c r="BD430" s="1"/>
      <c r="BE430" s="1"/>
      <c r="BF430" s="1"/>
      <c r="BG430" s="1"/>
      <c r="BH430" s="1"/>
      <c r="BI430" s="1"/>
      <c r="BJ430" s="1"/>
    </row>
    <row r="431" spans="1:63" s="78" customFormat="1" ht="12" customHeight="1" x14ac:dyDescent="0.2">
      <c r="A431" s="11" t="s">
        <v>28762</v>
      </c>
      <c r="B431" s="68">
        <v>47</v>
      </c>
      <c r="C431" s="11" t="s">
        <v>20</v>
      </c>
      <c r="D431" s="68" t="s">
        <v>85</v>
      </c>
      <c r="E431" s="11"/>
      <c r="F431" s="69">
        <v>42789</v>
      </c>
      <c r="G431" s="11" t="s">
        <v>28868</v>
      </c>
      <c r="H431" s="11" t="s">
        <v>118</v>
      </c>
      <c r="I431" s="11" t="s">
        <v>3664</v>
      </c>
      <c r="J431" s="11">
        <v>20002</v>
      </c>
      <c r="K431" s="11" t="s">
        <v>3666</v>
      </c>
      <c r="L431" s="11" t="s">
        <v>19405</v>
      </c>
      <c r="M431" s="11" t="s">
        <v>27</v>
      </c>
      <c r="N431" s="11" t="s">
        <v>28763</v>
      </c>
      <c r="O431" s="11" t="s">
        <v>400</v>
      </c>
      <c r="P431" s="11" t="s">
        <v>401</v>
      </c>
      <c r="Q431" s="71" t="s">
        <v>28764</v>
      </c>
      <c r="R431" s="11" t="s">
        <v>100</v>
      </c>
      <c r="S431" s="11" t="s">
        <v>28</v>
      </c>
      <c r="T431" s="68" t="s">
        <v>27756</v>
      </c>
      <c r="U431" s="68" t="s">
        <v>29438</v>
      </c>
      <c r="V431" s="68" t="s">
        <v>29440</v>
      </c>
      <c r="W431" s="68" t="s">
        <v>555</v>
      </c>
      <c r="X431" s="68">
        <v>2377</v>
      </c>
      <c r="Y431" s="11"/>
      <c r="Z431" s="11"/>
      <c r="AA431" s="11"/>
      <c r="AB431" s="11"/>
      <c r="AC431" s="11"/>
      <c r="AD431" s="11"/>
      <c r="AE431" s="11"/>
      <c r="AF431" s="11"/>
      <c r="AG431" s="11"/>
      <c r="AH431" s="70"/>
      <c r="AI431" s="70"/>
      <c r="AJ431" s="70"/>
      <c r="AK431" s="70"/>
      <c r="AL431" s="70"/>
      <c r="AM431" s="70"/>
      <c r="AN431" s="70"/>
      <c r="AO431" s="70"/>
      <c r="AP431" s="70"/>
      <c r="AQ431" s="70"/>
      <c r="AR431" s="70"/>
      <c r="AS431" s="70"/>
      <c r="AT431" s="70"/>
      <c r="AU431" s="70"/>
      <c r="AV431" s="70"/>
      <c r="AW431" s="1"/>
      <c r="AX431" s="1"/>
      <c r="AY431" s="1"/>
      <c r="AZ431" s="70"/>
      <c r="BA431" s="44"/>
      <c r="BB431" s="44"/>
      <c r="BC431" s="70"/>
      <c r="BD431" s="70"/>
      <c r="BE431" s="70"/>
      <c r="BF431" s="70"/>
      <c r="BG431" s="70"/>
      <c r="BH431" s="70"/>
      <c r="BI431" s="70"/>
      <c r="BJ431" s="70"/>
    </row>
    <row r="432" spans="1:63" s="78" customFormat="1" ht="12" customHeight="1" x14ac:dyDescent="0.2">
      <c r="A432" s="11" t="s">
        <v>28274</v>
      </c>
      <c r="B432" s="68">
        <v>24</v>
      </c>
      <c r="C432" s="11" t="s">
        <v>20</v>
      </c>
      <c r="D432" s="11" t="s">
        <v>85</v>
      </c>
      <c r="E432" s="71" t="s">
        <v>28275</v>
      </c>
      <c r="F432" s="69">
        <v>42789</v>
      </c>
      <c r="G432" s="11" t="s">
        <v>28276</v>
      </c>
      <c r="H432" s="11" t="s">
        <v>1611</v>
      </c>
      <c r="I432" s="11" t="s">
        <v>269</v>
      </c>
      <c r="J432" s="11">
        <v>89501</v>
      </c>
      <c r="K432" s="11" t="s">
        <v>6245</v>
      </c>
      <c r="L432" s="11" t="s">
        <v>7469</v>
      </c>
      <c r="M432" s="11" t="s">
        <v>27</v>
      </c>
      <c r="N432" s="11" t="s">
        <v>28277</v>
      </c>
      <c r="O432" s="11" t="s">
        <v>400</v>
      </c>
      <c r="P432" s="11" t="s">
        <v>401</v>
      </c>
      <c r="Q432" s="71" t="s">
        <v>28278</v>
      </c>
      <c r="R432" s="11" t="s">
        <v>100</v>
      </c>
      <c r="S432" s="11" t="s">
        <v>28</v>
      </c>
      <c r="T432" s="68" t="s">
        <v>27756</v>
      </c>
      <c r="U432" s="68" t="s">
        <v>29436</v>
      </c>
      <c r="V432" s="68" t="s">
        <v>29440</v>
      </c>
      <c r="W432" s="68" t="s">
        <v>100</v>
      </c>
      <c r="X432" s="68">
        <v>2376</v>
      </c>
      <c r="Y432" s="11"/>
      <c r="Z432" s="11"/>
      <c r="AA432" s="11"/>
      <c r="AB432" s="11"/>
      <c r="AC432" s="11"/>
      <c r="AD432" s="11"/>
      <c r="AE432" s="11"/>
      <c r="AF432" s="11"/>
      <c r="AG432" s="11"/>
      <c r="AH432" s="70"/>
      <c r="AI432" s="70"/>
      <c r="AJ432" s="70"/>
      <c r="AK432" s="70"/>
      <c r="AL432" s="70"/>
      <c r="AM432" s="70"/>
      <c r="AN432" s="70"/>
      <c r="AO432" s="70"/>
      <c r="AP432" s="70"/>
      <c r="AQ432" s="70"/>
      <c r="AR432" s="70"/>
      <c r="AS432" s="70"/>
      <c r="AT432" s="70"/>
      <c r="AU432" s="70"/>
      <c r="AV432" s="70"/>
      <c r="AW432" s="11"/>
      <c r="AX432" s="44"/>
      <c r="AY432" s="44"/>
      <c r="AZ432" s="70"/>
      <c r="BA432" s="44"/>
      <c r="BB432" s="44"/>
      <c r="BC432" s="70"/>
      <c r="BD432" s="70"/>
      <c r="BE432" s="70"/>
      <c r="BF432" s="70"/>
      <c r="BG432" s="70"/>
      <c r="BH432" s="70"/>
      <c r="BI432" s="70"/>
      <c r="BJ432" s="70"/>
    </row>
    <row r="433" spans="1:63" s="78" customFormat="1" ht="12" customHeight="1" x14ac:dyDescent="0.2">
      <c r="A433" s="11" t="s">
        <v>27862</v>
      </c>
      <c r="B433" s="68">
        <v>33</v>
      </c>
      <c r="C433" s="11" t="s">
        <v>20</v>
      </c>
      <c r="D433" s="11" t="s">
        <v>48</v>
      </c>
      <c r="E433" s="71" t="s">
        <v>27863</v>
      </c>
      <c r="F433" s="69">
        <v>42789</v>
      </c>
      <c r="G433" s="11" t="s">
        <v>27864</v>
      </c>
      <c r="H433" s="11" t="s">
        <v>1338</v>
      </c>
      <c r="I433" s="11" t="s">
        <v>363</v>
      </c>
      <c r="J433" s="11">
        <v>67114</v>
      </c>
      <c r="K433" s="11" t="s">
        <v>2295</v>
      </c>
      <c r="L433" s="11" t="s">
        <v>7856</v>
      </c>
      <c r="M433" s="11" t="s">
        <v>27</v>
      </c>
      <c r="N433" s="11" t="s">
        <v>27865</v>
      </c>
      <c r="O433" s="11" t="s">
        <v>400</v>
      </c>
      <c r="P433" s="11" t="s">
        <v>401</v>
      </c>
      <c r="Q433" s="71" t="s">
        <v>27866</v>
      </c>
      <c r="R433" s="11" t="s">
        <v>100</v>
      </c>
      <c r="S433" s="11" t="s">
        <v>28</v>
      </c>
      <c r="T433" s="68" t="s">
        <v>27756</v>
      </c>
      <c r="U433" s="68" t="s">
        <v>29438</v>
      </c>
      <c r="V433" s="68" t="s">
        <v>29439</v>
      </c>
      <c r="W433" s="68" t="s">
        <v>100</v>
      </c>
      <c r="X433" s="68">
        <v>2370</v>
      </c>
      <c r="Y433" s="11"/>
      <c r="Z433" s="11"/>
      <c r="AA433" s="11"/>
      <c r="AB433" s="11"/>
      <c r="AC433" s="11"/>
      <c r="AD433" s="11"/>
      <c r="AE433" s="11"/>
      <c r="AF433" s="11"/>
      <c r="AG433" s="11"/>
      <c r="AH433" s="70"/>
      <c r="AI433" s="70"/>
      <c r="AJ433" s="70"/>
      <c r="AK433" s="70"/>
      <c r="AL433" s="70"/>
      <c r="AM433" s="70"/>
      <c r="AN433" s="70"/>
      <c r="AO433" s="70"/>
      <c r="AP433" s="70"/>
      <c r="AQ433" s="70"/>
      <c r="AR433" s="70"/>
      <c r="AS433" s="70"/>
      <c r="AT433" s="70"/>
      <c r="AU433" s="70"/>
      <c r="AV433" s="70"/>
      <c r="AW433" s="11"/>
      <c r="AX433" s="1"/>
      <c r="AY433" s="1"/>
      <c r="AZ433" s="70"/>
      <c r="BA433" s="44"/>
      <c r="BB433" s="44"/>
      <c r="BC433" s="1"/>
      <c r="BD433" s="1"/>
      <c r="BE433" s="1"/>
      <c r="BF433" s="1"/>
      <c r="BG433" s="1"/>
      <c r="BH433" s="1"/>
      <c r="BI433" s="1"/>
      <c r="BJ433" s="1"/>
    </row>
    <row r="434" spans="1:63" s="78" customFormat="1" ht="12" customHeight="1" x14ac:dyDescent="0.2">
      <c r="A434" s="11" t="s">
        <v>28082</v>
      </c>
      <c r="B434" s="68">
        <v>54</v>
      </c>
      <c r="C434" s="11" t="s">
        <v>20</v>
      </c>
      <c r="D434" s="11" t="s">
        <v>30</v>
      </c>
      <c r="E434" s="11"/>
      <c r="F434" s="69">
        <v>42789</v>
      </c>
      <c r="G434" s="11" t="s">
        <v>28083</v>
      </c>
      <c r="H434" s="11" t="s">
        <v>4411</v>
      </c>
      <c r="I434" s="11" t="s">
        <v>395</v>
      </c>
      <c r="J434" s="11">
        <v>74637</v>
      </c>
      <c r="K434" s="11" t="s">
        <v>4153</v>
      </c>
      <c r="L434" s="11" t="s">
        <v>4154</v>
      </c>
      <c r="M434" s="11" t="s">
        <v>27</v>
      </c>
      <c r="N434" s="11" t="s">
        <v>28084</v>
      </c>
      <c r="O434" s="11" t="s">
        <v>400</v>
      </c>
      <c r="P434" s="11" t="s">
        <v>401</v>
      </c>
      <c r="Q434" s="71" t="s">
        <v>28085</v>
      </c>
      <c r="R434" s="11" t="s">
        <v>100</v>
      </c>
      <c r="S434" s="11" t="s">
        <v>28</v>
      </c>
      <c r="T434" s="68" t="s">
        <v>27756</v>
      </c>
      <c r="U434" s="68" t="s">
        <v>29438</v>
      </c>
      <c r="V434" s="68" t="s">
        <v>29439</v>
      </c>
      <c r="W434" s="68" t="s">
        <v>100</v>
      </c>
      <c r="X434" s="68">
        <v>2373</v>
      </c>
      <c r="Y434" s="11"/>
      <c r="Z434" s="11"/>
      <c r="AA434" s="11"/>
      <c r="AB434" s="11"/>
      <c r="AC434" s="11"/>
      <c r="AD434" s="11"/>
      <c r="AE434" s="11"/>
      <c r="AF434" s="11"/>
      <c r="AG434" s="11"/>
      <c r="AH434" s="70"/>
      <c r="AI434" s="70"/>
      <c r="AJ434" s="70"/>
      <c r="AK434" s="70"/>
      <c r="AL434" s="70"/>
      <c r="AM434" s="70"/>
      <c r="AN434" s="70"/>
      <c r="AO434" s="70"/>
      <c r="AP434" s="70"/>
      <c r="AQ434" s="70"/>
      <c r="AR434" s="70"/>
      <c r="AS434" s="70"/>
      <c r="AT434" s="70"/>
      <c r="AU434" s="70"/>
      <c r="AV434" s="70"/>
      <c r="AW434" s="1"/>
      <c r="AX434" s="1"/>
      <c r="AY434" s="1"/>
      <c r="AZ434" s="70"/>
      <c r="BA434" s="44"/>
      <c r="BB434" s="44"/>
      <c r="BC434" s="1"/>
      <c r="BD434" s="1"/>
      <c r="BE434" s="1"/>
      <c r="BF434" s="1"/>
      <c r="BG434" s="1"/>
      <c r="BH434" s="1"/>
      <c r="BI434" s="1"/>
      <c r="BJ434" s="1"/>
    </row>
    <row r="435" spans="1:63" s="78" customFormat="1" ht="12" customHeight="1" x14ac:dyDescent="0.2">
      <c r="A435" s="11" t="s">
        <v>28702</v>
      </c>
      <c r="B435" s="68">
        <v>41</v>
      </c>
      <c r="C435" s="11" t="s">
        <v>20</v>
      </c>
      <c r="D435" s="11" t="s">
        <v>85</v>
      </c>
      <c r="E435" s="71" t="s">
        <v>28703</v>
      </c>
      <c r="F435" s="69">
        <v>42788</v>
      </c>
      <c r="G435" s="11" t="s">
        <v>28704</v>
      </c>
      <c r="H435" s="11" t="s">
        <v>10666</v>
      </c>
      <c r="I435" s="11" t="s">
        <v>73</v>
      </c>
      <c r="J435" s="11">
        <v>77384</v>
      </c>
      <c r="K435" s="11" t="s">
        <v>1056</v>
      </c>
      <c r="L435" s="11" t="s">
        <v>20458</v>
      </c>
      <c r="M435" s="11" t="s">
        <v>27</v>
      </c>
      <c r="N435" s="11" t="s">
        <v>28705</v>
      </c>
      <c r="O435" s="11" t="s">
        <v>400</v>
      </c>
      <c r="P435" s="11" t="s">
        <v>401</v>
      </c>
      <c r="Q435" s="71" t="s">
        <v>28706</v>
      </c>
      <c r="R435" s="11" t="s">
        <v>100</v>
      </c>
      <c r="S435" s="11" t="s">
        <v>28</v>
      </c>
      <c r="T435" s="68" t="s">
        <v>29493</v>
      </c>
      <c r="U435" s="68" t="s">
        <v>29438</v>
      </c>
      <c r="V435" s="68" t="s">
        <v>29439</v>
      </c>
      <c r="W435" s="68" t="s">
        <v>100</v>
      </c>
      <c r="X435" s="68">
        <v>2369</v>
      </c>
      <c r="Y435" s="11"/>
      <c r="Z435" s="11"/>
      <c r="AA435" s="11"/>
      <c r="AB435" s="11"/>
      <c r="AC435" s="11"/>
      <c r="AD435" s="11"/>
      <c r="AE435" s="11"/>
      <c r="AF435" s="11"/>
      <c r="AG435" s="11"/>
      <c r="AH435" s="70"/>
      <c r="AI435" s="70"/>
      <c r="AJ435" s="70"/>
      <c r="AK435" s="70"/>
      <c r="AL435" s="70"/>
      <c r="AM435" s="70"/>
      <c r="AN435" s="70"/>
      <c r="AO435" s="70"/>
      <c r="AP435" s="70"/>
      <c r="AQ435" s="70"/>
      <c r="AR435" s="70"/>
      <c r="AS435" s="70"/>
      <c r="AT435" s="70"/>
      <c r="AU435" s="70"/>
      <c r="AV435" s="70"/>
      <c r="AW435" s="44"/>
      <c r="AX435" s="44"/>
      <c r="AY435" s="44"/>
      <c r="AZ435" s="70"/>
      <c r="BA435" s="44"/>
      <c r="BB435" s="44"/>
      <c r="BC435" s="70"/>
      <c r="BD435" s="70"/>
      <c r="BE435" s="70"/>
      <c r="BF435" s="70"/>
      <c r="BG435" s="70"/>
      <c r="BH435" s="70"/>
      <c r="BI435" s="70"/>
      <c r="BJ435" s="70"/>
    </row>
    <row r="436" spans="1:63" s="78" customFormat="1" ht="12" customHeight="1" x14ac:dyDescent="0.2">
      <c r="A436" s="11" t="s">
        <v>28098</v>
      </c>
      <c r="B436" s="11">
        <v>28</v>
      </c>
      <c r="C436" s="11" t="s">
        <v>20</v>
      </c>
      <c r="D436" s="11" t="s">
        <v>37</v>
      </c>
      <c r="E436" s="71" t="s">
        <v>28099</v>
      </c>
      <c r="F436" s="72">
        <v>42788</v>
      </c>
      <c r="G436" s="11" t="s">
        <v>28100</v>
      </c>
      <c r="H436" s="11" t="s">
        <v>28101</v>
      </c>
      <c r="I436" s="11" t="s">
        <v>62</v>
      </c>
      <c r="J436" s="11">
        <v>33850</v>
      </c>
      <c r="K436" s="11" t="s">
        <v>1864</v>
      </c>
      <c r="L436" s="11" t="s">
        <v>257</v>
      </c>
      <c r="M436" s="11" t="s">
        <v>27</v>
      </c>
      <c r="N436" s="11" t="s">
        <v>28102</v>
      </c>
      <c r="O436" s="11" t="s">
        <v>400</v>
      </c>
      <c r="P436" s="11" t="s">
        <v>401</v>
      </c>
      <c r="Q436" s="71" t="s">
        <v>28103</v>
      </c>
      <c r="R436" s="11" t="s">
        <v>100</v>
      </c>
      <c r="S436" s="11" t="s">
        <v>28</v>
      </c>
      <c r="T436" s="68"/>
      <c r="U436" s="68"/>
      <c r="V436" s="68"/>
      <c r="W436" s="68"/>
      <c r="X436" s="68"/>
      <c r="Y436" s="11"/>
      <c r="Z436" s="11"/>
      <c r="AA436" s="11"/>
      <c r="AB436" s="11"/>
      <c r="AC436" s="11"/>
      <c r="AD436" s="11"/>
      <c r="AE436" s="11"/>
      <c r="AF436" s="11"/>
      <c r="AG436" s="11"/>
      <c r="AH436" s="70"/>
      <c r="AI436" s="70"/>
      <c r="AJ436" s="70"/>
      <c r="AK436" s="70"/>
      <c r="AL436" s="70"/>
      <c r="AM436" s="70"/>
      <c r="AN436" s="70"/>
      <c r="AO436" s="70"/>
      <c r="AP436" s="70"/>
      <c r="AQ436" s="70"/>
      <c r="AR436" s="70"/>
      <c r="AS436" s="70"/>
      <c r="AT436" s="70"/>
      <c r="AU436" s="70"/>
      <c r="AV436" s="70"/>
      <c r="AW436" s="1"/>
      <c r="AX436" s="1"/>
      <c r="AY436" s="1"/>
      <c r="AZ436" s="1"/>
      <c r="BA436" s="1"/>
      <c r="BB436" s="1"/>
      <c r="BC436" s="1"/>
      <c r="BD436" s="1"/>
      <c r="BE436" s="1"/>
      <c r="BF436" s="1"/>
      <c r="BG436" s="1"/>
      <c r="BH436" s="1"/>
      <c r="BI436" s="1"/>
      <c r="BJ436" s="1"/>
    </row>
    <row r="437" spans="1:63" s="78" customFormat="1" ht="12" customHeight="1" x14ac:dyDescent="0.2">
      <c r="A437" s="11" t="s">
        <v>28104</v>
      </c>
      <c r="B437" s="68">
        <v>26</v>
      </c>
      <c r="C437" s="11" t="s">
        <v>20</v>
      </c>
      <c r="D437" s="11" t="s">
        <v>37</v>
      </c>
      <c r="E437" s="11"/>
      <c r="F437" s="69">
        <v>42788</v>
      </c>
      <c r="G437" s="11" t="s">
        <v>28105</v>
      </c>
      <c r="H437" s="11" t="s">
        <v>8637</v>
      </c>
      <c r="I437" s="11" t="s">
        <v>150</v>
      </c>
      <c r="J437" s="11">
        <v>24740</v>
      </c>
      <c r="K437" s="11" t="s">
        <v>2902</v>
      </c>
      <c r="L437" s="11" t="s">
        <v>152</v>
      </c>
      <c r="M437" s="11" t="s">
        <v>27</v>
      </c>
      <c r="N437" s="11" t="s">
        <v>28106</v>
      </c>
      <c r="O437" s="11" t="s">
        <v>400</v>
      </c>
      <c r="P437" s="11" t="s">
        <v>401</v>
      </c>
      <c r="Q437" s="71" t="s">
        <v>28107</v>
      </c>
      <c r="R437" s="11" t="s">
        <v>29</v>
      </c>
      <c r="S437" s="11" t="s">
        <v>28</v>
      </c>
      <c r="T437" s="68" t="s">
        <v>29493</v>
      </c>
      <c r="U437" s="68" t="s">
        <v>29436</v>
      </c>
      <c r="V437" s="68" t="s">
        <v>29439</v>
      </c>
      <c r="W437" s="68" t="s">
        <v>100</v>
      </c>
      <c r="X437" s="68">
        <v>2371</v>
      </c>
      <c r="Y437" s="11"/>
      <c r="Z437" s="11"/>
      <c r="AA437" s="11"/>
      <c r="AB437" s="11"/>
      <c r="AC437" s="11"/>
      <c r="AD437" s="11"/>
      <c r="AE437" s="11"/>
      <c r="AF437" s="11"/>
      <c r="AG437" s="11"/>
      <c r="AH437" s="70"/>
      <c r="AI437" s="70"/>
      <c r="AJ437" s="70"/>
      <c r="AK437" s="70"/>
      <c r="AL437" s="70"/>
      <c r="AM437" s="70"/>
      <c r="AN437" s="70"/>
      <c r="AO437" s="70"/>
      <c r="AP437" s="70"/>
      <c r="AQ437" s="70"/>
      <c r="AR437" s="70"/>
      <c r="AS437" s="70"/>
      <c r="AT437" s="70"/>
      <c r="AU437" s="70"/>
      <c r="AV437" s="70"/>
      <c r="AW437" s="44"/>
      <c r="AX437" s="1"/>
      <c r="AY437" s="1"/>
      <c r="AZ437" s="70"/>
      <c r="BA437" s="1"/>
      <c r="BB437" s="1"/>
      <c r="BC437" s="1"/>
      <c r="BD437" s="1"/>
      <c r="BE437" s="1"/>
      <c r="BF437" s="1"/>
      <c r="BG437" s="1"/>
      <c r="BH437" s="1"/>
      <c r="BI437" s="1"/>
      <c r="BJ437" s="1"/>
    </row>
    <row r="438" spans="1:63" s="78" customFormat="1" ht="12" customHeight="1" x14ac:dyDescent="0.2">
      <c r="A438" s="11" t="s">
        <v>28181</v>
      </c>
      <c r="B438" s="68">
        <v>30</v>
      </c>
      <c r="C438" s="11" t="s">
        <v>114</v>
      </c>
      <c r="D438" s="11" t="s">
        <v>85</v>
      </c>
      <c r="E438" s="11"/>
      <c r="F438" s="69">
        <v>42788</v>
      </c>
      <c r="G438" s="11" t="s">
        <v>28182</v>
      </c>
      <c r="H438" s="11" t="s">
        <v>1313</v>
      </c>
      <c r="I438" s="11" t="s">
        <v>73</v>
      </c>
      <c r="J438" s="11">
        <v>78745</v>
      </c>
      <c r="K438" s="11" t="s">
        <v>1314</v>
      </c>
      <c r="L438" s="11" t="s">
        <v>1315</v>
      </c>
      <c r="M438" s="11" t="s">
        <v>27</v>
      </c>
      <c r="N438" s="11" t="s">
        <v>28183</v>
      </c>
      <c r="O438" s="11" t="s">
        <v>400</v>
      </c>
      <c r="P438" s="11" t="s">
        <v>401</v>
      </c>
      <c r="Q438" s="71" t="s">
        <v>28184</v>
      </c>
      <c r="R438" s="11" t="s">
        <v>555</v>
      </c>
      <c r="S438" s="11" t="s">
        <v>28</v>
      </c>
      <c r="T438" s="68" t="s">
        <v>29493</v>
      </c>
      <c r="U438" s="68" t="s">
        <v>29436</v>
      </c>
      <c r="V438" s="68" t="s">
        <v>29437</v>
      </c>
      <c r="W438" s="68" t="s">
        <v>100</v>
      </c>
      <c r="X438" s="68">
        <v>2372</v>
      </c>
      <c r="Y438" s="11"/>
      <c r="Z438" s="11"/>
      <c r="AA438" s="11"/>
      <c r="AB438" s="11"/>
      <c r="AC438" s="11"/>
      <c r="AD438" s="11"/>
      <c r="AE438" s="11"/>
      <c r="AF438" s="11"/>
      <c r="AG438" s="11"/>
      <c r="AH438" s="70"/>
      <c r="AI438" s="70"/>
      <c r="AJ438" s="70"/>
      <c r="AK438" s="70"/>
      <c r="AL438" s="70"/>
      <c r="AM438" s="70"/>
      <c r="AN438" s="70"/>
      <c r="AO438" s="70"/>
      <c r="AP438" s="70"/>
      <c r="AQ438" s="70"/>
      <c r="AR438" s="70"/>
      <c r="AS438" s="70"/>
      <c r="AT438" s="70"/>
      <c r="AU438" s="70"/>
      <c r="AV438" s="70"/>
      <c r="AW438" s="44"/>
      <c r="AX438" s="11"/>
      <c r="AY438" s="11"/>
      <c r="AZ438" s="70"/>
      <c r="BA438" s="44"/>
      <c r="BB438" s="11"/>
      <c r="BC438" s="70"/>
      <c r="BD438" s="70"/>
      <c r="BE438" s="70"/>
      <c r="BF438" s="70"/>
      <c r="BG438" s="70"/>
      <c r="BH438" s="70"/>
      <c r="BI438" s="70"/>
      <c r="BJ438" s="70"/>
    </row>
    <row r="439" spans="1:63" s="78" customFormat="1" ht="12" customHeight="1" x14ac:dyDescent="0.2">
      <c r="A439" s="11" t="s">
        <v>27885</v>
      </c>
      <c r="B439" s="68">
        <v>63</v>
      </c>
      <c r="C439" s="11" t="s">
        <v>20</v>
      </c>
      <c r="D439" s="11" t="s">
        <v>85</v>
      </c>
      <c r="E439" s="71" t="s">
        <v>27886</v>
      </c>
      <c r="F439" s="69">
        <v>42787</v>
      </c>
      <c r="G439" s="11" t="s">
        <v>28810</v>
      </c>
      <c r="H439" s="11" t="s">
        <v>709</v>
      </c>
      <c r="I439" s="11" t="s">
        <v>431</v>
      </c>
      <c r="J439" s="11">
        <v>63118</v>
      </c>
      <c r="K439" s="11" t="s">
        <v>20282</v>
      </c>
      <c r="L439" s="11" t="s">
        <v>4516</v>
      </c>
      <c r="M439" s="11" t="s">
        <v>27</v>
      </c>
      <c r="N439" s="11" t="s">
        <v>27887</v>
      </c>
      <c r="O439" s="11" t="s">
        <v>400</v>
      </c>
      <c r="P439" s="11" t="s">
        <v>401</v>
      </c>
      <c r="Q439" s="71" t="s">
        <v>27888</v>
      </c>
      <c r="R439" s="11" t="s">
        <v>100</v>
      </c>
      <c r="S439" s="11" t="s">
        <v>28</v>
      </c>
      <c r="T439" s="68" t="s">
        <v>27756</v>
      </c>
      <c r="U439" s="68" t="s">
        <v>29438</v>
      </c>
      <c r="V439" s="68" t="s">
        <v>29439</v>
      </c>
      <c r="W439" s="68" t="s">
        <v>100</v>
      </c>
      <c r="X439" s="68">
        <v>2365</v>
      </c>
      <c r="Y439" s="11"/>
      <c r="Z439" s="11"/>
      <c r="AA439" s="11"/>
      <c r="AB439" s="11"/>
      <c r="AC439" s="11"/>
      <c r="AD439" s="11"/>
      <c r="AE439" s="11"/>
      <c r="AF439" s="11"/>
      <c r="AG439" s="11"/>
      <c r="AH439" s="70"/>
      <c r="AI439" s="70"/>
      <c r="AJ439" s="70"/>
      <c r="AK439" s="70"/>
      <c r="AL439" s="70"/>
      <c r="AM439" s="70"/>
      <c r="AN439" s="70"/>
      <c r="AO439" s="70"/>
      <c r="AP439" s="70"/>
      <c r="AQ439" s="70"/>
      <c r="AR439" s="70"/>
      <c r="AS439" s="70"/>
      <c r="AT439" s="70"/>
      <c r="AU439" s="70"/>
      <c r="AV439" s="70"/>
      <c r="AW439" s="1"/>
      <c r="AX439" s="44"/>
      <c r="AY439" s="44"/>
      <c r="AZ439" s="70"/>
      <c r="BA439" s="44"/>
      <c r="BB439" s="44"/>
      <c r="BC439" s="70"/>
      <c r="BD439" s="70"/>
      <c r="BE439" s="70"/>
      <c r="BF439" s="70"/>
      <c r="BG439" s="70"/>
      <c r="BH439" s="70"/>
      <c r="BI439" s="70"/>
      <c r="BJ439" s="70"/>
    </row>
    <row r="440" spans="1:63" s="78" customFormat="1" ht="12" customHeight="1" x14ac:dyDescent="0.2">
      <c r="A440" s="11" t="s">
        <v>28707</v>
      </c>
      <c r="B440" s="68">
        <v>39</v>
      </c>
      <c r="C440" s="11" t="s">
        <v>20</v>
      </c>
      <c r="D440" s="11" t="s">
        <v>48</v>
      </c>
      <c r="E440" s="71" t="s">
        <v>28708</v>
      </c>
      <c r="F440" s="69">
        <v>42787</v>
      </c>
      <c r="G440" s="11" t="s">
        <v>28863</v>
      </c>
      <c r="H440" s="11" t="s">
        <v>20068</v>
      </c>
      <c r="I440" s="11" t="s">
        <v>209</v>
      </c>
      <c r="J440" s="11">
        <v>80907</v>
      </c>
      <c r="K440" s="11" t="s">
        <v>857</v>
      </c>
      <c r="L440" s="11" t="s">
        <v>20070</v>
      </c>
      <c r="M440" s="11" t="s">
        <v>27</v>
      </c>
      <c r="N440" s="11" t="s">
        <v>28709</v>
      </c>
      <c r="O440" s="11" t="s">
        <v>400</v>
      </c>
      <c r="P440" s="11" t="s">
        <v>401</v>
      </c>
      <c r="Q440" s="71" t="s">
        <v>28710</v>
      </c>
      <c r="R440" s="11" t="s">
        <v>100</v>
      </c>
      <c r="S440" s="11" t="s">
        <v>28</v>
      </c>
      <c r="T440" s="68" t="s">
        <v>27756</v>
      </c>
      <c r="U440" s="68" t="s">
        <v>29436</v>
      </c>
      <c r="V440" s="68" t="s">
        <v>21212</v>
      </c>
      <c r="W440" s="68" t="s">
        <v>100</v>
      </c>
      <c r="X440" s="68">
        <v>2368</v>
      </c>
      <c r="Y440" s="11"/>
      <c r="Z440" s="11"/>
      <c r="AA440" s="11"/>
      <c r="AB440" s="11"/>
      <c r="AC440" s="11"/>
      <c r="AD440" s="11"/>
      <c r="AE440" s="11"/>
      <c r="AF440" s="11"/>
      <c r="AG440" s="11"/>
      <c r="AH440" s="70"/>
      <c r="AI440" s="70"/>
      <c r="AJ440" s="70"/>
      <c r="AK440" s="70"/>
      <c r="AL440" s="70"/>
      <c r="AM440" s="70"/>
      <c r="AN440" s="70"/>
      <c r="AO440" s="70"/>
      <c r="AP440" s="70"/>
      <c r="AQ440" s="70"/>
      <c r="AR440" s="70"/>
      <c r="AS440" s="70"/>
      <c r="AT440" s="70"/>
      <c r="AU440" s="70"/>
      <c r="AV440" s="70"/>
      <c r="AW440" s="44"/>
      <c r="AX440" s="1"/>
      <c r="AY440" s="1"/>
      <c r="AZ440" s="70"/>
      <c r="BA440" s="44"/>
      <c r="BB440" s="44"/>
      <c r="BC440" s="1"/>
      <c r="BD440" s="1"/>
      <c r="BE440" s="1"/>
      <c r="BF440" s="1"/>
      <c r="BG440" s="1"/>
      <c r="BH440" s="1"/>
      <c r="BI440" s="1"/>
      <c r="BJ440" s="1"/>
    </row>
    <row r="441" spans="1:63" s="78" customFormat="1" ht="12" customHeight="1" x14ac:dyDescent="0.2">
      <c r="A441" s="11" t="s">
        <v>27777</v>
      </c>
      <c r="B441" s="68">
        <v>25</v>
      </c>
      <c r="C441" s="11" t="s">
        <v>20</v>
      </c>
      <c r="D441" s="11" t="s">
        <v>48</v>
      </c>
      <c r="E441" s="71" t="s">
        <v>27778</v>
      </c>
      <c r="F441" s="69">
        <v>42787</v>
      </c>
      <c r="G441" s="11" t="s">
        <v>27779</v>
      </c>
      <c r="H441" s="11" t="s">
        <v>1446</v>
      </c>
      <c r="I441" s="11" t="s">
        <v>240</v>
      </c>
      <c r="J441" s="11">
        <v>84401</v>
      </c>
      <c r="K441" s="11" t="s">
        <v>1447</v>
      </c>
      <c r="L441" s="11" t="s">
        <v>7327</v>
      </c>
      <c r="M441" s="11" t="s">
        <v>27</v>
      </c>
      <c r="N441" s="11" t="s">
        <v>27780</v>
      </c>
      <c r="O441" s="11" t="s">
        <v>400</v>
      </c>
      <c r="P441" s="11" t="s">
        <v>401</v>
      </c>
      <c r="Q441" s="71" t="s">
        <v>27781</v>
      </c>
      <c r="R441" s="11" t="s">
        <v>100</v>
      </c>
      <c r="S441" s="11" t="s">
        <v>28</v>
      </c>
      <c r="T441" s="68" t="s">
        <v>27756</v>
      </c>
      <c r="U441" s="68" t="s">
        <v>29438</v>
      </c>
      <c r="V441" s="68" t="s">
        <v>29439</v>
      </c>
      <c r="W441" s="68" t="s">
        <v>555</v>
      </c>
      <c r="X441" s="68">
        <v>2367</v>
      </c>
      <c r="Y441" s="11"/>
      <c r="Z441" s="11"/>
      <c r="AA441" s="11"/>
      <c r="AB441" s="11"/>
      <c r="AC441" s="11"/>
      <c r="AD441" s="11"/>
      <c r="AE441" s="11"/>
      <c r="AF441" s="11"/>
      <c r="AG441" s="11"/>
      <c r="AH441" s="70"/>
      <c r="AI441" s="70"/>
      <c r="AJ441" s="70"/>
      <c r="AK441" s="70"/>
      <c r="AL441" s="70"/>
      <c r="AM441" s="70"/>
      <c r="AN441" s="70"/>
      <c r="AO441" s="70"/>
      <c r="AP441" s="70"/>
      <c r="AQ441" s="70"/>
      <c r="AR441" s="70"/>
      <c r="AS441" s="70"/>
      <c r="AT441" s="70"/>
      <c r="AU441" s="70"/>
      <c r="AV441" s="70"/>
      <c r="AW441" s="11"/>
      <c r="AX441" s="1"/>
      <c r="AY441" s="1"/>
      <c r="AZ441" s="70"/>
      <c r="BA441" s="44"/>
      <c r="BB441" s="44"/>
      <c r="BC441" s="1"/>
      <c r="BD441" s="1"/>
      <c r="BE441" s="1"/>
      <c r="BF441" s="1"/>
      <c r="BG441" s="1"/>
      <c r="BH441" s="1"/>
      <c r="BI441" s="1"/>
      <c r="BJ441" s="1"/>
    </row>
    <row r="442" spans="1:63" s="78" customFormat="1" ht="12" customHeight="1" x14ac:dyDescent="0.2">
      <c r="A442" s="11" t="s">
        <v>28502</v>
      </c>
      <c r="B442" s="68">
        <v>38</v>
      </c>
      <c r="C442" s="11" t="s">
        <v>20</v>
      </c>
      <c r="D442" s="11" t="s">
        <v>48</v>
      </c>
      <c r="E442" s="71" t="s">
        <v>28503</v>
      </c>
      <c r="F442" s="69">
        <v>42787</v>
      </c>
      <c r="G442" s="11" t="s">
        <v>28504</v>
      </c>
      <c r="H442" s="11" t="s">
        <v>6587</v>
      </c>
      <c r="I442" s="11" t="s">
        <v>240</v>
      </c>
      <c r="J442" s="11">
        <v>84067</v>
      </c>
      <c r="K442" s="11" t="s">
        <v>1447</v>
      </c>
      <c r="L442" s="11" t="s">
        <v>6589</v>
      </c>
      <c r="M442" s="11" t="s">
        <v>27</v>
      </c>
      <c r="N442" s="11" t="s">
        <v>28505</v>
      </c>
      <c r="O442" s="11" t="s">
        <v>400</v>
      </c>
      <c r="P442" s="11" t="s">
        <v>401</v>
      </c>
      <c r="Q442" s="71" t="s">
        <v>28506</v>
      </c>
      <c r="R442" s="11" t="s">
        <v>29</v>
      </c>
      <c r="S442" s="11" t="s">
        <v>28</v>
      </c>
      <c r="T442" s="68" t="s">
        <v>27756</v>
      </c>
      <c r="U442" s="68" t="s">
        <v>29438</v>
      </c>
      <c r="V442" s="68" t="s">
        <v>29439</v>
      </c>
      <c r="W442" s="68" t="s">
        <v>555</v>
      </c>
      <c r="X442" s="68">
        <v>2366</v>
      </c>
      <c r="Y442" s="11"/>
      <c r="Z442" s="11"/>
      <c r="AA442" s="11"/>
      <c r="AB442" s="11"/>
      <c r="AC442" s="11"/>
      <c r="AD442" s="11"/>
      <c r="AE442" s="11"/>
      <c r="AF442" s="11"/>
      <c r="AG442" s="11"/>
      <c r="AH442" s="70"/>
      <c r="AI442" s="70"/>
      <c r="AJ442" s="70"/>
      <c r="AK442" s="70"/>
      <c r="AL442" s="70"/>
      <c r="AM442" s="70"/>
      <c r="AN442" s="70"/>
      <c r="AO442" s="70"/>
      <c r="AP442" s="70"/>
      <c r="AQ442" s="70"/>
      <c r="AR442" s="70"/>
      <c r="AS442" s="70"/>
      <c r="AT442" s="70"/>
      <c r="AU442" s="70"/>
      <c r="AV442" s="70"/>
      <c r="AW442" s="11"/>
      <c r="AX442" s="1"/>
      <c r="AY442" s="1"/>
      <c r="AZ442" s="70"/>
      <c r="BA442" s="1"/>
      <c r="BB442" s="1"/>
      <c r="BC442" s="1"/>
      <c r="BD442" s="1"/>
      <c r="BE442" s="1"/>
      <c r="BF442" s="1"/>
      <c r="BG442" s="1"/>
      <c r="BH442" s="1"/>
      <c r="BI442" s="1"/>
      <c r="BJ442" s="1"/>
    </row>
    <row r="443" spans="1:63" s="78" customFormat="1" ht="12" customHeight="1" x14ac:dyDescent="0.2">
      <c r="A443" s="11" t="s">
        <v>27901</v>
      </c>
      <c r="B443" s="68">
        <v>51</v>
      </c>
      <c r="C443" s="11" t="s">
        <v>20</v>
      </c>
      <c r="D443" s="11" t="s">
        <v>37</v>
      </c>
      <c r="E443" s="71" t="s">
        <v>27902</v>
      </c>
      <c r="F443" s="69">
        <v>42787</v>
      </c>
      <c r="G443" s="11" t="s">
        <v>27903</v>
      </c>
      <c r="H443" s="11" t="s">
        <v>325</v>
      </c>
      <c r="I443" s="11" t="s">
        <v>117</v>
      </c>
      <c r="J443" s="11">
        <v>97006</v>
      </c>
      <c r="K443" s="11" t="s">
        <v>118</v>
      </c>
      <c r="L443" s="11" t="s">
        <v>1381</v>
      </c>
      <c r="M443" s="11" t="s">
        <v>27</v>
      </c>
      <c r="N443" s="11" t="s">
        <v>27904</v>
      </c>
      <c r="O443" s="11" t="s">
        <v>400</v>
      </c>
      <c r="P443" s="11" t="s">
        <v>401</v>
      </c>
      <c r="Q443" s="71" t="s">
        <v>27905</v>
      </c>
      <c r="R443" s="11" t="s">
        <v>29</v>
      </c>
      <c r="S443" s="11" t="s">
        <v>28</v>
      </c>
      <c r="T443" s="68" t="s">
        <v>27756</v>
      </c>
      <c r="U443" s="68" t="s">
        <v>29436</v>
      </c>
      <c r="V443" s="68" t="s">
        <v>29439</v>
      </c>
      <c r="W443" s="68" t="s">
        <v>100</v>
      </c>
      <c r="X443" s="68">
        <v>2357</v>
      </c>
      <c r="Y443" s="11"/>
      <c r="Z443" s="11"/>
      <c r="AA443" s="11"/>
      <c r="AB443" s="11"/>
      <c r="AC443" s="11"/>
      <c r="AD443" s="11"/>
      <c r="AE443" s="11"/>
      <c r="AF443" s="11"/>
      <c r="AG443" s="11"/>
      <c r="AH443" s="70"/>
      <c r="AI443" s="70"/>
      <c r="AJ443" s="70"/>
      <c r="AK443" s="70"/>
      <c r="AL443" s="70"/>
      <c r="AM443" s="70"/>
      <c r="AN443" s="70"/>
      <c r="AO443" s="70"/>
      <c r="AP443" s="70"/>
      <c r="AQ443" s="70"/>
      <c r="AR443" s="70"/>
      <c r="AS443" s="70"/>
      <c r="AT443" s="70"/>
      <c r="AU443" s="70"/>
      <c r="AV443" s="70"/>
      <c r="AW443" s="1"/>
      <c r="AX443" s="1"/>
      <c r="AY443" s="1"/>
      <c r="AZ443" s="70"/>
      <c r="BA443" s="1"/>
      <c r="BB443" s="1"/>
      <c r="BC443" s="1"/>
      <c r="BD443" s="1"/>
      <c r="BE443" s="1"/>
      <c r="BF443" s="1"/>
      <c r="BG443" s="1"/>
      <c r="BH443" s="1"/>
      <c r="BI443" s="1"/>
      <c r="BJ443" s="1"/>
    </row>
    <row r="444" spans="1:63" s="70" customFormat="1" ht="12" customHeight="1" x14ac:dyDescent="0.2">
      <c r="A444" s="11" t="s">
        <v>28641</v>
      </c>
      <c r="B444" s="68">
        <v>27</v>
      </c>
      <c r="C444" s="11" t="s">
        <v>20</v>
      </c>
      <c r="D444" s="11" t="s">
        <v>37</v>
      </c>
      <c r="E444" s="71" t="s">
        <v>28642</v>
      </c>
      <c r="F444" s="69">
        <v>42786</v>
      </c>
      <c r="G444" s="11" t="s">
        <v>28643</v>
      </c>
      <c r="H444" s="11" t="s">
        <v>11152</v>
      </c>
      <c r="I444" s="11" t="s">
        <v>431</v>
      </c>
      <c r="J444" s="11">
        <v>64501</v>
      </c>
      <c r="K444" s="11" t="s">
        <v>11154</v>
      </c>
      <c r="L444" s="11" t="s">
        <v>11155</v>
      </c>
      <c r="M444" s="11" t="s">
        <v>27</v>
      </c>
      <c r="N444" s="11" t="s">
        <v>28644</v>
      </c>
      <c r="O444" s="11" t="s">
        <v>400</v>
      </c>
      <c r="P444" s="11" t="s">
        <v>401</v>
      </c>
      <c r="Q444" s="71" t="s">
        <v>28645</v>
      </c>
      <c r="R444" s="11" t="s">
        <v>100</v>
      </c>
      <c r="S444" s="11" t="s">
        <v>379</v>
      </c>
      <c r="T444" s="68" t="s">
        <v>379</v>
      </c>
      <c r="U444" s="68" t="s">
        <v>29438</v>
      </c>
      <c r="V444" s="68" t="s">
        <v>29439</v>
      </c>
      <c r="W444" s="68" t="s">
        <v>100</v>
      </c>
      <c r="X444" s="68">
        <v>2353</v>
      </c>
      <c r="Y444" s="11"/>
      <c r="Z444" s="11"/>
      <c r="AA444" s="11"/>
      <c r="AB444" s="11"/>
      <c r="AC444" s="11"/>
      <c r="AD444" s="11"/>
      <c r="AE444" s="11"/>
      <c r="AF444" s="11"/>
      <c r="AG444" s="11"/>
      <c r="AW444" s="44"/>
      <c r="AX444" s="1"/>
      <c r="AY444" s="1"/>
      <c r="BA444" s="44"/>
      <c r="BB444" s="44"/>
      <c r="BC444" s="1"/>
      <c r="BD444" s="1"/>
      <c r="BE444" s="1"/>
      <c r="BF444" s="1"/>
      <c r="BG444" s="1"/>
      <c r="BH444" s="1"/>
      <c r="BI444" s="1"/>
      <c r="BJ444" s="1"/>
      <c r="BK444" s="11"/>
    </row>
    <row r="445" spans="1:63" s="70" customFormat="1" ht="12" customHeight="1" x14ac:dyDescent="0.2">
      <c r="A445" s="11" t="s">
        <v>28285</v>
      </c>
      <c r="B445" s="68">
        <v>26</v>
      </c>
      <c r="C445" s="11" t="s">
        <v>20</v>
      </c>
      <c r="D445" s="11" t="s">
        <v>37</v>
      </c>
      <c r="E445" s="11"/>
      <c r="F445" s="69">
        <v>42786</v>
      </c>
      <c r="G445" s="11" t="s">
        <v>28286</v>
      </c>
      <c r="H445" s="11" t="s">
        <v>10020</v>
      </c>
      <c r="I445" s="11" t="s">
        <v>62</v>
      </c>
      <c r="J445" s="11">
        <v>34601</v>
      </c>
      <c r="K445" s="11" t="s">
        <v>9732</v>
      </c>
      <c r="L445" s="11" t="s">
        <v>9733</v>
      </c>
      <c r="M445" s="68" t="s">
        <v>5411</v>
      </c>
      <c r="N445" s="11" t="s">
        <v>28287</v>
      </c>
      <c r="O445" s="11" t="s">
        <v>4684</v>
      </c>
      <c r="P445" s="11" t="s">
        <v>401</v>
      </c>
      <c r="Q445" s="71" t="s">
        <v>28288</v>
      </c>
      <c r="R445" s="11" t="s">
        <v>29</v>
      </c>
      <c r="S445" s="11" t="s">
        <v>28</v>
      </c>
      <c r="T445" s="68" t="s">
        <v>29493</v>
      </c>
      <c r="U445" s="68" t="s">
        <v>29438</v>
      </c>
      <c r="V445" s="68" t="s">
        <v>29439</v>
      </c>
      <c r="W445" s="68" t="s">
        <v>100</v>
      </c>
      <c r="X445" s="68">
        <v>2355</v>
      </c>
      <c r="Y445" s="11"/>
      <c r="Z445" s="11"/>
      <c r="AA445" s="11"/>
      <c r="AB445" s="11"/>
      <c r="AC445" s="11"/>
      <c r="AD445" s="11"/>
      <c r="AE445" s="11"/>
      <c r="AF445" s="11"/>
      <c r="AG445" s="11"/>
      <c r="AW445" s="44"/>
      <c r="AX445" s="1"/>
      <c r="AY445" s="1"/>
      <c r="BA445" s="1"/>
      <c r="BC445" s="1"/>
      <c r="BD445" s="1"/>
      <c r="BE445" s="1"/>
      <c r="BF445" s="1"/>
      <c r="BG445" s="1"/>
      <c r="BH445" s="1"/>
      <c r="BI445" s="1"/>
      <c r="BJ445" s="1"/>
      <c r="BK445" s="1"/>
    </row>
    <row r="446" spans="1:63" s="70" customFormat="1" ht="12" customHeight="1" x14ac:dyDescent="0.2">
      <c r="A446" s="11" t="s">
        <v>28478</v>
      </c>
      <c r="B446" s="68">
        <v>27</v>
      </c>
      <c r="C446" s="11" t="s">
        <v>20</v>
      </c>
      <c r="D446" s="11" t="s">
        <v>85</v>
      </c>
      <c r="E446" s="11"/>
      <c r="F446" s="69">
        <v>42785</v>
      </c>
      <c r="G446" s="11" t="s">
        <v>28479</v>
      </c>
      <c r="H446" s="11" t="s">
        <v>2534</v>
      </c>
      <c r="I446" s="11" t="s">
        <v>69</v>
      </c>
      <c r="J446" s="11">
        <v>44240</v>
      </c>
      <c r="K446" s="11" t="s">
        <v>2340</v>
      </c>
      <c r="L446" s="11" t="s">
        <v>3467</v>
      </c>
      <c r="M446" s="11" t="s">
        <v>27</v>
      </c>
      <c r="N446" s="11" t="s">
        <v>28480</v>
      </c>
      <c r="O446" s="11" t="s">
        <v>400</v>
      </c>
      <c r="P446" s="11" t="s">
        <v>401</v>
      </c>
      <c r="Q446" s="71" t="s">
        <v>28481</v>
      </c>
      <c r="R446" s="11" t="s">
        <v>100</v>
      </c>
      <c r="S446" s="11" t="s">
        <v>28</v>
      </c>
      <c r="T446" s="68" t="s">
        <v>29493</v>
      </c>
      <c r="U446" s="68" t="s">
        <v>29438</v>
      </c>
      <c r="V446" s="68" t="s">
        <v>29439</v>
      </c>
      <c r="W446" s="68" t="s">
        <v>100</v>
      </c>
      <c r="X446" s="68">
        <v>2356</v>
      </c>
      <c r="Y446" s="11"/>
      <c r="Z446" s="11"/>
      <c r="AA446" s="11"/>
      <c r="AB446" s="11"/>
      <c r="AC446" s="11"/>
      <c r="AD446" s="11"/>
      <c r="AE446" s="11"/>
      <c r="AF446" s="11"/>
      <c r="AG446" s="11"/>
      <c r="AW446" s="44"/>
      <c r="AX446" s="11"/>
      <c r="AY446" s="11"/>
      <c r="BA446" s="11"/>
      <c r="BB446" s="44"/>
      <c r="BK446" s="78"/>
    </row>
    <row r="447" spans="1:63" s="70" customFormat="1" ht="12" customHeight="1" x14ac:dyDescent="0.2">
      <c r="A447" s="11" t="s">
        <v>28120</v>
      </c>
      <c r="B447" s="68">
        <v>26</v>
      </c>
      <c r="C447" s="11" t="s">
        <v>20</v>
      </c>
      <c r="D447" s="11" t="s">
        <v>48</v>
      </c>
      <c r="E447" s="71" t="s">
        <v>28121</v>
      </c>
      <c r="F447" s="69">
        <v>42785</v>
      </c>
      <c r="G447" s="11" t="s">
        <v>28122</v>
      </c>
      <c r="H447" s="11" t="s">
        <v>561</v>
      </c>
      <c r="I447" s="11" t="s">
        <v>123</v>
      </c>
      <c r="J447" s="11">
        <v>85756</v>
      </c>
      <c r="K447" s="11" t="s">
        <v>562</v>
      </c>
      <c r="L447" s="11" t="s">
        <v>12735</v>
      </c>
      <c r="M447" s="11" t="s">
        <v>27</v>
      </c>
      <c r="N447" s="11" t="s">
        <v>28123</v>
      </c>
      <c r="O447" s="11" t="s">
        <v>4684</v>
      </c>
      <c r="P447" s="11" t="s">
        <v>401</v>
      </c>
      <c r="Q447" s="71" t="s">
        <v>28124</v>
      </c>
      <c r="R447" s="11" t="s">
        <v>100</v>
      </c>
      <c r="S447" s="11" t="s">
        <v>28</v>
      </c>
      <c r="T447" s="68" t="s">
        <v>27756</v>
      </c>
      <c r="U447" s="68" t="s">
        <v>29438</v>
      </c>
      <c r="V447" s="68" t="s">
        <v>29439</v>
      </c>
      <c r="W447" s="68" t="s">
        <v>100</v>
      </c>
      <c r="X447" s="68">
        <v>2362</v>
      </c>
      <c r="Y447" s="11"/>
      <c r="Z447" s="11"/>
      <c r="AA447" s="11"/>
      <c r="AB447" s="11"/>
      <c r="AC447" s="11"/>
      <c r="AD447" s="11"/>
      <c r="AE447" s="11"/>
      <c r="AF447" s="11"/>
      <c r="AG447" s="11"/>
      <c r="AW447" s="44"/>
      <c r="AX447" s="1"/>
      <c r="AY447" s="1"/>
      <c r="BA447" s="44"/>
      <c r="BB447" s="44"/>
      <c r="BC447" s="1"/>
      <c r="BD447" s="1"/>
      <c r="BE447" s="1"/>
      <c r="BF447" s="1"/>
      <c r="BG447" s="1"/>
      <c r="BH447" s="1"/>
      <c r="BI447" s="1"/>
      <c r="BJ447" s="1"/>
      <c r="BK447" s="78"/>
    </row>
    <row r="448" spans="1:63" s="70" customFormat="1" ht="12" customHeight="1" x14ac:dyDescent="0.2">
      <c r="A448" s="11" t="s">
        <v>28108</v>
      </c>
      <c r="B448" s="68">
        <v>33</v>
      </c>
      <c r="C448" s="11" t="s">
        <v>20</v>
      </c>
      <c r="D448" s="11" t="s">
        <v>37</v>
      </c>
      <c r="E448" s="71" t="s">
        <v>28109</v>
      </c>
      <c r="F448" s="69">
        <v>42785</v>
      </c>
      <c r="G448" s="11"/>
      <c r="H448" s="11" t="s">
        <v>28110</v>
      </c>
      <c r="I448" s="11" t="s">
        <v>978</v>
      </c>
      <c r="J448" s="11">
        <v>72619</v>
      </c>
      <c r="K448" s="11" t="s">
        <v>420</v>
      </c>
      <c r="L448" s="11" t="s">
        <v>28111</v>
      </c>
      <c r="M448" s="11" t="s">
        <v>27</v>
      </c>
      <c r="N448" s="11" t="s">
        <v>28112</v>
      </c>
      <c r="O448" s="11" t="s">
        <v>400</v>
      </c>
      <c r="P448" s="11" t="s">
        <v>401</v>
      </c>
      <c r="Q448" s="71" t="s">
        <v>28113</v>
      </c>
      <c r="R448" s="11" t="s">
        <v>100</v>
      </c>
      <c r="S448" s="11" t="s">
        <v>28</v>
      </c>
      <c r="T448" s="68" t="s">
        <v>27756</v>
      </c>
      <c r="U448" s="68" t="s">
        <v>29438</v>
      </c>
      <c r="V448" s="68" t="s">
        <v>29439</v>
      </c>
      <c r="W448" s="68" t="s">
        <v>100</v>
      </c>
      <c r="X448" s="68">
        <v>2360</v>
      </c>
      <c r="Y448" s="11"/>
      <c r="Z448" s="11"/>
      <c r="AA448" s="11"/>
      <c r="AB448" s="11"/>
      <c r="AC448" s="11"/>
      <c r="AD448" s="11"/>
      <c r="AE448" s="11"/>
      <c r="AF448" s="11"/>
      <c r="AG448" s="11"/>
      <c r="AW448" s="11"/>
      <c r="AX448" s="1"/>
      <c r="AY448" s="1"/>
      <c r="BA448" s="44"/>
      <c r="BB448" s="44"/>
      <c r="BC448" s="1"/>
      <c r="BD448" s="1"/>
      <c r="BE448" s="1"/>
      <c r="BF448" s="1"/>
      <c r="BG448" s="1"/>
      <c r="BH448" s="1"/>
      <c r="BI448" s="1"/>
      <c r="BJ448" s="1"/>
      <c r="BK448" s="78"/>
    </row>
    <row r="449" spans="1:63" s="70" customFormat="1" ht="12" customHeight="1" x14ac:dyDescent="0.2">
      <c r="A449" s="11" t="s">
        <v>28391</v>
      </c>
      <c r="B449" s="68">
        <v>18</v>
      </c>
      <c r="C449" s="11" t="s">
        <v>20</v>
      </c>
      <c r="D449" s="11" t="s">
        <v>48</v>
      </c>
      <c r="E449" s="71" t="s">
        <v>28392</v>
      </c>
      <c r="F449" s="69">
        <v>42785</v>
      </c>
      <c r="G449" s="11" t="s">
        <v>28393</v>
      </c>
      <c r="H449" s="11" t="s">
        <v>1710</v>
      </c>
      <c r="I449" s="11" t="s">
        <v>423</v>
      </c>
      <c r="J449" s="11">
        <v>11237</v>
      </c>
      <c r="K449" s="11" t="s">
        <v>1712</v>
      </c>
      <c r="L449" s="11" t="s">
        <v>582</v>
      </c>
      <c r="M449" s="11" t="s">
        <v>27</v>
      </c>
      <c r="N449" s="11" t="s">
        <v>28394</v>
      </c>
      <c r="O449" s="11" t="s">
        <v>4684</v>
      </c>
      <c r="P449" s="11" t="s">
        <v>401</v>
      </c>
      <c r="Q449" s="71" t="s">
        <v>28395</v>
      </c>
      <c r="R449" s="11" t="s">
        <v>100</v>
      </c>
      <c r="S449" s="11" t="s">
        <v>18</v>
      </c>
      <c r="T449" s="68" t="s">
        <v>29612</v>
      </c>
      <c r="U449" s="68" t="s">
        <v>29438</v>
      </c>
      <c r="V449" s="68" t="s">
        <v>29440</v>
      </c>
      <c r="W449" s="68" t="s">
        <v>100</v>
      </c>
      <c r="X449" s="68">
        <v>2358</v>
      </c>
      <c r="Y449" s="11"/>
      <c r="Z449" s="11"/>
      <c r="AA449" s="11"/>
      <c r="AB449" s="11"/>
      <c r="AC449" s="11"/>
      <c r="AD449" s="11"/>
      <c r="AE449" s="11"/>
      <c r="AF449" s="11"/>
      <c r="AG449" s="11"/>
      <c r="AX449" s="1"/>
      <c r="AY449" s="1"/>
      <c r="BA449" s="44"/>
      <c r="BB449" s="44"/>
      <c r="BC449" s="1"/>
      <c r="BD449" s="1"/>
      <c r="BE449" s="1"/>
      <c r="BF449" s="1"/>
      <c r="BG449" s="1"/>
      <c r="BH449" s="1"/>
      <c r="BI449" s="1"/>
      <c r="BJ449" s="1"/>
      <c r="BK449" s="1"/>
    </row>
    <row r="450" spans="1:63" s="70" customFormat="1" ht="12" customHeight="1" x14ac:dyDescent="0.2">
      <c r="A450" s="11" t="s">
        <v>28086</v>
      </c>
      <c r="B450" s="68">
        <v>46</v>
      </c>
      <c r="C450" s="11" t="s">
        <v>20</v>
      </c>
      <c r="D450" s="11" t="s">
        <v>85</v>
      </c>
      <c r="E450" s="11"/>
      <c r="F450" s="69">
        <v>42784</v>
      </c>
      <c r="G450" s="11" t="s">
        <v>28087</v>
      </c>
      <c r="H450" s="11" t="s">
        <v>11551</v>
      </c>
      <c r="I450" s="11" t="s">
        <v>366</v>
      </c>
      <c r="J450" s="11">
        <v>27243</v>
      </c>
      <c r="K450" s="11" t="s">
        <v>1061</v>
      </c>
      <c r="L450" s="11" t="s">
        <v>4424</v>
      </c>
      <c r="M450" s="11" t="s">
        <v>27</v>
      </c>
      <c r="N450" s="11" t="s">
        <v>28088</v>
      </c>
      <c r="O450" s="11" t="s">
        <v>400</v>
      </c>
      <c r="P450" s="11" t="s">
        <v>401</v>
      </c>
      <c r="Q450" s="71" t="s">
        <v>28089</v>
      </c>
      <c r="R450" s="11" t="s">
        <v>100</v>
      </c>
      <c r="S450" s="11" t="s">
        <v>28</v>
      </c>
      <c r="T450" s="68" t="s">
        <v>27756</v>
      </c>
      <c r="U450" s="68" t="s">
        <v>29438</v>
      </c>
      <c r="V450" s="68" t="s">
        <v>29439</v>
      </c>
      <c r="W450" s="68" t="s">
        <v>100</v>
      </c>
      <c r="X450" s="68">
        <v>2352</v>
      </c>
      <c r="Y450" s="11"/>
      <c r="Z450" s="11"/>
      <c r="AA450" s="11"/>
      <c r="AB450" s="11"/>
      <c r="AC450" s="11"/>
      <c r="AD450" s="11"/>
      <c r="AE450" s="11"/>
      <c r="AF450" s="11"/>
      <c r="AG450" s="11"/>
      <c r="AW450" s="1"/>
      <c r="AX450" s="44"/>
      <c r="AY450" s="44"/>
      <c r="BA450" s="44"/>
      <c r="BB450" s="44"/>
      <c r="BK450" s="78"/>
    </row>
    <row r="451" spans="1:63" s="70" customFormat="1" ht="12" customHeight="1" x14ac:dyDescent="0.2">
      <c r="A451" s="11" t="s">
        <v>28340</v>
      </c>
      <c r="B451" s="11">
        <v>48</v>
      </c>
      <c r="C451" s="11" t="s">
        <v>20</v>
      </c>
      <c r="D451" s="11" t="s">
        <v>942</v>
      </c>
      <c r="E451" s="11"/>
      <c r="F451" s="72">
        <v>42784</v>
      </c>
      <c r="G451" s="11" t="s">
        <v>28341</v>
      </c>
      <c r="H451" s="11" t="s">
        <v>2362</v>
      </c>
      <c r="I451" s="11" t="s">
        <v>870</v>
      </c>
      <c r="J451" s="11">
        <v>96819</v>
      </c>
      <c r="K451" s="11" t="s">
        <v>2362</v>
      </c>
      <c r="L451" s="11" t="s">
        <v>28342</v>
      </c>
      <c r="M451" s="44" t="s">
        <v>2291</v>
      </c>
      <c r="N451" s="11" t="s">
        <v>28343</v>
      </c>
      <c r="O451" s="11" t="s">
        <v>400</v>
      </c>
      <c r="P451" s="11" t="s">
        <v>401</v>
      </c>
      <c r="Q451" s="71" t="s">
        <v>28344</v>
      </c>
      <c r="R451" s="11" t="s">
        <v>100</v>
      </c>
      <c r="S451" s="11" t="s">
        <v>18</v>
      </c>
      <c r="T451" s="11" t="s">
        <v>28345</v>
      </c>
      <c r="U451" s="11"/>
      <c r="V451" s="11"/>
      <c r="W451" s="11"/>
      <c r="X451" s="11"/>
      <c r="Y451" s="11"/>
      <c r="Z451" s="11"/>
      <c r="AA451" s="11"/>
      <c r="AB451" s="11"/>
      <c r="AC451" s="11"/>
      <c r="AD451" s="11"/>
      <c r="AE451" s="11"/>
      <c r="AF451" s="11"/>
      <c r="AG451" s="11"/>
      <c r="AU451" s="1"/>
      <c r="AV451" s="1"/>
      <c r="AW451" s="1"/>
      <c r="AX451" s="1"/>
      <c r="AY451" s="1"/>
      <c r="BA451" s="1"/>
      <c r="BB451" s="1"/>
      <c r="BC451" s="1"/>
      <c r="BD451" s="1"/>
      <c r="BE451" s="1"/>
      <c r="BF451" s="1"/>
      <c r="BG451" s="1"/>
      <c r="BH451" s="1"/>
      <c r="BI451" s="1"/>
      <c r="BJ451" s="1"/>
      <c r="BK451" s="1"/>
    </row>
    <row r="452" spans="1:63" s="70" customFormat="1" ht="12" customHeight="1" x14ac:dyDescent="0.2">
      <c r="A452" s="11" t="s">
        <v>28375</v>
      </c>
      <c r="B452" s="68">
        <v>22</v>
      </c>
      <c r="C452" s="11" t="s">
        <v>20</v>
      </c>
      <c r="D452" s="11" t="s">
        <v>85</v>
      </c>
      <c r="E452" s="71" t="s">
        <v>28376</v>
      </c>
      <c r="F452" s="69">
        <v>42784</v>
      </c>
      <c r="G452" s="11" t="s">
        <v>28377</v>
      </c>
      <c r="H452" s="11" t="s">
        <v>1561</v>
      </c>
      <c r="I452" s="11" t="s">
        <v>4371</v>
      </c>
      <c r="J452" s="11">
        <v>4102</v>
      </c>
      <c r="K452" s="11" t="s">
        <v>3152</v>
      </c>
      <c r="L452" s="11" t="s">
        <v>28378</v>
      </c>
      <c r="M452" s="11" t="s">
        <v>27</v>
      </c>
      <c r="N452" s="11" t="s">
        <v>28379</v>
      </c>
      <c r="O452" s="11" t="s">
        <v>400</v>
      </c>
      <c r="P452" s="11" t="s">
        <v>401</v>
      </c>
      <c r="Q452" s="71" t="s">
        <v>28380</v>
      </c>
      <c r="R452" s="11" t="s">
        <v>29</v>
      </c>
      <c r="S452" s="11" t="s">
        <v>18</v>
      </c>
      <c r="T452" s="68" t="s">
        <v>29612</v>
      </c>
      <c r="U452" s="68" t="s">
        <v>29436</v>
      </c>
      <c r="V452" s="68" t="s">
        <v>29439</v>
      </c>
      <c r="W452" s="68" t="s">
        <v>100</v>
      </c>
      <c r="X452" s="68">
        <v>2351</v>
      </c>
      <c r="Y452" s="11"/>
      <c r="Z452" s="11"/>
      <c r="AA452" s="11"/>
      <c r="AB452" s="11"/>
      <c r="AC452" s="11"/>
      <c r="AD452" s="11"/>
      <c r="AE452" s="11"/>
      <c r="AF452" s="11"/>
      <c r="AG452" s="11"/>
      <c r="AW452" s="44"/>
      <c r="AX452" s="44"/>
      <c r="AY452" s="44"/>
      <c r="BA452" s="1"/>
      <c r="BB452" s="1"/>
      <c r="BK452" s="1"/>
    </row>
    <row r="453" spans="1:63" s="70" customFormat="1" ht="12" customHeight="1" x14ac:dyDescent="0.2">
      <c r="A453" s="11" t="s">
        <v>28651</v>
      </c>
      <c r="B453" s="68">
        <v>35</v>
      </c>
      <c r="C453" s="11" t="s">
        <v>20</v>
      </c>
      <c r="D453" s="11" t="s">
        <v>85</v>
      </c>
      <c r="E453" s="71" t="s">
        <v>28652</v>
      </c>
      <c r="F453" s="69">
        <v>42783</v>
      </c>
      <c r="G453" s="11"/>
      <c r="H453" s="11" t="s">
        <v>28653</v>
      </c>
      <c r="I453" s="11" t="s">
        <v>330</v>
      </c>
      <c r="J453" s="11">
        <v>99654</v>
      </c>
      <c r="K453" s="11" t="s">
        <v>21801</v>
      </c>
      <c r="L453" s="11" t="s">
        <v>11209</v>
      </c>
      <c r="M453" s="11" t="s">
        <v>27</v>
      </c>
      <c r="N453" s="11" t="s">
        <v>28654</v>
      </c>
      <c r="O453" s="11" t="s">
        <v>400</v>
      </c>
      <c r="P453" s="11" t="s">
        <v>401</v>
      </c>
      <c r="Q453" s="71" t="s">
        <v>28655</v>
      </c>
      <c r="R453" s="11" t="s">
        <v>100</v>
      </c>
      <c r="S453" s="11" t="s">
        <v>28</v>
      </c>
      <c r="T453" s="68" t="s">
        <v>27756</v>
      </c>
      <c r="U453" s="68" t="s">
        <v>29438</v>
      </c>
      <c r="V453" s="68" t="s">
        <v>29439</v>
      </c>
      <c r="W453" s="68" t="s">
        <v>100</v>
      </c>
      <c r="X453" s="68">
        <v>2363</v>
      </c>
      <c r="Y453" s="11"/>
      <c r="Z453" s="11"/>
      <c r="AA453" s="11"/>
      <c r="AB453" s="11"/>
      <c r="AC453" s="11"/>
      <c r="AD453" s="11"/>
      <c r="AE453" s="11"/>
      <c r="AF453" s="11"/>
      <c r="AG453" s="11"/>
      <c r="AW453" s="11"/>
      <c r="AX453" s="11"/>
      <c r="AY453" s="11"/>
      <c r="BA453" s="44"/>
      <c r="BB453" s="44"/>
      <c r="BK453" s="78"/>
    </row>
    <row r="454" spans="1:63" s="70" customFormat="1" ht="12" customHeight="1" x14ac:dyDescent="0.2">
      <c r="A454" s="11" t="s">
        <v>27830</v>
      </c>
      <c r="B454" s="11">
        <v>33</v>
      </c>
      <c r="C454" s="11" t="s">
        <v>20</v>
      </c>
      <c r="D454" s="11" t="s">
        <v>30</v>
      </c>
      <c r="E454" s="11"/>
      <c r="F454" s="72">
        <v>42783</v>
      </c>
      <c r="G454" s="11" t="s">
        <v>27831</v>
      </c>
      <c r="H454" s="11" t="s">
        <v>2439</v>
      </c>
      <c r="I454" s="11" t="s">
        <v>45</v>
      </c>
      <c r="J454" s="11">
        <v>90703</v>
      </c>
      <c r="K454" s="11" t="s">
        <v>98</v>
      </c>
      <c r="L454" s="11" t="s">
        <v>490</v>
      </c>
      <c r="M454" s="11" t="s">
        <v>27</v>
      </c>
      <c r="N454" s="11" t="s">
        <v>27832</v>
      </c>
      <c r="O454" s="11" t="s">
        <v>400</v>
      </c>
      <c r="P454" s="11" t="s">
        <v>401</v>
      </c>
      <c r="Q454" s="71" t="s">
        <v>27833</v>
      </c>
      <c r="R454" s="11" t="s">
        <v>100</v>
      </c>
      <c r="S454" s="11" t="s">
        <v>28</v>
      </c>
      <c r="T454" s="68"/>
      <c r="U454" s="68"/>
      <c r="V454" s="68"/>
      <c r="W454" s="68"/>
      <c r="X454" s="68"/>
      <c r="Y454" s="11"/>
      <c r="Z454" s="11"/>
      <c r="AA454" s="11"/>
      <c r="AB454" s="11"/>
      <c r="AC454" s="11"/>
      <c r="AD454" s="11"/>
      <c r="AE454" s="11"/>
      <c r="AF454" s="11"/>
      <c r="AG454" s="11"/>
      <c r="AW454" s="1"/>
      <c r="AX454" s="1"/>
      <c r="AY454" s="1"/>
      <c r="AZ454" s="1"/>
      <c r="BA454" s="1"/>
      <c r="BB454" s="1"/>
      <c r="BC454" s="1"/>
      <c r="BD454" s="1"/>
      <c r="BE454" s="1"/>
      <c r="BF454" s="1"/>
      <c r="BG454" s="1"/>
      <c r="BH454" s="1"/>
      <c r="BI454" s="1"/>
      <c r="BJ454" s="1"/>
      <c r="BK454" s="78"/>
    </row>
    <row r="455" spans="1:63" s="66" customFormat="1" ht="12" customHeight="1" x14ac:dyDescent="0.2">
      <c r="A455" s="11" t="s">
        <v>28004</v>
      </c>
      <c r="B455" s="68">
        <v>32</v>
      </c>
      <c r="C455" s="11" t="s">
        <v>20</v>
      </c>
      <c r="D455" s="11" t="s">
        <v>37</v>
      </c>
      <c r="E455" s="71" t="s">
        <v>28005</v>
      </c>
      <c r="F455" s="69">
        <v>42783</v>
      </c>
      <c r="G455" s="11" t="s">
        <v>28006</v>
      </c>
      <c r="H455" s="11" t="s">
        <v>601</v>
      </c>
      <c r="I455" s="11" t="s">
        <v>45</v>
      </c>
      <c r="J455" s="11">
        <v>94605</v>
      </c>
      <c r="K455" s="11" t="s">
        <v>602</v>
      </c>
      <c r="L455" s="11" t="s">
        <v>603</v>
      </c>
      <c r="M455" s="11" t="s">
        <v>27</v>
      </c>
      <c r="N455" s="11" t="s">
        <v>28007</v>
      </c>
      <c r="O455" s="11" t="s">
        <v>400</v>
      </c>
      <c r="P455" s="11" t="s">
        <v>401</v>
      </c>
      <c r="Q455" s="71" t="s">
        <v>28008</v>
      </c>
      <c r="R455" s="11" t="s">
        <v>100</v>
      </c>
      <c r="S455" s="11" t="s">
        <v>28</v>
      </c>
      <c r="T455" s="68" t="s">
        <v>27756</v>
      </c>
      <c r="U455" s="68" t="s">
        <v>29438</v>
      </c>
      <c r="V455" s="68" t="s">
        <v>29439</v>
      </c>
      <c r="W455" s="68" t="s">
        <v>100</v>
      </c>
      <c r="X455" s="68">
        <v>2364</v>
      </c>
      <c r="Y455" s="11"/>
      <c r="Z455" s="11"/>
      <c r="AA455" s="11"/>
      <c r="AB455" s="11"/>
      <c r="AC455" s="11"/>
      <c r="AD455" s="11"/>
      <c r="AE455" s="11"/>
      <c r="AF455" s="11"/>
      <c r="AG455" s="11"/>
      <c r="AH455" s="70"/>
      <c r="AI455" s="70"/>
      <c r="AJ455" s="70"/>
      <c r="AK455" s="70"/>
      <c r="AL455" s="70"/>
      <c r="AM455" s="70"/>
      <c r="AN455" s="70"/>
      <c r="AO455" s="70"/>
      <c r="AP455" s="70"/>
      <c r="AQ455" s="70"/>
      <c r="AR455" s="70"/>
      <c r="AS455" s="70"/>
      <c r="AT455" s="70"/>
      <c r="AU455" s="70"/>
      <c r="AV455" s="70"/>
      <c r="AW455" s="11"/>
      <c r="AX455" s="1"/>
      <c r="AY455" s="1"/>
      <c r="AZ455" s="70"/>
      <c r="BA455" s="44"/>
      <c r="BB455" s="44"/>
      <c r="BC455" s="1"/>
      <c r="BD455" s="1"/>
      <c r="BE455" s="1"/>
      <c r="BF455" s="1"/>
      <c r="BG455" s="1"/>
      <c r="BH455" s="1"/>
      <c r="BI455" s="1"/>
      <c r="BJ455" s="1"/>
      <c r="BK455" s="78"/>
    </row>
    <row r="456" spans="1:63" s="66" customFormat="1" ht="12" customHeight="1" x14ac:dyDescent="0.2">
      <c r="A456" s="11" t="s">
        <v>28321</v>
      </c>
      <c r="B456" s="68">
        <v>34</v>
      </c>
      <c r="C456" s="11" t="s">
        <v>20</v>
      </c>
      <c r="D456" s="11" t="s">
        <v>37</v>
      </c>
      <c r="E456" s="11"/>
      <c r="F456" s="69">
        <v>42783</v>
      </c>
      <c r="G456" s="11" t="s">
        <v>28842</v>
      </c>
      <c r="H456" s="11" t="s">
        <v>2487</v>
      </c>
      <c r="I456" s="11" t="s">
        <v>395</v>
      </c>
      <c r="J456" s="11">
        <v>74146</v>
      </c>
      <c r="K456" s="11" t="s">
        <v>2487</v>
      </c>
      <c r="L456" s="11" t="s">
        <v>3379</v>
      </c>
      <c r="M456" s="11" t="s">
        <v>27</v>
      </c>
      <c r="N456" s="11" t="s">
        <v>28322</v>
      </c>
      <c r="O456" s="11" t="s">
        <v>400</v>
      </c>
      <c r="P456" s="11" t="s">
        <v>401</v>
      </c>
      <c r="Q456" s="71" t="s">
        <v>28323</v>
      </c>
      <c r="R456" s="68" t="s">
        <v>555</v>
      </c>
      <c r="S456" s="11" t="s">
        <v>28</v>
      </c>
      <c r="T456" s="68" t="s">
        <v>29493</v>
      </c>
      <c r="U456" s="68" t="s">
        <v>29438</v>
      </c>
      <c r="V456" s="68" t="s">
        <v>29439</v>
      </c>
      <c r="W456" s="68" t="s">
        <v>100</v>
      </c>
      <c r="X456" s="68">
        <v>2361</v>
      </c>
      <c r="Y456" s="11"/>
      <c r="Z456" s="11"/>
      <c r="AA456" s="11"/>
      <c r="AB456" s="11"/>
      <c r="AC456" s="11"/>
      <c r="AD456" s="11"/>
      <c r="AE456" s="11"/>
      <c r="AF456" s="11"/>
      <c r="AG456" s="11"/>
      <c r="AH456" s="70"/>
      <c r="AI456" s="70"/>
      <c r="AJ456" s="70"/>
      <c r="AK456" s="70"/>
      <c r="AL456" s="70"/>
      <c r="AM456" s="70"/>
      <c r="AN456" s="70"/>
      <c r="AO456" s="70"/>
      <c r="AP456" s="70"/>
      <c r="AQ456" s="70"/>
      <c r="AR456" s="70"/>
      <c r="AS456" s="70"/>
      <c r="AT456" s="70"/>
      <c r="AU456" s="70"/>
      <c r="AV456" s="70"/>
      <c r="AW456" s="11"/>
      <c r="AX456" s="1"/>
      <c r="AY456" s="1"/>
      <c r="AZ456" s="70"/>
      <c r="BA456" s="70"/>
      <c r="BB456" s="44"/>
      <c r="BC456" s="1"/>
      <c r="BD456" s="1"/>
      <c r="BE456" s="1"/>
      <c r="BF456" s="1"/>
      <c r="BG456" s="1"/>
      <c r="BH456" s="1"/>
      <c r="BI456" s="1"/>
      <c r="BJ456" s="1"/>
      <c r="BK456" s="78"/>
    </row>
    <row r="457" spans="1:63" s="66" customFormat="1" ht="12" customHeight="1" x14ac:dyDescent="0.2">
      <c r="A457" s="11" t="s">
        <v>28678</v>
      </c>
      <c r="B457" s="68">
        <v>30</v>
      </c>
      <c r="C457" s="11" t="s">
        <v>20</v>
      </c>
      <c r="D457" s="11" t="s">
        <v>37</v>
      </c>
      <c r="E457" s="71" t="s">
        <v>28679</v>
      </c>
      <c r="F457" s="69">
        <v>42783</v>
      </c>
      <c r="G457" s="11" t="s">
        <v>28860</v>
      </c>
      <c r="H457" s="11" t="s">
        <v>12401</v>
      </c>
      <c r="I457" s="11" t="s">
        <v>73</v>
      </c>
      <c r="J457" s="11">
        <v>75051</v>
      </c>
      <c r="K457" s="11" t="s">
        <v>285</v>
      </c>
      <c r="L457" s="11" t="s">
        <v>12403</v>
      </c>
      <c r="M457" s="11" t="s">
        <v>27</v>
      </c>
      <c r="N457" s="11" t="s">
        <v>28680</v>
      </c>
      <c r="O457" s="11" t="s">
        <v>400</v>
      </c>
      <c r="P457" s="11" t="s">
        <v>401</v>
      </c>
      <c r="Q457" s="71" t="s">
        <v>28681</v>
      </c>
      <c r="R457" s="68" t="s">
        <v>555</v>
      </c>
      <c r="S457" s="11" t="s">
        <v>18</v>
      </c>
      <c r="T457" s="68" t="s">
        <v>28345</v>
      </c>
      <c r="U457" s="68" t="s">
        <v>29438</v>
      </c>
      <c r="V457" s="68" t="s">
        <v>29439</v>
      </c>
      <c r="W457" s="68" t="s">
        <v>555</v>
      </c>
      <c r="X457" s="68">
        <v>2359</v>
      </c>
      <c r="Y457" s="11"/>
      <c r="Z457" s="11"/>
      <c r="AA457" s="11"/>
      <c r="AB457" s="11"/>
      <c r="AC457" s="11"/>
      <c r="AD457" s="11"/>
      <c r="AE457" s="11"/>
      <c r="AF457" s="11"/>
      <c r="AG457" s="11"/>
      <c r="AH457" s="70"/>
      <c r="AI457" s="70"/>
      <c r="AJ457" s="70"/>
      <c r="AK457" s="70"/>
      <c r="AL457" s="70"/>
      <c r="AM457" s="70"/>
      <c r="AN457" s="70"/>
      <c r="AO457" s="70"/>
      <c r="AP457" s="70"/>
      <c r="AQ457" s="70"/>
      <c r="AR457" s="70"/>
      <c r="AS457" s="70"/>
      <c r="AT457" s="70"/>
      <c r="AU457" s="70"/>
      <c r="AV457" s="70"/>
      <c r="AW457" s="44"/>
      <c r="AX457" s="1"/>
      <c r="AY457" s="1"/>
      <c r="AZ457" s="70"/>
      <c r="BA457" s="70"/>
      <c r="BB457" s="44"/>
      <c r="BC457" s="1"/>
      <c r="BD457" s="1"/>
      <c r="BE457" s="1"/>
      <c r="BF457" s="1"/>
      <c r="BG457" s="1"/>
      <c r="BH457" s="1"/>
      <c r="BI457" s="1"/>
      <c r="BJ457" s="1"/>
      <c r="BK457" s="1"/>
    </row>
    <row r="458" spans="1:63" s="66" customFormat="1" ht="12" customHeight="1" x14ac:dyDescent="0.2">
      <c r="A458" s="68" t="s">
        <v>29431</v>
      </c>
      <c r="B458" s="68">
        <v>21</v>
      </c>
      <c r="C458" s="11" t="s">
        <v>20</v>
      </c>
      <c r="D458" s="11" t="s">
        <v>85</v>
      </c>
      <c r="E458" s="11"/>
      <c r="F458" s="69">
        <v>42782</v>
      </c>
      <c r="G458" s="11" t="s">
        <v>28836</v>
      </c>
      <c r="H458" s="11" t="s">
        <v>16329</v>
      </c>
      <c r="I458" s="11" t="s">
        <v>45</v>
      </c>
      <c r="J458" s="11">
        <v>90247</v>
      </c>
      <c r="K458" s="11" t="s">
        <v>98</v>
      </c>
      <c r="L458" s="11" t="s">
        <v>16331</v>
      </c>
      <c r="M458" s="11" t="s">
        <v>27</v>
      </c>
      <c r="N458" s="11" t="s">
        <v>28192</v>
      </c>
      <c r="O458" s="11" t="s">
        <v>4684</v>
      </c>
      <c r="P458" s="11" t="s">
        <v>401</v>
      </c>
      <c r="Q458" s="71" t="s">
        <v>28193</v>
      </c>
      <c r="R458" s="11" t="s">
        <v>100</v>
      </c>
      <c r="S458" s="11" t="s">
        <v>28</v>
      </c>
      <c r="T458" s="68" t="s">
        <v>27756</v>
      </c>
      <c r="U458" s="68" t="s">
        <v>29438</v>
      </c>
      <c r="V458" s="68" t="s">
        <v>29440</v>
      </c>
      <c r="W458" s="68" t="s">
        <v>100</v>
      </c>
      <c r="X458" s="68">
        <v>2350</v>
      </c>
      <c r="Y458" s="11"/>
      <c r="Z458" s="11"/>
      <c r="AA458" s="11"/>
      <c r="AB458" s="11"/>
      <c r="AC458" s="11"/>
      <c r="AD458" s="11"/>
      <c r="AE458" s="11"/>
      <c r="AF458" s="11"/>
      <c r="AG458" s="11"/>
      <c r="AH458" s="70"/>
      <c r="AI458" s="70"/>
      <c r="AJ458" s="70"/>
      <c r="AK458" s="70"/>
      <c r="AL458" s="70"/>
      <c r="AM458" s="70"/>
      <c r="AN458" s="70"/>
      <c r="AO458" s="70"/>
      <c r="AP458" s="70"/>
      <c r="AQ458" s="70"/>
      <c r="AR458" s="70"/>
      <c r="AS458" s="70"/>
      <c r="AT458" s="70"/>
      <c r="AU458" s="70"/>
      <c r="AV458" s="70"/>
      <c r="AW458" s="70"/>
      <c r="AX458" s="70"/>
      <c r="AY458" s="70"/>
      <c r="AZ458" s="70"/>
      <c r="BA458" s="44"/>
      <c r="BB458" s="44"/>
      <c r="BC458" s="70"/>
      <c r="BD458" s="70"/>
      <c r="BE458" s="70"/>
      <c r="BF458" s="70"/>
      <c r="BG458" s="70"/>
      <c r="BH458" s="70"/>
      <c r="BI458" s="70"/>
      <c r="BJ458" s="70"/>
      <c r="BK458" s="78"/>
    </row>
    <row r="459" spans="1:63" s="66" customFormat="1" ht="12" customHeight="1" x14ac:dyDescent="0.2">
      <c r="A459" s="11" t="s">
        <v>28324</v>
      </c>
      <c r="B459" s="68">
        <v>17</v>
      </c>
      <c r="C459" s="11" t="s">
        <v>20</v>
      </c>
      <c r="D459" s="11" t="s">
        <v>85</v>
      </c>
      <c r="E459" s="71" t="s">
        <v>28325</v>
      </c>
      <c r="F459" s="69">
        <v>42782</v>
      </c>
      <c r="G459" s="11" t="s">
        <v>28326</v>
      </c>
      <c r="H459" s="11" t="s">
        <v>1710</v>
      </c>
      <c r="I459" s="11" t="s">
        <v>423</v>
      </c>
      <c r="J459" s="11">
        <v>11208</v>
      </c>
      <c r="K459" s="11" t="s">
        <v>1712</v>
      </c>
      <c r="L459" s="11" t="s">
        <v>582</v>
      </c>
      <c r="M459" s="11" t="s">
        <v>27</v>
      </c>
      <c r="N459" s="11" t="s">
        <v>28327</v>
      </c>
      <c r="O459" s="11" t="s">
        <v>400</v>
      </c>
      <c r="P459" s="11" t="s">
        <v>401</v>
      </c>
      <c r="Q459" s="71" t="s">
        <v>28328</v>
      </c>
      <c r="R459" s="11" t="s">
        <v>100</v>
      </c>
      <c r="S459" s="11" t="s">
        <v>28</v>
      </c>
      <c r="T459" s="68" t="s">
        <v>27756</v>
      </c>
      <c r="U459" s="68" t="s">
        <v>29438</v>
      </c>
      <c r="V459" s="68" t="s">
        <v>29440</v>
      </c>
      <c r="W459" s="68" t="s">
        <v>100</v>
      </c>
      <c r="X459" s="68">
        <v>2346</v>
      </c>
      <c r="Y459" s="11"/>
      <c r="Z459" s="11"/>
      <c r="AA459" s="11"/>
      <c r="AB459" s="11"/>
      <c r="AC459" s="11"/>
      <c r="AD459" s="11"/>
      <c r="AE459" s="11"/>
      <c r="AF459" s="11"/>
      <c r="AG459" s="11"/>
      <c r="AH459" s="70"/>
      <c r="AI459" s="70"/>
      <c r="AJ459" s="70"/>
      <c r="AK459" s="70"/>
      <c r="AL459" s="70"/>
      <c r="AM459" s="70"/>
      <c r="AN459" s="70"/>
      <c r="AO459" s="70"/>
      <c r="AP459" s="70"/>
      <c r="AQ459" s="70"/>
      <c r="AR459" s="70"/>
      <c r="AS459" s="70"/>
      <c r="AT459" s="70"/>
      <c r="AU459" s="70"/>
      <c r="AV459" s="70"/>
      <c r="AW459" s="70"/>
      <c r="AX459" s="70"/>
      <c r="AY459" s="70"/>
      <c r="AZ459" s="70"/>
      <c r="BA459" s="44"/>
      <c r="BB459" s="44"/>
      <c r="BC459" s="70"/>
      <c r="BD459" s="70"/>
      <c r="BE459" s="70"/>
      <c r="BF459" s="70"/>
      <c r="BG459" s="70"/>
      <c r="BH459" s="70"/>
      <c r="BI459" s="70"/>
      <c r="BJ459" s="70"/>
      <c r="BK459" s="78"/>
    </row>
    <row r="460" spans="1:63" s="66" customFormat="1" ht="12" customHeight="1" x14ac:dyDescent="0.2">
      <c r="A460" s="11" t="s">
        <v>28051</v>
      </c>
      <c r="B460" s="68">
        <v>48</v>
      </c>
      <c r="C460" s="11" t="s">
        <v>20</v>
      </c>
      <c r="D460" s="11" t="s">
        <v>48</v>
      </c>
      <c r="E460" s="11"/>
      <c r="F460" s="69">
        <v>42782</v>
      </c>
      <c r="G460" s="11" t="s">
        <v>28826</v>
      </c>
      <c r="H460" s="11" t="s">
        <v>575</v>
      </c>
      <c r="I460" s="11" t="s">
        <v>73</v>
      </c>
      <c r="J460" s="11">
        <v>78211</v>
      </c>
      <c r="K460" s="11" t="s">
        <v>576</v>
      </c>
      <c r="L460" s="11" t="s">
        <v>577</v>
      </c>
      <c r="M460" s="11" t="s">
        <v>27</v>
      </c>
      <c r="N460" s="11" t="s">
        <v>28052</v>
      </c>
      <c r="O460" s="11" t="s">
        <v>4684</v>
      </c>
      <c r="P460" s="11" t="s">
        <v>401</v>
      </c>
      <c r="Q460" s="71" t="s">
        <v>28053</v>
      </c>
      <c r="R460" s="11" t="s">
        <v>100</v>
      </c>
      <c r="S460" s="11" t="s">
        <v>28</v>
      </c>
      <c r="T460" s="68" t="s">
        <v>27756</v>
      </c>
      <c r="U460" s="68" t="s">
        <v>29438</v>
      </c>
      <c r="V460" s="68" t="s">
        <v>29439</v>
      </c>
      <c r="W460" s="68" t="s">
        <v>100</v>
      </c>
      <c r="X460" s="68">
        <v>2349</v>
      </c>
      <c r="Y460" s="11"/>
      <c r="Z460" s="11"/>
      <c r="AA460" s="11"/>
      <c r="AB460" s="11"/>
      <c r="AC460" s="11"/>
      <c r="AD460" s="11"/>
      <c r="AE460" s="11"/>
      <c r="AF460" s="11"/>
      <c r="AG460" s="11"/>
      <c r="AH460" s="70"/>
      <c r="AI460" s="70"/>
      <c r="AJ460" s="70"/>
      <c r="AK460" s="70"/>
      <c r="AL460" s="70"/>
      <c r="AM460" s="70"/>
      <c r="AN460" s="70"/>
      <c r="AO460" s="70"/>
      <c r="AP460" s="70"/>
      <c r="AQ460" s="70"/>
      <c r="AR460" s="70"/>
      <c r="AS460" s="70"/>
      <c r="AT460" s="70"/>
      <c r="AU460" s="70"/>
      <c r="AV460" s="70"/>
      <c r="AW460" s="1"/>
      <c r="AX460" s="1"/>
      <c r="AY460" s="1"/>
      <c r="AZ460" s="70"/>
      <c r="BA460" s="44"/>
      <c r="BB460" s="11"/>
      <c r="BC460" s="1"/>
      <c r="BD460" s="1"/>
      <c r="BE460" s="1"/>
      <c r="BF460" s="1"/>
      <c r="BG460" s="1"/>
      <c r="BH460" s="1"/>
      <c r="BI460" s="1"/>
      <c r="BJ460" s="1"/>
      <c r="BK460" s="78"/>
    </row>
    <row r="461" spans="1:63" s="66" customFormat="1" ht="12" customHeight="1" x14ac:dyDescent="0.2">
      <c r="A461" s="11" t="s">
        <v>28078</v>
      </c>
      <c r="B461" s="68">
        <v>24</v>
      </c>
      <c r="C461" s="11" t="s">
        <v>20</v>
      </c>
      <c r="D461" s="11" t="s">
        <v>85</v>
      </c>
      <c r="E461" s="71" t="s">
        <v>28079</v>
      </c>
      <c r="F461" s="69">
        <v>42781</v>
      </c>
      <c r="G461" s="11" t="s">
        <v>28829</v>
      </c>
      <c r="H461" s="11" t="s">
        <v>493</v>
      </c>
      <c r="I461" s="11" t="s">
        <v>366</v>
      </c>
      <c r="J461" s="11">
        <v>27704</v>
      </c>
      <c r="K461" s="11" t="s">
        <v>493</v>
      </c>
      <c r="L461" s="11" t="s">
        <v>495</v>
      </c>
      <c r="M461" s="11" t="s">
        <v>27</v>
      </c>
      <c r="N461" s="11" t="s">
        <v>28080</v>
      </c>
      <c r="O461" s="11" t="s">
        <v>400</v>
      </c>
      <c r="P461" s="11" t="s">
        <v>401</v>
      </c>
      <c r="Q461" s="71" t="s">
        <v>28081</v>
      </c>
      <c r="R461" s="11" t="s">
        <v>100</v>
      </c>
      <c r="S461" s="11" t="s">
        <v>28</v>
      </c>
      <c r="T461" s="68" t="s">
        <v>27756</v>
      </c>
      <c r="U461" s="68" t="s">
        <v>29438</v>
      </c>
      <c r="V461" s="68" t="s">
        <v>29440</v>
      </c>
      <c r="W461" s="68" t="s">
        <v>100</v>
      </c>
      <c r="X461" s="68">
        <v>2342</v>
      </c>
      <c r="Y461" s="11"/>
      <c r="Z461" s="11"/>
      <c r="AA461" s="11"/>
      <c r="AB461" s="11"/>
      <c r="AC461" s="11"/>
      <c r="AD461" s="11"/>
      <c r="AE461" s="11"/>
      <c r="AF461" s="11"/>
      <c r="AG461" s="11"/>
      <c r="AH461" s="70"/>
      <c r="AI461" s="70"/>
      <c r="AJ461" s="70"/>
      <c r="AK461" s="70"/>
      <c r="AL461" s="70"/>
      <c r="AM461" s="70"/>
      <c r="AN461" s="70"/>
      <c r="AO461" s="70"/>
      <c r="AP461" s="70"/>
      <c r="AQ461" s="70"/>
      <c r="AR461" s="70"/>
      <c r="AS461" s="70"/>
      <c r="AT461" s="70"/>
      <c r="AU461" s="70"/>
      <c r="AV461" s="70"/>
      <c r="AW461" s="11"/>
      <c r="AX461" s="44"/>
      <c r="AY461" s="44"/>
      <c r="AZ461" s="70"/>
      <c r="BA461" s="44"/>
      <c r="BB461" s="11"/>
      <c r="BC461" s="70"/>
      <c r="BD461" s="70"/>
      <c r="BE461" s="70"/>
      <c r="BF461" s="70"/>
      <c r="BG461" s="70"/>
      <c r="BH461" s="70"/>
      <c r="BI461" s="70"/>
      <c r="BJ461" s="70"/>
      <c r="BK461" s="78"/>
    </row>
    <row r="462" spans="1:63" s="66" customFormat="1" ht="12" customHeight="1" x14ac:dyDescent="0.2">
      <c r="A462" s="11" t="s">
        <v>27757</v>
      </c>
      <c r="B462" s="68">
        <v>33</v>
      </c>
      <c r="C462" s="11" t="s">
        <v>20</v>
      </c>
      <c r="D462" s="11" t="s">
        <v>37</v>
      </c>
      <c r="E462" s="71" t="s">
        <v>27758</v>
      </c>
      <c r="F462" s="69">
        <v>42781</v>
      </c>
      <c r="G462" s="11" t="s">
        <v>28800</v>
      </c>
      <c r="H462" s="11" t="s">
        <v>23489</v>
      </c>
      <c r="I462" s="11" t="s">
        <v>431</v>
      </c>
      <c r="J462" s="11">
        <v>63701</v>
      </c>
      <c r="K462" s="11" t="s">
        <v>23489</v>
      </c>
      <c r="L462" s="11" t="s">
        <v>27759</v>
      </c>
      <c r="M462" s="11" t="s">
        <v>27</v>
      </c>
      <c r="N462" s="11" t="s">
        <v>27760</v>
      </c>
      <c r="O462" s="11" t="s">
        <v>400</v>
      </c>
      <c r="P462" s="11" t="s">
        <v>401</v>
      </c>
      <c r="Q462" s="71" t="s">
        <v>27761</v>
      </c>
      <c r="R462" s="11" t="s">
        <v>100</v>
      </c>
      <c r="S462" s="11" t="s">
        <v>28</v>
      </c>
      <c r="T462" s="68" t="s">
        <v>29493</v>
      </c>
      <c r="U462" s="68" t="s">
        <v>29436</v>
      </c>
      <c r="V462" s="68" t="s">
        <v>29439</v>
      </c>
      <c r="W462" s="68" t="s">
        <v>100</v>
      </c>
      <c r="X462" s="68">
        <v>2344</v>
      </c>
      <c r="Y462" s="11"/>
      <c r="Z462" s="11"/>
      <c r="AA462" s="11"/>
      <c r="AB462" s="11"/>
      <c r="AC462" s="11"/>
      <c r="AD462" s="11"/>
      <c r="AE462" s="11"/>
      <c r="AF462" s="11"/>
      <c r="AG462" s="11"/>
      <c r="AH462" s="70"/>
      <c r="AI462" s="70"/>
      <c r="AJ462" s="70"/>
      <c r="AK462" s="70"/>
      <c r="AL462" s="70"/>
      <c r="AM462" s="70"/>
      <c r="AN462" s="70"/>
      <c r="AO462" s="70"/>
      <c r="AP462" s="70"/>
      <c r="AQ462" s="70"/>
      <c r="AR462" s="70"/>
      <c r="AS462" s="70"/>
      <c r="AT462" s="70"/>
      <c r="AU462" s="70"/>
      <c r="AV462" s="70"/>
      <c r="AW462" s="11"/>
      <c r="AX462" s="1"/>
      <c r="AY462" s="1"/>
      <c r="AZ462" s="70"/>
      <c r="BA462" s="44"/>
      <c r="BB462" s="11"/>
      <c r="BC462" s="1"/>
      <c r="BD462" s="1"/>
      <c r="BE462" s="1"/>
      <c r="BF462" s="1"/>
      <c r="BG462" s="1"/>
      <c r="BH462" s="1"/>
      <c r="BI462" s="1"/>
      <c r="BJ462" s="1"/>
      <c r="BK462" s="78"/>
    </row>
    <row r="463" spans="1:63" s="66" customFormat="1" ht="12" customHeight="1" x14ac:dyDescent="0.2">
      <c r="A463" s="11" t="s">
        <v>28698</v>
      </c>
      <c r="B463" s="68">
        <v>55</v>
      </c>
      <c r="C463" s="11" t="s">
        <v>20</v>
      </c>
      <c r="D463" s="11" t="s">
        <v>48</v>
      </c>
      <c r="E463" s="11"/>
      <c r="F463" s="69">
        <v>42781</v>
      </c>
      <c r="G463" s="11" t="s">
        <v>28862</v>
      </c>
      <c r="H463" s="11" t="s">
        <v>28699</v>
      </c>
      <c r="I463" s="11" t="s">
        <v>45</v>
      </c>
      <c r="J463" s="11">
        <v>95360</v>
      </c>
      <c r="K463" s="11" t="s">
        <v>3204</v>
      </c>
      <c r="L463" s="11" t="s">
        <v>28700</v>
      </c>
      <c r="M463" s="11" t="s">
        <v>27</v>
      </c>
      <c r="N463" s="11" t="s">
        <v>28701</v>
      </c>
      <c r="O463" s="11" t="s">
        <v>4684</v>
      </c>
      <c r="P463" s="11" t="s">
        <v>401</v>
      </c>
      <c r="Q463" s="71" t="s">
        <v>28887</v>
      </c>
      <c r="R463" s="11" t="s">
        <v>100</v>
      </c>
      <c r="S463" s="11" t="s">
        <v>35</v>
      </c>
      <c r="T463" s="66" t="s">
        <v>29441</v>
      </c>
      <c r="U463" s="68" t="s">
        <v>29438</v>
      </c>
      <c r="V463" s="68" t="s">
        <v>29439</v>
      </c>
      <c r="W463" s="68" t="s">
        <v>100</v>
      </c>
      <c r="X463" s="68">
        <v>2345</v>
      </c>
      <c r="Y463" s="11"/>
      <c r="Z463" s="11"/>
      <c r="AA463" s="11"/>
      <c r="AB463" s="11"/>
      <c r="AC463" s="11"/>
      <c r="AD463" s="11"/>
      <c r="AE463" s="11"/>
      <c r="AF463" s="11"/>
      <c r="AG463" s="11"/>
      <c r="AH463" s="70"/>
      <c r="AI463" s="70"/>
      <c r="AJ463" s="70"/>
      <c r="AK463" s="70"/>
      <c r="AL463" s="70"/>
      <c r="AM463" s="70"/>
      <c r="AN463" s="70"/>
      <c r="AO463" s="70"/>
      <c r="AP463" s="70"/>
      <c r="AQ463" s="70"/>
      <c r="AR463" s="70"/>
      <c r="AS463" s="70"/>
      <c r="AT463" s="70"/>
      <c r="AU463" s="70"/>
      <c r="AV463" s="70"/>
      <c r="AW463" s="1"/>
      <c r="AX463" s="1"/>
      <c r="AY463" s="1"/>
      <c r="AZ463" s="70"/>
      <c r="BA463" s="44"/>
      <c r="BB463" s="11"/>
      <c r="BC463" s="1"/>
      <c r="BD463" s="1"/>
      <c r="BE463" s="1"/>
      <c r="BF463" s="1"/>
      <c r="BG463" s="1"/>
      <c r="BH463" s="1"/>
      <c r="BI463" s="1"/>
      <c r="BJ463" s="1"/>
      <c r="BK463" s="70"/>
    </row>
    <row r="464" spans="1:63" s="66" customFormat="1" ht="12" customHeight="1" x14ac:dyDescent="0.2">
      <c r="A464" s="11" t="s">
        <v>28607</v>
      </c>
      <c r="B464" s="68">
        <v>35</v>
      </c>
      <c r="C464" s="11" t="s">
        <v>20</v>
      </c>
      <c r="D464" s="11" t="s">
        <v>37</v>
      </c>
      <c r="E464" s="11"/>
      <c r="F464" s="69">
        <v>42780</v>
      </c>
      <c r="G464" s="11" t="s">
        <v>28608</v>
      </c>
      <c r="H464" s="11" t="s">
        <v>17014</v>
      </c>
      <c r="I464" s="11" t="s">
        <v>217</v>
      </c>
      <c r="J464" s="11">
        <v>47591</v>
      </c>
      <c r="K464" s="11" t="s">
        <v>2681</v>
      </c>
      <c r="L464" s="11" t="s">
        <v>19965</v>
      </c>
      <c r="M464" s="11" t="s">
        <v>27</v>
      </c>
      <c r="N464" s="11" t="s">
        <v>28609</v>
      </c>
      <c r="O464" s="11" t="s">
        <v>400</v>
      </c>
      <c r="P464" s="11" t="s">
        <v>401</v>
      </c>
      <c r="Q464" s="71" t="s">
        <v>28610</v>
      </c>
      <c r="R464" s="11" t="s">
        <v>100</v>
      </c>
      <c r="S464" s="13" t="s">
        <v>28</v>
      </c>
      <c r="T464" s="68" t="s">
        <v>27756</v>
      </c>
      <c r="U464" s="68" t="s">
        <v>29436</v>
      </c>
      <c r="V464" s="68" t="s">
        <v>21212</v>
      </c>
      <c r="W464" s="68" t="s">
        <v>100</v>
      </c>
      <c r="X464" s="68">
        <v>2339</v>
      </c>
      <c r="Y464" s="11"/>
      <c r="Z464" s="11"/>
      <c r="AA464" s="11"/>
      <c r="AB464" s="11"/>
      <c r="AC464" s="11"/>
      <c r="AD464" s="11"/>
      <c r="AE464" s="11"/>
      <c r="AF464" s="11"/>
      <c r="AG464" s="11"/>
      <c r="AH464" s="70"/>
      <c r="AI464" s="70"/>
      <c r="AJ464" s="70"/>
      <c r="AK464" s="70"/>
      <c r="AL464" s="70"/>
      <c r="AM464" s="70"/>
      <c r="AN464" s="70"/>
      <c r="AO464" s="70"/>
      <c r="AP464" s="70"/>
      <c r="AQ464" s="70"/>
      <c r="AR464" s="70"/>
      <c r="AS464" s="70"/>
      <c r="AT464" s="70"/>
      <c r="AU464" s="70"/>
      <c r="AV464" s="70"/>
      <c r="AW464" s="11"/>
      <c r="AX464" s="1"/>
      <c r="AY464" s="1"/>
      <c r="AZ464" s="70"/>
      <c r="BA464" s="44"/>
      <c r="BB464" s="11"/>
      <c r="BC464" s="1"/>
      <c r="BD464" s="1"/>
      <c r="BE464" s="1"/>
      <c r="BF464" s="1"/>
      <c r="BG464" s="1"/>
      <c r="BH464" s="1"/>
      <c r="BI464" s="1"/>
      <c r="BJ464" s="1"/>
      <c r="BK464" s="78"/>
    </row>
    <row r="465" spans="1:63" s="66" customFormat="1" ht="12" customHeight="1" x14ac:dyDescent="0.2">
      <c r="A465" s="11" t="s">
        <v>28270</v>
      </c>
      <c r="B465" s="11">
        <v>64</v>
      </c>
      <c r="C465" s="11" t="s">
        <v>20</v>
      </c>
      <c r="D465" s="11" t="s">
        <v>37</v>
      </c>
      <c r="E465" s="11"/>
      <c r="F465" s="72">
        <v>42780</v>
      </c>
      <c r="G465" s="11" t="s">
        <v>28271</v>
      </c>
      <c r="H465" s="11" t="s">
        <v>289</v>
      </c>
      <c r="I465" s="11" t="s">
        <v>217</v>
      </c>
      <c r="J465" s="11">
        <v>46176</v>
      </c>
      <c r="K465" s="11" t="s">
        <v>1193</v>
      </c>
      <c r="L465" s="11" t="s">
        <v>25287</v>
      </c>
      <c r="M465" s="11" t="s">
        <v>27</v>
      </c>
      <c r="N465" s="11" t="s">
        <v>28272</v>
      </c>
      <c r="O465" s="11" t="s">
        <v>400</v>
      </c>
      <c r="P465" s="11" t="s">
        <v>401</v>
      </c>
      <c r="Q465" s="71" t="s">
        <v>28273</v>
      </c>
      <c r="R465" s="11" t="s">
        <v>100</v>
      </c>
      <c r="S465" s="11" t="s">
        <v>28</v>
      </c>
      <c r="T465" s="68"/>
      <c r="U465" s="68"/>
      <c r="V465" s="68"/>
      <c r="W465" s="68"/>
      <c r="X465" s="68"/>
      <c r="Y465" s="11"/>
      <c r="Z465" s="11"/>
      <c r="AA465" s="11"/>
      <c r="AB465" s="11"/>
      <c r="AC465" s="11"/>
      <c r="AD465" s="11"/>
      <c r="AE465" s="11"/>
      <c r="AF465" s="11"/>
      <c r="AG465" s="11"/>
      <c r="AH465" s="70"/>
      <c r="AI465" s="70"/>
      <c r="AJ465" s="70"/>
      <c r="AK465" s="70"/>
      <c r="AL465" s="70"/>
      <c r="AM465" s="70"/>
      <c r="AN465" s="70"/>
      <c r="AO465" s="70"/>
      <c r="AP465" s="70"/>
      <c r="AQ465" s="70"/>
      <c r="AR465" s="70"/>
      <c r="AS465" s="70"/>
      <c r="AT465" s="70"/>
      <c r="AU465" s="70"/>
      <c r="AV465" s="70"/>
      <c r="AW465" s="1"/>
      <c r="AX465" s="1"/>
      <c r="AY465" s="1"/>
      <c r="AZ465" s="1"/>
      <c r="BA465" s="1"/>
      <c r="BB465" s="1"/>
      <c r="BC465" s="1"/>
      <c r="BD465" s="1"/>
      <c r="BE465" s="1"/>
      <c r="BF465" s="1"/>
      <c r="BG465" s="1"/>
      <c r="BH465" s="1"/>
      <c r="BI465" s="1"/>
      <c r="BJ465" s="1"/>
      <c r="BK465" s="78"/>
    </row>
    <row r="466" spans="1:63" s="66" customFormat="1" ht="12" customHeight="1" x14ac:dyDescent="0.2">
      <c r="A466" s="11" t="s">
        <v>28149</v>
      </c>
      <c r="B466" s="68">
        <v>53</v>
      </c>
      <c r="C466" s="11" t="s">
        <v>20</v>
      </c>
      <c r="D466" s="11" t="s">
        <v>37</v>
      </c>
      <c r="E466" s="11"/>
      <c r="F466" s="69">
        <v>42780</v>
      </c>
      <c r="G466" s="11" t="s">
        <v>28833</v>
      </c>
      <c r="H466" s="11" t="s">
        <v>1287</v>
      </c>
      <c r="I466" s="11" t="s">
        <v>69</v>
      </c>
      <c r="J466" s="11">
        <v>43204</v>
      </c>
      <c r="K466" s="11" t="s">
        <v>1288</v>
      </c>
      <c r="L466" s="11" t="s">
        <v>3402</v>
      </c>
      <c r="M466" s="11" t="s">
        <v>27</v>
      </c>
      <c r="N466" s="11" t="s">
        <v>28150</v>
      </c>
      <c r="O466" s="11" t="s">
        <v>4684</v>
      </c>
      <c r="P466" s="11" t="s">
        <v>401</v>
      </c>
      <c r="Q466" s="71" t="s">
        <v>28151</v>
      </c>
      <c r="R466" s="11" t="s">
        <v>555</v>
      </c>
      <c r="S466" s="11" t="s">
        <v>28</v>
      </c>
      <c r="T466" s="68" t="s">
        <v>29493</v>
      </c>
      <c r="U466" s="68" t="s">
        <v>29436</v>
      </c>
      <c r="V466" s="68" t="s">
        <v>29439</v>
      </c>
      <c r="W466" s="68" t="s">
        <v>100</v>
      </c>
      <c r="X466" s="68">
        <v>2338</v>
      </c>
      <c r="Y466" s="11"/>
      <c r="Z466" s="11"/>
      <c r="AA466" s="11"/>
      <c r="AB466" s="11"/>
      <c r="AC466" s="11"/>
      <c r="AD466" s="11"/>
      <c r="AE466" s="11"/>
      <c r="AF466" s="11"/>
      <c r="AG466" s="11"/>
      <c r="AH466" s="70"/>
      <c r="AI466" s="70"/>
      <c r="AJ466" s="70"/>
      <c r="AK466" s="70"/>
      <c r="AL466" s="70"/>
      <c r="AM466" s="70"/>
      <c r="AN466" s="70"/>
      <c r="AO466" s="70"/>
      <c r="AP466" s="70"/>
      <c r="AQ466" s="70"/>
      <c r="AR466" s="70"/>
      <c r="AS466" s="70"/>
      <c r="AT466" s="70"/>
      <c r="AU466" s="70"/>
      <c r="AV466" s="70"/>
      <c r="AW466" s="1"/>
      <c r="AX466" s="1"/>
      <c r="AY466" s="1"/>
      <c r="AZ466" s="70"/>
      <c r="BA466" s="44"/>
      <c r="BB466" s="11"/>
      <c r="BC466" s="1"/>
      <c r="BD466" s="1"/>
      <c r="BE466" s="1"/>
      <c r="BF466" s="1"/>
      <c r="BG466" s="1"/>
      <c r="BH466" s="1"/>
      <c r="BI466" s="1"/>
      <c r="BJ466" s="1"/>
      <c r="BK466" s="78"/>
    </row>
    <row r="467" spans="1:63" s="66" customFormat="1" ht="12" customHeight="1" x14ac:dyDescent="0.2">
      <c r="A467" s="11" t="s">
        <v>28515</v>
      </c>
      <c r="B467" s="68">
        <v>32</v>
      </c>
      <c r="C467" s="11" t="s">
        <v>20</v>
      </c>
      <c r="D467" s="11" t="s">
        <v>37</v>
      </c>
      <c r="E467" s="71" t="s">
        <v>28516</v>
      </c>
      <c r="F467" s="69">
        <v>42779</v>
      </c>
      <c r="G467" s="11" t="s">
        <v>28517</v>
      </c>
      <c r="H467" s="11" t="s">
        <v>387</v>
      </c>
      <c r="I467" s="11" t="s">
        <v>319</v>
      </c>
      <c r="J467" s="11">
        <v>37934</v>
      </c>
      <c r="K467" s="11" t="s">
        <v>2681</v>
      </c>
      <c r="L467" s="11" t="s">
        <v>28518</v>
      </c>
      <c r="M467" s="11" t="s">
        <v>27</v>
      </c>
      <c r="N467" s="11" t="s">
        <v>28519</v>
      </c>
      <c r="O467" s="11" t="s">
        <v>400</v>
      </c>
      <c r="P467" s="11" t="s">
        <v>401</v>
      </c>
      <c r="Q467" s="71" t="s">
        <v>28520</v>
      </c>
      <c r="R467" s="11" t="s">
        <v>964</v>
      </c>
      <c r="S467" s="11" t="s">
        <v>379</v>
      </c>
      <c r="T467" s="68" t="s">
        <v>379</v>
      </c>
      <c r="U467" s="68" t="s">
        <v>29438</v>
      </c>
      <c r="V467" s="68" t="s">
        <v>29437</v>
      </c>
      <c r="W467" s="68" t="s">
        <v>100</v>
      </c>
      <c r="X467" s="68">
        <v>2334</v>
      </c>
      <c r="Y467" s="11"/>
      <c r="Z467" s="11"/>
      <c r="AA467" s="11"/>
      <c r="AB467" s="11"/>
      <c r="AC467" s="11"/>
      <c r="AD467" s="11"/>
      <c r="AE467" s="11"/>
      <c r="AF467" s="11"/>
      <c r="AG467" s="11"/>
      <c r="AH467" s="70"/>
      <c r="AI467" s="70"/>
      <c r="AJ467" s="70"/>
      <c r="AK467" s="70"/>
      <c r="AL467" s="70"/>
      <c r="AM467" s="70"/>
      <c r="AN467" s="70"/>
      <c r="AO467" s="70"/>
      <c r="AP467" s="70"/>
      <c r="AQ467" s="70"/>
      <c r="AR467" s="70"/>
      <c r="AS467" s="70"/>
      <c r="AT467" s="70"/>
      <c r="AU467" s="70"/>
      <c r="AV467" s="70"/>
      <c r="AW467" s="11"/>
      <c r="AX467" s="1"/>
      <c r="AY467" s="1"/>
      <c r="AZ467" s="70"/>
      <c r="BA467" s="44"/>
      <c r="BB467" s="44"/>
      <c r="BC467" s="1"/>
      <c r="BD467" s="1"/>
      <c r="BE467" s="1"/>
      <c r="BF467" s="1"/>
      <c r="BG467" s="1"/>
      <c r="BH467" s="1"/>
      <c r="BI467" s="1"/>
      <c r="BJ467" s="1"/>
      <c r="BK467" s="11"/>
    </row>
    <row r="468" spans="1:63" s="66" customFormat="1" ht="12" customHeight="1" x14ac:dyDescent="0.2">
      <c r="A468" s="11" t="s">
        <v>28736</v>
      </c>
      <c r="B468" s="68">
        <v>19</v>
      </c>
      <c r="C468" s="11" t="s">
        <v>20</v>
      </c>
      <c r="D468" s="11" t="s">
        <v>85</v>
      </c>
      <c r="E468" s="71" t="s">
        <v>28737</v>
      </c>
      <c r="F468" s="69">
        <v>42779</v>
      </c>
      <c r="G468" s="11" t="s">
        <v>28866</v>
      </c>
      <c r="H468" s="11" t="s">
        <v>444</v>
      </c>
      <c r="I468" s="11" t="s">
        <v>57</v>
      </c>
      <c r="J468" s="11">
        <v>48204</v>
      </c>
      <c r="K468" s="11" t="s">
        <v>1128</v>
      </c>
      <c r="L468" s="11" t="s">
        <v>2177</v>
      </c>
      <c r="M468" s="11" t="s">
        <v>27</v>
      </c>
      <c r="N468" s="11" t="s">
        <v>28738</v>
      </c>
      <c r="O468" s="11" t="s">
        <v>4684</v>
      </c>
      <c r="P468" s="11" t="s">
        <v>401</v>
      </c>
      <c r="Q468" s="71" t="s">
        <v>28739</v>
      </c>
      <c r="R468" s="11" t="s">
        <v>100</v>
      </c>
      <c r="S468" s="11" t="s">
        <v>18</v>
      </c>
      <c r="T468" s="68" t="s">
        <v>28345</v>
      </c>
      <c r="U468" s="68" t="s">
        <v>29438</v>
      </c>
      <c r="V468" s="68" t="s">
        <v>21212</v>
      </c>
      <c r="W468" s="68" t="s">
        <v>100</v>
      </c>
      <c r="X468" s="68">
        <v>2337</v>
      </c>
      <c r="Y468" s="11"/>
      <c r="Z468" s="11"/>
      <c r="AA468" s="11"/>
      <c r="AB468" s="11"/>
      <c r="AC468" s="11"/>
      <c r="AD468" s="11"/>
      <c r="AE468" s="11"/>
      <c r="AF468" s="11"/>
      <c r="AG468" s="11"/>
      <c r="AH468" s="70"/>
      <c r="AI468" s="70"/>
      <c r="AJ468" s="70"/>
      <c r="AK468" s="70"/>
      <c r="AL468" s="70"/>
      <c r="AM468" s="70"/>
      <c r="AN468" s="70"/>
      <c r="AO468" s="70"/>
      <c r="AP468" s="70"/>
      <c r="AQ468" s="70"/>
      <c r="AR468" s="70"/>
      <c r="AS468" s="70"/>
      <c r="AT468" s="70"/>
      <c r="AU468" s="70"/>
      <c r="AV468" s="70"/>
      <c r="AW468" s="70"/>
      <c r="AX468" s="70"/>
      <c r="AY468" s="70"/>
      <c r="AZ468" s="70"/>
      <c r="BA468" s="44"/>
      <c r="BB468" s="11"/>
      <c r="BC468" s="70"/>
      <c r="BD468" s="70"/>
      <c r="BE468" s="70"/>
      <c r="BF468" s="70"/>
      <c r="BG468" s="70"/>
      <c r="BH468" s="70"/>
      <c r="BI468" s="70"/>
      <c r="BJ468" s="70"/>
      <c r="BK468" s="1"/>
    </row>
    <row r="469" spans="1:63" s="66" customFormat="1" ht="12" customHeight="1" x14ac:dyDescent="0.2">
      <c r="A469" s="11" t="s">
        <v>27906</v>
      </c>
      <c r="B469" s="68">
        <v>53</v>
      </c>
      <c r="C469" s="11" t="s">
        <v>20</v>
      </c>
      <c r="D469" s="68" t="s">
        <v>37</v>
      </c>
      <c r="E469" s="11"/>
      <c r="F469" s="69">
        <v>42779</v>
      </c>
      <c r="G469" s="11" t="s">
        <v>28811</v>
      </c>
      <c r="H469" s="11" t="s">
        <v>27907</v>
      </c>
      <c r="I469" s="11" t="s">
        <v>123</v>
      </c>
      <c r="J469" s="11">
        <v>86436</v>
      </c>
      <c r="K469" s="11" t="s">
        <v>5836</v>
      </c>
      <c r="L469" s="11" t="s">
        <v>3723</v>
      </c>
      <c r="M469" s="11" t="s">
        <v>27</v>
      </c>
      <c r="N469" s="11" t="s">
        <v>27908</v>
      </c>
      <c r="O469" s="11" t="s">
        <v>400</v>
      </c>
      <c r="P469" s="11" t="s">
        <v>401</v>
      </c>
      <c r="Q469" s="71" t="s">
        <v>27909</v>
      </c>
      <c r="R469" s="11" t="s">
        <v>29</v>
      </c>
      <c r="S469" s="11" t="s">
        <v>28</v>
      </c>
      <c r="T469" s="68" t="s">
        <v>27756</v>
      </c>
      <c r="U469" s="68" t="s">
        <v>29438</v>
      </c>
      <c r="V469" s="68" t="s">
        <v>29439</v>
      </c>
      <c r="W469" s="68" t="s">
        <v>100</v>
      </c>
      <c r="X469" s="68">
        <v>2335</v>
      </c>
      <c r="Y469" s="11"/>
      <c r="Z469" s="11"/>
      <c r="AA469" s="11"/>
      <c r="AB469" s="11"/>
      <c r="AC469" s="11"/>
      <c r="AD469" s="11"/>
      <c r="AE469" s="11"/>
      <c r="AF469" s="11"/>
      <c r="AG469" s="11"/>
      <c r="AH469" s="70"/>
      <c r="AI469" s="70"/>
      <c r="AJ469" s="70"/>
      <c r="AK469" s="70"/>
      <c r="AL469" s="70"/>
      <c r="AM469" s="70"/>
      <c r="AN469" s="70"/>
      <c r="AO469" s="70"/>
      <c r="AP469" s="70"/>
      <c r="AQ469" s="70"/>
      <c r="AR469" s="70"/>
      <c r="AS469" s="70"/>
      <c r="AT469" s="70"/>
      <c r="AU469" s="70"/>
      <c r="AV469" s="70"/>
      <c r="AW469" s="1"/>
      <c r="AX469" s="1"/>
      <c r="AY469" s="1"/>
      <c r="AZ469" s="70"/>
      <c r="BA469" s="1"/>
      <c r="BB469" s="1"/>
      <c r="BC469" s="1"/>
      <c r="BD469" s="1"/>
      <c r="BE469" s="1"/>
      <c r="BF469" s="1"/>
      <c r="BG469" s="1"/>
      <c r="BH469" s="1"/>
      <c r="BI469" s="1"/>
      <c r="BJ469" s="1"/>
      <c r="BK469" s="78"/>
    </row>
    <row r="470" spans="1:63" s="66" customFormat="1" ht="12" customHeight="1" x14ac:dyDescent="0.2">
      <c r="A470" s="11" t="s">
        <v>28781</v>
      </c>
      <c r="B470" s="68">
        <v>31</v>
      </c>
      <c r="C470" s="11" t="s">
        <v>20</v>
      </c>
      <c r="D470" s="11" t="s">
        <v>85</v>
      </c>
      <c r="E470" s="71" t="s">
        <v>28782</v>
      </c>
      <c r="F470" s="69">
        <v>42778</v>
      </c>
      <c r="G470" s="11" t="s">
        <v>28783</v>
      </c>
      <c r="H470" s="11" t="s">
        <v>493</v>
      </c>
      <c r="I470" s="11" t="s">
        <v>366</v>
      </c>
      <c r="J470" s="11">
        <v>27704</v>
      </c>
      <c r="K470" s="11" t="s">
        <v>493</v>
      </c>
      <c r="L470" s="11" t="s">
        <v>16364</v>
      </c>
      <c r="M470" s="11" t="s">
        <v>27</v>
      </c>
      <c r="N470" s="11" t="s">
        <v>28784</v>
      </c>
      <c r="O470" s="11" t="s">
        <v>400</v>
      </c>
      <c r="P470" s="11" t="s">
        <v>401</v>
      </c>
      <c r="Q470" s="71" t="s">
        <v>28785</v>
      </c>
      <c r="R470" s="11" t="s">
        <v>964</v>
      </c>
      <c r="S470" s="11" t="s">
        <v>28</v>
      </c>
      <c r="T470" s="68" t="s">
        <v>27756</v>
      </c>
      <c r="U470" s="68" t="s">
        <v>29441</v>
      </c>
      <c r="V470" s="68" t="s">
        <v>21212</v>
      </c>
      <c r="W470" s="68" t="s">
        <v>100</v>
      </c>
      <c r="X470" s="68">
        <v>2329</v>
      </c>
      <c r="Y470" s="11"/>
      <c r="Z470" s="11"/>
      <c r="AA470" s="11"/>
      <c r="AB470" s="11"/>
      <c r="AC470" s="11"/>
      <c r="AD470" s="11"/>
      <c r="AE470" s="11"/>
      <c r="AF470" s="11"/>
      <c r="AG470" s="11"/>
      <c r="AH470" s="70"/>
      <c r="AI470" s="70"/>
      <c r="AJ470" s="70"/>
      <c r="AK470" s="70"/>
      <c r="AL470" s="70"/>
      <c r="AM470" s="70"/>
      <c r="AN470" s="70"/>
      <c r="AO470" s="70"/>
      <c r="AP470" s="70"/>
      <c r="AQ470" s="70"/>
      <c r="AR470" s="70"/>
      <c r="AS470" s="70"/>
      <c r="AT470" s="70"/>
      <c r="AU470" s="70"/>
      <c r="AV470" s="70"/>
      <c r="AW470" s="11"/>
      <c r="AX470" s="11"/>
      <c r="AY470" s="11"/>
      <c r="AZ470" s="70"/>
      <c r="BA470" s="44"/>
      <c r="BB470" s="44"/>
      <c r="BC470" s="70"/>
      <c r="BD470" s="70"/>
      <c r="BE470" s="70"/>
      <c r="BF470" s="70"/>
      <c r="BG470" s="70"/>
      <c r="BH470" s="70"/>
      <c r="BI470" s="70"/>
      <c r="BJ470" s="70"/>
      <c r="BK470" s="78"/>
    </row>
    <row r="471" spans="1:63" s="66" customFormat="1" ht="12" customHeight="1" x14ac:dyDescent="0.2">
      <c r="A471" s="11" t="s">
        <v>3252</v>
      </c>
      <c r="B471" s="11" t="s">
        <v>29</v>
      </c>
      <c r="C471" s="11" t="s">
        <v>20</v>
      </c>
      <c r="D471" s="11" t="s">
        <v>30</v>
      </c>
      <c r="E471" s="11"/>
      <c r="F471" s="69">
        <v>42778</v>
      </c>
      <c r="G471" s="11" t="s">
        <v>28567</v>
      </c>
      <c r="H471" s="11" t="s">
        <v>28568</v>
      </c>
      <c r="I471" s="11" t="s">
        <v>73</v>
      </c>
      <c r="J471" s="11">
        <v>75160</v>
      </c>
      <c r="K471" s="11" t="s">
        <v>17041</v>
      </c>
      <c r="L471" s="11" t="s">
        <v>28569</v>
      </c>
      <c r="M471" s="11" t="s">
        <v>27</v>
      </c>
      <c r="N471" s="11" t="s">
        <v>28570</v>
      </c>
      <c r="O471" s="11" t="s">
        <v>400</v>
      </c>
      <c r="P471" s="11" t="s">
        <v>401</v>
      </c>
      <c r="Q471" s="71" t="s">
        <v>28571</v>
      </c>
      <c r="R471" s="11" t="s">
        <v>100</v>
      </c>
      <c r="S471" s="11" t="s">
        <v>379</v>
      </c>
      <c r="T471" s="68" t="s">
        <v>379</v>
      </c>
      <c r="U471" s="68" t="s">
        <v>29436</v>
      </c>
      <c r="V471" s="68" t="s">
        <v>21212</v>
      </c>
      <c r="W471" s="68" t="s">
        <v>100</v>
      </c>
      <c r="X471" s="68">
        <v>2328</v>
      </c>
      <c r="Y471" s="11"/>
      <c r="Z471" s="11"/>
      <c r="AA471" s="11"/>
      <c r="AB471" s="11"/>
      <c r="AC471" s="11"/>
      <c r="AD471" s="11"/>
      <c r="AE471" s="11"/>
      <c r="AF471" s="11"/>
      <c r="AG471" s="11"/>
      <c r="AH471" s="70"/>
      <c r="AI471" s="70"/>
      <c r="AJ471" s="70"/>
      <c r="AK471" s="70"/>
      <c r="AL471" s="70"/>
      <c r="AM471" s="70"/>
      <c r="AN471" s="70"/>
      <c r="AO471" s="70"/>
      <c r="AP471" s="70"/>
      <c r="AQ471" s="70"/>
      <c r="AR471" s="70"/>
      <c r="AS471" s="70"/>
      <c r="AT471" s="70"/>
      <c r="AU471" s="70"/>
      <c r="AV471" s="70"/>
      <c r="AW471" s="1"/>
      <c r="AX471" s="1"/>
      <c r="AY471" s="1"/>
      <c r="AZ471" s="70"/>
      <c r="BA471" s="44"/>
      <c r="BB471" s="11"/>
      <c r="BC471" s="1"/>
      <c r="BD471" s="1"/>
      <c r="BE471" s="1"/>
      <c r="BF471" s="1"/>
      <c r="BG471" s="1"/>
      <c r="BH471" s="1"/>
      <c r="BI471" s="1"/>
      <c r="BJ471" s="1"/>
      <c r="BK471" s="11"/>
    </row>
    <row r="472" spans="1:63" s="66" customFormat="1" ht="12" customHeight="1" x14ac:dyDescent="0.2">
      <c r="A472" s="11" t="s">
        <v>27791</v>
      </c>
      <c r="B472" s="68">
        <v>26</v>
      </c>
      <c r="C472" s="11" t="s">
        <v>20</v>
      </c>
      <c r="D472" s="68" t="s">
        <v>48</v>
      </c>
      <c r="E472" s="71" t="s">
        <v>27792</v>
      </c>
      <c r="F472" s="69">
        <v>42778</v>
      </c>
      <c r="G472" s="11" t="s">
        <v>28805</v>
      </c>
      <c r="H472" s="11" t="s">
        <v>27793</v>
      </c>
      <c r="I472" s="11" t="s">
        <v>45</v>
      </c>
      <c r="J472" s="11">
        <v>93110</v>
      </c>
      <c r="K472" s="11" t="s">
        <v>1953</v>
      </c>
      <c r="L472" s="11" t="s">
        <v>25613</v>
      </c>
      <c r="M472" s="11" t="s">
        <v>27</v>
      </c>
      <c r="N472" s="11" t="s">
        <v>27794</v>
      </c>
      <c r="O472" s="11" t="s">
        <v>400</v>
      </c>
      <c r="P472" s="11" t="s">
        <v>401</v>
      </c>
      <c r="Q472" s="71" t="s">
        <v>27795</v>
      </c>
      <c r="R472" s="68" t="s">
        <v>555</v>
      </c>
      <c r="S472" s="11" t="s">
        <v>28</v>
      </c>
      <c r="T472" s="68" t="s">
        <v>29493</v>
      </c>
      <c r="U472" s="68" t="s">
        <v>29436</v>
      </c>
      <c r="V472" s="68" t="s">
        <v>29440</v>
      </c>
      <c r="W472" s="68" t="s">
        <v>100</v>
      </c>
      <c r="X472" s="68">
        <v>2333</v>
      </c>
      <c r="Y472" s="11"/>
      <c r="Z472" s="11"/>
      <c r="AA472" s="11"/>
      <c r="AB472" s="11"/>
      <c r="AC472" s="11"/>
      <c r="AD472" s="11"/>
      <c r="AE472" s="11"/>
      <c r="AF472" s="11"/>
      <c r="AG472" s="11"/>
      <c r="AH472" s="70"/>
      <c r="AI472" s="70"/>
      <c r="AJ472" s="70"/>
      <c r="AK472" s="70"/>
      <c r="AL472" s="70"/>
      <c r="AM472" s="70"/>
      <c r="AN472" s="70"/>
      <c r="AO472" s="70"/>
      <c r="AP472" s="70"/>
      <c r="AQ472" s="70"/>
      <c r="AR472" s="70"/>
      <c r="AS472" s="70"/>
      <c r="AT472" s="70"/>
      <c r="AU472" s="70"/>
      <c r="AV472" s="70"/>
      <c r="AW472" s="44"/>
      <c r="AX472" s="1"/>
      <c r="AY472" s="1"/>
      <c r="AZ472" s="70"/>
      <c r="BA472" s="70"/>
      <c r="BB472" s="70"/>
      <c r="BC472" s="1"/>
      <c r="BD472" s="1"/>
      <c r="BE472" s="1"/>
      <c r="BF472" s="1"/>
      <c r="BG472" s="1"/>
      <c r="BH472" s="1"/>
      <c r="BI472" s="1"/>
      <c r="BJ472" s="1"/>
      <c r="BK472" s="78"/>
    </row>
    <row r="473" spans="1:63" s="66" customFormat="1" ht="12" customHeight="1" x14ac:dyDescent="0.2">
      <c r="A473" s="11" t="s">
        <v>27752</v>
      </c>
      <c r="B473" s="68">
        <v>27</v>
      </c>
      <c r="C473" s="11" t="s">
        <v>20</v>
      </c>
      <c r="D473" s="68" t="s">
        <v>85</v>
      </c>
      <c r="E473" s="11"/>
      <c r="F473" s="69">
        <v>42777</v>
      </c>
      <c r="G473" s="11" t="s">
        <v>27753</v>
      </c>
      <c r="H473" s="11" t="s">
        <v>430</v>
      </c>
      <c r="I473" s="11" t="s">
        <v>431</v>
      </c>
      <c r="J473" s="11">
        <v>64134</v>
      </c>
      <c r="K473" s="11" t="s">
        <v>433</v>
      </c>
      <c r="L473" s="11" t="s">
        <v>434</v>
      </c>
      <c r="M473" s="11" t="s">
        <v>27</v>
      </c>
      <c r="N473" s="11" t="s">
        <v>27754</v>
      </c>
      <c r="O473" s="11" t="s">
        <v>400</v>
      </c>
      <c r="P473" s="11" t="s">
        <v>401</v>
      </c>
      <c r="Q473" s="71" t="s">
        <v>27755</v>
      </c>
      <c r="R473" s="11" t="s">
        <v>100</v>
      </c>
      <c r="S473" s="11" t="s">
        <v>28</v>
      </c>
      <c r="T473" s="68" t="s">
        <v>27756</v>
      </c>
      <c r="U473" s="68" t="s">
        <v>29438</v>
      </c>
      <c r="V473" s="68" t="s">
        <v>29439</v>
      </c>
      <c r="W473" s="68" t="s">
        <v>100</v>
      </c>
      <c r="X473" s="68">
        <v>2321</v>
      </c>
      <c r="Y473" s="11"/>
      <c r="Z473" s="11"/>
      <c r="AA473" s="11"/>
      <c r="AB473" s="11"/>
      <c r="AC473" s="11"/>
      <c r="AD473" s="11"/>
      <c r="AE473" s="11"/>
      <c r="AF473" s="11"/>
      <c r="AG473" s="11"/>
      <c r="AH473" s="70"/>
      <c r="AI473" s="70"/>
      <c r="AJ473" s="70"/>
      <c r="AK473" s="70"/>
      <c r="AL473" s="70"/>
      <c r="AM473" s="70"/>
      <c r="AN473" s="70"/>
      <c r="AO473" s="70"/>
      <c r="AP473" s="70"/>
      <c r="AQ473" s="70"/>
      <c r="AR473" s="70"/>
      <c r="AS473" s="70"/>
      <c r="AT473" s="70"/>
      <c r="AU473" s="70"/>
      <c r="AV473" s="70"/>
      <c r="AW473" s="44"/>
      <c r="AX473" s="1"/>
      <c r="AY473" s="1"/>
      <c r="AZ473" s="70"/>
      <c r="BA473" s="44"/>
      <c r="BB473" s="11"/>
      <c r="BC473" s="70"/>
      <c r="BD473" s="70"/>
      <c r="BE473" s="70"/>
      <c r="BF473" s="70"/>
      <c r="BG473" s="70"/>
      <c r="BH473" s="70"/>
      <c r="BI473" s="70"/>
      <c r="BJ473" s="70"/>
      <c r="BK473" s="78"/>
    </row>
    <row r="474" spans="1:63" s="66" customFormat="1" ht="12" customHeight="1" x14ac:dyDescent="0.2">
      <c r="A474" s="11" t="s">
        <v>28646</v>
      </c>
      <c r="B474" s="68">
        <v>37</v>
      </c>
      <c r="C474" s="11" t="s">
        <v>20</v>
      </c>
      <c r="D474" s="11" t="s">
        <v>37</v>
      </c>
      <c r="E474" s="71" t="s">
        <v>28647</v>
      </c>
      <c r="F474" s="69">
        <v>42777</v>
      </c>
      <c r="G474" s="11" t="s">
        <v>28648</v>
      </c>
      <c r="H474" s="11" t="s">
        <v>33</v>
      </c>
      <c r="I474" s="11" t="s">
        <v>32</v>
      </c>
      <c r="J474" s="11">
        <v>29605</v>
      </c>
      <c r="K474" s="11" t="s">
        <v>33</v>
      </c>
      <c r="L474" s="11" t="s">
        <v>34</v>
      </c>
      <c r="M474" s="11" t="s">
        <v>27</v>
      </c>
      <c r="N474" s="11" t="s">
        <v>28649</v>
      </c>
      <c r="O474" s="11" t="s">
        <v>400</v>
      </c>
      <c r="P474" s="11" t="s">
        <v>401</v>
      </c>
      <c r="Q474" s="71" t="s">
        <v>28650</v>
      </c>
      <c r="R474" s="11" t="s">
        <v>100</v>
      </c>
      <c r="S474" s="11" t="s">
        <v>28</v>
      </c>
      <c r="T474" s="68" t="s">
        <v>27756</v>
      </c>
      <c r="U474" s="68" t="s">
        <v>29436</v>
      </c>
      <c r="V474" s="68" t="s">
        <v>29439</v>
      </c>
      <c r="W474" s="68" t="s">
        <v>100</v>
      </c>
      <c r="X474" s="68">
        <v>2318</v>
      </c>
      <c r="Y474" s="11"/>
      <c r="Z474" s="11"/>
      <c r="AA474" s="11"/>
      <c r="AB474" s="11"/>
      <c r="AC474" s="11"/>
      <c r="AD474" s="11"/>
      <c r="AE474" s="11"/>
      <c r="AF474" s="11"/>
      <c r="AG474" s="11"/>
      <c r="AH474" s="70"/>
      <c r="AI474" s="70"/>
      <c r="AJ474" s="70"/>
      <c r="AK474" s="70"/>
      <c r="AL474" s="70"/>
      <c r="AM474" s="70"/>
      <c r="AN474" s="70"/>
      <c r="AO474" s="70"/>
      <c r="AP474" s="70"/>
      <c r="AQ474" s="70"/>
      <c r="AR474" s="70"/>
      <c r="AS474" s="70"/>
      <c r="AT474" s="70"/>
      <c r="AU474" s="70"/>
      <c r="AV474" s="70"/>
      <c r="AW474" s="44"/>
      <c r="AX474" s="1"/>
      <c r="AY474" s="1"/>
      <c r="AZ474" s="70"/>
      <c r="BA474" s="44"/>
      <c r="BB474" s="11"/>
      <c r="BC474" s="1"/>
      <c r="BD474" s="1"/>
      <c r="BE474" s="1"/>
      <c r="BF474" s="1"/>
      <c r="BG474" s="1"/>
      <c r="BH474" s="1"/>
      <c r="BI474" s="1"/>
      <c r="BJ474" s="1"/>
      <c r="BK474" s="78"/>
    </row>
    <row r="475" spans="1:63" s="70" customFormat="1" ht="12" customHeight="1" x14ac:dyDescent="0.2">
      <c r="A475" s="11" t="s">
        <v>28724</v>
      </c>
      <c r="B475" s="68">
        <v>33</v>
      </c>
      <c r="C475" s="11" t="s">
        <v>20</v>
      </c>
      <c r="D475" s="11" t="s">
        <v>942</v>
      </c>
      <c r="E475" s="71" t="s">
        <v>28725</v>
      </c>
      <c r="F475" s="69">
        <v>42777</v>
      </c>
      <c r="G475" s="11" t="s">
        <v>28726</v>
      </c>
      <c r="H475" s="11" t="s">
        <v>28727</v>
      </c>
      <c r="I475" s="11" t="s">
        <v>870</v>
      </c>
      <c r="J475" s="11">
        <v>96701</v>
      </c>
      <c r="K475" s="11" t="s">
        <v>2362</v>
      </c>
      <c r="L475" s="11" t="s">
        <v>3582</v>
      </c>
      <c r="M475" s="11" t="s">
        <v>27</v>
      </c>
      <c r="N475" s="11" t="s">
        <v>28728</v>
      </c>
      <c r="O475" s="11" t="s">
        <v>400</v>
      </c>
      <c r="P475" s="11" t="s">
        <v>401</v>
      </c>
      <c r="Q475" s="71" t="s">
        <v>28729</v>
      </c>
      <c r="R475" s="11" t="s">
        <v>100</v>
      </c>
      <c r="S475" s="11" t="s">
        <v>379</v>
      </c>
      <c r="T475" s="68" t="s">
        <v>379</v>
      </c>
      <c r="U475" s="68" t="s">
        <v>29436</v>
      </c>
      <c r="V475" s="68" t="s">
        <v>29437</v>
      </c>
      <c r="W475" s="68" t="s">
        <v>100</v>
      </c>
      <c r="X475" s="68">
        <v>2320</v>
      </c>
      <c r="Y475" s="11"/>
      <c r="Z475" s="11"/>
      <c r="AA475" s="11"/>
      <c r="AB475" s="11"/>
      <c r="AC475" s="11"/>
      <c r="AD475" s="11"/>
      <c r="AE475" s="11"/>
      <c r="AF475" s="11"/>
      <c r="AG475" s="11"/>
      <c r="AW475" s="11"/>
      <c r="AX475" s="1"/>
      <c r="AY475" s="1"/>
      <c r="BA475" s="44"/>
      <c r="BB475" s="11"/>
      <c r="BC475" s="1"/>
      <c r="BD475" s="1"/>
      <c r="BE475" s="1"/>
      <c r="BF475" s="1"/>
      <c r="BG475" s="1"/>
      <c r="BH475" s="1"/>
      <c r="BI475" s="1"/>
      <c r="BJ475" s="1"/>
      <c r="BK475" s="11"/>
    </row>
    <row r="476" spans="1:63" s="70" customFormat="1" ht="12" customHeight="1" x14ac:dyDescent="0.2">
      <c r="A476" s="11" t="s">
        <v>28795</v>
      </c>
      <c r="B476" s="68">
        <v>32</v>
      </c>
      <c r="C476" s="11" t="s">
        <v>20</v>
      </c>
      <c r="D476" s="11" t="s">
        <v>37</v>
      </c>
      <c r="E476" s="71" t="s">
        <v>28796</v>
      </c>
      <c r="F476" s="69">
        <v>42777</v>
      </c>
      <c r="G476" s="11" t="s">
        <v>28797</v>
      </c>
      <c r="H476" s="11" t="s">
        <v>890</v>
      </c>
      <c r="I476" s="11" t="s">
        <v>315</v>
      </c>
      <c r="J476" s="11">
        <v>40215</v>
      </c>
      <c r="K476" s="11" t="s">
        <v>1778</v>
      </c>
      <c r="L476" s="11" t="s">
        <v>891</v>
      </c>
      <c r="M476" s="11" t="s">
        <v>27</v>
      </c>
      <c r="N476" s="11" t="s">
        <v>28798</v>
      </c>
      <c r="O476" s="11" t="s">
        <v>400</v>
      </c>
      <c r="P476" s="11" t="s">
        <v>401</v>
      </c>
      <c r="Q476" s="71" t="s">
        <v>28799</v>
      </c>
      <c r="R476" s="68" t="s">
        <v>555</v>
      </c>
      <c r="S476" s="11" t="s">
        <v>28</v>
      </c>
      <c r="T476" s="68" t="s">
        <v>29447</v>
      </c>
      <c r="U476" s="68" t="s">
        <v>29438</v>
      </c>
      <c r="V476" s="68" t="s">
        <v>29439</v>
      </c>
      <c r="W476" s="68" t="s">
        <v>555</v>
      </c>
      <c r="X476" s="68">
        <v>2323</v>
      </c>
      <c r="Y476" s="11"/>
      <c r="Z476" s="11"/>
      <c r="AA476" s="11"/>
      <c r="AB476" s="11"/>
      <c r="AC476" s="11"/>
      <c r="AD476" s="11"/>
      <c r="AE476" s="11"/>
      <c r="AF476" s="11"/>
      <c r="AG476" s="11"/>
      <c r="AW476" s="11"/>
      <c r="AX476" s="1"/>
      <c r="AY476" s="1"/>
      <c r="BB476" s="44"/>
      <c r="BC476" s="1"/>
      <c r="BD476" s="1"/>
      <c r="BE476" s="1"/>
      <c r="BF476" s="1"/>
      <c r="BG476" s="1"/>
      <c r="BH476" s="1"/>
      <c r="BI476" s="1"/>
      <c r="BJ476" s="1"/>
      <c r="BK476" s="78"/>
    </row>
    <row r="477" spans="1:63" s="70" customFormat="1" ht="12" customHeight="1" x14ac:dyDescent="0.2">
      <c r="A477" s="11" t="s">
        <v>27800</v>
      </c>
      <c r="B477" s="68">
        <v>25</v>
      </c>
      <c r="C477" s="11" t="s">
        <v>20</v>
      </c>
      <c r="D477" s="11" t="s">
        <v>85</v>
      </c>
      <c r="E477" s="11"/>
      <c r="F477" s="69">
        <v>42776</v>
      </c>
      <c r="G477" s="11" t="s">
        <v>27801</v>
      </c>
      <c r="H477" s="11" t="s">
        <v>6466</v>
      </c>
      <c r="I477" s="11" t="s">
        <v>366</v>
      </c>
      <c r="J477" s="11">
        <v>27407</v>
      </c>
      <c r="K477" s="11" t="s">
        <v>647</v>
      </c>
      <c r="L477" s="11" t="s">
        <v>10867</v>
      </c>
      <c r="M477" s="11" t="s">
        <v>27</v>
      </c>
      <c r="N477" s="11" t="s">
        <v>27802</v>
      </c>
      <c r="O477" s="11" t="s">
        <v>400</v>
      </c>
      <c r="P477" s="11" t="s">
        <v>401</v>
      </c>
      <c r="Q477" s="71" t="s">
        <v>27803</v>
      </c>
      <c r="R477" s="11" t="s">
        <v>100</v>
      </c>
      <c r="S477" s="11" t="s">
        <v>28</v>
      </c>
      <c r="T477" s="68" t="s">
        <v>27756</v>
      </c>
      <c r="U477" s="68" t="s">
        <v>29438</v>
      </c>
      <c r="V477" s="68" t="s">
        <v>21212</v>
      </c>
      <c r="W477" s="68" t="s">
        <v>555</v>
      </c>
      <c r="X477" s="68">
        <v>2331</v>
      </c>
      <c r="Y477" s="11"/>
      <c r="Z477" s="11"/>
      <c r="AA477" s="11"/>
      <c r="AB477" s="11"/>
      <c r="AC477" s="11"/>
      <c r="AD477" s="11"/>
      <c r="AE477" s="11"/>
      <c r="AF477" s="11"/>
      <c r="AG477" s="11"/>
      <c r="AW477" s="11"/>
      <c r="AX477" s="44"/>
      <c r="AY477" s="44"/>
      <c r="BA477" s="44"/>
      <c r="BB477" s="11"/>
      <c r="BK477" s="78"/>
    </row>
    <row r="478" spans="1:63" s="70" customFormat="1" ht="12" customHeight="1" x14ac:dyDescent="0.2">
      <c r="A478" s="11" t="s">
        <v>27858</v>
      </c>
      <c r="B478" s="68">
        <v>23</v>
      </c>
      <c r="C478" s="11" t="s">
        <v>20</v>
      </c>
      <c r="D478" s="11" t="s">
        <v>85</v>
      </c>
      <c r="E478" s="71" t="s">
        <v>27859</v>
      </c>
      <c r="F478" s="69">
        <v>42776</v>
      </c>
      <c r="G478" s="11" t="s">
        <v>28808</v>
      </c>
      <c r="H478" s="11" t="s">
        <v>5209</v>
      </c>
      <c r="I478" s="11" t="s">
        <v>81</v>
      </c>
      <c r="J478" s="11">
        <v>8302</v>
      </c>
      <c r="K478" s="11" t="s">
        <v>3152</v>
      </c>
      <c r="L478" s="11" t="s">
        <v>5211</v>
      </c>
      <c r="M478" s="11" t="s">
        <v>27</v>
      </c>
      <c r="N478" s="11" t="s">
        <v>27860</v>
      </c>
      <c r="O478" s="11" t="s">
        <v>400</v>
      </c>
      <c r="P478" s="11" t="s">
        <v>401</v>
      </c>
      <c r="Q478" s="71" t="s">
        <v>27861</v>
      </c>
      <c r="R478" s="11" t="s">
        <v>100</v>
      </c>
      <c r="S478" s="11" t="s">
        <v>28</v>
      </c>
      <c r="T478" s="68" t="s">
        <v>27756</v>
      </c>
      <c r="U478" s="68" t="s">
        <v>29441</v>
      </c>
      <c r="V478" s="68" t="s">
        <v>29440</v>
      </c>
      <c r="W478" s="68" t="s">
        <v>100</v>
      </c>
      <c r="X478" s="68">
        <v>2332</v>
      </c>
      <c r="Y478" s="11"/>
      <c r="Z478" s="11"/>
      <c r="AA478" s="11"/>
      <c r="AB478" s="11"/>
      <c r="AC478" s="11"/>
      <c r="AD478" s="11"/>
      <c r="AE478" s="11"/>
      <c r="AF478" s="11"/>
      <c r="AG478" s="11"/>
      <c r="AW478" s="44"/>
      <c r="AX478" s="44"/>
      <c r="AY478" s="44"/>
      <c r="BA478" s="44"/>
      <c r="BB478" s="11"/>
      <c r="BK478" s="78"/>
    </row>
    <row r="479" spans="1:63" s="70" customFormat="1" ht="12" customHeight="1" x14ac:dyDescent="0.2">
      <c r="A479" s="11" t="s">
        <v>28013</v>
      </c>
      <c r="B479" s="68">
        <v>31</v>
      </c>
      <c r="C479" s="11" t="s">
        <v>20</v>
      </c>
      <c r="D479" s="11" t="s">
        <v>85</v>
      </c>
      <c r="E479" s="71" t="s">
        <v>28014</v>
      </c>
      <c r="F479" s="69">
        <v>42776</v>
      </c>
      <c r="G479" s="11" t="s">
        <v>28015</v>
      </c>
      <c r="H479" s="11" t="s">
        <v>2028</v>
      </c>
      <c r="I479" s="11" t="s">
        <v>319</v>
      </c>
      <c r="J479" s="11">
        <v>37206</v>
      </c>
      <c r="K479" s="11" t="s">
        <v>879</v>
      </c>
      <c r="L479" s="11" t="s">
        <v>28016</v>
      </c>
      <c r="M479" s="11" t="s">
        <v>27</v>
      </c>
      <c r="N479" s="11" t="s">
        <v>28017</v>
      </c>
      <c r="O479" s="11" t="s">
        <v>400</v>
      </c>
      <c r="P479" s="11" t="s">
        <v>401</v>
      </c>
      <c r="Q479" s="71" t="s">
        <v>28018</v>
      </c>
      <c r="R479" s="11" t="s">
        <v>100</v>
      </c>
      <c r="S479" s="11" t="s">
        <v>28</v>
      </c>
      <c r="T479" s="68" t="s">
        <v>27756</v>
      </c>
      <c r="U479" s="68" t="s">
        <v>29436</v>
      </c>
      <c r="V479" s="68" t="s">
        <v>29440</v>
      </c>
      <c r="W479" s="68" t="s">
        <v>100</v>
      </c>
      <c r="X479" s="68">
        <v>2322</v>
      </c>
      <c r="Y479" s="11"/>
      <c r="Z479" s="11"/>
      <c r="AA479" s="11"/>
      <c r="AB479" s="11"/>
      <c r="AC479" s="11"/>
      <c r="AD479" s="11"/>
      <c r="AE479" s="11"/>
      <c r="AF479" s="11"/>
      <c r="AG479" s="11"/>
      <c r="AW479" s="11"/>
      <c r="AX479" s="11"/>
      <c r="AY479" s="11"/>
      <c r="BA479" s="44"/>
      <c r="BB479" s="11"/>
      <c r="BK479" s="78"/>
    </row>
    <row r="480" spans="1:63" s="70" customFormat="1" ht="12" customHeight="1" x14ac:dyDescent="0.2">
      <c r="A480" s="11" t="s">
        <v>28686</v>
      </c>
      <c r="B480" s="68">
        <v>25</v>
      </c>
      <c r="C480" s="11" t="s">
        <v>20</v>
      </c>
      <c r="D480" s="11" t="s">
        <v>37</v>
      </c>
      <c r="E480" s="11"/>
      <c r="F480" s="69">
        <v>42776</v>
      </c>
      <c r="G480" s="11" t="s">
        <v>28687</v>
      </c>
      <c r="H480" s="11" t="s">
        <v>3346</v>
      </c>
      <c r="I480" s="11" t="s">
        <v>303</v>
      </c>
      <c r="J480" s="11">
        <v>98661</v>
      </c>
      <c r="K480" s="11" t="s">
        <v>570</v>
      </c>
      <c r="L480" s="11" t="s">
        <v>5804</v>
      </c>
      <c r="M480" s="11" t="s">
        <v>27</v>
      </c>
      <c r="N480" s="11" t="s">
        <v>28688</v>
      </c>
      <c r="O480" s="11" t="s">
        <v>400</v>
      </c>
      <c r="P480" s="11" t="s">
        <v>401</v>
      </c>
      <c r="Q480" s="71" t="s">
        <v>28689</v>
      </c>
      <c r="R480" s="11" t="s">
        <v>100</v>
      </c>
      <c r="S480" s="11" t="s">
        <v>28</v>
      </c>
      <c r="T480" s="68" t="s">
        <v>29493</v>
      </c>
      <c r="U480" s="68" t="s">
        <v>29436</v>
      </c>
      <c r="V480" s="68" t="s">
        <v>29440</v>
      </c>
      <c r="W480" s="68" t="s">
        <v>100</v>
      </c>
      <c r="X480" s="68">
        <v>2317</v>
      </c>
      <c r="Y480" s="11"/>
      <c r="Z480" s="11"/>
      <c r="AA480" s="11"/>
      <c r="AB480" s="11"/>
      <c r="AC480" s="11"/>
      <c r="AD480" s="11"/>
      <c r="AE480" s="11"/>
      <c r="AF480" s="11"/>
      <c r="AG480" s="11"/>
      <c r="AW480" s="11"/>
      <c r="AX480" s="1"/>
      <c r="AY480" s="1"/>
      <c r="BA480" s="44"/>
      <c r="BB480" s="11"/>
      <c r="BC480" s="1"/>
      <c r="BD480" s="1"/>
      <c r="BE480" s="1"/>
      <c r="BF480" s="1"/>
      <c r="BG480" s="1"/>
      <c r="BH480" s="1"/>
      <c r="BI480" s="1"/>
      <c r="BJ480" s="1"/>
      <c r="BK480" s="78"/>
    </row>
    <row r="481" spans="1:63" s="70" customFormat="1" ht="12" customHeight="1" x14ac:dyDescent="0.2">
      <c r="A481" s="11" t="s">
        <v>28361</v>
      </c>
      <c r="B481" s="68">
        <v>18</v>
      </c>
      <c r="C481" s="11" t="s">
        <v>114</v>
      </c>
      <c r="D481" s="11" t="s">
        <v>37</v>
      </c>
      <c r="E481" s="71" t="s">
        <v>28362</v>
      </c>
      <c r="F481" s="69">
        <v>42776</v>
      </c>
      <c r="G481" s="11" t="s">
        <v>28363</v>
      </c>
      <c r="H481" s="11" t="s">
        <v>28364</v>
      </c>
      <c r="I481" s="11" t="s">
        <v>4371</v>
      </c>
      <c r="J481" s="11">
        <v>4989</v>
      </c>
      <c r="K481" s="11" t="s">
        <v>28365</v>
      </c>
      <c r="L481" s="11" t="s">
        <v>1326</v>
      </c>
      <c r="M481" s="11" t="s">
        <v>27</v>
      </c>
      <c r="N481" s="11" t="s">
        <v>28366</v>
      </c>
      <c r="O481" s="11" t="s">
        <v>400</v>
      </c>
      <c r="P481" s="11" t="s">
        <v>401</v>
      </c>
      <c r="Q481" s="71" t="s">
        <v>28367</v>
      </c>
      <c r="R481" s="11" t="s">
        <v>100</v>
      </c>
      <c r="S481" s="11" t="s">
        <v>18</v>
      </c>
      <c r="T481" s="68" t="s">
        <v>28345</v>
      </c>
      <c r="U481" s="68" t="s">
        <v>29436</v>
      </c>
      <c r="V481" s="68"/>
      <c r="W481" s="68" t="s">
        <v>100</v>
      </c>
      <c r="X481" s="68">
        <v>2325</v>
      </c>
      <c r="Y481" s="11"/>
      <c r="Z481" s="11"/>
      <c r="AA481" s="11"/>
      <c r="AB481" s="11"/>
      <c r="AC481" s="11"/>
      <c r="AD481" s="11"/>
      <c r="AE481" s="11"/>
      <c r="AF481" s="11"/>
      <c r="AG481" s="11"/>
      <c r="AX481" s="1"/>
      <c r="AY481" s="1"/>
      <c r="BA481" s="44"/>
      <c r="BB481" s="11"/>
      <c r="BC481" s="1"/>
      <c r="BD481" s="1"/>
      <c r="BE481" s="1"/>
      <c r="BF481" s="1"/>
      <c r="BG481" s="1"/>
      <c r="BH481" s="1"/>
      <c r="BI481" s="1"/>
      <c r="BJ481" s="1"/>
      <c r="BK481" s="1"/>
    </row>
    <row r="482" spans="1:63" s="70" customFormat="1" ht="12" customHeight="1" x14ac:dyDescent="0.2">
      <c r="A482" s="11" t="s">
        <v>28539</v>
      </c>
      <c r="B482" s="68">
        <v>25</v>
      </c>
      <c r="C482" s="11" t="s">
        <v>20</v>
      </c>
      <c r="D482" s="11" t="s">
        <v>37</v>
      </c>
      <c r="E482" s="71" t="s">
        <v>28540</v>
      </c>
      <c r="F482" s="69">
        <v>42776</v>
      </c>
      <c r="G482" s="11" t="s">
        <v>28363</v>
      </c>
      <c r="H482" s="11" t="s">
        <v>28364</v>
      </c>
      <c r="I482" s="11" t="s">
        <v>4371</v>
      </c>
      <c r="J482" s="11">
        <v>4989</v>
      </c>
      <c r="K482" s="11" t="s">
        <v>28365</v>
      </c>
      <c r="L482" s="11" t="s">
        <v>1326</v>
      </c>
      <c r="M482" s="11" t="s">
        <v>27</v>
      </c>
      <c r="N482" s="11" t="s">
        <v>28366</v>
      </c>
      <c r="O482" s="11" t="s">
        <v>400</v>
      </c>
      <c r="P482" s="11" t="s">
        <v>401</v>
      </c>
      <c r="Q482" s="71" t="s">
        <v>28541</v>
      </c>
      <c r="R482" s="11" t="s">
        <v>100</v>
      </c>
      <c r="S482" s="11" t="s">
        <v>379</v>
      </c>
      <c r="T482" s="68" t="s">
        <v>379</v>
      </c>
      <c r="U482" s="68" t="s">
        <v>29436</v>
      </c>
      <c r="V482" s="68"/>
      <c r="W482" s="68" t="s">
        <v>100</v>
      </c>
      <c r="X482" s="68">
        <v>2324</v>
      </c>
      <c r="Y482" s="11"/>
      <c r="Z482" s="11"/>
      <c r="AA482" s="11"/>
      <c r="AB482" s="11"/>
      <c r="AC482" s="11"/>
      <c r="AD482" s="11"/>
      <c r="AE482" s="11"/>
      <c r="AF482" s="11"/>
      <c r="AG482" s="11"/>
      <c r="AW482" s="11"/>
      <c r="AX482" s="1"/>
      <c r="AY482" s="1"/>
      <c r="BA482" s="44"/>
      <c r="BB482" s="11"/>
      <c r="BC482" s="1"/>
      <c r="BD482" s="1"/>
      <c r="BE482" s="1"/>
      <c r="BF482" s="1"/>
      <c r="BG482" s="1"/>
      <c r="BH482" s="1"/>
      <c r="BI482" s="1"/>
      <c r="BJ482" s="1"/>
      <c r="BK482" s="11"/>
    </row>
    <row r="483" spans="1:63" s="70" customFormat="1" ht="12" customHeight="1" x14ac:dyDescent="0.2">
      <c r="A483" s="11" t="s">
        <v>27975</v>
      </c>
      <c r="B483" s="68">
        <v>45</v>
      </c>
      <c r="C483" s="11" t="s">
        <v>20</v>
      </c>
      <c r="D483" s="11" t="s">
        <v>37</v>
      </c>
      <c r="E483" s="11"/>
      <c r="F483" s="69">
        <v>42776</v>
      </c>
      <c r="G483" s="11" t="s">
        <v>28818</v>
      </c>
      <c r="H483" s="11" t="s">
        <v>27976</v>
      </c>
      <c r="I483" s="11" t="s">
        <v>395</v>
      </c>
      <c r="J483" s="11">
        <v>73008</v>
      </c>
      <c r="K483" s="11" t="s">
        <v>1095</v>
      </c>
      <c r="L483" s="11" t="s">
        <v>27977</v>
      </c>
      <c r="M483" s="11" t="s">
        <v>27</v>
      </c>
      <c r="N483" s="11" t="s">
        <v>27978</v>
      </c>
      <c r="O483" s="11" t="s">
        <v>400</v>
      </c>
      <c r="P483" s="11" t="s">
        <v>401</v>
      </c>
      <c r="Q483" s="71" t="s">
        <v>27979</v>
      </c>
      <c r="R483" s="11" t="s">
        <v>29</v>
      </c>
      <c r="S483" s="11" t="s">
        <v>28</v>
      </c>
      <c r="T483" s="68" t="s">
        <v>27756</v>
      </c>
      <c r="U483" s="68" t="s">
        <v>29438</v>
      </c>
      <c r="V483" s="68" t="s">
        <v>29439</v>
      </c>
      <c r="W483" s="68" t="s">
        <v>100</v>
      </c>
      <c r="X483" s="68">
        <v>2330</v>
      </c>
      <c r="Y483" s="11"/>
      <c r="Z483" s="11"/>
      <c r="AA483" s="11"/>
      <c r="AB483" s="11"/>
      <c r="AC483" s="11"/>
      <c r="AD483" s="11"/>
      <c r="AE483" s="11"/>
      <c r="AF483" s="11"/>
      <c r="AG483" s="11"/>
      <c r="AW483" s="1"/>
      <c r="AX483" s="1"/>
      <c r="AY483" s="1"/>
      <c r="BA483" s="1"/>
      <c r="BB483" s="1"/>
      <c r="BC483" s="1"/>
      <c r="BD483" s="1"/>
      <c r="BE483" s="1"/>
      <c r="BF483" s="1"/>
      <c r="BG483" s="1"/>
      <c r="BH483" s="1"/>
      <c r="BI483" s="1"/>
      <c r="BJ483" s="1"/>
      <c r="BK483" s="78"/>
    </row>
    <row r="484" spans="1:63" s="70" customFormat="1" ht="12" customHeight="1" x14ac:dyDescent="0.2">
      <c r="A484" s="11" t="s">
        <v>28165</v>
      </c>
      <c r="B484" s="68">
        <v>55</v>
      </c>
      <c r="C484" s="11" t="s">
        <v>114</v>
      </c>
      <c r="D484" s="11" t="s">
        <v>37</v>
      </c>
      <c r="E484" s="71" t="s">
        <v>28166</v>
      </c>
      <c r="F484" s="69">
        <v>42776</v>
      </c>
      <c r="G484" s="11" t="s">
        <v>28167</v>
      </c>
      <c r="H484" s="11" t="s">
        <v>87</v>
      </c>
      <c r="I484" s="11" t="s">
        <v>44</v>
      </c>
      <c r="J484" s="11">
        <v>60618</v>
      </c>
      <c r="K484" s="11" t="s">
        <v>88</v>
      </c>
      <c r="L484" s="11" t="s">
        <v>89</v>
      </c>
      <c r="M484" s="68" t="s">
        <v>5411</v>
      </c>
      <c r="N484" s="11" t="s">
        <v>28168</v>
      </c>
      <c r="O484" s="11" t="s">
        <v>400</v>
      </c>
      <c r="P484" s="11" t="s">
        <v>401</v>
      </c>
      <c r="Q484" s="71" t="s">
        <v>28169</v>
      </c>
      <c r="R484" s="68" t="s">
        <v>555</v>
      </c>
      <c r="S484" s="11" t="s">
        <v>28</v>
      </c>
      <c r="T484" s="68" t="s">
        <v>29493</v>
      </c>
      <c r="U484" s="68" t="s">
        <v>29438</v>
      </c>
      <c r="V484" s="68" t="s">
        <v>29439</v>
      </c>
      <c r="W484" s="68" t="s">
        <v>100</v>
      </c>
      <c r="X484" s="68">
        <v>2326</v>
      </c>
      <c r="Y484" s="11"/>
      <c r="Z484" s="11"/>
      <c r="AA484" s="11"/>
      <c r="AB484" s="11"/>
      <c r="AC484" s="11"/>
      <c r="AD484" s="11"/>
      <c r="AE484" s="11"/>
      <c r="AF484" s="11"/>
      <c r="AG484" s="11"/>
      <c r="AW484" s="1"/>
      <c r="AX484" s="1"/>
      <c r="AY484" s="1"/>
      <c r="BC484" s="1"/>
      <c r="BD484" s="1"/>
      <c r="BE484" s="1"/>
      <c r="BF484" s="1"/>
      <c r="BG484" s="1"/>
      <c r="BH484" s="1"/>
      <c r="BI484" s="1"/>
      <c r="BJ484" s="1"/>
      <c r="BK484" s="1"/>
    </row>
    <row r="485" spans="1:63" s="70" customFormat="1" ht="12" customHeight="1" x14ac:dyDescent="0.2">
      <c r="A485" s="11" t="s">
        <v>28387</v>
      </c>
      <c r="B485" s="68">
        <v>17</v>
      </c>
      <c r="C485" s="11" t="s">
        <v>20</v>
      </c>
      <c r="D485" s="11" t="s">
        <v>85</v>
      </c>
      <c r="E485" s="71" t="s">
        <v>28388</v>
      </c>
      <c r="F485" s="69">
        <v>42775</v>
      </c>
      <c r="G485" s="11" t="s">
        <v>28845</v>
      </c>
      <c r="H485" s="11" t="s">
        <v>1561</v>
      </c>
      <c r="I485" s="11" t="s">
        <v>117</v>
      </c>
      <c r="J485" s="11">
        <v>97220</v>
      </c>
      <c r="K485" s="11" t="s">
        <v>1563</v>
      </c>
      <c r="L485" s="11" t="s">
        <v>17750</v>
      </c>
      <c r="M485" s="11" t="s">
        <v>27</v>
      </c>
      <c r="N485" s="11" t="s">
        <v>28389</v>
      </c>
      <c r="O485" s="11" t="s">
        <v>400</v>
      </c>
      <c r="P485" s="11" t="s">
        <v>401</v>
      </c>
      <c r="Q485" s="71" t="s">
        <v>28390</v>
      </c>
      <c r="R485" s="11" t="s">
        <v>100</v>
      </c>
      <c r="S485" s="11" t="s">
        <v>18</v>
      </c>
      <c r="T485" s="68" t="s">
        <v>29612</v>
      </c>
      <c r="U485" s="68" t="s">
        <v>29441</v>
      </c>
      <c r="V485" s="68" t="s">
        <v>29440</v>
      </c>
      <c r="W485" s="68" t="s">
        <v>100</v>
      </c>
      <c r="X485" s="68">
        <v>2316</v>
      </c>
      <c r="Y485" s="11"/>
      <c r="Z485" s="11"/>
      <c r="AA485" s="11"/>
      <c r="AB485" s="11"/>
      <c r="AC485" s="11"/>
      <c r="AD485" s="11"/>
      <c r="AE485" s="11"/>
      <c r="AF485" s="11"/>
      <c r="AG485" s="11"/>
      <c r="BA485" s="44"/>
      <c r="BB485" s="11"/>
      <c r="BK485" s="1"/>
    </row>
    <row r="486" spans="1:63" s="70" customFormat="1" ht="12" customHeight="1" x14ac:dyDescent="0.2">
      <c r="A486" s="11" t="s">
        <v>28771</v>
      </c>
      <c r="B486" s="68">
        <v>26</v>
      </c>
      <c r="C486" s="11" t="s">
        <v>20</v>
      </c>
      <c r="D486" s="11" t="s">
        <v>37</v>
      </c>
      <c r="E486" s="71" t="s">
        <v>28772</v>
      </c>
      <c r="F486" s="69">
        <v>42775</v>
      </c>
      <c r="G486" s="11" t="s">
        <v>28869</v>
      </c>
      <c r="H486" s="11" t="s">
        <v>28495</v>
      </c>
      <c r="I486" s="11" t="s">
        <v>69</v>
      </c>
      <c r="J486" s="11">
        <v>44041</v>
      </c>
      <c r="K486" s="11" t="s">
        <v>25402</v>
      </c>
      <c r="L486" s="11" t="s">
        <v>25403</v>
      </c>
      <c r="M486" s="68" t="s">
        <v>5411</v>
      </c>
      <c r="N486" s="11" t="s">
        <v>28773</v>
      </c>
      <c r="O486" s="11" t="s">
        <v>400</v>
      </c>
      <c r="P486" s="11" t="s">
        <v>401</v>
      </c>
      <c r="Q486" s="71" t="s">
        <v>28774</v>
      </c>
      <c r="R486" s="11" t="s">
        <v>100</v>
      </c>
      <c r="S486" s="11" t="s">
        <v>18</v>
      </c>
      <c r="T486" s="68" t="s">
        <v>28345</v>
      </c>
      <c r="U486" s="68" t="s">
        <v>29441</v>
      </c>
      <c r="V486" s="68" t="s">
        <v>29439</v>
      </c>
      <c r="W486" s="68" t="s">
        <v>100</v>
      </c>
      <c r="X486" s="68">
        <v>2313</v>
      </c>
      <c r="Y486" s="11"/>
      <c r="Z486" s="11"/>
      <c r="AA486" s="11"/>
      <c r="AB486" s="11"/>
      <c r="AC486" s="11"/>
      <c r="AD486" s="11"/>
      <c r="AE486" s="11"/>
      <c r="AF486" s="11"/>
      <c r="AG486" s="11"/>
      <c r="AW486" s="44"/>
      <c r="AX486" s="1"/>
      <c r="AY486" s="1"/>
      <c r="BA486" s="44"/>
      <c r="BC486" s="1"/>
      <c r="BD486" s="1"/>
      <c r="BE486" s="1"/>
      <c r="BF486" s="1"/>
      <c r="BG486" s="1"/>
      <c r="BH486" s="1"/>
      <c r="BI486" s="1"/>
      <c r="BJ486" s="1"/>
      <c r="BK486" s="1"/>
    </row>
    <row r="487" spans="1:63" s="70" customFormat="1" ht="12" customHeight="1" x14ac:dyDescent="0.2">
      <c r="A487" s="11" t="s">
        <v>3252</v>
      </c>
      <c r="B487" s="11" t="s">
        <v>29</v>
      </c>
      <c r="C487" s="11" t="s">
        <v>20</v>
      </c>
      <c r="D487" s="11" t="s">
        <v>30</v>
      </c>
      <c r="E487" s="11"/>
      <c r="F487" s="69">
        <v>42775</v>
      </c>
      <c r="G487" s="11" t="s">
        <v>28498</v>
      </c>
      <c r="H487" s="11" t="s">
        <v>7567</v>
      </c>
      <c r="I487" s="11" t="s">
        <v>195</v>
      </c>
      <c r="J487" s="11">
        <v>87413</v>
      </c>
      <c r="K487" s="11" t="s">
        <v>5736</v>
      </c>
      <c r="L487" s="11" t="s">
        <v>28499</v>
      </c>
      <c r="M487" s="11" t="s">
        <v>27</v>
      </c>
      <c r="N487" s="11" t="s">
        <v>28500</v>
      </c>
      <c r="O487" s="11" t="s">
        <v>400</v>
      </c>
      <c r="P487" s="11" t="s">
        <v>401</v>
      </c>
      <c r="Q487" s="71" t="s">
        <v>28501</v>
      </c>
      <c r="R487" s="11" t="s">
        <v>100</v>
      </c>
      <c r="S487" s="11" t="s">
        <v>35</v>
      </c>
      <c r="T487" s="66" t="s">
        <v>29441</v>
      </c>
      <c r="U487" s="68" t="s">
        <v>29441</v>
      </c>
      <c r="V487" s="68"/>
      <c r="W487" s="68" t="s">
        <v>100</v>
      </c>
      <c r="X487" s="68">
        <v>2319</v>
      </c>
      <c r="Y487" s="11"/>
      <c r="Z487" s="11"/>
      <c r="AA487" s="11"/>
      <c r="AB487" s="11"/>
      <c r="AC487" s="11"/>
      <c r="AD487" s="11"/>
      <c r="AE487" s="11"/>
      <c r="AF487" s="11"/>
      <c r="AG487" s="11"/>
      <c r="AW487" s="1"/>
      <c r="AX487" s="1"/>
      <c r="AY487" s="1"/>
      <c r="BA487" s="44"/>
      <c r="BB487" s="11"/>
      <c r="BC487" s="1"/>
      <c r="BD487" s="1"/>
      <c r="BE487" s="1"/>
      <c r="BF487" s="1"/>
      <c r="BG487" s="1"/>
      <c r="BH487" s="1"/>
      <c r="BI487" s="1"/>
      <c r="BJ487" s="1"/>
    </row>
    <row r="488" spans="1:63" s="70" customFormat="1" ht="12" customHeight="1" x14ac:dyDescent="0.2">
      <c r="A488" s="11" t="s">
        <v>28074</v>
      </c>
      <c r="B488" s="68">
        <v>33</v>
      </c>
      <c r="C488" s="11" t="s">
        <v>20</v>
      </c>
      <c r="D488" s="11" t="s">
        <v>48</v>
      </c>
      <c r="E488" s="11"/>
      <c r="F488" s="69">
        <v>42775</v>
      </c>
      <c r="G488" s="11" t="s">
        <v>28075</v>
      </c>
      <c r="H488" s="11" t="s">
        <v>17308</v>
      </c>
      <c r="I488" s="11" t="s">
        <v>303</v>
      </c>
      <c r="J488" s="11">
        <v>98258</v>
      </c>
      <c r="K488" s="11" t="s">
        <v>2150</v>
      </c>
      <c r="L488" s="11" t="s">
        <v>17310</v>
      </c>
      <c r="M488" s="68" t="s">
        <v>5411</v>
      </c>
      <c r="N488" s="11" t="s">
        <v>28076</v>
      </c>
      <c r="O488" s="11" t="s">
        <v>400</v>
      </c>
      <c r="P488" s="11" t="s">
        <v>401</v>
      </c>
      <c r="Q488" s="71" t="s">
        <v>28077</v>
      </c>
      <c r="R488" s="68" t="s">
        <v>555</v>
      </c>
      <c r="S488" s="11" t="s">
        <v>28</v>
      </c>
      <c r="T488" s="68" t="s">
        <v>29493</v>
      </c>
      <c r="U488" s="68" t="s">
        <v>29436</v>
      </c>
      <c r="V488" s="68" t="s">
        <v>29439</v>
      </c>
      <c r="W488" s="68" t="s">
        <v>100</v>
      </c>
      <c r="X488" s="68">
        <v>2315</v>
      </c>
      <c r="Y488" s="11"/>
      <c r="Z488" s="11"/>
      <c r="AA488" s="11"/>
      <c r="AB488" s="11"/>
      <c r="AC488" s="11"/>
      <c r="AD488" s="11"/>
      <c r="AE488" s="11"/>
      <c r="AF488" s="11"/>
      <c r="AG488" s="11"/>
      <c r="AW488" s="11"/>
      <c r="AX488" s="1"/>
      <c r="AY488" s="1"/>
      <c r="BC488" s="1"/>
      <c r="BD488" s="1"/>
      <c r="BE488" s="1"/>
      <c r="BF488" s="1"/>
      <c r="BG488" s="1"/>
      <c r="BH488" s="1"/>
      <c r="BI488" s="1"/>
      <c r="BJ488" s="1"/>
      <c r="BK488" s="1"/>
    </row>
    <row r="489" spans="1:63" s="70" customFormat="1" ht="12" customHeight="1" x14ac:dyDescent="0.2">
      <c r="A489" s="11" t="s">
        <v>28631</v>
      </c>
      <c r="B489" s="68">
        <v>34</v>
      </c>
      <c r="C489" s="11" t="s">
        <v>20</v>
      </c>
      <c r="D489" s="11" t="s">
        <v>139</v>
      </c>
      <c r="E489" s="71" t="s">
        <v>28632</v>
      </c>
      <c r="F489" s="69">
        <v>42774</v>
      </c>
      <c r="G489" s="11" t="s">
        <v>28633</v>
      </c>
      <c r="H489" s="11" t="s">
        <v>23188</v>
      </c>
      <c r="I489" s="11" t="s">
        <v>395</v>
      </c>
      <c r="J489" s="11">
        <v>73005</v>
      </c>
      <c r="K489" s="11" t="s">
        <v>5907</v>
      </c>
      <c r="L489" s="11" t="s">
        <v>28634</v>
      </c>
      <c r="M489" s="11" t="s">
        <v>27</v>
      </c>
      <c r="N489" s="11" t="s">
        <v>28635</v>
      </c>
      <c r="O489" s="11" t="s">
        <v>400</v>
      </c>
      <c r="P489" s="11" t="s">
        <v>401</v>
      </c>
      <c r="Q489" s="71" t="s">
        <v>28636</v>
      </c>
      <c r="R489" s="11" t="s">
        <v>100</v>
      </c>
      <c r="S489" s="11" t="s">
        <v>28</v>
      </c>
      <c r="T489" s="68" t="s">
        <v>29493</v>
      </c>
      <c r="U489" s="68" t="s">
        <v>29436</v>
      </c>
      <c r="V489" s="68"/>
      <c r="W489" s="68" t="s">
        <v>100</v>
      </c>
      <c r="X489" s="68">
        <v>2314</v>
      </c>
      <c r="Y489" s="11"/>
      <c r="Z489" s="11"/>
      <c r="AA489" s="11"/>
      <c r="AB489" s="11"/>
      <c r="AC489" s="11"/>
      <c r="AD489" s="11"/>
      <c r="AE489" s="11"/>
      <c r="AF489" s="11"/>
      <c r="AG489" s="11"/>
      <c r="AW489" s="11"/>
      <c r="AX489" s="1"/>
      <c r="AY489" s="1"/>
      <c r="BA489" s="44"/>
      <c r="BB489" s="11"/>
      <c r="BC489" s="1"/>
      <c r="BD489" s="1"/>
      <c r="BE489" s="1"/>
      <c r="BF489" s="1"/>
      <c r="BG489" s="1"/>
      <c r="BH489" s="1"/>
      <c r="BI489" s="1"/>
      <c r="BJ489" s="1"/>
      <c r="BK489" s="78"/>
    </row>
    <row r="490" spans="1:63" s="70" customFormat="1" ht="12" customHeight="1" x14ac:dyDescent="0.2">
      <c r="A490" s="11" t="s">
        <v>27889</v>
      </c>
      <c r="B490" s="68">
        <v>29</v>
      </c>
      <c r="C490" s="11" t="s">
        <v>20</v>
      </c>
      <c r="D490" s="11" t="s">
        <v>37</v>
      </c>
      <c r="E490" s="71" t="s">
        <v>27890</v>
      </c>
      <c r="F490" s="69">
        <v>42774</v>
      </c>
      <c r="G490" s="11" t="s">
        <v>27891</v>
      </c>
      <c r="H490" s="11" t="s">
        <v>27892</v>
      </c>
      <c r="I490" s="11" t="s">
        <v>217</v>
      </c>
      <c r="J490" s="11">
        <v>47012</v>
      </c>
      <c r="K490" s="11" t="s">
        <v>1288</v>
      </c>
      <c r="L490" s="11" t="s">
        <v>27893</v>
      </c>
      <c r="M490" s="11" t="s">
        <v>27</v>
      </c>
      <c r="N490" s="11" t="s">
        <v>27894</v>
      </c>
      <c r="O490" s="11" t="s">
        <v>400</v>
      </c>
      <c r="P490" s="11" t="s">
        <v>401</v>
      </c>
      <c r="Q490" s="71" t="s">
        <v>27895</v>
      </c>
      <c r="R490" s="11" t="s">
        <v>100</v>
      </c>
      <c r="S490" s="11" t="s">
        <v>28</v>
      </c>
      <c r="T490" s="68" t="s">
        <v>27756</v>
      </c>
      <c r="U490" s="68" t="s">
        <v>29436</v>
      </c>
      <c r="V490" s="68" t="s">
        <v>29439</v>
      </c>
      <c r="W490" s="68" t="s">
        <v>100</v>
      </c>
      <c r="X490" s="68">
        <v>2307</v>
      </c>
      <c r="Y490" s="11"/>
      <c r="Z490" s="11"/>
      <c r="AA490" s="11"/>
      <c r="AB490" s="11"/>
      <c r="AC490" s="11"/>
      <c r="AD490" s="11"/>
      <c r="AE490" s="11"/>
      <c r="AF490" s="11"/>
      <c r="AG490" s="11"/>
      <c r="AW490" s="44"/>
      <c r="AX490" s="1"/>
      <c r="AY490" s="1"/>
      <c r="BA490" s="44"/>
      <c r="BB490" s="11"/>
      <c r="BC490" s="1"/>
      <c r="BD490" s="1"/>
      <c r="BE490" s="1"/>
      <c r="BF490" s="1"/>
      <c r="BG490" s="1"/>
      <c r="BH490" s="1"/>
      <c r="BI490" s="1"/>
      <c r="BJ490" s="1"/>
      <c r="BK490" s="78"/>
    </row>
    <row r="491" spans="1:63" s="70" customFormat="1" ht="12" customHeight="1" x14ac:dyDescent="0.2">
      <c r="A491" s="11" t="s">
        <v>28368</v>
      </c>
      <c r="B491" s="68">
        <v>25</v>
      </c>
      <c r="C491" s="11" t="s">
        <v>20</v>
      </c>
      <c r="D491" s="11" t="s">
        <v>85</v>
      </c>
      <c r="E491" s="71" t="s">
        <v>28369</v>
      </c>
      <c r="F491" s="69">
        <v>42774</v>
      </c>
      <c r="G491" s="11" t="s">
        <v>28370</v>
      </c>
      <c r="H491" s="11" t="s">
        <v>87</v>
      </c>
      <c r="I491" s="11" t="s">
        <v>44</v>
      </c>
      <c r="J491" s="11">
        <v>60606</v>
      </c>
      <c r="K491" s="11" t="s">
        <v>88</v>
      </c>
      <c r="L491" s="11" t="s">
        <v>28371</v>
      </c>
      <c r="M491" s="11" t="s">
        <v>27</v>
      </c>
      <c r="N491" s="11" t="s">
        <v>28372</v>
      </c>
      <c r="O491" s="11" t="s">
        <v>28373</v>
      </c>
      <c r="P491" s="11" t="s">
        <v>1159</v>
      </c>
      <c r="Q491" s="71" t="s">
        <v>28374</v>
      </c>
      <c r="R491" s="11" t="s">
        <v>100</v>
      </c>
      <c r="S491" s="11" t="s">
        <v>18</v>
      </c>
      <c r="T491" s="68" t="s">
        <v>28345</v>
      </c>
      <c r="U491" s="68" t="s">
        <v>29441</v>
      </c>
      <c r="V491" s="68"/>
      <c r="W491" s="68" t="s">
        <v>100</v>
      </c>
      <c r="X491" s="68">
        <v>2343</v>
      </c>
      <c r="Y491" s="11"/>
      <c r="Z491" s="11"/>
      <c r="AA491" s="11"/>
      <c r="AB491" s="11"/>
      <c r="AC491" s="11"/>
      <c r="AD491" s="11"/>
      <c r="AE491" s="11"/>
      <c r="AF491" s="11"/>
      <c r="AG491" s="11"/>
      <c r="AW491" s="11"/>
      <c r="AX491" s="44"/>
      <c r="AY491" s="44"/>
      <c r="BA491" s="44"/>
      <c r="BB491" s="11"/>
      <c r="BK491" s="1"/>
    </row>
    <row r="492" spans="1:63" s="70" customFormat="1" ht="12" customHeight="1" x14ac:dyDescent="0.2">
      <c r="A492" s="11" t="s">
        <v>28336</v>
      </c>
      <c r="B492" s="11">
        <v>30</v>
      </c>
      <c r="C492" s="11" t="s">
        <v>20</v>
      </c>
      <c r="D492" s="11" t="s">
        <v>48</v>
      </c>
      <c r="E492" s="71" t="s">
        <v>28337</v>
      </c>
      <c r="F492" s="72">
        <v>42774</v>
      </c>
      <c r="G492" s="11" t="s">
        <v>28844</v>
      </c>
      <c r="H492" s="11" t="s">
        <v>1907</v>
      </c>
      <c r="I492" s="11" t="s">
        <v>45</v>
      </c>
      <c r="J492" s="11">
        <v>95776</v>
      </c>
      <c r="K492" s="11" t="s">
        <v>7808</v>
      </c>
      <c r="L492" s="11" t="s">
        <v>1909</v>
      </c>
      <c r="M492" s="1" t="s">
        <v>391</v>
      </c>
      <c r="N492" s="11" t="s">
        <v>28338</v>
      </c>
      <c r="O492" s="11" t="s">
        <v>400</v>
      </c>
      <c r="P492" s="11" t="s">
        <v>401</v>
      </c>
      <c r="Q492" s="71" t="s">
        <v>28339</v>
      </c>
      <c r="R492" s="11" t="s">
        <v>29</v>
      </c>
      <c r="S492" s="11" t="s">
        <v>28</v>
      </c>
      <c r="T492" s="11"/>
      <c r="U492" s="11"/>
      <c r="V492" s="11"/>
      <c r="W492" s="11"/>
      <c r="X492" s="11"/>
      <c r="Y492" s="11"/>
      <c r="Z492" s="11"/>
      <c r="AA492" s="11"/>
      <c r="AB492" s="11"/>
      <c r="AC492" s="11"/>
      <c r="AD492" s="11"/>
      <c r="AE492" s="11"/>
      <c r="AF492" s="11"/>
      <c r="AG492" s="11"/>
      <c r="AU492" s="11"/>
      <c r="AV492" s="11"/>
      <c r="AW492" s="11"/>
      <c r="AX492" s="1"/>
      <c r="AY492" s="1"/>
      <c r="AZ492" s="1"/>
      <c r="BA492" s="1"/>
      <c r="BB492" s="1"/>
      <c r="BC492" s="1"/>
      <c r="BD492" s="1"/>
      <c r="BE492" s="1"/>
      <c r="BF492" s="1"/>
      <c r="BG492" s="1"/>
      <c r="BH492" s="1"/>
      <c r="BI492" s="1"/>
      <c r="BJ492" s="1"/>
      <c r="BK492" s="1"/>
    </row>
    <row r="493" spans="1:63" s="70" customFormat="1" ht="12" customHeight="1" x14ac:dyDescent="0.2">
      <c r="A493" s="11" t="s">
        <v>27782</v>
      </c>
      <c r="B493" s="68">
        <v>35</v>
      </c>
      <c r="C493" s="11" t="s">
        <v>20</v>
      </c>
      <c r="D493" s="11" t="s">
        <v>37</v>
      </c>
      <c r="E493" s="11" t="s">
        <v>28876</v>
      </c>
      <c r="F493" s="69">
        <v>42773</v>
      </c>
      <c r="G493" s="11" t="s">
        <v>27783</v>
      </c>
      <c r="H493" s="11" t="s">
        <v>27784</v>
      </c>
      <c r="I493" s="11" t="s">
        <v>319</v>
      </c>
      <c r="J493" s="11">
        <v>38474</v>
      </c>
      <c r="K493" s="11" t="s">
        <v>1839</v>
      </c>
      <c r="L493" s="11" t="s">
        <v>27785</v>
      </c>
      <c r="M493" s="11" t="s">
        <v>27</v>
      </c>
      <c r="N493" s="11" t="s">
        <v>27786</v>
      </c>
      <c r="O493" s="11" t="s">
        <v>400</v>
      </c>
      <c r="P493" s="11" t="s">
        <v>401</v>
      </c>
      <c r="Q493" s="71" t="s">
        <v>27787</v>
      </c>
      <c r="R493" s="11" t="s">
        <v>964</v>
      </c>
      <c r="S493" s="11" t="s">
        <v>35</v>
      </c>
      <c r="T493" s="66" t="s">
        <v>29441</v>
      </c>
      <c r="U493" s="68" t="s">
        <v>29438</v>
      </c>
      <c r="V493" s="68" t="s">
        <v>29437</v>
      </c>
      <c r="W493" s="68" t="s">
        <v>100</v>
      </c>
      <c r="X493" s="68">
        <v>2309</v>
      </c>
      <c r="Y493" s="11"/>
      <c r="Z493" s="11"/>
      <c r="AA493" s="11"/>
      <c r="AB493" s="11"/>
      <c r="AC493" s="11"/>
      <c r="AD493" s="11"/>
      <c r="AE493" s="11"/>
      <c r="AF493" s="11"/>
      <c r="AG493" s="11"/>
      <c r="AW493" s="11"/>
      <c r="AX493" s="1"/>
      <c r="AY493" s="1"/>
      <c r="AZ493" s="44"/>
      <c r="BA493" s="44"/>
      <c r="BB493" s="44"/>
      <c r="BC493" s="1"/>
      <c r="BD493" s="1"/>
      <c r="BE493" s="1"/>
      <c r="BF493" s="1"/>
      <c r="BG493" s="1"/>
      <c r="BH493" s="1"/>
      <c r="BI493" s="1"/>
      <c r="BJ493" s="1"/>
    </row>
    <row r="494" spans="1:63" s="70" customFormat="1" ht="12" customHeight="1" x14ac:dyDescent="0.2">
      <c r="A494" s="11" t="s">
        <v>27839</v>
      </c>
      <c r="B494" s="68">
        <v>18</v>
      </c>
      <c r="C494" s="11" t="s">
        <v>20</v>
      </c>
      <c r="D494" s="11" t="s">
        <v>85</v>
      </c>
      <c r="E494" s="11"/>
      <c r="F494" s="69">
        <v>42773</v>
      </c>
      <c r="G494" s="11" t="s">
        <v>27840</v>
      </c>
      <c r="H494" s="11" t="s">
        <v>1592</v>
      </c>
      <c r="I494" s="11" t="s">
        <v>52</v>
      </c>
      <c r="J494" s="11">
        <v>21223</v>
      </c>
      <c r="K494" s="11" t="s">
        <v>4697</v>
      </c>
      <c r="L494" s="11" t="s">
        <v>2770</v>
      </c>
      <c r="M494" s="11" t="s">
        <v>27</v>
      </c>
      <c r="N494" s="11" t="s">
        <v>27841</v>
      </c>
      <c r="O494" s="11" t="s">
        <v>400</v>
      </c>
      <c r="P494" s="11" t="s">
        <v>401</v>
      </c>
      <c r="Q494" s="71" t="s">
        <v>27842</v>
      </c>
      <c r="R494" s="11" t="s">
        <v>100</v>
      </c>
      <c r="S494" s="11" t="s">
        <v>28</v>
      </c>
      <c r="T494" s="68" t="s">
        <v>27756</v>
      </c>
      <c r="U494" s="68" t="s">
        <v>29436</v>
      </c>
      <c r="V494" s="68" t="s">
        <v>21212</v>
      </c>
      <c r="W494" s="68" t="s">
        <v>555</v>
      </c>
      <c r="X494" s="68">
        <v>2310</v>
      </c>
      <c r="Y494" s="11"/>
      <c r="Z494" s="11"/>
      <c r="AA494" s="11"/>
      <c r="AB494" s="11"/>
      <c r="AC494" s="11"/>
      <c r="AD494" s="11"/>
      <c r="AE494" s="11"/>
      <c r="AF494" s="11"/>
      <c r="AG494" s="11"/>
      <c r="BA494" s="44"/>
      <c r="BB494" s="11"/>
      <c r="BK494" s="78"/>
    </row>
    <row r="495" spans="1:63" s="70" customFormat="1" ht="12" customHeight="1" x14ac:dyDescent="0.2">
      <c r="A495" s="11" t="s">
        <v>28217</v>
      </c>
      <c r="B495" s="68">
        <v>34</v>
      </c>
      <c r="C495" s="11" t="s">
        <v>20</v>
      </c>
      <c r="D495" s="11" t="s">
        <v>37</v>
      </c>
      <c r="E495" s="71" t="s">
        <v>28218</v>
      </c>
      <c r="F495" s="69">
        <v>42773</v>
      </c>
      <c r="G495" s="11" t="s">
        <v>28219</v>
      </c>
      <c r="H495" s="11" t="s">
        <v>5964</v>
      </c>
      <c r="I495" s="11" t="s">
        <v>69</v>
      </c>
      <c r="J495" s="11">
        <v>44484</v>
      </c>
      <c r="K495" s="11" t="s">
        <v>1262</v>
      </c>
      <c r="L495" s="11" t="s">
        <v>28220</v>
      </c>
      <c r="M495" s="11" t="s">
        <v>27</v>
      </c>
      <c r="N495" s="11" t="s">
        <v>28221</v>
      </c>
      <c r="O495" s="11" t="s">
        <v>400</v>
      </c>
      <c r="P495" s="11" t="s">
        <v>401</v>
      </c>
      <c r="Q495" s="71" t="s">
        <v>28222</v>
      </c>
      <c r="R495" s="11" t="s">
        <v>100</v>
      </c>
      <c r="S495" s="11" t="s">
        <v>28</v>
      </c>
      <c r="T495" s="68" t="s">
        <v>27756</v>
      </c>
      <c r="U495" s="68" t="s">
        <v>29438</v>
      </c>
      <c r="V495" s="68" t="s">
        <v>29439</v>
      </c>
      <c r="W495" s="68" t="s">
        <v>100</v>
      </c>
      <c r="X495" s="68">
        <v>2312</v>
      </c>
      <c r="Y495" s="11"/>
      <c r="Z495" s="11"/>
      <c r="AA495" s="11"/>
      <c r="AB495" s="11"/>
      <c r="AC495" s="11"/>
      <c r="AD495" s="11"/>
      <c r="AE495" s="11"/>
      <c r="AF495" s="11"/>
      <c r="AG495" s="11"/>
      <c r="AW495" s="11"/>
      <c r="AX495" s="1"/>
      <c r="AY495" s="1"/>
      <c r="AZ495" s="44"/>
      <c r="BA495" s="44"/>
      <c r="BB495" s="11"/>
      <c r="BC495" s="1"/>
      <c r="BD495" s="1"/>
      <c r="BE495" s="1"/>
      <c r="BF495" s="1"/>
      <c r="BG495" s="1"/>
      <c r="BH495" s="1"/>
      <c r="BI495" s="1"/>
      <c r="BJ495" s="1"/>
      <c r="BK495" s="78"/>
    </row>
    <row r="496" spans="1:63" s="70" customFormat="1" ht="12" customHeight="1" x14ac:dyDescent="0.2">
      <c r="A496" s="11" t="s">
        <v>28356</v>
      </c>
      <c r="B496" s="11">
        <v>20</v>
      </c>
      <c r="C496" s="11" t="s">
        <v>20</v>
      </c>
      <c r="D496" s="11" t="s">
        <v>85</v>
      </c>
      <c r="E496" s="71" t="s">
        <v>28357</v>
      </c>
      <c r="F496" s="72">
        <v>42773</v>
      </c>
      <c r="G496" s="11" t="s">
        <v>28358</v>
      </c>
      <c r="H496" s="11" t="s">
        <v>13265</v>
      </c>
      <c r="I496" s="11" t="s">
        <v>423</v>
      </c>
      <c r="J496" s="11">
        <v>14213</v>
      </c>
      <c r="K496" s="11" t="s">
        <v>8765</v>
      </c>
      <c r="L496" s="11" t="s">
        <v>21222</v>
      </c>
      <c r="M496" s="44" t="s">
        <v>2291</v>
      </c>
      <c r="N496" s="11" t="s">
        <v>28359</v>
      </c>
      <c r="O496" s="11" t="s">
        <v>400</v>
      </c>
      <c r="P496" s="11" t="s">
        <v>401</v>
      </c>
      <c r="Q496" s="71" t="s">
        <v>28360</v>
      </c>
      <c r="R496" s="11" t="s">
        <v>100</v>
      </c>
      <c r="S496" s="11" t="s">
        <v>18</v>
      </c>
      <c r="T496" s="11" t="s">
        <v>28345</v>
      </c>
      <c r="U496" s="11"/>
      <c r="V496" s="11"/>
      <c r="W496" s="11"/>
      <c r="X496" s="11"/>
      <c r="Y496" s="11"/>
      <c r="Z496" s="11"/>
      <c r="AA496" s="11"/>
      <c r="AB496" s="11"/>
      <c r="AC496" s="11"/>
      <c r="AD496" s="11"/>
      <c r="AE496" s="11"/>
      <c r="AF496" s="11"/>
      <c r="AG496" s="11"/>
      <c r="AU496" s="1"/>
      <c r="AV496" s="1"/>
      <c r="AW496" s="1"/>
      <c r="AX496" s="44"/>
      <c r="AY496" s="44"/>
      <c r="BA496" s="1"/>
      <c r="BB496" s="1"/>
      <c r="BK496" s="1"/>
    </row>
    <row r="497" spans="1:63" s="70" customFormat="1" ht="12" customHeight="1" x14ac:dyDescent="0.2">
      <c r="A497" s="11" t="s">
        <v>28467</v>
      </c>
      <c r="B497" s="11">
        <v>15</v>
      </c>
      <c r="C497" s="11" t="s">
        <v>20</v>
      </c>
      <c r="D497" s="11" t="s">
        <v>85</v>
      </c>
      <c r="E497" s="71" t="s">
        <v>28468</v>
      </c>
      <c r="F497" s="72">
        <v>42773</v>
      </c>
      <c r="G497" s="11" t="s">
        <v>28469</v>
      </c>
      <c r="H497" s="11" t="s">
        <v>16318</v>
      </c>
      <c r="I497" s="11" t="s">
        <v>217</v>
      </c>
      <c r="J497" s="11">
        <v>46628</v>
      </c>
      <c r="K497" s="11" t="s">
        <v>11152</v>
      </c>
      <c r="L497" s="11" t="s">
        <v>16320</v>
      </c>
      <c r="M497" s="11" t="s">
        <v>379</v>
      </c>
      <c r="N497" s="11" t="s">
        <v>28470</v>
      </c>
      <c r="O497" s="11" t="s">
        <v>1010</v>
      </c>
      <c r="P497" s="11" t="s">
        <v>401</v>
      </c>
      <c r="Q497" s="71" t="s">
        <v>28471</v>
      </c>
      <c r="R497" s="11" t="s">
        <v>100</v>
      </c>
      <c r="S497" s="66" t="s">
        <v>379</v>
      </c>
      <c r="T497" s="66" t="s">
        <v>30738</v>
      </c>
      <c r="U497" s="1"/>
      <c r="V497" s="11"/>
      <c r="W497" s="11"/>
      <c r="X497" s="11"/>
      <c r="Y497" s="11"/>
      <c r="Z497" s="11"/>
      <c r="AA497" s="11"/>
      <c r="AB497" s="11"/>
      <c r="AC497" s="11"/>
      <c r="AD497" s="11"/>
      <c r="AE497" s="11"/>
      <c r="AF497" s="11"/>
      <c r="AG497" s="11"/>
      <c r="AU497" s="44"/>
      <c r="AV497" s="44"/>
      <c r="AW497" s="1"/>
      <c r="AX497" s="44"/>
      <c r="AY497" s="44"/>
      <c r="BA497" s="1"/>
      <c r="BB497" s="1"/>
      <c r="BK497" s="1"/>
    </row>
    <row r="498" spans="1:63" s="70" customFormat="1" ht="12" customHeight="1" x14ac:dyDescent="0.2">
      <c r="A498" s="11" t="s">
        <v>28593</v>
      </c>
      <c r="B498" s="11">
        <v>16</v>
      </c>
      <c r="C498" s="11" t="s">
        <v>20</v>
      </c>
      <c r="D498" s="11" t="s">
        <v>85</v>
      </c>
      <c r="E498" s="71" t="s">
        <v>28594</v>
      </c>
      <c r="F498" s="72">
        <v>42773</v>
      </c>
      <c r="G498" s="11" t="s">
        <v>28469</v>
      </c>
      <c r="H498" s="11" t="s">
        <v>16318</v>
      </c>
      <c r="I498" s="11" t="s">
        <v>217</v>
      </c>
      <c r="J498" s="11">
        <v>46628</v>
      </c>
      <c r="K498" s="11" t="s">
        <v>11152</v>
      </c>
      <c r="L498" s="11" t="s">
        <v>16320</v>
      </c>
      <c r="M498" s="11" t="s">
        <v>379</v>
      </c>
      <c r="N498" s="11" t="s">
        <v>28470</v>
      </c>
      <c r="O498" s="11" t="s">
        <v>1010</v>
      </c>
      <c r="P498" s="11" t="s">
        <v>401</v>
      </c>
      <c r="Q498" s="71" t="s">
        <v>28471</v>
      </c>
      <c r="R498" s="11" t="s">
        <v>100</v>
      </c>
      <c r="S498" s="11" t="s">
        <v>379</v>
      </c>
      <c r="T498" s="11" t="s">
        <v>379</v>
      </c>
      <c r="U498" s="11"/>
      <c r="V498" s="11"/>
      <c r="W498" s="11"/>
      <c r="X498" s="11"/>
      <c r="Y498" s="11"/>
      <c r="Z498" s="11"/>
      <c r="AA498" s="11"/>
      <c r="AB498" s="11"/>
      <c r="AC498" s="11"/>
      <c r="AD498" s="11"/>
      <c r="AE498" s="11"/>
      <c r="AF498" s="11"/>
      <c r="AG498" s="11"/>
      <c r="AU498" s="44"/>
      <c r="AV498" s="44"/>
      <c r="AW498" s="1"/>
      <c r="AX498" s="44"/>
      <c r="AY498" s="44"/>
      <c r="BA498" s="1"/>
      <c r="BB498" s="1"/>
      <c r="BK498" s="1"/>
    </row>
    <row r="499" spans="1:63" s="70" customFormat="1" ht="12" customHeight="1" x14ac:dyDescent="0.2">
      <c r="A499" s="11" t="s">
        <v>28542</v>
      </c>
      <c r="B499" s="68">
        <v>51</v>
      </c>
      <c r="C499" s="11" t="s">
        <v>20</v>
      </c>
      <c r="D499" s="11" t="s">
        <v>37</v>
      </c>
      <c r="E499" s="11" t="s">
        <v>28884</v>
      </c>
      <c r="F499" s="69">
        <v>42773</v>
      </c>
      <c r="G499" s="11" t="s">
        <v>28543</v>
      </c>
      <c r="H499" s="11" t="s">
        <v>874</v>
      </c>
      <c r="I499" s="11" t="s">
        <v>315</v>
      </c>
      <c r="J499" s="11">
        <v>40475</v>
      </c>
      <c r="K499" s="11" t="s">
        <v>2160</v>
      </c>
      <c r="L499" s="11" t="s">
        <v>20114</v>
      </c>
      <c r="M499" s="11" t="s">
        <v>27</v>
      </c>
      <c r="N499" s="11" t="s">
        <v>28544</v>
      </c>
      <c r="O499" s="11" t="s">
        <v>400</v>
      </c>
      <c r="P499" s="11" t="s">
        <v>401</v>
      </c>
      <c r="Q499" s="71" t="s">
        <v>28545</v>
      </c>
      <c r="R499" s="11" t="s">
        <v>100</v>
      </c>
      <c r="S499" s="11" t="s">
        <v>379</v>
      </c>
      <c r="T499" s="68" t="s">
        <v>379</v>
      </c>
      <c r="U499" s="68" t="s">
        <v>29436</v>
      </c>
      <c r="V499" s="68"/>
      <c r="W499" s="68" t="s">
        <v>100</v>
      </c>
      <c r="X499" s="68">
        <v>2347</v>
      </c>
      <c r="Y499" s="11"/>
      <c r="Z499" s="11"/>
      <c r="AA499" s="11"/>
      <c r="AB499" s="11"/>
      <c r="AC499" s="11"/>
      <c r="AD499" s="11"/>
      <c r="AE499" s="11"/>
      <c r="AF499" s="11"/>
      <c r="AG499" s="11"/>
      <c r="AW499" s="1"/>
      <c r="AX499" s="1"/>
      <c r="AY499" s="1"/>
      <c r="AZ499" s="44"/>
      <c r="BA499" s="44"/>
      <c r="BB499" s="11"/>
      <c r="BC499" s="1"/>
      <c r="BD499" s="1"/>
      <c r="BE499" s="1"/>
      <c r="BF499" s="1"/>
      <c r="BG499" s="1"/>
      <c r="BH499" s="1"/>
      <c r="BI499" s="1"/>
      <c r="BJ499" s="1"/>
      <c r="BK499" s="11"/>
    </row>
    <row r="500" spans="1:63" s="70" customFormat="1" ht="12" customHeight="1" x14ac:dyDescent="0.2">
      <c r="A500" s="11" t="s">
        <v>28472</v>
      </c>
      <c r="B500" s="68">
        <v>18</v>
      </c>
      <c r="C500" s="11" t="s">
        <v>20</v>
      </c>
      <c r="D500" s="11" t="s">
        <v>37</v>
      </c>
      <c r="E500" s="71" t="s">
        <v>28473</v>
      </c>
      <c r="F500" s="69">
        <v>42773</v>
      </c>
      <c r="G500" s="11" t="s">
        <v>28850</v>
      </c>
      <c r="H500" s="11" t="s">
        <v>28474</v>
      </c>
      <c r="I500" s="11" t="s">
        <v>94</v>
      </c>
      <c r="J500" s="11">
        <v>35765</v>
      </c>
      <c r="K500" s="11" t="s">
        <v>433</v>
      </c>
      <c r="L500" s="11" t="s">
        <v>28475</v>
      </c>
      <c r="M500" s="68" t="s">
        <v>5411</v>
      </c>
      <c r="N500" s="11" t="s">
        <v>28476</v>
      </c>
      <c r="O500" s="11" t="s">
        <v>400</v>
      </c>
      <c r="P500" s="11" t="s">
        <v>401</v>
      </c>
      <c r="Q500" s="71" t="s">
        <v>28477</v>
      </c>
      <c r="R500" s="11" t="s">
        <v>29</v>
      </c>
      <c r="S500" s="11" t="s">
        <v>35</v>
      </c>
      <c r="T500" s="68" t="s">
        <v>29448</v>
      </c>
      <c r="U500" s="68" t="s">
        <v>29441</v>
      </c>
      <c r="V500" s="68" t="s">
        <v>29439</v>
      </c>
      <c r="W500" s="68" t="s">
        <v>100</v>
      </c>
      <c r="X500" s="68">
        <v>2308</v>
      </c>
      <c r="Y500" s="11"/>
      <c r="Z500" s="11"/>
      <c r="AA500" s="11"/>
      <c r="AB500" s="11"/>
      <c r="AC500" s="11"/>
      <c r="AD500" s="11"/>
      <c r="AE500" s="11"/>
      <c r="AF500" s="11"/>
      <c r="AG500" s="11"/>
      <c r="AX500" s="1"/>
      <c r="AY500" s="1"/>
      <c r="BA500" s="1"/>
      <c r="BC500" s="1"/>
      <c r="BD500" s="1"/>
      <c r="BE500" s="1"/>
      <c r="BF500" s="1"/>
      <c r="BG500" s="1"/>
      <c r="BH500" s="1"/>
      <c r="BI500" s="1"/>
      <c r="BJ500" s="1"/>
      <c r="BK500" s="11"/>
    </row>
    <row r="501" spans="1:63" s="70" customFormat="1" ht="12" customHeight="1" x14ac:dyDescent="0.2">
      <c r="A501" s="11" t="s">
        <v>28202</v>
      </c>
      <c r="B501" s="11">
        <v>58</v>
      </c>
      <c r="C501" s="11" t="s">
        <v>20</v>
      </c>
      <c r="D501" s="11" t="s">
        <v>30</v>
      </c>
      <c r="E501" s="11"/>
      <c r="F501" s="72">
        <v>42773</v>
      </c>
      <c r="G501" s="11" t="s">
        <v>28203</v>
      </c>
      <c r="H501" s="11" t="s">
        <v>2845</v>
      </c>
      <c r="I501" s="11" t="s">
        <v>319</v>
      </c>
      <c r="J501" s="11">
        <v>37854</v>
      </c>
      <c r="K501" s="11" t="s">
        <v>7782</v>
      </c>
      <c r="L501" s="11" t="s">
        <v>28204</v>
      </c>
      <c r="M501" s="11" t="s">
        <v>27</v>
      </c>
      <c r="N501" s="11" t="s">
        <v>28205</v>
      </c>
      <c r="O501" s="11" t="s">
        <v>400</v>
      </c>
      <c r="P501" s="11" t="s">
        <v>401</v>
      </c>
      <c r="Q501" s="71" t="s">
        <v>28206</v>
      </c>
      <c r="R501" s="11" t="s">
        <v>555</v>
      </c>
      <c r="S501" s="11" t="s">
        <v>28</v>
      </c>
      <c r="T501" s="68"/>
      <c r="U501" s="68"/>
      <c r="V501" s="68"/>
      <c r="W501" s="68"/>
      <c r="X501" s="68"/>
      <c r="Y501" s="11"/>
      <c r="Z501" s="11"/>
      <c r="AA501" s="11"/>
      <c r="AB501" s="11"/>
      <c r="AC501" s="11"/>
      <c r="AD501" s="11"/>
      <c r="AE501" s="11"/>
      <c r="AF501" s="11"/>
      <c r="AG501" s="11"/>
      <c r="AW501" s="1"/>
      <c r="AX501" s="1"/>
      <c r="AY501" s="1"/>
      <c r="AZ501" s="1"/>
      <c r="BA501" s="11"/>
      <c r="BB501" s="11"/>
      <c r="BC501" s="1"/>
      <c r="BD501" s="1"/>
      <c r="BE501" s="1"/>
      <c r="BF501" s="1"/>
      <c r="BG501" s="1"/>
      <c r="BH501" s="1"/>
      <c r="BI501" s="1"/>
      <c r="BJ501" s="1"/>
      <c r="BK501" s="78"/>
    </row>
    <row r="502" spans="1:63" s="70" customFormat="1" ht="12" customHeight="1" x14ac:dyDescent="0.2">
      <c r="A502" s="11" t="s">
        <v>27834</v>
      </c>
      <c r="B502" s="68">
        <v>50</v>
      </c>
      <c r="C502" s="11" t="s">
        <v>20</v>
      </c>
      <c r="D502" s="11" t="s">
        <v>85</v>
      </c>
      <c r="E502" s="11"/>
      <c r="F502" s="69">
        <v>42772</v>
      </c>
      <c r="G502" s="11" t="s">
        <v>28806</v>
      </c>
      <c r="H502" s="11" t="s">
        <v>27835</v>
      </c>
      <c r="I502" s="11" t="s">
        <v>209</v>
      </c>
      <c r="J502" s="11">
        <v>80022</v>
      </c>
      <c r="K502" s="11" t="s">
        <v>1924</v>
      </c>
      <c r="L502" s="11" t="s">
        <v>27836</v>
      </c>
      <c r="M502" s="11" t="s">
        <v>27</v>
      </c>
      <c r="N502" s="11" t="s">
        <v>27837</v>
      </c>
      <c r="O502" s="11" t="s">
        <v>400</v>
      </c>
      <c r="P502" s="11" t="s">
        <v>401</v>
      </c>
      <c r="Q502" s="71" t="s">
        <v>27838</v>
      </c>
      <c r="R502" s="11" t="s">
        <v>100</v>
      </c>
      <c r="S502" s="11" t="s">
        <v>28</v>
      </c>
      <c r="T502" s="68" t="s">
        <v>27756</v>
      </c>
      <c r="U502" s="68" t="s">
        <v>29436</v>
      </c>
      <c r="V502" s="68" t="s">
        <v>29439</v>
      </c>
      <c r="W502" s="68" t="s">
        <v>100</v>
      </c>
      <c r="X502" s="68">
        <v>2306</v>
      </c>
      <c r="Y502" s="11"/>
      <c r="Z502" s="11"/>
      <c r="AA502" s="11"/>
      <c r="AB502" s="11"/>
      <c r="AC502" s="11"/>
      <c r="AD502" s="11"/>
      <c r="AE502" s="11"/>
      <c r="AF502" s="11"/>
      <c r="AG502" s="11"/>
      <c r="AW502" s="1"/>
      <c r="AX502" s="44"/>
      <c r="AY502" s="44"/>
      <c r="AZ502" s="44"/>
      <c r="BA502" s="44"/>
      <c r="BB502" s="11"/>
      <c r="BK502" s="78"/>
    </row>
    <row r="503" spans="1:63" s="70" customFormat="1" ht="12" customHeight="1" x14ac:dyDescent="0.2">
      <c r="A503" s="11" t="s">
        <v>27932</v>
      </c>
      <c r="B503" s="68">
        <v>52</v>
      </c>
      <c r="C503" s="11" t="s">
        <v>20</v>
      </c>
      <c r="D503" s="11" t="s">
        <v>48</v>
      </c>
      <c r="E503" s="11"/>
      <c r="F503" s="69">
        <v>42772</v>
      </c>
      <c r="G503" s="11" t="s">
        <v>28815</v>
      </c>
      <c r="H503" s="11" t="s">
        <v>16175</v>
      </c>
      <c r="I503" s="11" t="s">
        <v>45</v>
      </c>
      <c r="J503" s="11">
        <v>90064</v>
      </c>
      <c r="K503" s="11" t="s">
        <v>98</v>
      </c>
      <c r="L503" s="11" t="s">
        <v>957</v>
      </c>
      <c r="M503" s="68" t="s">
        <v>5411</v>
      </c>
      <c r="N503" s="11" t="s">
        <v>27933</v>
      </c>
      <c r="O503" s="11" t="s">
        <v>400</v>
      </c>
      <c r="P503" s="11" t="s">
        <v>401</v>
      </c>
      <c r="Q503" s="71" t="s">
        <v>27934</v>
      </c>
      <c r="R503" s="11" t="s">
        <v>100</v>
      </c>
      <c r="S503" s="11" t="s">
        <v>28</v>
      </c>
      <c r="T503" s="68" t="s">
        <v>29493</v>
      </c>
      <c r="U503" s="68" t="s">
        <v>29438</v>
      </c>
      <c r="V503" s="68" t="s">
        <v>29440</v>
      </c>
      <c r="W503" s="68" t="s">
        <v>100</v>
      </c>
      <c r="X503" s="68">
        <v>2287</v>
      </c>
      <c r="Y503" s="11"/>
      <c r="Z503" s="11"/>
      <c r="AA503" s="11"/>
      <c r="AB503" s="11"/>
      <c r="AC503" s="11"/>
      <c r="AD503" s="11"/>
      <c r="AE503" s="11"/>
      <c r="AF503" s="11"/>
      <c r="AG503" s="11"/>
      <c r="AW503" s="1"/>
      <c r="AX503" s="1"/>
      <c r="AY503" s="1"/>
      <c r="AZ503" s="44"/>
      <c r="BA503" s="44"/>
      <c r="BC503" s="1"/>
      <c r="BD503" s="1"/>
      <c r="BE503" s="1"/>
      <c r="BF503" s="1"/>
      <c r="BG503" s="1"/>
      <c r="BH503" s="1"/>
      <c r="BI503" s="1"/>
      <c r="BJ503" s="1"/>
      <c r="BK503" s="1"/>
    </row>
    <row r="504" spans="1:63" s="70" customFormat="1" ht="12" customHeight="1" x14ac:dyDescent="0.2">
      <c r="A504" s="11" t="s">
        <v>27999</v>
      </c>
      <c r="B504" s="68">
        <v>22</v>
      </c>
      <c r="C504" s="11" t="s">
        <v>20</v>
      </c>
      <c r="D504" s="11" t="s">
        <v>85</v>
      </c>
      <c r="E504" s="71" t="s">
        <v>28000</v>
      </c>
      <c r="F504" s="69">
        <v>42772</v>
      </c>
      <c r="G504" s="11" t="s">
        <v>28821</v>
      </c>
      <c r="H504" s="11" t="s">
        <v>651</v>
      </c>
      <c r="I504" s="11" t="s">
        <v>62</v>
      </c>
      <c r="J504" s="11">
        <v>32209</v>
      </c>
      <c r="K504" s="11" t="s">
        <v>652</v>
      </c>
      <c r="L504" s="11" t="s">
        <v>28001</v>
      </c>
      <c r="M504" s="11" t="s">
        <v>27</v>
      </c>
      <c r="N504" s="11" t="s">
        <v>28002</v>
      </c>
      <c r="O504" s="11" t="s">
        <v>400</v>
      </c>
      <c r="P504" s="11" t="s">
        <v>401</v>
      </c>
      <c r="Q504" s="71" t="s">
        <v>28003</v>
      </c>
      <c r="R504" s="11" t="s">
        <v>100</v>
      </c>
      <c r="S504" s="11" t="s">
        <v>18</v>
      </c>
      <c r="T504" s="68" t="s">
        <v>29612</v>
      </c>
      <c r="U504" s="68" t="s">
        <v>29438</v>
      </c>
      <c r="V504" s="68" t="s">
        <v>29439</v>
      </c>
      <c r="W504" s="68" t="s">
        <v>100</v>
      </c>
      <c r="X504" s="68">
        <v>2305</v>
      </c>
      <c r="Y504" s="11"/>
      <c r="Z504" s="11"/>
      <c r="AA504" s="11"/>
      <c r="AB504" s="11"/>
      <c r="AC504" s="11"/>
      <c r="AD504" s="11"/>
      <c r="AE504" s="11"/>
      <c r="AF504" s="11"/>
      <c r="AG504" s="11"/>
      <c r="AU504" s="44"/>
      <c r="AV504" s="44"/>
      <c r="AW504" s="44"/>
      <c r="AX504" s="44"/>
      <c r="AY504" s="44"/>
      <c r="AZ504" s="44"/>
      <c r="BA504" s="44"/>
      <c r="BB504" s="11"/>
      <c r="BK504" s="1"/>
    </row>
    <row r="505" spans="1:63" s="70" customFormat="1" ht="12" customHeight="1" x14ac:dyDescent="0.2">
      <c r="A505" s="11" t="s">
        <v>28254</v>
      </c>
      <c r="B505" s="68">
        <v>41</v>
      </c>
      <c r="C505" s="11" t="s">
        <v>20</v>
      </c>
      <c r="D505" s="11" t="s">
        <v>85</v>
      </c>
      <c r="E505" s="11"/>
      <c r="F505" s="69">
        <v>42771</v>
      </c>
      <c r="G505" s="11" t="s">
        <v>28255</v>
      </c>
      <c r="H505" s="11" t="s">
        <v>27953</v>
      </c>
      <c r="I505" s="11" t="s">
        <v>69</v>
      </c>
      <c r="J505" s="11">
        <v>45322</v>
      </c>
      <c r="K505" s="11" t="s">
        <v>1056</v>
      </c>
      <c r="L505" s="11" t="s">
        <v>28256</v>
      </c>
      <c r="M505" s="11" t="s">
        <v>27</v>
      </c>
      <c r="N505" s="11" t="s">
        <v>28257</v>
      </c>
      <c r="O505" s="11" t="s">
        <v>400</v>
      </c>
      <c r="P505" s="11" t="s">
        <v>401</v>
      </c>
      <c r="Q505" s="71" t="s">
        <v>28258</v>
      </c>
      <c r="R505" s="11" t="s">
        <v>100</v>
      </c>
      <c r="S505" s="11" t="s">
        <v>35</v>
      </c>
      <c r="T505" s="66" t="s">
        <v>29441</v>
      </c>
      <c r="U505" s="68" t="s">
        <v>29438</v>
      </c>
      <c r="V505" s="68" t="s">
        <v>29439</v>
      </c>
      <c r="W505" s="68" t="s">
        <v>555</v>
      </c>
      <c r="X505" s="68">
        <v>2286</v>
      </c>
      <c r="Y505" s="11"/>
      <c r="Z505" s="11"/>
      <c r="AA505" s="11"/>
      <c r="AB505" s="11"/>
      <c r="AC505" s="11"/>
      <c r="AD505" s="11"/>
      <c r="AE505" s="11"/>
      <c r="AF505" s="11"/>
      <c r="AG505" s="11"/>
      <c r="AU505" s="44"/>
      <c r="AV505" s="44"/>
      <c r="AW505" s="1"/>
      <c r="AX505" s="44"/>
      <c r="AY505" s="44"/>
      <c r="AZ505" s="44"/>
      <c r="BA505" s="44"/>
      <c r="BB505" s="11"/>
    </row>
    <row r="506" spans="1:63" s="70" customFormat="1" ht="12" customHeight="1" x14ac:dyDescent="0.2">
      <c r="A506" s="11" t="s">
        <v>28510</v>
      </c>
      <c r="B506" s="68">
        <v>33</v>
      </c>
      <c r="C506" s="11" t="s">
        <v>20</v>
      </c>
      <c r="D506" s="11" t="s">
        <v>48</v>
      </c>
      <c r="E506" s="71" t="s">
        <v>28511</v>
      </c>
      <c r="F506" s="69">
        <v>42771</v>
      </c>
      <c r="G506" s="11" t="s">
        <v>28512</v>
      </c>
      <c r="H506" s="11" t="s">
        <v>4680</v>
      </c>
      <c r="I506" s="11" t="s">
        <v>209</v>
      </c>
      <c r="J506" s="11">
        <v>81004</v>
      </c>
      <c r="K506" s="11" t="s">
        <v>4680</v>
      </c>
      <c r="L506" s="11" t="s">
        <v>4682</v>
      </c>
      <c r="M506" s="11" t="s">
        <v>27</v>
      </c>
      <c r="N506" s="11" t="s">
        <v>28513</v>
      </c>
      <c r="O506" s="11" t="s">
        <v>400</v>
      </c>
      <c r="P506" s="11" t="s">
        <v>401</v>
      </c>
      <c r="Q506" s="71" t="s">
        <v>28514</v>
      </c>
      <c r="R506" s="11" t="s">
        <v>100</v>
      </c>
      <c r="S506" s="11" t="s">
        <v>379</v>
      </c>
      <c r="T506" s="68" t="s">
        <v>379</v>
      </c>
      <c r="U506" s="68" t="s">
        <v>29436</v>
      </c>
      <c r="V506" s="68" t="s">
        <v>29439</v>
      </c>
      <c r="W506" s="68" t="s">
        <v>555</v>
      </c>
      <c r="X506" s="68">
        <v>2300</v>
      </c>
      <c r="Y506" s="11"/>
      <c r="Z506" s="11"/>
      <c r="AA506" s="11"/>
      <c r="AB506" s="11"/>
      <c r="AC506" s="11"/>
      <c r="AD506" s="11"/>
      <c r="AE506" s="11"/>
      <c r="AF506" s="11"/>
      <c r="AG506" s="11"/>
      <c r="AU506" s="44"/>
      <c r="AV506" s="44"/>
      <c r="AW506" s="11"/>
      <c r="AX506" s="1"/>
      <c r="AY506" s="1"/>
      <c r="AZ506" s="44"/>
      <c r="BA506" s="11"/>
      <c r="BB506" s="11"/>
      <c r="BC506" s="1"/>
      <c r="BD506" s="1"/>
      <c r="BE506" s="1"/>
      <c r="BF506" s="1"/>
      <c r="BG506" s="1"/>
      <c r="BH506" s="1"/>
      <c r="BI506" s="1"/>
      <c r="BJ506" s="1"/>
      <c r="BK506" s="11"/>
    </row>
    <row r="507" spans="1:63" s="70" customFormat="1" ht="12" customHeight="1" x14ac:dyDescent="0.2">
      <c r="A507" s="11" t="s">
        <v>28720</v>
      </c>
      <c r="B507" s="68">
        <v>45</v>
      </c>
      <c r="C507" s="11" t="s">
        <v>20</v>
      </c>
      <c r="D507" s="11" t="s">
        <v>85</v>
      </c>
      <c r="E507" s="11"/>
      <c r="F507" s="69">
        <v>42771</v>
      </c>
      <c r="G507" s="11" t="s">
        <v>28721</v>
      </c>
      <c r="H507" s="11" t="s">
        <v>1141</v>
      </c>
      <c r="I507" s="11" t="s">
        <v>45</v>
      </c>
      <c r="J507" s="11">
        <v>94538</v>
      </c>
      <c r="K507" s="11" t="s">
        <v>602</v>
      </c>
      <c r="L507" s="11" t="s">
        <v>1142</v>
      </c>
      <c r="M507" s="11" t="s">
        <v>27</v>
      </c>
      <c r="N507" s="11" t="s">
        <v>28722</v>
      </c>
      <c r="O507" s="11" t="s">
        <v>400</v>
      </c>
      <c r="P507" s="11" t="s">
        <v>401</v>
      </c>
      <c r="Q507" s="71" t="s">
        <v>28723</v>
      </c>
      <c r="R507" s="68" t="s">
        <v>555</v>
      </c>
      <c r="S507" s="11" t="s">
        <v>18</v>
      </c>
      <c r="T507" s="68" t="s">
        <v>28345</v>
      </c>
      <c r="U507" s="68" t="s">
        <v>29438</v>
      </c>
      <c r="V507" s="68" t="s">
        <v>29439</v>
      </c>
      <c r="W507" s="68" t="s">
        <v>100</v>
      </c>
      <c r="X507" s="68">
        <v>2283</v>
      </c>
      <c r="Y507" s="11"/>
      <c r="Z507" s="11"/>
      <c r="AA507" s="11"/>
      <c r="AB507" s="11"/>
      <c r="AC507" s="11"/>
      <c r="AD507" s="11"/>
      <c r="AE507" s="11"/>
      <c r="AF507" s="11"/>
      <c r="AG507" s="11"/>
      <c r="AU507" s="44"/>
      <c r="AV507" s="44"/>
      <c r="AW507" s="1"/>
      <c r="AX507" s="44"/>
      <c r="AY507" s="44"/>
      <c r="AZ507" s="44"/>
      <c r="BB507" s="44"/>
      <c r="BK507" s="1"/>
    </row>
    <row r="508" spans="1:63" s="70" customFormat="1" ht="12" customHeight="1" x14ac:dyDescent="0.2">
      <c r="A508" s="11" t="s">
        <v>28659</v>
      </c>
      <c r="B508" s="68">
        <v>68</v>
      </c>
      <c r="C508" s="11" t="s">
        <v>20</v>
      </c>
      <c r="D508" s="11" t="s">
        <v>85</v>
      </c>
      <c r="E508" s="11" t="s">
        <v>28886</v>
      </c>
      <c r="F508" s="69">
        <v>42770</v>
      </c>
      <c r="G508" s="11" t="s">
        <v>28660</v>
      </c>
      <c r="H508" s="11" t="s">
        <v>430</v>
      </c>
      <c r="I508" s="11" t="s">
        <v>431</v>
      </c>
      <c r="J508" s="11">
        <v>64131</v>
      </c>
      <c r="K508" s="11" t="s">
        <v>433</v>
      </c>
      <c r="L508" s="11" t="s">
        <v>434</v>
      </c>
      <c r="M508" s="11" t="s">
        <v>27</v>
      </c>
      <c r="N508" s="11" t="s">
        <v>28661</v>
      </c>
      <c r="O508" s="11" t="s">
        <v>400</v>
      </c>
      <c r="P508" s="11" t="s">
        <v>401</v>
      </c>
      <c r="Q508" s="71" t="s">
        <v>28662</v>
      </c>
      <c r="R508" s="11" t="s">
        <v>100</v>
      </c>
      <c r="S508" s="11" t="s">
        <v>28</v>
      </c>
      <c r="T508" s="68" t="s">
        <v>27756</v>
      </c>
      <c r="U508" s="68" t="s">
        <v>29438</v>
      </c>
      <c r="V508" s="68" t="s">
        <v>29439</v>
      </c>
      <c r="W508" s="68" t="s">
        <v>100</v>
      </c>
      <c r="X508" s="68">
        <v>2288</v>
      </c>
      <c r="Y508" s="11"/>
      <c r="Z508" s="11"/>
      <c r="AA508" s="11"/>
      <c r="AB508" s="11"/>
      <c r="AC508" s="11"/>
      <c r="AD508" s="11"/>
      <c r="AE508" s="11"/>
      <c r="AF508" s="11"/>
      <c r="AG508" s="11"/>
      <c r="AU508" s="44"/>
      <c r="AV508" s="44"/>
      <c r="AW508" s="1"/>
      <c r="AX508" s="44"/>
      <c r="AY508" s="44"/>
      <c r="AZ508" s="44"/>
      <c r="BA508" s="44"/>
      <c r="BB508" s="11"/>
      <c r="BK508" s="78"/>
    </row>
    <row r="509" spans="1:63" s="70" customFormat="1" ht="12" customHeight="1" x14ac:dyDescent="0.2">
      <c r="A509" s="11" t="s">
        <v>28396</v>
      </c>
      <c r="B509" s="68">
        <v>23</v>
      </c>
      <c r="C509" s="11" t="s">
        <v>20</v>
      </c>
      <c r="D509" s="11" t="s">
        <v>48</v>
      </c>
      <c r="E509" s="71" t="s">
        <v>28397</v>
      </c>
      <c r="F509" s="69">
        <v>42770</v>
      </c>
      <c r="G509" s="11" t="s">
        <v>28846</v>
      </c>
      <c r="H509" s="11" t="s">
        <v>28398</v>
      </c>
      <c r="I509" s="11" t="s">
        <v>173</v>
      </c>
      <c r="J509" s="11">
        <v>31788</v>
      </c>
      <c r="K509" s="11" t="s">
        <v>28399</v>
      </c>
      <c r="L509" s="11" t="s">
        <v>28400</v>
      </c>
      <c r="M509" s="11" t="s">
        <v>27</v>
      </c>
      <c r="N509" s="11" t="s">
        <v>28401</v>
      </c>
      <c r="O509" s="11" t="s">
        <v>400</v>
      </c>
      <c r="P509" s="11" t="s">
        <v>401</v>
      </c>
      <c r="Q509" s="71" t="s">
        <v>28402</v>
      </c>
      <c r="R509" s="11" t="s">
        <v>100</v>
      </c>
      <c r="S509" s="11" t="s">
        <v>18</v>
      </c>
      <c r="T509" s="68" t="s">
        <v>28345</v>
      </c>
      <c r="U509" s="68" t="s">
        <v>29436</v>
      </c>
      <c r="V509" s="68" t="s">
        <v>29439</v>
      </c>
      <c r="W509" s="68" t="s">
        <v>100</v>
      </c>
      <c r="X509" s="68">
        <v>2348</v>
      </c>
      <c r="Y509" s="11"/>
      <c r="Z509" s="11"/>
      <c r="AA509" s="11"/>
      <c r="AB509" s="11"/>
      <c r="AC509" s="11"/>
      <c r="AD509" s="11"/>
      <c r="AE509" s="11"/>
      <c r="AF509" s="11"/>
      <c r="AG509" s="11"/>
      <c r="AU509" s="44"/>
      <c r="AV509" s="44"/>
      <c r="AW509" s="44"/>
      <c r="AX509" s="1"/>
      <c r="AY509" s="1"/>
      <c r="AZ509" s="44"/>
      <c r="BA509" s="44"/>
      <c r="BB509" s="11"/>
      <c r="BC509" s="1"/>
      <c r="BD509" s="1"/>
      <c r="BE509" s="1"/>
      <c r="BF509" s="1"/>
      <c r="BG509" s="1"/>
      <c r="BH509" s="1"/>
      <c r="BI509" s="1"/>
      <c r="BJ509" s="1"/>
      <c r="BK509" s="1"/>
    </row>
    <row r="510" spans="1:63" s="70" customFormat="1" ht="12" customHeight="1" x14ac:dyDescent="0.2">
      <c r="A510" s="11" t="s">
        <v>28289</v>
      </c>
      <c r="B510" s="68">
        <v>56</v>
      </c>
      <c r="C510" s="11" t="s">
        <v>20</v>
      </c>
      <c r="D510" s="68" t="s">
        <v>37</v>
      </c>
      <c r="E510" s="11"/>
      <c r="F510" s="69">
        <v>42770</v>
      </c>
      <c r="G510" s="11" t="s">
        <v>28840</v>
      </c>
      <c r="H510" s="11" t="s">
        <v>16816</v>
      </c>
      <c r="I510" s="11" t="s">
        <v>62</v>
      </c>
      <c r="J510" s="11">
        <v>32720</v>
      </c>
      <c r="K510" s="11" t="s">
        <v>3891</v>
      </c>
      <c r="L510" s="11" t="s">
        <v>1257</v>
      </c>
      <c r="M510" s="11" t="s">
        <v>27</v>
      </c>
      <c r="N510" s="11" t="s">
        <v>28290</v>
      </c>
      <c r="O510" s="11" t="s">
        <v>400</v>
      </c>
      <c r="P510" s="11" t="s">
        <v>401</v>
      </c>
      <c r="Q510" s="71" t="s">
        <v>28291</v>
      </c>
      <c r="R510" s="11" t="s">
        <v>555</v>
      </c>
      <c r="S510" s="11" t="s">
        <v>28</v>
      </c>
      <c r="T510" s="68" t="s">
        <v>27756</v>
      </c>
      <c r="U510" s="68" t="s">
        <v>29438</v>
      </c>
      <c r="V510" s="68" t="s">
        <v>29439</v>
      </c>
      <c r="W510" s="68" t="s">
        <v>100</v>
      </c>
      <c r="X510" s="68">
        <v>2293</v>
      </c>
      <c r="Y510" s="11"/>
      <c r="Z510" s="11"/>
      <c r="AA510" s="11"/>
      <c r="AB510" s="11"/>
      <c r="AC510" s="11"/>
      <c r="AD510" s="11"/>
      <c r="AE510" s="11"/>
      <c r="AF510" s="11"/>
      <c r="AG510" s="11"/>
      <c r="AU510" s="44"/>
      <c r="AV510" s="44"/>
      <c r="AW510" s="1"/>
      <c r="AX510" s="1"/>
      <c r="AY510" s="1"/>
      <c r="AZ510" s="44"/>
      <c r="BA510" s="44"/>
      <c r="BB510" s="11"/>
      <c r="BC510" s="1"/>
      <c r="BD510" s="1"/>
      <c r="BE510" s="1"/>
      <c r="BF510" s="1"/>
      <c r="BG510" s="1"/>
      <c r="BH510" s="1"/>
      <c r="BI510" s="1"/>
      <c r="BJ510" s="1"/>
      <c r="BK510" s="78"/>
    </row>
    <row r="511" spans="1:63" s="70" customFormat="1" ht="12" customHeight="1" x14ac:dyDescent="0.2">
      <c r="A511" s="11" t="s">
        <v>28046</v>
      </c>
      <c r="B511" s="68">
        <v>27</v>
      </c>
      <c r="C511" s="11" t="s">
        <v>20</v>
      </c>
      <c r="D511" s="11" t="s">
        <v>48</v>
      </c>
      <c r="E511" s="11"/>
      <c r="F511" s="69">
        <v>42769</v>
      </c>
      <c r="G511" s="11" t="s">
        <v>28047</v>
      </c>
      <c r="H511" s="11" t="s">
        <v>28048</v>
      </c>
      <c r="I511" s="11" t="s">
        <v>45</v>
      </c>
      <c r="J511" s="11">
        <v>96146</v>
      </c>
      <c r="K511" s="11" t="s">
        <v>1066</v>
      </c>
      <c r="L511" s="11" t="s">
        <v>1067</v>
      </c>
      <c r="M511" s="11" t="s">
        <v>27</v>
      </c>
      <c r="N511" s="11" t="s">
        <v>28049</v>
      </c>
      <c r="O511" s="11" t="s">
        <v>400</v>
      </c>
      <c r="P511" s="11" t="s">
        <v>401</v>
      </c>
      <c r="Q511" s="71" t="s">
        <v>28050</v>
      </c>
      <c r="R511" s="11" t="s">
        <v>964</v>
      </c>
      <c r="S511" s="11" t="s">
        <v>28</v>
      </c>
      <c r="T511" s="68" t="s">
        <v>27756</v>
      </c>
      <c r="U511" s="68" t="s">
        <v>29438</v>
      </c>
      <c r="V511" s="68" t="s">
        <v>29437</v>
      </c>
      <c r="W511" s="68" t="s">
        <v>100</v>
      </c>
      <c r="X511" s="68">
        <v>2281</v>
      </c>
      <c r="Y511" s="11"/>
      <c r="Z511" s="11"/>
      <c r="AA511" s="11"/>
      <c r="AB511" s="11"/>
      <c r="AC511" s="11"/>
      <c r="AD511" s="11"/>
      <c r="AE511" s="11"/>
      <c r="AF511" s="11"/>
      <c r="AG511" s="11"/>
      <c r="AU511" s="44"/>
      <c r="AV511" s="44"/>
      <c r="AW511" s="44"/>
      <c r="AX511" s="1"/>
      <c r="AY511" s="1"/>
      <c r="AZ511" s="44"/>
      <c r="BA511" s="44"/>
      <c r="BB511" s="44"/>
      <c r="BC511" s="1"/>
      <c r="BD511" s="1"/>
      <c r="BE511" s="1"/>
      <c r="BF511" s="1"/>
      <c r="BG511" s="1"/>
      <c r="BH511" s="1"/>
      <c r="BI511" s="1"/>
      <c r="BJ511" s="1"/>
      <c r="BK511" s="78"/>
    </row>
    <row r="512" spans="1:63" s="70" customFormat="1" ht="12" customHeight="1" x14ac:dyDescent="0.2">
      <c r="A512" s="11" t="s">
        <v>28584</v>
      </c>
      <c r="B512" s="11">
        <v>27</v>
      </c>
      <c r="C512" s="11" t="s">
        <v>114</v>
      </c>
      <c r="D512" s="11" t="s">
        <v>139</v>
      </c>
      <c r="E512" s="71" t="s">
        <v>28585</v>
      </c>
      <c r="F512" s="72">
        <v>42769</v>
      </c>
      <c r="G512" s="11" t="s">
        <v>28586</v>
      </c>
      <c r="H512" s="11" t="s">
        <v>1094</v>
      </c>
      <c r="I512" s="11" t="s">
        <v>395</v>
      </c>
      <c r="J512" s="11">
        <v>73108</v>
      </c>
      <c r="K512" s="11" t="s">
        <v>1095</v>
      </c>
      <c r="L512" s="11" t="s">
        <v>28587</v>
      </c>
      <c r="M512" s="11" t="s">
        <v>379</v>
      </c>
      <c r="N512" s="11" t="s">
        <v>28872</v>
      </c>
      <c r="O512" s="11" t="s">
        <v>1010</v>
      </c>
      <c r="P512" s="11" t="s">
        <v>401</v>
      </c>
      <c r="Q512" s="71" t="s">
        <v>28588</v>
      </c>
      <c r="R512" s="11" t="s">
        <v>964</v>
      </c>
      <c r="S512" s="11" t="s">
        <v>379</v>
      </c>
      <c r="T512" s="11" t="s">
        <v>379</v>
      </c>
      <c r="U512" s="11"/>
      <c r="V512" s="11"/>
      <c r="W512" s="11"/>
      <c r="X512" s="11"/>
      <c r="Y512" s="11"/>
      <c r="Z512" s="11"/>
      <c r="AA512" s="11"/>
      <c r="AB512" s="11"/>
      <c r="AC512" s="11"/>
      <c r="AD512" s="11"/>
      <c r="AE512" s="11"/>
      <c r="AF512" s="11"/>
      <c r="AG512" s="11"/>
      <c r="AU512" s="44"/>
      <c r="AV512" s="44"/>
      <c r="AW512" s="1"/>
      <c r="AX512" s="1"/>
      <c r="AY512" s="1"/>
      <c r="BA512" s="1"/>
      <c r="BB512" s="1"/>
      <c r="BC512" s="1"/>
      <c r="BD512" s="1"/>
      <c r="BE512" s="1"/>
      <c r="BF512" s="1"/>
      <c r="BG512" s="1"/>
      <c r="BH512" s="1"/>
      <c r="BI512" s="1"/>
      <c r="BJ512" s="1"/>
      <c r="BK512" s="1"/>
    </row>
    <row r="513" spans="1:63" s="70" customFormat="1" ht="12" customHeight="1" x14ac:dyDescent="0.2">
      <c r="A513" s="11" t="s">
        <v>28315</v>
      </c>
      <c r="B513" s="68">
        <v>41</v>
      </c>
      <c r="C513" s="11" t="s">
        <v>20</v>
      </c>
      <c r="D513" s="11" t="s">
        <v>21</v>
      </c>
      <c r="E513" s="11"/>
      <c r="F513" s="69">
        <v>42769</v>
      </c>
      <c r="G513" s="11" t="s">
        <v>28316</v>
      </c>
      <c r="H513" s="11" t="s">
        <v>28317</v>
      </c>
      <c r="I513" s="11" t="s">
        <v>73</v>
      </c>
      <c r="J513" s="11">
        <v>79068</v>
      </c>
      <c r="K513" s="11" t="s">
        <v>5712</v>
      </c>
      <c r="L513" s="11" t="s">
        <v>28318</v>
      </c>
      <c r="M513" s="11" t="s">
        <v>27</v>
      </c>
      <c r="N513" s="11" t="s">
        <v>28319</v>
      </c>
      <c r="O513" s="11" t="s">
        <v>400</v>
      </c>
      <c r="P513" s="11" t="s">
        <v>401</v>
      </c>
      <c r="Q513" s="71" t="s">
        <v>28320</v>
      </c>
      <c r="R513" s="11" t="s">
        <v>100</v>
      </c>
      <c r="S513" s="11" t="s">
        <v>28</v>
      </c>
      <c r="T513" s="68" t="s">
        <v>27756</v>
      </c>
      <c r="U513" s="68" t="s">
        <v>29438</v>
      </c>
      <c r="V513" s="68" t="s">
        <v>29439</v>
      </c>
      <c r="W513" s="68" t="s">
        <v>100</v>
      </c>
      <c r="X513" s="68">
        <v>2285</v>
      </c>
      <c r="Y513" s="11"/>
      <c r="Z513" s="11"/>
      <c r="AA513" s="11"/>
      <c r="AB513" s="11"/>
      <c r="AC513" s="11"/>
      <c r="AD513" s="11"/>
      <c r="AE513" s="11"/>
      <c r="AF513" s="11"/>
      <c r="AG513" s="11"/>
      <c r="AU513" s="44"/>
      <c r="AV513" s="44"/>
      <c r="AW513" s="1"/>
      <c r="AZ513" s="44"/>
      <c r="BA513" s="44"/>
      <c r="BB513" s="11"/>
      <c r="BK513" s="78"/>
    </row>
    <row r="514" spans="1:63" s="70" customFormat="1" ht="12" customHeight="1" x14ac:dyDescent="0.2">
      <c r="A514" s="11" t="s">
        <v>28637</v>
      </c>
      <c r="B514" s="68">
        <v>22</v>
      </c>
      <c r="C514" s="11" t="s">
        <v>20</v>
      </c>
      <c r="D514" s="11" t="s">
        <v>85</v>
      </c>
      <c r="E514" s="11"/>
      <c r="F514" s="69">
        <v>42769</v>
      </c>
      <c r="G514" s="11" t="s">
        <v>28638</v>
      </c>
      <c r="H514" s="11" t="s">
        <v>5954</v>
      </c>
      <c r="I514" s="11" t="s">
        <v>366</v>
      </c>
      <c r="J514" s="11">
        <v>28340</v>
      </c>
      <c r="K514" s="11" t="s">
        <v>5685</v>
      </c>
      <c r="L514" s="11" t="s">
        <v>6418</v>
      </c>
      <c r="M514" s="11" t="s">
        <v>27</v>
      </c>
      <c r="N514" s="11" t="s">
        <v>28639</v>
      </c>
      <c r="O514" s="11" t="s">
        <v>400</v>
      </c>
      <c r="P514" s="11" t="s">
        <v>401</v>
      </c>
      <c r="Q514" s="71" t="s">
        <v>28640</v>
      </c>
      <c r="R514" s="11" t="s">
        <v>100</v>
      </c>
      <c r="S514" s="11" t="s">
        <v>28</v>
      </c>
      <c r="T514" s="68" t="s">
        <v>27756</v>
      </c>
      <c r="U514" s="68" t="s">
        <v>29438</v>
      </c>
      <c r="V514" s="68" t="s">
        <v>29437</v>
      </c>
      <c r="W514" s="68" t="s">
        <v>100</v>
      </c>
      <c r="X514" s="68">
        <v>2304</v>
      </c>
      <c r="Y514" s="11"/>
      <c r="Z514" s="11"/>
      <c r="AA514" s="11"/>
      <c r="AB514" s="11"/>
      <c r="AC514" s="11"/>
      <c r="AD514" s="11"/>
      <c r="AE514" s="11"/>
      <c r="AF514" s="11"/>
      <c r="AG514" s="11"/>
      <c r="AU514" s="44"/>
      <c r="AV514" s="44"/>
      <c r="AW514" s="44"/>
      <c r="AX514" s="44"/>
      <c r="AY514" s="44"/>
      <c r="AZ514" s="44"/>
      <c r="BA514" s="44"/>
      <c r="BB514" s="11"/>
      <c r="BK514" s="78"/>
    </row>
    <row r="515" spans="1:63" s="70" customFormat="1" ht="12" customHeight="1" x14ac:dyDescent="0.2">
      <c r="A515" s="11" t="s">
        <v>28310</v>
      </c>
      <c r="B515" s="68">
        <v>33</v>
      </c>
      <c r="C515" s="11" t="s">
        <v>20</v>
      </c>
      <c r="D515" s="11" t="s">
        <v>37</v>
      </c>
      <c r="E515" s="71" t="s">
        <v>28311</v>
      </c>
      <c r="F515" s="69">
        <v>42769</v>
      </c>
      <c r="G515" s="11" t="s">
        <v>28312</v>
      </c>
      <c r="H515" s="11" t="s">
        <v>9439</v>
      </c>
      <c r="I515" s="11" t="s">
        <v>366</v>
      </c>
      <c r="J515" s="11">
        <v>28601</v>
      </c>
      <c r="K515" s="11" t="s">
        <v>9441</v>
      </c>
      <c r="L515" s="11" t="s">
        <v>9442</v>
      </c>
      <c r="M515" s="11" t="s">
        <v>27</v>
      </c>
      <c r="N515" s="11" t="s">
        <v>28313</v>
      </c>
      <c r="O515" s="11" t="s">
        <v>400</v>
      </c>
      <c r="P515" s="11" t="s">
        <v>401</v>
      </c>
      <c r="Q515" s="71" t="s">
        <v>28314</v>
      </c>
      <c r="R515" s="11" t="s">
        <v>100</v>
      </c>
      <c r="S515" s="11" t="s">
        <v>28</v>
      </c>
      <c r="T515" s="68" t="s">
        <v>27756</v>
      </c>
      <c r="U515" s="68" t="s">
        <v>29438</v>
      </c>
      <c r="V515" s="68" t="s">
        <v>29439</v>
      </c>
      <c r="W515" s="68" t="s">
        <v>100</v>
      </c>
      <c r="X515" s="68">
        <v>2289</v>
      </c>
      <c r="Y515" s="11"/>
      <c r="Z515" s="11"/>
      <c r="AA515" s="11"/>
      <c r="AB515" s="11"/>
      <c r="AC515" s="11"/>
      <c r="AD515" s="11"/>
      <c r="AE515" s="11"/>
      <c r="AF515" s="11"/>
      <c r="AG515" s="11"/>
      <c r="AU515" s="44"/>
      <c r="AV515" s="44"/>
      <c r="AW515" s="11"/>
      <c r="AX515" s="1"/>
      <c r="AY515" s="1"/>
      <c r="AZ515" s="44"/>
      <c r="BA515" s="44"/>
      <c r="BB515" s="11"/>
      <c r="BC515" s="1"/>
      <c r="BD515" s="1"/>
      <c r="BE515" s="1"/>
      <c r="BF515" s="1"/>
      <c r="BG515" s="1"/>
      <c r="BH515" s="1"/>
      <c r="BI515" s="1"/>
      <c r="BJ515" s="1"/>
      <c r="BK515" s="78"/>
    </row>
    <row r="516" spans="1:63" s="70" customFormat="1" ht="12" customHeight="1" x14ac:dyDescent="0.2">
      <c r="A516" s="11" t="s">
        <v>27848</v>
      </c>
      <c r="B516" s="68">
        <v>45</v>
      </c>
      <c r="C516" s="11" t="s">
        <v>20</v>
      </c>
      <c r="D516" s="11" t="s">
        <v>37</v>
      </c>
      <c r="E516" s="11"/>
      <c r="F516" s="69">
        <v>42769</v>
      </c>
      <c r="G516" s="11" t="s">
        <v>27849</v>
      </c>
      <c r="H516" s="11" t="s">
        <v>6133</v>
      </c>
      <c r="I516" s="11" t="s">
        <v>73</v>
      </c>
      <c r="J516" s="11">
        <v>75039</v>
      </c>
      <c r="K516" s="11" t="s">
        <v>285</v>
      </c>
      <c r="L516" s="11" t="s">
        <v>6135</v>
      </c>
      <c r="M516" s="11" t="s">
        <v>27</v>
      </c>
      <c r="N516" s="11" t="s">
        <v>27850</v>
      </c>
      <c r="O516" s="11" t="s">
        <v>400</v>
      </c>
      <c r="P516" s="11" t="s">
        <v>401</v>
      </c>
      <c r="Q516" s="71" t="s">
        <v>27851</v>
      </c>
      <c r="R516" s="11" t="s">
        <v>100</v>
      </c>
      <c r="S516" s="11" t="s">
        <v>28</v>
      </c>
      <c r="T516" s="68" t="s">
        <v>27756</v>
      </c>
      <c r="U516" s="68" t="s">
        <v>29436</v>
      </c>
      <c r="V516" s="68" t="s">
        <v>29439</v>
      </c>
      <c r="W516" s="68" t="s">
        <v>100</v>
      </c>
      <c r="X516" s="68">
        <v>2299</v>
      </c>
      <c r="Y516" s="11"/>
      <c r="Z516" s="11"/>
      <c r="AA516" s="11"/>
      <c r="AB516" s="11"/>
      <c r="AC516" s="11"/>
      <c r="AD516" s="11"/>
      <c r="AE516" s="11"/>
      <c r="AF516" s="11"/>
      <c r="AG516" s="11"/>
      <c r="AU516" s="44"/>
      <c r="AV516" s="44"/>
      <c r="AW516" s="1"/>
      <c r="AX516" s="1"/>
      <c r="AY516" s="1"/>
      <c r="AZ516" s="44"/>
      <c r="BA516" s="44"/>
      <c r="BB516" s="11"/>
      <c r="BC516" s="1"/>
      <c r="BD516" s="1"/>
      <c r="BE516" s="1"/>
      <c r="BF516" s="1"/>
      <c r="BG516" s="1"/>
      <c r="BH516" s="1"/>
      <c r="BI516" s="1"/>
      <c r="BJ516" s="1"/>
      <c r="BK516" s="78"/>
    </row>
    <row r="517" spans="1:63" s="70" customFormat="1" ht="12" customHeight="1" x14ac:dyDescent="0.2">
      <c r="A517" s="11" t="s">
        <v>28482</v>
      </c>
      <c r="B517" s="68">
        <v>38</v>
      </c>
      <c r="C517" s="11" t="s">
        <v>20</v>
      </c>
      <c r="D517" s="11" t="s">
        <v>37</v>
      </c>
      <c r="E517" s="11"/>
      <c r="F517" s="69">
        <v>42769</v>
      </c>
      <c r="G517" s="11" t="s">
        <v>28483</v>
      </c>
      <c r="H517" s="11" t="s">
        <v>1438</v>
      </c>
      <c r="I517" s="11" t="s">
        <v>150</v>
      </c>
      <c r="J517" s="11">
        <v>26354</v>
      </c>
      <c r="K517" s="11" t="s">
        <v>7293</v>
      </c>
      <c r="L517" s="11" t="s">
        <v>28484</v>
      </c>
      <c r="M517" s="11" t="s">
        <v>27</v>
      </c>
      <c r="N517" s="11" t="s">
        <v>28485</v>
      </c>
      <c r="O517" s="11" t="s">
        <v>400</v>
      </c>
      <c r="P517" s="11" t="s">
        <v>401</v>
      </c>
      <c r="Q517" s="71" t="s">
        <v>28486</v>
      </c>
      <c r="R517" s="11" t="s">
        <v>100</v>
      </c>
      <c r="S517" s="11" t="s">
        <v>28</v>
      </c>
      <c r="T517" s="68" t="s">
        <v>27756</v>
      </c>
      <c r="U517" s="68" t="s">
        <v>29438</v>
      </c>
      <c r="V517" s="68" t="s">
        <v>29439</v>
      </c>
      <c r="W517" s="68" t="s">
        <v>100</v>
      </c>
      <c r="X517" s="68">
        <v>2297</v>
      </c>
      <c r="Y517" s="11"/>
      <c r="Z517" s="11"/>
      <c r="AA517" s="11"/>
      <c r="AB517" s="11"/>
      <c r="AC517" s="11"/>
      <c r="AD517" s="11"/>
      <c r="AE517" s="11"/>
      <c r="AF517" s="11"/>
      <c r="AG517" s="11"/>
      <c r="AU517" s="44"/>
      <c r="AV517" s="44"/>
      <c r="AW517" s="44"/>
      <c r="AX517" s="1"/>
      <c r="AY517" s="1"/>
      <c r="AZ517" s="44"/>
      <c r="BA517" s="44"/>
      <c r="BB517" s="11"/>
      <c r="BC517" s="1"/>
      <c r="BD517" s="1"/>
      <c r="BE517" s="1"/>
      <c r="BF517" s="1"/>
      <c r="BG517" s="1"/>
      <c r="BH517" s="1"/>
      <c r="BI517" s="1"/>
      <c r="BJ517" s="1"/>
      <c r="BK517" s="78"/>
    </row>
    <row r="518" spans="1:63" s="70" customFormat="1" ht="12" customHeight="1" x14ac:dyDescent="0.2">
      <c r="A518" s="11" t="s">
        <v>3252</v>
      </c>
      <c r="B518" s="11" t="s">
        <v>29</v>
      </c>
      <c r="C518" s="11" t="s">
        <v>20</v>
      </c>
      <c r="D518" s="11" t="s">
        <v>30</v>
      </c>
      <c r="E518" s="11"/>
      <c r="F518" s="72">
        <v>42769</v>
      </c>
      <c r="G518" s="11" t="s">
        <v>28711</v>
      </c>
      <c r="H518" s="11" t="s">
        <v>28712</v>
      </c>
      <c r="I518" s="11" t="s">
        <v>62</v>
      </c>
      <c r="J518" s="11">
        <v>33138</v>
      </c>
      <c r="K518" s="11" t="s">
        <v>161</v>
      </c>
      <c r="L518" s="11" t="s">
        <v>28713</v>
      </c>
      <c r="M518" s="11" t="s">
        <v>27</v>
      </c>
      <c r="N518" s="11" t="s">
        <v>28714</v>
      </c>
      <c r="O518" s="11" t="s">
        <v>400</v>
      </c>
      <c r="P518" s="11" t="s">
        <v>401</v>
      </c>
      <c r="Q518" s="71" t="s">
        <v>28715</v>
      </c>
      <c r="R518" s="11" t="s">
        <v>29</v>
      </c>
      <c r="S518" s="11" t="s">
        <v>28</v>
      </c>
      <c r="T518" s="68"/>
      <c r="U518" s="68"/>
      <c r="V518" s="68"/>
      <c r="W518" s="68"/>
      <c r="X518" s="68"/>
      <c r="Y518" s="11"/>
      <c r="Z518" s="11"/>
      <c r="AA518" s="11"/>
      <c r="AB518" s="11"/>
      <c r="AC518" s="11"/>
      <c r="AD518" s="11"/>
      <c r="AE518" s="11"/>
      <c r="AF518" s="11"/>
      <c r="AG518" s="11"/>
      <c r="AU518" s="44"/>
      <c r="AV518" s="44"/>
      <c r="AW518" s="1"/>
      <c r="AX518" s="1"/>
      <c r="AY518" s="1"/>
      <c r="AZ518" s="1"/>
      <c r="BA518" s="1"/>
      <c r="BB518" s="1"/>
      <c r="BC518" s="1"/>
      <c r="BD518" s="1"/>
      <c r="BE518" s="1"/>
      <c r="BF518" s="1"/>
      <c r="BG518" s="1"/>
      <c r="BH518" s="1"/>
      <c r="BI518" s="1"/>
      <c r="BJ518" s="1"/>
      <c r="BK518" s="78"/>
    </row>
    <row r="519" spans="1:63" s="70" customFormat="1" ht="12" customHeight="1" x14ac:dyDescent="0.2">
      <c r="A519" s="11" t="s">
        <v>28546</v>
      </c>
      <c r="B519" s="68">
        <v>26</v>
      </c>
      <c r="C519" s="11" t="s">
        <v>20</v>
      </c>
      <c r="D519" s="11" t="s">
        <v>48</v>
      </c>
      <c r="E519" s="11"/>
      <c r="F519" s="69">
        <v>42769</v>
      </c>
      <c r="G519" s="11" t="s">
        <v>28547</v>
      </c>
      <c r="H519" s="11" t="s">
        <v>28548</v>
      </c>
      <c r="I519" s="11" t="s">
        <v>44</v>
      </c>
      <c r="J519" s="11">
        <v>60304</v>
      </c>
      <c r="K519" s="11" t="s">
        <v>88</v>
      </c>
      <c r="L519" s="11" t="s">
        <v>28549</v>
      </c>
      <c r="M519" s="11" t="s">
        <v>27</v>
      </c>
      <c r="N519" s="11" t="s">
        <v>28550</v>
      </c>
      <c r="O519" s="11" t="s">
        <v>400</v>
      </c>
      <c r="P519" s="11" t="s">
        <v>401</v>
      </c>
      <c r="Q519" s="71" t="s">
        <v>28551</v>
      </c>
      <c r="R519" s="11" t="s">
        <v>29</v>
      </c>
      <c r="S519" s="11" t="s">
        <v>379</v>
      </c>
      <c r="T519" s="68" t="s">
        <v>379</v>
      </c>
      <c r="U519" s="68" t="s">
        <v>29436</v>
      </c>
      <c r="V519" s="68" t="s">
        <v>29437</v>
      </c>
      <c r="W519" s="68" t="s">
        <v>100</v>
      </c>
      <c r="X519" s="68">
        <v>2298</v>
      </c>
      <c r="Y519" s="11"/>
      <c r="Z519" s="11"/>
      <c r="AA519" s="11"/>
      <c r="AB519" s="11"/>
      <c r="AC519" s="11"/>
      <c r="AD519" s="11"/>
      <c r="AE519" s="11"/>
      <c r="AF519" s="11"/>
      <c r="AG519" s="11"/>
      <c r="AU519" s="44"/>
      <c r="AV519" s="44"/>
      <c r="AW519" s="44"/>
      <c r="AX519" s="1"/>
      <c r="AY519" s="1"/>
      <c r="AZ519" s="44"/>
      <c r="BA519" s="1"/>
      <c r="BB519" s="1"/>
      <c r="BC519" s="1"/>
      <c r="BD519" s="1"/>
      <c r="BE519" s="1"/>
      <c r="BF519" s="1"/>
      <c r="BG519" s="1"/>
      <c r="BH519" s="1"/>
      <c r="BI519" s="1"/>
      <c r="BJ519" s="1"/>
      <c r="BK519" s="11"/>
    </row>
    <row r="520" spans="1:63" s="70" customFormat="1" ht="12" customHeight="1" x14ac:dyDescent="0.2">
      <c r="A520" s="11" t="s">
        <v>28156</v>
      </c>
      <c r="B520" s="68">
        <v>57</v>
      </c>
      <c r="C520" s="11" t="s">
        <v>20</v>
      </c>
      <c r="D520" s="11" t="s">
        <v>37</v>
      </c>
      <c r="E520" s="71" t="s">
        <v>28157</v>
      </c>
      <c r="F520" s="69">
        <v>42768</v>
      </c>
      <c r="G520" s="11" t="s">
        <v>28834</v>
      </c>
      <c r="H520" s="11" t="s">
        <v>28158</v>
      </c>
      <c r="I520" s="11" t="s">
        <v>62</v>
      </c>
      <c r="J520" s="11">
        <v>32065</v>
      </c>
      <c r="K520" s="11" t="s">
        <v>3395</v>
      </c>
      <c r="L520" s="11" t="s">
        <v>3396</v>
      </c>
      <c r="M520" s="11" t="s">
        <v>27</v>
      </c>
      <c r="N520" s="11" t="s">
        <v>28159</v>
      </c>
      <c r="O520" s="11" t="s">
        <v>400</v>
      </c>
      <c r="P520" s="11" t="s">
        <v>401</v>
      </c>
      <c r="Q520" s="71" t="s">
        <v>28160</v>
      </c>
      <c r="R520" s="11" t="s">
        <v>100</v>
      </c>
      <c r="S520" s="11" t="s">
        <v>28</v>
      </c>
      <c r="T520" s="68" t="s">
        <v>27756</v>
      </c>
      <c r="U520" s="68" t="s">
        <v>29436</v>
      </c>
      <c r="V520" s="68" t="s">
        <v>29439</v>
      </c>
      <c r="W520" s="68" t="s">
        <v>100</v>
      </c>
      <c r="X520" s="68">
        <v>2302</v>
      </c>
      <c r="Y520" s="11"/>
      <c r="Z520" s="11"/>
      <c r="AA520" s="11"/>
      <c r="AB520" s="11"/>
      <c r="AC520" s="11"/>
      <c r="AD520" s="11"/>
      <c r="AE520" s="11"/>
      <c r="AF520" s="11"/>
      <c r="AG520" s="11"/>
      <c r="AU520" s="44"/>
      <c r="AV520" s="44"/>
      <c r="AW520" s="1"/>
      <c r="AX520" s="1"/>
      <c r="AY520" s="1"/>
      <c r="AZ520" s="44"/>
      <c r="BA520" s="44"/>
      <c r="BB520" s="11"/>
      <c r="BC520" s="1"/>
      <c r="BD520" s="1"/>
      <c r="BE520" s="1"/>
      <c r="BF520" s="1"/>
      <c r="BG520" s="1"/>
      <c r="BH520" s="1"/>
      <c r="BI520" s="1"/>
      <c r="BJ520" s="1"/>
    </row>
    <row r="521" spans="1:63" s="70" customFormat="1" ht="12" customHeight="1" x14ac:dyDescent="0.2">
      <c r="A521" s="11" t="s">
        <v>28492</v>
      </c>
      <c r="B521" s="68">
        <v>26</v>
      </c>
      <c r="C521" s="11" t="s">
        <v>20</v>
      </c>
      <c r="D521" s="11" t="s">
        <v>37</v>
      </c>
      <c r="E521" s="71" t="s">
        <v>28493</v>
      </c>
      <c r="F521" s="69">
        <v>42768</v>
      </c>
      <c r="G521" s="11" t="s">
        <v>28494</v>
      </c>
      <c r="H521" s="11" t="s">
        <v>28495</v>
      </c>
      <c r="I521" s="11" t="s">
        <v>438</v>
      </c>
      <c r="J521" s="11">
        <v>53121</v>
      </c>
      <c r="K521" s="11" t="s">
        <v>16032</v>
      </c>
      <c r="L521" s="11" t="s">
        <v>16033</v>
      </c>
      <c r="M521" s="11" t="s">
        <v>27</v>
      </c>
      <c r="N521" s="11" t="s">
        <v>28496</v>
      </c>
      <c r="O521" s="11" t="s">
        <v>400</v>
      </c>
      <c r="P521" s="11" t="s">
        <v>401</v>
      </c>
      <c r="Q521" s="71" t="s">
        <v>28497</v>
      </c>
      <c r="R521" s="11" t="s">
        <v>100</v>
      </c>
      <c r="S521" s="13" t="s">
        <v>18</v>
      </c>
      <c r="T521" s="68" t="s">
        <v>28345</v>
      </c>
      <c r="U521" s="68" t="s">
        <v>29441</v>
      </c>
      <c r="V521" s="68" t="s">
        <v>29439</v>
      </c>
      <c r="W521" s="68" t="s">
        <v>100</v>
      </c>
      <c r="X521" s="68">
        <v>2282</v>
      </c>
      <c r="Y521" s="11"/>
      <c r="Z521" s="11"/>
      <c r="AA521" s="11"/>
      <c r="AB521" s="11"/>
      <c r="AC521" s="11"/>
      <c r="AD521" s="11"/>
      <c r="AE521" s="11"/>
      <c r="AF521" s="11"/>
      <c r="AG521" s="11"/>
      <c r="AU521" s="44"/>
      <c r="AV521" s="44"/>
      <c r="AW521" s="44"/>
      <c r="AX521" s="1"/>
      <c r="AY521" s="1"/>
      <c r="AZ521" s="44"/>
      <c r="BA521" s="44"/>
      <c r="BB521" s="11"/>
      <c r="BC521" s="1"/>
      <c r="BD521" s="1"/>
      <c r="BE521" s="1"/>
      <c r="BF521" s="1"/>
      <c r="BG521" s="1"/>
      <c r="BH521" s="1"/>
      <c r="BI521" s="1"/>
      <c r="BJ521" s="1"/>
      <c r="BK521" s="1"/>
    </row>
    <row r="522" spans="1:63" s="70" customFormat="1" ht="12" customHeight="1" x14ac:dyDescent="0.2">
      <c r="A522" s="11" t="s">
        <v>28170</v>
      </c>
      <c r="B522" s="11">
        <v>18</v>
      </c>
      <c r="C522" s="11" t="s">
        <v>20</v>
      </c>
      <c r="D522" s="11" t="s">
        <v>48</v>
      </c>
      <c r="E522" s="71" t="s">
        <v>28171</v>
      </c>
      <c r="F522" s="72">
        <v>42767</v>
      </c>
      <c r="G522" s="11" t="s">
        <v>28172</v>
      </c>
      <c r="H522" s="11" t="s">
        <v>8550</v>
      </c>
      <c r="I522" s="11" t="s">
        <v>73</v>
      </c>
      <c r="J522" s="11">
        <v>76308</v>
      </c>
      <c r="K522" s="11" t="s">
        <v>683</v>
      </c>
      <c r="L522" s="11" t="s">
        <v>8552</v>
      </c>
      <c r="M522" s="11" t="s">
        <v>27</v>
      </c>
      <c r="N522" s="11" t="s">
        <v>28173</v>
      </c>
      <c r="O522" s="11" t="s">
        <v>400</v>
      </c>
      <c r="P522" s="11" t="s">
        <v>401</v>
      </c>
      <c r="Q522" s="71" t="s">
        <v>28174</v>
      </c>
      <c r="R522" s="11" t="s">
        <v>100</v>
      </c>
      <c r="S522" s="11" t="s">
        <v>28</v>
      </c>
      <c r="T522" s="68"/>
      <c r="U522" s="68"/>
      <c r="V522" s="68"/>
      <c r="W522" s="68"/>
      <c r="X522" s="68"/>
      <c r="Y522" s="11"/>
      <c r="Z522" s="11"/>
      <c r="AA522" s="11"/>
      <c r="AB522" s="11"/>
      <c r="AC522" s="11"/>
      <c r="AD522" s="11"/>
      <c r="AE522" s="11"/>
      <c r="AF522" s="11"/>
      <c r="AG522" s="11"/>
      <c r="AU522" s="44"/>
      <c r="AV522" s="44"/>
      <c r="AW522" s="1"/>
      <c r="AX522" s="1"/>
      <c r="AY522" s="1"/>
      <c r="AZ522" s="1"/>
      <c r="BA522" s="1"/>
      <c r="BB522" s="1"/>
      <c r="BC522" s="1"/>
      <c r="BD522" s="1"/>
      <c r="BE522" s="1"/>
      <c r="BF522" s="1"/>
      <c r="BG522" s="1"/>
      <c r="BH522" s="1"/>
      <c r="BI522" s="1"/>
      <c r="BJ522" s="1"/>
    </row>
    <row r="523" spans="1:63" s="70" customFormat="1" ht="12" customHeight="1" x14ac:dyDescent="0.2">
      <c r="A523" s="11" t="s">
        <v>28695</v>
      </c>
      <c r="B523" s="11">
        <v>19</v>
      </c>
      <c r="C523" s="11" t="s">
        <v>20</v>
      </c>
      <c r="D523" s="11" t="s">
        <v>85</v>
      </c>
      <c r="E523" s="11"/>
      <c r="F523" s="72">
        <v>42767</v>
      </c>
      <c r="G523" s="11" t="s">
        <v>28861</v>
      </c>
      <c r="H523" s="11" t="s">
        <v>602</v>
      </c>
      <c r="I523" s="11" t="s">
        <v>45</v>
      </c>
      <c r="J523" s="11">
        <v>94501</v>
      </c>
      <c r="K523" s="11" t="s">
        <v>602</v>
      </c>
      <c r="L523" s="11" t="s">
        <v>21875</v>
      </c>
      <c r="M523" s="11" t="s">
        <v>27</v>
      </c>
      <c r="N523" s="11" t="s">
        <v>28696</v>
      </c>
      <c r="O523" s="11" t="s">
        <v>400</v>
      </c>
      <c r="P523" s="11" t="s">
        <v>401</v>
      </c>
      <c r="Q523" s="71" t="s">
        <v>28697</v>
      </c>
      <c r="R523" s="11" t="s">
        <v>100</v>
      </c>
      <c r="S523" s="11" t="s">
        <v>35</v>
      </c>
      <c r="T523" s="68"/>
      <c r="U523" s="68"/>
      <c r="V523" s="68"/>
      <c r="W523" s="68"/>
      <c r="X523" s="68"/>
      <c r="Y523" s="11"/>
      <c r="Z523" s="11"/>
      <c r="AA523" s="11"/>
      <c r="AB523" s="11"/>
      <c r="AC523" s="11"/>
      <c r="AD523" s="11"/>
      <c r="AE523" s="11"/>
      <c r="AF523" s="11"/>
      <c r="AG523" s="11"/>
      <c r="AU523" s="44"/>
      <c r="AV523" s="44"/>
      <c r="AW523" s="1"/>
      <c r="AX523" s="44"/>
      <c r="AY523" s="44"/>
      <c r="AZ523" s="1"/>
      <c r="BA523" s="1"/>
      <c r="BB523" s="1"/>
    </row>
    <row r="524" spans="1:63" s="70" customFormat="1" ht="12" customHeight="1" x14ac:dyDescent="0.2">
      <c r="A524" s="11" t="s">
        <v>28758</v>
      </c>
      <c r="B524" s="68">
        <v>23</v>
      </c>
      <c r="C524" s="11" t="s">
        <v>20</v>
      </c>
      <c r="D524" s="11" t="s">
        <v>85</v>
      </c>
      <c r="E524" s="71" t="s">
        <v>28759</v>
      </c>
      <c r="F524" s="69">
        <v>42767</v>
      </c>
      <c r="G524" s="11" t="s">
        <v>28867</v>
      </c>
      <c r="H524" s="11" t="s">
        <v>843</v>
      </c>
      <c r="I524" s="11" t="s">
        <v>73</v>
      </c>
      <c r="J524" s="11">
        <v>76012</v>
      </c>
      <c r="K524" s="11" t="s">
        <v>74</v>
      </c>
      <c r="L524" s="11" t="s">
        <v>844</v>
      </c>
      <c r="M524" s="11" t="s">
        <v>27</v>
      </c>
      <c r="N524" s="11" t="s">
        <v>28760</v>
      </c>
      <c r="O524" s="11" t="s">
        <v>400</v>
      </c>
      <c r="P524" s="11" t="s">
        <v>401</v>
      </c>
      <c r="Q524" s="71" t="s">
        <v>28761</v>
      </c>
      <c r="R524" s="11" t="s">
        <v>100</v>
      </c>
      <c r="S524" s="11" t="s">
        <v>379</v>
      </c>
      <c r="T524" s="68" t="s">
        <v>379</v>
      </c>
      <c r="U524" s="68" t="s">
        <v>29438</v>
      </c>
      <c r="V524" s="68" t="s">
        <v>29437</v>
      </c>
      <c r="W524" s="68" t="s">
        <v>100</v>
      </c>
      <c r="X524" s="68">
        <v>2280</v>
      </c>
      <c r="Y524" s="11"/>
      <c r="Z524" s="11"/>
      <c r="AA524" s="11"/>
      <c r="AB524" s="11"/>
      <c r="AC524" s="11"/>
      <c r="AD524" s="11"/>
      <c r="AE524" s="11"/>
      <c r="AF524" s="11"/>
      <c r="AG524" s="11"/>
      <c r="AU524" s="44"/>
      <c r="AV524" s="44"/>
      <c r="AW524" s="44"/>
      <c r="AX524" s="44"/>
      <c r="AY524" s="44"/>
      <c r="AZ524" s="44"/>
      <c r="BA524" s="44"/>
      <c r="BB524" s="11"/>
      <c r="BK524" s="11"/>
    </row>
    <row r="525" spans="1:63" s="70" customFormat="1" ht="12" customHeight="1" x14ac:dyDescent="0.2">
      <c r="A525" s="11" t="s">
        <v>28561</v>
      </c>
      <c r="B525" s="68">
        <v>31</v>
      </c>
      <c r="C525" s="11" t="s">
        <v>20</v>
      </c>
      <c r="D525" s="1" t="s">
        <v>30</v>
      </c>
      <c r="E525" s="71" t="s">
        <v>28562</v>
      </c>
      <c r="F525" s="69">
        <v>42767</v>
      </c>
      <c r="G525" s="11" t="s">
        <v>28563</v>
      </c>
      <c r="H525" s="11" t="s">
        <v>2887</v>
      </c>
      <c r="I525" s="11" t="s">
        <v>45</v>
      </c>
      <c r="J525" s="11">
        <v>92346</v>
      </c>
      <c r="K525" s="11" t="s">
        <v>309</v>
      </c>
      <c r="L525" s="11" t="s">
        <v>28564</v>
      </c>
      <c r="M525" s="11" t="s">
        <v>27</v>
      </c>
      <c r="N525" s="11" t="s">
        <v>28565</v>
      </c>
      <c r="O525" s="11" t="s">
        <v>400</v>
      </c>
      <c r="P525" s="11" t="s">
        <v>401</v>
      </c>
      <c r="Q525" s="71" t="s">
        <v>28566</v>
      </c>
      <c r="R525" s="11" t="s">
        <v>100</v>
      </c>
      <c r="S525" s="11" t="s">
        <v>379</v>
      </c>
      <c r="T525" s="68" t="s">
        <v>379</v>
      </c>
      <c r="U525" s="68" t="s">
        <v>29438</v>
      </c>
      <c r="V525" s="68" t="s">
        <v>29437</v>
      </c>
      <c r="W525" s="68" t="s">
        <v>100</v>
      </c>
      <c r="X525" s="68">
        <v>2301</v>
      </c>
      <c r="Y525" s="11"/>
      <c r="Z525" s="11"/>
      <c r="AA525" s="11"/>
      <c r="AB525" s="11"/>
      <c r="AC525" s="11"/>
      <c r="AD525" s="11"/>
      <c r="AE525" s="11"/>
      <c r="AF525" s="11"/>
      <c r="AG525" s="11"/>
      <c r="AU525" s="44"/>
      <c r="AV525" s="44"/>
      <c r="AW525" s="11"/>
      <c r="AX525" s="1"/>
      <c r="AY525" s="1"/>
      <c r="AZ525" s="44"/>
      <c r="BA525" s="44"/>
      <c r="BB525" s="11"/>
      <c r="BC525" s="1"/>
      <c r="BD525" s="1"/>
      <c r="BE525" s="1"/>
      <c r="BF525" s="1"/>
      <c r="BG525" s="1"/>
      <c r="BH525" s="1"/>
      <c r="BI525" s="1"/>
      <c r="BJ525" s="1"/>
      <c r="BK525" s="11"/>
    </row>
    <row r="526" spans="1:63" s="70" customFormat="1" ht="12" customHeight="1" x14ac:dyDescent="0.2">
      <c r="A526" s="11" t="s">
        <v>28329</v>
      </c>
      <c r="B526" s="11">
        <v>44</v>
      </c>
      <c r="C526" s="11" t="s">
        <v>20</v>
      </c>
      <c r="D526" s="11" t="s">
        <v>37</v>
      </c>
      <c r="E526" s="71" t="s">
        <v>28330</v>
      </c>
      <c r="F526" s="72">
        <v>42766</v>
      </c>
      <c r="G526" s="11" t="s">
        <v>28843</v>
      </c>
      <c r="H526" s="11" t="s">
        <v>28331</v>
      </c>
      <c r="I526" s="11" t="s">
        <v>173</v>
      </c>
      <c r="J526" s="11">
        <v>30241</v>
      </c>
      <c r="K526" s="11" t="s">
        <v>28332</v>
      </c>
      <c r="L526" s="11" t="s">
        <v>28333</v>
      </c>
      <c r="M526" s="1" t="s">
        <v>391</v>
      </c>
      <c r="N526" s="11" t="s">
        <v>28334</v>
      </c>
      <c r="O526" s="11" t="s">
        <v>400</v>
      </c>
      <c r="P526" s="11" t="s">
        <v>401</v>
      </c>
      <c r="Q526" s="71" t="s">
        <v>28335</v>
      </c>
      <c r="R526" s="11" t="s">
        <v>29</v>
      </c>
      <c r="S526" s="11" t="s">
        <v>28</v>
      </c>
      <c r="T526" s="11"/>
      <c r="U526" s="11"/>
      <c r="V526" s="11"/>
      <c r="W526" s="11"/>
      <c r="X526" s="11"/>
      <c r="Y526" s="11"/>
      <c r="Z526" s="11"/>
      <c r="AA526" s="11"/>
      <c r="AB526" s="11"/>
      <c r="AC526" s="11"/>
      <c r="AD526" s="11"/>
      <c r="AE526" s="11"/>
      <c r="AF526" s="11"/>
      <c r="AG526" s="11"/>
      <c r="AU526" s="11"/>
      <c r="AV526" s="11"/>
      <c r="AW526" s="11"/>
      <c r="AX526" s="1"/>
      <c r="AY526" s="1"/>
      <c r="AZ526" s="1"/>
      <c r="BA526" s="1"/>
      <c r="BB526" s="1"/>
      <c r="BC526" s="1"/>
      <c r="BD526" s="1"/>
      <c r="BE526" s="1"/>
      <c r="BF526" s="1"/>
      <c r="BG526" s="1"/>
      <c r="BH526" s="1"/>
      <c r="BI526" s="1"/>
      <c r="BJ526" s="1"/>
      <c r="BK526" s="1"/>
    </row>
    <row r="527" spans="1:63" s="70" customFormat="1" ht="12" customHeight="1" x14ac:dyDescent="0.2">
      <c r="A527" s="11" t="s">
        <v>28263</v>
      </c>
      <c r="B527" s="11">
        <v>37</v>
      </c>
      <c r="C527" s="11" t="s">
        <v>20</v>
      </c>
      <c r="D527" s="11" t="s">
        <v>85</v>
      </c>
      <c r="E527" s="11"/>
      <c r="F527" s="69">
        <v>42766</v>
      </c>
      <c r="G527" s="11" t="s">
        <v>28264</v>
      </c>
      <c r="H527" s="11" t="s">
        <v>98</v>
      </c>
      <c r="I527" s="11" t="s">
        <v>45</v>
      </c>
      <c r="J527" s="11">
        <v>90028</v>
      </c>
      <c r="K527" s="11" t="s">
        <v>98</v>
      </c>
      <c r="L527" s="11" t="s">
        <v>99</v>
      </c>
      <c r="M527" s="68" t="s">
        <v>5411</v>
      </c>
      <c r="N527" s="11" t="s">
        <v>28265</v>
      </c>
      <c r="O527" s="11" t="s">
        <v>400</v>
      </c>
      <c r="P527" s="11" t="s">
        <v>401</v>
      </c>
      <c r="Q527" s="71" t="s">
        <v>28266</v>
      </c>
      <c r="R527" s="68" t="s">
        <v>555</v>
      </c>
      <c r="S527" s="11" t="s">
        <v>28</v>
      </c>
      <c r="T527" s="68" t="s">
        <v>29493</v>
      </c>
      <c r="U527" s="68" t="s">
        <v>29438</v>
      </c>
      <c r="V527" s="68" t="s">
        <v>29439</v>
      </c>
      <c r="W527" s="68" t="s">
        <v>100</v>
      </c>
      <c r="X527" s="68">
        <v>2278</v>
      </c>
      <c r="Y527" s="11"/>
      <c r="Z527" s="11"/>
      <c r="AA527" s="11"/>
      <c r="AB527" s="11"/>
      <c r="AC527" s="11"/>
      <c r="AD527" s="11"/>
      <c r="AE527" s="11"/>
      <c r="AF527" s="11"/>
      <c r="AG527" s="11"/>
      <c r="AU527" s="44"/>
      <c r="AV527" s="44"/>
      <c r="AW527" s="1"/>
      <c r="AX527" s="44"/>
      <c r="AY527" s="44"/>
      <c r="AZ527" s="44"/>
      <c r="BK527" s="1"/>
    </row>
    <row r="528" spans="1:63" s="70" customFormat="1" ht="12" customHeight="1" x14ac:dyDescent="0.2">
      <c r="A528" s="11" t="s">
        <v>28267</v>
      </c>
      <c r="B528" s="68">
        <v>42</v>
      </c>
      <c r="C528" s="11" t="s">
        <v>20</v>
      </c>
      <c r="D528" s="11" t="s">
        <v>37</v>
      </c>
      <c r="E528" s="11"/>
      <c r="F528" s="69">
        <v>42765</v>
      </c>
      <c r="G528" s="11" t="s">
        <v>28838</v>
      </c>
      <c r="H528" s="11" t="s">
        <v>10247</v>
      </c>
      <c r="I528" s="11" t="s">
        <v>45</v>
      </c>
      <c r="J528" s="11">
        <v>95356</v>
      </c>
      <c r="K528" s="11" t="s">
        <v>3204</v>
      </c>
      <c r="L528" s="11" t="s">
        <v>10249</v>
      </c>
      <c r="M528" s="68" t="s">
        <v>5411</v>
      </c>
      <c r="N528" s="11" t="s">
        <v>28268</v>
      </c>
      <c r="O528" s="11" t="s">
        <v>400</v>
      </c>
      <c r="P528" s="11" t="s">
        <v>401</v>
      </c>
      <c r="Q528" s="71" t="s">
        <v>28269</v>
      </c>
      <c r="R528" s="11" t="s">
        <v>964</v>
      </c>
      <c r="S528" s="1" t="s">
        <v>35</v>
      </c>
      <c r="T528" s="68" t="s">
        <v>29449</v>
      </c>
      <c r="U528" s="68" t="s">
        <v>29436</v>
      </c>
      <c r="V528" s="68" t="s">
        <v>29439</v>
      </c>
      <c r="W528" s="68" t="s">
        <v>100</v>
      </c>
      <c r="X528" s="68">
        <v>2277</v>
      </c>
      <c r="Y528" s="11"/>
      <c r="Z528" s="11"/>
      <c r="AA528" s="11"/>
      <c r="AB528" s="11"/>
      <c r="AC528" s="11"/>
      <c r="AD528" s="11"/>
      <c r="AE528" s="11"/>
      <c r="AF528" s="11"/>
      <c r="AG528" s="11"/>
      <c r="AU528" s="44"/>
      <c r="AV528" s="44"/>
      <c r="AW528" s="1"/>
      <c r="AX528" s="1"/>
      <c r="AY528" s="1"/>
      <c r="AZ528" s="44"/>
      <c r="BA528" s="44"/>
      <c r="BC528" s="1"/>
      <c r="BD528" s="1"/>
      <c r="BE528" s="1"/>
      <c r="BF528" s="1"/>
      <c r="BG528" s="1"/>
      <c r="BH528" s="1"/>
      <c r="BI528" s="1"/>
      <c r="BJ528" s="1"/>
      <c r="BK528" s="11"/>
    </row>
    <row r="529" spans="1:63" s="70" customFormat="1" ht="12" customHeight="1" x14ac:dyDescent="0.2">
      <c r="A529" s="11" t="s">
        <v>28132</v>
      </c>
      <c r="B529" s="68">
        <v>50</v>
      </c>
      <c r="C529" s="11" t="s">
        <v>20</v>
      </c>
      <c r="D529" s="11" t="s">
        <v>85</v>
      </c>
      <c r="E529" s="11"/>
      <c r="F529" s="69">
        <v>42765</v>
      </c>
      <c r="G529" s="11" t="s">
        <v>28133</v>
      </c>
      <c r="H529" s="11" t="s">
        <v>28134</v>
      </c>
      <c r="I529" s="11" t="s">
        <v>395</v>
      </c>
      <c r="J529" s="11">
        <v>74553</v>
      </c>
      <c r="K529" s="11" t="s">
        <v>14231</v>
      </c>
      <c r="L529" s="11" t="s">
        <v>28135</v>
      </c>
      <c r="M529" s="11" t="s">
        <v>27</v>
      </c>
      <c r="N529" s="11" t="s">
        <v>28136</v>
      </c>
      <c r="O529" s="11" t="s">
        <v>400</v>
      </c>
      <c r="P529" s="11" t="s">
        <v>401</v>
      </c>
      <c r="Q529" s="71" t="s">
        <v>28137</v>
      </c>
      <c r="R529" s="11" t="s">
        <v>100</v>
      </c>
      <c r="S529" s="11" t="s">
        <v>28</v>
      </c>
      <c r="T529" s="68" t="s">
        <v>27756</v>
      </c>
      <c r="U529" s="68" t="s">
        <v>29436</v>
      </c>
      <c r="V529" s="68" t="s">
        <v>29439</v>
      </c>
      <c r="W529" s="68" t="s">
        <v>100</v>
      </c>
      <c r="X529" s="68">
        <v>2269</v>
      </c>
      <c r="Y529" s="11"/>
      <c r="Z529" s="11"/>
      <c r="AA529" s="11"/>
      <c r="AB529" s="11"/>
      <c r="AC529" s="11"/>
      <c r="AD529" s="11"/>
      <c r="AE529" s="11"/>
      <c r="AF529" s="11"/>
      <c r="AG529" s="11"/>
      <c r="AU529" s="44"/>
      <c r="AV529" s="44"/>
      <c r="AW529" s="1"/>
      <c r="AX529" s="44"/>
      <c r="AY529" s="44"/>
      <c r="AZ529" s="44"/>
      <c r="BA529" s="44"/>
      <c r="BB529" s="11"/>
    </row>
    <row r="530" spans="1:63" s="70" customFormat="1" ht="12" customHeight="1" x14ac:dyDescent="0.2">
      <c r="A530" s="11" t="s">
        <v>28213</v>
      </c>
      <c r="B530" s="68">
        <v>45</v>
      </c>
      <c r="C530" s="11" t="s">
        <v>20</v>
      </c>
      <c r="D530" s="11" t="s">
        <v>48</v>
      </c>
      <c r="E530" s="11"/>
      <c r="F530" s="69">
        <v>42765</v>
      </c>
      <c r="G530" s="11" t="s">
        <v>28214</v>
      </c>
      <c r="H530" s="11" t="s">
        <v>200</v>
      </c>
      <c r="I530" s="11" t="s">
        <v>45</v>
      </c>
      <c r="J530" s="11">
        <v>93703</v>
      </c>
      <c r="K530" s="11" t="s">
        <v>200</v>
      </c>
      <c r="L530" s="11" t="s">
        <v>1598</v>
      </c>
      <c r="M530" s="68" t="s">
        <v>5411</v>
      </c>
      <c r="N530" s="11" t="s">
        <v>28215</v>
      </c>
      <c r="O530" s="11" t="s">
        <v>400</v>
      </c>
      <c r="P530" s="11" t="s">
        <v>401</v>
      </c>
      <c r="Q530" s="71" t="s">
        <v>28216</v>
      </c>
      <c r="R530" s="68" t="s">
        <v>555</v>
      </c>
      <c r="S530" s="11" t="s">
        <v>28</v>
      </c>
      <c r="T530" s="68" t="s">
        <v>29494</v>
      </c>
      <c r="U530" s="68" t="s">
        <v>29438</v>
      </c>
      <c r="V530" s="68" t="s">
        <v>29439</v>
      </c>
      <c r="W530" s="68" t="s">
        <v>100</v>
      </c>
      <c r="X530" s="68">
        <v>2276</v>
      </c>
      <c r="Y530" s="11"/>
      <c r="Z530" s="11"/>
      <c r="AA530" s="11"/>
      <c r="AB530" s="11"/>
      <c r="AC530" s="11"/>
      <c r="AD530" s="11"/>
      <c r="AE530" s="11"/>
      <c r="AF530" s="11"/>
      <c r="AG530" s="11"/>
      <c r="AU530" s="44"/>
      <c r="AV530" s="44"/>
      <c r="AW530" s="1"/>
      <c r="AX530" s="1"/>
      <c r="AY530" s="1"/>
      <c r="AZ530" s="44"/>
      <c r="BC530" s="1"/>
      <c r="BD530" s="1"/>
      <c r="BE530" s="1"/>
      <c r="BF530" s="1"/>
      <c r="BG530" s="1"/>
      <c r="BH530" s="1"/>
      <c r="BI530" s="1"/>
      <c r="BJ530" s="1"/>
      <c r="BK530" s="1"/>
    </row>
    <row r="531" spans="1:63" s="70" customFormat="1" ht="12" customHeight="1" x14ac:dyDescent="0.2">
      <c r="A531" s="11" t="s">
        <v>27996</v>
      </c>
      <c r="B531" s="68">
        <v>36</v>
      </c>
      <c r="C531" s="11" t="s">
        <v>20</v>
      </c>
      <c r="D531" s="11" t="s">
        <v>37</v>
      </c>
      <c r="E531" s="11" t="s">
        <v>28879</v>
      </c>
      <c r="F531" s="69">
        <v>42765</v>
      </c>
      <c r="G531" s="11" t="s">
        <v>28820</v>
      </c>
      <c r="H531" s="11" t="s">
        <v>15869</v>
      </c>
      <c r="I531" s="11" t="s">
        <v>303</v>
      </c>
      <c r="J531" s="11">
        <v>98036</v>
      </c>
      <c r="K531" s="11" t="s">
        <v>2150</v>
      </c>
      <c r="L531" s="11" t="s">
        <v>16515</v>
      </c>
      <c r="M531" s="11" t="s">
        <v>27</v>
      </c>
      <c r="N531" s="11" t="s">
        <v>27997</v>
      </c>
      <c r="O531" s="11" t="s">
        <v>400</v>
      </c>
      <c r="P531" s="11" t="s">
        <v>401</v>
      </c>
      <c r="Q531" s="71" t="s">
        <v>27998</v>
      </c>
      <c r="R531" s="68" t="s">
        <v>555</v>
      </c>
      <c r="S531" s="11" t="s">
        <v>28</v>
      </c>
      <c r="T531" s="68" t="s">
        <v>29493</v>
      </c>
      <c r="U531" s="68" t="s">
        <v>29436</v>
      </c>
      <c r="V531" s="68" t="s">
        <v>29439</v>
      </c>
      <c r="W531" s="68" t="s">
        <v>100</v>
      </c>
      <c r="X531" s="68">
        <v>2270</v>
      </c>
      <c r="Y531" s="11"/>
      <c r="Z531" s="11"/>
      <c r="AA531" s="11"/>
      <c r="AB531" s="11"/>
      <c r="AC531" s="11"/>
      <c r="AD531" s="11"/>
      <c r="AE531" s="11"/>
      <c r="AF531" s="11"/>
      <c r="AG531" s="11"/>
      <c r="AU531" s="44"/>
      <c r="AV531" s="44"/>
      <c r="AW531" s="44"/>
      <c r="AX531" s="1"/>
      <c r="AY531" s="1"/>
      <c r="AZ531" s="44"/>
      <c r="BB531" s="44"/>
      <c r="BC531" s="1"/>
      <c r="BD531" s="1"/>
      <c r="BE531" s="1"/>
      <c r="BF531" s="1"/>
      <c r="BG531" s="1"/>
      <c r="BH531" s="1"/>
      <c r="BI531" s="1"/>
      <c r="BJ531" s="1"/>
    </row>
    <row r="532" spans="1:63" s="70" customFormat="1" ht="12" customHeight="1" x14ac:dyDescent="0.2">
      <c r="A532" s="11" t="s">
        <v>28507</v>
      </c>
      <c r="B532" s="68">
        <v>18</v>
      </c>
      <c r="C532" s="11" t="s">
        <v>20</v>
      </c>
      <c r="D532" s="11" t="s">
        <v>48</v>
      </c>
      <c r="E532" s="11"/>
      <c r="F532" s="69">
        <v>42764</v>
      </c>
      <c r="G532" s="11" t="s">
        <v>28851</v>
      </c>
      <c r="H532" s="11" t="s">
        <v>3690</v>
      </c>
      <c r="I532" s="11" t="s">
        <v>45</v>
      </c>
      <c r="J532" s="11">
        <v>92701</v>
      </c>
      <c r="K532" s="11" t="s">
        <v>1061</v>
      </c>
      <c r="L532" s="11" t="s">
        <v>3692</v>
      </c>
      <c r="M532" s="11" t="s">
        <v>27</v>
      </c>
      <c r="N532" s="11" t="s">
        <v>28508</v>
      </c>
      <c r="O532" s="11" t="s">
        <v>400</v>
      </c>
      <c r="P532" s="11" t="s">
        <v>401</v>
      </c>
      <c r="Q532" s="71" t="s">
        <v>28509</v>
      </c>
      <c r="R532" s="11" t="s">
        <v>100</v>
      </c>
      <c r="S532" s="11" t="s">
        <v>18</v>
      </c>
      <c r="T532" s="68" t="s">
        <v>28345</v>
      </c>
      <c r="U532" s="68" t="s">
        <v>29441</v>
      </c>
      <c r="V532" s="68" t="s">
        <v>29440</v>
      </c>
      <c r="W532" s="68" t="s">
        <v>100</v>
      </c>
      <c r="X532" s="68">
        <v>2275</v>
      </c>
      <c r="Y532" s="11"/>
      <c r="Z532" s="11"/>
      <c r="AA532" s="11"/>
      <c r="AB532" s="11"/>
      <c r="AC532" s="11"/>
      <c r="AD532" s="11"/>
      <c r="AE532" s="11"/>
      <c r="AF532" s="11"/>
      <c r="AG532" s="11"/>
      <c r="AU532" s="44"/>
      <c r="AV532" s="44"/>
      <c r="AX532" s="1"/>
      <c r="AY532" s="1"/>
      <c r="AZ532" s="44"/>
      <c r="BA532" s="44"/>
      <c r="BB532" s="11"/>
      <c r="BC532" s="1"/>
      <c r="BD532" s="1"/>
      <c r="BE532" s="1"/>
      <c r="BF532" s="1"/>
      <c r="BG532" s="1"/>
      <c r="BH532" s="1"/>
      <c r="BI532" s="1"/>
      <c r="BJ532" s="1"/>
      <c r="BK532" s="1"/>
    </row>
    <row r="533" spans="1:63" s="70" customFormat="1" ht="12" customHeight="1" x14ac:dyDescent="0.2">
      <c r="A533" s="11" t="s">
        <v>28426</v>
      </c>
      <c r="B533" s="11">
        <v>16</v>
      </c>
      <c r="C533" s="11" t="s">
        <v>20</v>
      </c>
      <c r="D533" s="11" t="s">
        <v>48</v>
      </c>
      <c r="E533" s="11"/>
      <c r="F533" s="72">
        <v>42764</v>
      </c>
      <c r="G533" s="11" t="s">
        <v>28427</v>
      </c>
      <c r="H533" s="11" t="s">
        <v>17145</v>
      </c>
      <c r="I533" s="11" t="s">
        <v>173</v>
      </c>
      <c r="J533" s="11">
        <v>30093</v>
      </c>
      <c r="K533" s="11" t="s">
        <v>1325</v>
      </c>
      <c r="L533" s="11" t="s">
        <v>1326</v>
      </c>
      <c r="M533" s="11" t="s">
        <v>379</v>
      </c>
      <c r="N533" s="11" t="s">
        <v>28428</v>
      </c>
      <c r="O533" s="11" t="s">
        <v>28429</v>
      </c>
      <c r="P533" s="11" t="s">
        <v>401</v>
      </c>
      <c r="Q533" s="71" t="s">
        <v>28430</v>
      </c>
      <c r="R533" s="11" t="s">
        <v>100</v>
      </c>
      <c r="S533" s="11" t="s">
        <v>18</v>
      </c>
      <c r="T533" s="11" t="s">
        <v>28345</v>
      </c>
      <c r="U533" s="11"/>
      <c r="V533" s="11"/>
      <c r="W533" s="11"/>
      <c r="X533" s="11"/>
      <c r="Y533" s="11"/>
      <c r="Z533" s="11"/>
      <c r="AA533" s="11"/>
      <c r="AB533" s="11"/>
      <c r="AC533" s="11"/>
      <c r="AD533" s="11"/>
      <c r="AE533" s="11"/>
      <c r="AF533" s="11"/>
      <c r="AG533" s="11"/>
      <c r="AU533" s="44"/>
      <c r="AV533" s="44"/>
      <c r="AW533" s="1"/>
      <c r="AX533" s="1"/>
      <c r="AY533" s="1"/>
      <c r="BA533" s="1"/>
      <c r="BB533" s="1"/>
      <c r="BC533" s="1"/>
      <c r="BD533" s="1"/>
      <c r="BE533" s="1"/>
      <c r="BF533" s="1"/>
      <c r="BG533" s="1"/>
      <c r="BH533" s="1"/>
      <c r="BI533" s="1"/>
      <c r="BJ533" s="1"/>
      <c r="BK533" s="1"/>
    </row>
    <row r="534" spans="1:63" s="70" customFormat="1" ht="12" customHeight="1" x14ac:dyDescent="0.2">
      <c r="A534" s="11" t="s">
        <v>28299</v>
      </c>
      <c r="B534" s="68">
        <v>53</v>
      </c>
      <c r="C534" s="11" t="s">
        <v>20</v>
      </c>
      <c r="D534" s="11" t="s">
        <v>30</v>
      </c>
      <c r="E534" s="11"/>
      <c r="F534" s="69">
        <v>42764</v>
      </c>
      <c r="G534" s="11" t="s">
        <v>28300</v>
      </c>
      <c r="H534" s="11" t="s">
        <v>28301</v>
      </c>
      <c r="I534" s="11" t="s">
        <v>41</v>
      </c>
      <c r="J534" s="11">
        <v>6370</v>
      </c>
      <c r="K534" s="11" t="s">
        <v>6851</v>
      </c>
      <c r="L534" s="11" t="s">
        <v>28302</v>
      </c>
      <c r="M534" s="11" t="s">
        <v>27</v>
      </c>
      <c r="N534" s="11" t="s">
        <v>28303</v>
      </c>
      <c r="O534" s="11" t="s">
        <v>400</v>
      </c>
      <c r="P534" s="11" t="s">
        <v>401</v>
      </c>
      <c r="Q534" s="71" t="s">
        <v>28304</v>
      </c>
      <c r="R534" s="68" t="s">
        <v>555</v>
      </c>
      <c r="S534" s="11" t="s">
        <v>28</v>
      </c>
      <c r="T534" s="68" t="s">
        <v>391</v>
      </c>
      <c r="U534" s="68" t="s">
        <v>29438</v>
      </c>
      <c r="V534" s="68" t="s">
        <v>29439</v>
      </c>
      <c r="W534" s="68" t="s">
        <v>100</v>
      </c>
      <c r="X534" s="68">
        <v>2271</v>
      </c>
      <c r="Y534" s="11"/>
      <c r="Z534" s="11"/>
      <c r="AA534" s="11"/>
      <c r="AB534" s="11"/>
      <c r="AC534" s="11"/>
      <c r="AD534" s="11"/>
      <c r="AE534" s="11"/>
      <c r="AF534" s="11"/>
      <c r="AG534" s="11"/>
      <c r="AU534" s="44"/>
      <c r="AV534" s="44"/>
      <c r="AW534" s="1"/>
      <c r="AX534" s="1"/>
      <c r="AY534" s="1"/>
      <c r="AZ534" s="44"/>
      <c r="BB534" s="44"/>
      <c r="BC534" s="1"/>
      <c r="BD534" s="1"/>
      <c r="BE534" s="1"/>
      <c r="BF534" s="1"/>
      <c r="BG534" s="1"/>
      <c r="BH534" s="1"/>
      <c r="BI534" s="1"/>
      <c r="BJ534" s="1"/>
    </row>
    <row r="535" spans="1:63" s="70" customFormat="1" ht="12" customHeight="1" x14ac:dyDescent="0.2">
      <c r="A535" s="11" t="s">
        <v>28145</v>
      </c>
      <c r="B535" s="68">
        <v>17</v>
      </c>
      <c r="C535" s="11" t="s">
        <v>20</v>
      </c>
      <c r="D535" s="11" t="s">
        <v>85</v>
      </c>
      <c r="E535" s="11"/>
      <c r="F535" s="69">
        <v>42763</v>
      </c>
      <c r="G535" s="11" t="s">
        <v>28146</v>
      </c>
      <c r="H535" s="11" t="s">
        <v>1862</v>
      </c>
      <c r="I535" s="11" t="s">
        <v>303</v>
      </c>
      <c r="J535" s="11">
        <v>98198</v>
      </c>
      <c r="K535" s="11" t="s">
        <v>1209</v>
      </c>
      <c r="L535" s="11" t="s">
        <v>7999</v>
      </c>
      <c r="M535" s="11" t="s">
        <v>27</v>
      </c>
      <c r="N535" s="11" t="s">
        <v>28147</v>
      </c>
      <c r="O535" s="11" t="s">
        <v>400</v>
      </c>
      <c r="P535" s="11" t="s">
        <v>401</v>
      </c>
      <c r="Q535" s="71" t="s">
        <v>28148</v>
      </c>
      <c r="R535" s="11" t="s">
        <v>100</v>
      </c>
      <c r="S535" s="11" t="s">
        <v>28</v>
      </c>
      <c r="T535" s="68" t="s">
        <v>27756</v>
      </c>
      <c r="U535" s="68" t="s">
        <v>29438</v>
      </c>
      <c r="V535" s="68" t="s">
        <v>29439</v>
      </c>
      <c r="W535" s="68" t="s">
        <v>100</v>
      </c>
      <c r="X535" s="68">
        <v>2274</v>
      </c>
      <c r="Y535" s="11"/>
      <c r="Z535" s="11"/>
      <c r="AA535" s="11"/>
      <c r="AB535" s="11"/>
      <c r="AC535" s="11"/>
      <c r="AD535" s="11"/>
      <c r="AE535" s="11"/>
      <c r="AF535" s="11"/>
      <c r="AG535" s="11"/>
      <c r="AU535" s="44"/>
      <c r="AV535" s="44"/>
      <c r="AZ535" s="44"/>
      <c r="BA535" s="44"/>
      <c r="BB535" s="11"/>
    </row>
    <row r="536" spans="1:63" s="70" customFormat="1" ht="12" customHeight="1" x14ac:dyDescent="0.2">
      <c r="A536" s="11" t="s">
        <v>27925</v>
      </c>
      <c r="B536" s="68">
        <v>25</v>
      </c>
      <c r="C536" s="11" t="s">
        <v>20</v>
      </c>
      <c r="D536" s="11" t="s">
        <v>48</v>
      </c>
      <c r="E536" s="11"/>
      <c r="F536" s="69">
        <v>42763</v>
      </c>
      <c r="G536" s="11" t="s">
        <v>27926</v>
      </c>
      <c r="H536" s="11" t="s">
        <v>27927</v>
      </c>
      <c r="I536" s="11" t="s">
        <v>73</v>
      </c>
      <c r="J536" s="11">
        <v>79735</v>
      </c>
      <c r="K536" s="11" t="s">
        <v>27928</v>
      </c>
      <c r="L536" s="11" t="s">
        <v>27929</v>
      </c>
      <c r="M536" s="11" t="s">
        <v>27</v>
      </c>
      <c r="N536" s="11" t="s">
        <v>27930</v>
      </c>
      <c r="O536" s="11" t="s">
        <v>400</v>
      </c>
      <c r="P536" s="11" t="s">
        <v>401</v>
      </c>
      <c r="Q536" s="71" t="s">
        <v>27931</v>
      </c>
      <c r="R536" s="11" t="s">
        <v>100</v>
      </c>
      <c r="S536" s="11" t="s">
        <v>28</v>
      </c>
      <c r="T536" s="68" t="s">
        <v>27756</v>
      </c>
      <c r="U536" s="68" t="s">
        <v>29438</v>
      </c>
      <c r="V536" s="68" t="s">
        <v>29437</v>
      </c>
      <c r="W536" s="68" t="s">
        <v>100</v>
      </c>
      <c r="X536" s="68">
        <v>2273</v>
      </c>
      <c r="Y536" s="11"/>
      <c r="Z536" s="11"/>
      <c r="AA536" s="11"/>
      <c r="AB536" s="11"/>
      <c r="AC536" s="11"/>
      <c r="AD536" s="11"/>
      <c r="AE536" s="11"/>
      <c r="AF536" s="11"/>
      <c r="AG536" s="11"/>
      <c r="AU536" s="44"/>
      <c r="AV536" s="44"/>
      <c r="AW536" s="11"/>
      <c r="AX536" s="1"/>
      <c r="AY536" s="1"/>
      <c r="AZ536" s="44"/>
      <c r="BA536" s="44"/>
      <c r="BB536" s="11"/>
      <c r="BC536" s="1"/>
      <c r="BD536" s="1"/>
      <c r="BE536" s="1"/>
      <c r="BF536" s="1"/>
      <c r="BG536" s="1"/>
      <c r="BH536" s="1"/>
      <c r="BI536" s="1"/>
      <c r="BJ536" s="1"/>
    </row>
    <row r="537" spans="1:63" s="70" customFormat="1" ht="12" customHeight="1" x14ac:dyDescent="0.2">
      <c r="A537" s="11" t="s">
        <v>3252</v>
      </c>
      <c r="B537" s="11">
        <v>49</v>
      </c>
      <c r="C537" s="11" t="s">
        <v>20</v>
      </c>
      <c r="D537" s="11" t="s">
        <v>30</v>
      </c>
      <c r="E537" s="11"/>
      <c r="F537" s="72">
        <v>42763</v>
      </c>
      <c r="G537" s="11" t="s">
        <v>28188</v>
      </c>
      <c r="H537" s="11" t="s">
        <v>22998</v>
      </c>
      <c r="I537" s="11" t="s">
        <v>438</v>
      </c>
      <c r="J537" s="11">
        <v>54701</v>
      </c>
      <c r="K537" s="11" t="s">
        <v>22998</v>
      </c>
      <c r="L537" s="11" t="s">
        <v>28189</v>
      </c>
      <c r="M537" s="11" t="s">
        <v>27</v>
      </c>
      <c r="N537" s="11" t="s">
        <v>28190</v>
      </c>
      <c r="O537" s="11" t="s">
        <v>400</v>
      </c>
      <c r="P537" s="11" t="s">
        <v>401</v>
      </c>
      <c r="Q537" s="71" t="s">
        <v>28191</v>
      </c>
      <c r="R537" s="11" t="s">
        <v>29</v>
      </c>
      <c r="S537" s="11" t="s">
        <v>28</v>
      </c>
      <c r="T537" s="68"/>
      <c r="U537" s="68"/>
      <c r="V537" s="68"/>
      <c r="W537" s="68"/>
      <c r="X537" s="68"/>
      <c r="Y537" s="11"/>
      <c r="Z537" s="11"/>
      <c r="AA537" s="11"/>
      <c r="AB537" s="11"/>
      <c r="AC537" s="11"/>
      <c r="AD537" s="11"/>
      <c r="AE537" s="11"/>
      <c r="AF537" s="11"/>
      <c r="AG537" s="11"/>
      <c r="AU537" s="44"/>
      <c r="AV537" s="44"/>
      <c r="AW537" s="1"/>
      <c r="AX537" s="1"/>
      <c r="AY537" s="1"/>
      <c r="AZ537" s="1"/>
      <c r="BA537" s="1"/>
      <c r="BB537" s="1"/>
      <c r="BC537" s="1"/>
      <c r="BD537" s="1"/>
      <c r="BE537" s="1"/>
      <c r="BF537" s="1"/>
      <c r="BG537" s="1"/>
      <c r="BH537" s="1"/>
      <c r="BI537" s="1"/>
      <c r="BJ537" s="1"/>
    </row>
    <row r="538" spans="1:63" s="70" customFormat="1" ht="12" customHeight="1" x14ac:dyDescent="0.2">
      <c r="A538" s="11" t="s">
        <v>27910</v>
      </c>
      <c r="B538" s="68">
        <v>25</v>
      </c>
      <c r="C538" s="11" t="s">
        <v>20</v>
      </c>
      <c r="D538" s="11" t="s">
        <v>48</v>
      </c>
      <c r="E538" s="11"/>
      <c r="F538" s="69">
        <v>42762</v>
      </c>
      <c r="G538" s="11" t="s">
        <v>28812</v>
      </c>
      <c r="H538" s="11" t="s">
        <v>16632</v>
      </c>
      <c r="I538" s="11" t="s">
        <v>45</v>
      </c>
      <c r="J538" s="11">
        <v>91801</v>
      </c>
      <c r="K538" s="11" t="s">
        <v>98</v>
      </c>
      <c r="L538" s="11" t="s">
        <v>16634</v>
      </c>
      <c r="M538" s="11" t="s">
        <v>27</v>
      </c>
      <c r="N538" s="11" t="s">
        <v>27911</v>
      </c>
      <c r="O538" s="11" t="s">
        <v>400</v>
      </c>
      <c r="P538" s="11" t="s">
        <v>401</v>
      </c>
      <c r="Q538" s="71" t="s">
        <v>27912</v>
      </c>
      <c r="R538" s="11" t="s">
        <v>100</v>
      </c>
      <c r="S538" s="11" t="s">
        <v>28</v>
      </c>
      <c r="T538" s="68" t="s">
        <v>27756</v>
      </c>
      <c r="U538" s="68" t="s">
        <v>29438</v>
      </c>
      <c r="V538" s="68" t="s">
        <v>29439</v>
      </c>
      <c r="W538" s="68" t="s">
        <v>555</v>
      </c>
      <c r="X538" s="68">
        <v>2272</v>
      </c>
      <c r="Y538" s="11"/>
      <c r="Z538" s="11"/>
      <c r="AA538" s="11"/>
      <c r="AB538" s="11"/>
      <c r="AC538" s="11"/>
      <c r="AD538" s="11"/>
      <c r="AE538" s="11"/>
      <c r="AF538" s="11"/>
      <c r="AG538" s="11"/>
      <c r="AU538" s="44"/>
      <c r="AV538" s="44"/>
      <c r="AW538" s="11"/>
      <c r="AX538" s="1"/>
      <c r="AY538" s="1"/>
      <c r="AZ538" s="44"/>
      <c r="BA538" s="44"/>
      <c r="BB538" s="11"/>
      <c r="BC538" s="1"/>
      <c r="BD538" s="1"/>
      <c r="BE538" s="1"/>
      <c r="BF538" s="1"/>
      <c r="BG538" s="1"/>
      <c r="BH538" s="1"/>
      <c r="BI538" s="1"/>
      <c r="BJ538" s="1"/>
    </row>
    <row r="539" spans="1:63" s="70" customFormat="1" ht="12" customHeight="1" x14ac:dyDescent="0.2">
      <c r="A539" s="11" t="s">
        <v>28589</v>
      </c>
      <c r="B539" s="11">
        <v>36</v>
      </c>
      <c r="C539" s="11" t="s">
        <v>20</v>
      </c>
      <c r="D539" s="11" t="s">
        <v>85</v>
      </c>
      <c r="E539" s="11"/>
      <c r="F539" s="72">
        <v>42762</v>
      </c>
      <c r="G539" s="11" t="s">
        <v>28590</v>
      </c>
      <c r="H539" s="11" t="s">
        <v>1916</v>
      </c>
      <c r="I539" s="11" t="s">
        <v>173</v>
      </c>
      <c r="J539" s="11">
        <v>30317</v>
      </c>
      <c r="K539" s="11" t="s">
        <v>861</v>
      </c>
      <c r="L539" s="11" t="s">
        <v>2540</v>
      </c>
      <c r="M539" s="11" t="s">
        <v>379</v>
      </c>
      <c r="N539" s="11" t="s">
        <v>28591</v>
      </c>
      <c r="O539" s="11" t="s">
        <v>1010</v>
      </c>
      <c r="P539" s="11" t="s">
        <v>401</v>
      </c>
      <c r="Q539" s="71" t="s">
        <v>28592</v>
      </c>
      <c r="R539" s="11" t="s">
        <v>100</v>
      </c>
      <c r="S539" s="11" t="s">
        <v>379</v>
      </c>
      <c r="T539" s="11" t="s">
        <v>379</v>
      </c>
      <c r="U539" s="11"/>
      <c r="V539" s="11"/>
      <c r="W539" s="11"/>
      <c r="X539" s="11"/>
      <c r="Y539" s="11"/>
      <c r="Z539" s="11"/>
      <c r="AA539" s="11"/>
      <c r="AB539" s="11"/>
      <c r="AC539" s="11"/>
      <c r="AD539" s="11"/>
      <c r="AE539" s="11"/>
      <c r="AF539" s="11"/>
      <c r="AG539" s="11"/>
      <c r="AU539" s="44"/>
      <c r="AV539" s="44"/>
      <c r="AW539" s="1"/>
      <c r="AX539" s="44"/>
      <c r="AY539" s="44"/>
      <c r="BA539" s="1"/>
      <c r="BB539" s="1"/>
      <c r="BK539" s="1"/>
    </row>
    <row r="540" spans="1:63" s="70" customFormat="1" ht="12" customHeight="1" x14ac:dyDescent="0.2">
      <c r="A540" s="11" t="s">
        <v>28611</v>
      </c>
      <c r="B540" s="68">
        <v>24</v>
      </c>
      <c r="C540" s="11" t="s">
        <v>20</v>
      </c>
      <c r="D540" s="11" t="s">
        <v>85</v>
      </c>
      <c r="E540" s="71" t="s">
        <v>28612</v>
      </c>
      <c r="F540" s="69">
        <v>42761</v>
      </c>
      <c r="G540" s="11" t="s">
        <v>28613</v>
      </c>
      <c r="H540" s="11" t="s">
        <v>1916</v>
      </c>
      <c r="I540" s="11" t="s">
        <v>173</v>
      </c>
      <c r="J540" s="11">
        <v>30331</v>
      </c>
      <c r="K540" s="11" t="s">
        <v>1556</v>
      </c>
      <c r="L540" s="11" t="s">
        <v>2540</v>
      </c>
      <c r="M540" s="11" t="s">
        <v>27</v>
      </c>
      <c r="N540" s="11" t="s">
        <v>28614</v>
      </c>
      <c r="O540" s="11" t="s">
        <v>400</v>
      </c>
      <c r="P540" s="11" t="s">
        <v>401</v>
      </c>
      <c r="Q540" s="71" t="s">
        <v>28615</v>
      </c>
      <c r="R540" s="11" t="s">
        <v>964</v>
      </c>
      <c r="S540" s="11" t="s">
        <v>35</v>
      </c>
      <c r="T540" s="66" t="s">
        <v>29441</v>
      </c>
      <c r="U540" s="68" t="s">
        <v>29436</v>
      </c>
      <c r="V540" s="68" t="s">
        <v>29437</v>
      </c>
      <c r="W540" s="68" t="s">
        <v>555</v>
      </c>
      <c r="X540" s="68">
        <v>2267</v>
      </c>
      <c r="Y540" s="11"/>
      <c r="Z540" s="11"/>
      <c r="AA540" s="11"/>
      <c r="AB540" s="11"/>
      <c r="AC540" s="11"/>
      <c r="AD540" s="11"/>
      <c r="AE540" s="11"/>
      <c r="AF540" s="11"/>
      <c r="AG540" s="11"/>
      <c r="AU540" s="44"/>
      <c r="AV540" s="44"/>
      <c r="AW540" s="11"/>
      <c r="AX540" s="44"/>
      <c r="AY540" s="44"/>
      <c r="AZ540" s="44"/>
      <c r="BA540" s="44"/>
      <c r="BB540" s="44"/>
    </row>
    <row r="541" spans="1:63" s="70" customFormat="1" ht="12" customHeight="1" x14ac:dyDescent="0.2">
      <c r="A541" s="11" t="s">
        <v>28067</v>
      </c>
      <c r="B541" s="68">
        <v>28</v>
      </c>
      <c r="C541" s="11" t="s">
        <v>20</v>
      </c>
      <c r="D541" s="11" t="s">
        <v>48</v>
      </c>
      <c r="E541" s="71" t="s">
        <v>28068</v>
      </c>
      <c r="F541" s="69">
        <v>42761</v>
      </c>
      <c r="G541" s="11" t="s">
        <v>28827</v>
      </c>
      <c r="H541" s="11" t="s">
        <v>4191</v>
      </c>
      <c r="I541" s="11" t="s">
        <v>366</v>
      </c>
      <c r="J541" s="11">
        <v>28212</v>
      </c>
      <c r="K541" s="11" t="s">
        <v>4193</v>
      </c>
      <c r="L541" s="11" t="s">
        <v>4194</v>
      </c>
      <c r="M541" s="11" t="s">
        <v>27</v>
      </c>
      <c r="N541" s="11" t="s">
        <v>28069</v>
      </c>
      <c r="O541" s="11" t="s">
        <v>400</v>
      </c>
      <c r="P541" s="11" t="s">
        <v>401</v>
      </c>
      <c r="Q541" s="71" t="s">
        <v>28070</v>
      </c>
      <c r="R541" s="11" t="s">
        <v>100</v>
      </c>
      <c r="S541" s="11" t="s">
        <v>28</v>
      </c>
      <c r="T541" s="68" t="s">
        <v>27756</v>
      </c>
      <c r="U541" s="68" t="s">
        <v>29436</v>
      </c>
      <c r="V541" s="68" t="s">
        <v>29437</v>
      </c>
      <c r="W541" s="68" t="s">
        <v>100</v>
      </c>
      <c r="X541" s="68">
        <v>2265</v>
      </c>
      <c r="Y541" s="11"/>
      <c r="Z541" s="11"/>
      <c r="AA541" s="11"/>
      <c r="AB541" s="11"/>
      <c r="AC541" s="11"/>
      <c r="AD541" s="11"/>
      <c r="AE541" s="11"/>
      <c r="AF541" s="11"/>
      <c r="AG541" s="11"/>
      <c r="AU541" s="44"/>
      <c r="AV541" s="44"/>
      <c r="AW541" s="44"/>
      <c r="AX541" s="1"/>
      <c r="AY541" s="1"/>
      <c r="AZ541" s="44"/>
      <c r="BA541" s="44"/>
      <c r="BB541" s="11"/>
      <c r="BC541" s="1"/>
      <c r="BD541" s="1"/>
      <c r="BE541" s="1"/>
      <c r="BF541" s="1"/>
      <c r="BG541" s="1"/>
      <c r="BH541" s="1"/>
      <c r="BI541" s="1"/>
      <c r="BJ541" s="1"/>
    </row>
    <row r="542" spans="1:63" s="70" customFormat="1" ht="12" customHeight="1" x14ac:dyDescent="0.2">
      <c r="A542" s="11" t="s">
        <v>28786</v>
      </c>
      <c r="B542" s="68">
        <v>34</v>
      </c>
      <c r="C542" s="11" t="s">
        <v>20</v>
      </c>
      <c r="D542" s="68" t="s">
        <v>37</v>
      </c>
      <c r="E542" s="11"/>
      <c r="F542" s="69">
        <v>42761</v>
      </c>
      <c r="G542" s="11" t="s">
        <v>28870</v>
      </c>
      <c r="H542" s="11" t="s">
        <v>28787</v>
      </c>
      <c r="I542" s="11" t="s">
        <v>69</v>
      </c>
      <c r="J542" s="11">
        <v>43125</v>
      </c>
      <c r="K542" s="11" t="s">
        <v>1288</v>
      </c>
      <c r="L542" s="11" t="s">
        <v>28788</v>
      </c>
      <c r="M542" s="11" t="s">
        <v>27</v>
      </c>
      <c r="N542" s="11" t="s">
        <v>28789</v>
      </c>
      <c r="O542" s="11" t="s">
        <v>400</v>
      </c>
      <c r="P542" s="11" t="s">
        <v>401</v>
      </c>
      <c r="Q542" s="71" t="s">
        <v>28790</v>
      </c>
      <c r="R542" s="11" t="s">
        <v>100</v>
      </c>
      <c r="S542" s="11" t="s">
        <v>28</v>
      </c>
      <c r="T542" s="68" t="s">
        <v>29450</v>
      </c>
      <c r="U542" s="68" t="s">
        <v>29436</v>
      </c>
      <c r="V542" s="68" t="s">
        <v>29439</v>
      </c>
      <c r="W542" s="68" t="s">
        <v>100</v>
      </c>
      <c r="X542" s="68">
        <v>2268</v>
      </c>
      <c r="Y542" s="11"/>
      <c r="Z542" s="11"/>
      <c r="AA542" s="11"/>
      <c r="AB542" s="11"/>
      <c r="AC542" s="11"/>
      <c r="AD542" s="11"/>
      <c r="AE542" s="11"/>
      <c r="AF542" s="11"/>
      <c r="AG542" s="11"/>
      <c r="AU542" s="44"/>
      <c r="AV542" s="44"/>
      <c r="AW542" s="11"/>
      <c r="AX542" s="1"/>
      <c r="AY542" s="1"/>
      <c r="AZ542" s="44"/>
      <c r="BA542" s="44"/>
      <c r="BB542" s="11"/>
      <c r="BC542" s="1"/>
      <c r="BD542" s="1"/>
      <c r="BE542" s="1"/>
      <c r="BF542" s="1"/>
      <c r="BG542" s="1"/>
      <c r="BH542" s="1"/>
      <c r="BI542" s="1"/>
      <c r="BJ542" s="1"/>
      <c r="BK542" s="66"/>
    </row>
    <row r="543" spans="1:63" s="70" customFormat="1" ht="12" customHeight="1" x14ac:dyDescent="0.2">
      <c r="A543" s="11" t="s">
        <v>28595</v>
      </c>
      <c r="B543" s="11">
        <v>22</v>
      </c>
      <c r="C543" s="11" t="s">
        <v>20</v>
      </c>
      <c r="D543" s="11" t="s">
        <v>85</v>
      </c>
      <c r="E543" s="71" t="s">
        <v>28596</v>
      </c>
      <c r="F543" s="72">
        <v>42761</v>
      </c>
      <c r="G543" s="11" t="s">
        <v>28597</v>
      </c>
      <c r="H543" s="11" t="s">
        <v>11424</v>
      </c>
      <c r="I543" s="11" t="s">
        <v>41</v>
      </c>
      <c r="J543" s="11">
        <v>6850</v>
      </c>
      <c r="K543" s="11" t="s">
        <v>4883</v>
      </c>
      <c r="L543" s="11" t="s">
        <v>28598</v>
      </c>
      <c r="M543" s="11" t="s">
        <v>379</v>
      </c>
      <c r="N543" s="11" t="s">
        <v>28599</v>
      </c>
      <c r="O543" s="11" t="s">
        <v>1010</v>
      </c>
      <c r="P543" s="11" t="s">
        <v>401</v>
      </c>
      <c r="Q543" s="71" t="s">
        <v>28600</v>
      </c>
      <c r="R543" s="11" t="s">
        <v>100</v>
      </c>
      <c r="S543" s="11" t="s">
        <v>379</v>
      </c>
      <c r="T543" s="11" t="s">
        <v>379</v>
      </c>
      <c r="U543" s="11"/>
      <c r="V543" s="11"/>
      <c r="W543" s="11"/>
      <c r="X543" s="11"/>
      <c r="Y543" s="11"/>
      <c r="Z543" s="11"/>
      <c r="AA543" s="11"/>
      <c r="AB543" s="11"/>
      <c r="AC543" s="11"/>
      <c r="AD543" s="11"/>
      <c r="AE543" s="11"/>
      <c r="AF543" s="11"/>
      <c r="AG543" s="11"/>
      <c r="AU543" s="44"/>
      <c r="AV543" s="44"/>
      <c r="AW543" s="1"/>
      <c r="AX543" s="44"/>
      <c r="AY543" s="44"/>
      <c r="BA543" s="1"/>
      <c r="BB543" s="1"/>
      <c r="BK543" s="1"/>
    </row>
    <row r="544" spans="1:63" s="70" customFormat="1" ht="12" customHeight="1" x14ac:dyDescent="0.2">
      <c r="A544" s="11" t="s">
        <v>28090</v>
      </c>
      <c r="B544" s="68">
        <v>59</v>
      </c>
      <c r="C544" s="11" t="s">
        <v>20</v>
      </c>
      <c r="D544" s="11" t="s">
        <v>37</v>
      </c>
      <c r="E544" s="11" t="s">
        <v>28881</v>
      </c>
      <c r="F544" s="69">
        <v>42761</v>
      </c>
      <c r="G544" s="11" t="s">
        <v>28830</v>
      </c>
      <c r="H544" s="11" t="s">
        <v>1592</v>
      </c>
      <c r="I544" s="11" t="s">
        <v>52</v>
      </c>
      <c r="J544" s="11">
        <v>21206</v>
      </c>
      <c r="K544" s="11" t="s">
        <v>4697</v>
      </c>
      <c r="L544" s="11" t="s">
        <v>231</v>
      </c>
      <c r="M544" s="11" t="s">
        <v>27</v>
      </c>
      <c r="N544" s="11" t="s">
        <v>28091</v>
      </c>
      <c r="O544" s="11" t="s">
        <v>400</v>
      </c>
      <c r="P544" s="11" t="s">
        <v>401</v>
      </c>
      <c r="Q544" s="71" t="s">
        <v>28092</v>
      </c>
      <c r="R544" s="11" t="s">
        <v>555</v>
      </c>
      <c r="S544" s="11" t="s">
        <v>28</v>
      </c>
      <c r="T544" s="68" t="s">
        <v>27756</v>
      </c>
      <c r="U544" s="68" t="s">
        <v>29438</v>
      </c>
      <c r="V544" s="68" t="s">
        <v>29439</v>
      </c>
      <c r="W544" s="68" t="s">
        <v>555</v>
      </c>
      <c r="X544" s="68">
        <v>2266</v>
      </c>
      <c r="Y544" s="11"/>
      <c r="Z544" s="11"/>
      <c r="AA544" s="11"/>
      <c r="AB544" s="11"/>
      <c r="AC544" s="11"/>
      <c r="AD544" s="11"/>
      <c r="AE544" s="11"/>
      <c r="AF544" s="11"/>
      <c r="AG544" s="11"/>
      <c r="AU544" s="44"/>
      <c r="AV544" s="44"/>
      <c r="AW544" s="1"/>
      <c r="AX544" s="1"/>
      <c r="AY544" s="1"/>
      <c r="AZ544" s="44"/>
      <c r="BA544" s="44"/>
      <c r="BB544" s="11"/>
      <c r="BC544" s="1"/>
      <c r="BD544" s="1"/>
      <c r="BE544" s="1"/>
      <c r="BF544" s="1"/>
      <c r="BG544" s="1"/>
      <c r="BH544" s="1"/>
      <c r="BI544" s="1"/>
      <c r="BJ544" s="1"/>
    </row>
    <row r="545" spans="1:63" s="70" customFormat="1" ht="12" customHeight="1" x14ac:dyDescent="0.2">
      <c r="A545" s="11" t="s">
        <v>28093</v>
      </c>
      <c r="B545" s="68">
        <v>54</v>
      </c>
      <c r="C545" s="11" t="s">
        <v>20</v>
      </c>
      <c r="D545" s="11" t="s">
        <v>85</v>
      </c>
      <c r="E545" s="71" t="s">
        <v>28094</v>
      </c>
      <c r="F545" s="69">
        <v>42760</v>
      </c>
      <c r="G545" s="11" t="s">
        <v>28095</v>
      </c>
      <c r="H545" s="11" t="s">
        <v>6642</v>
      </c>
      <c r="I545" s="11" t="s">
        <v>669</v>
      </c>
      <c r="J545" s="11">
        <v>38671</v>
      </c>
      <c r="K545" s="11" t="s">
        <v>1183</v>
      </c>
      <c r="L545" s="11" t="s">
        <v>24795</v>
      </c>
      <c r="M545" s="11" t="s">
        <v>27</v>
      </c>
      <c r="N545" s="11" t="s">
        <v>28096</v>
      </c>
      <c r="O545" s="11" t="s">
        <v>400</v>
      </c>
      <c r="P545" s="11" t="s">
        <v>401</v>
      </c>
      <c r="Q545" s="71" t="s">
        <v>28097</v>
      </c>
      <c r="R545" s="11" t="s">
        <v>100</v>
      </c>
      <c r="S545" s="11" t="s">
        <v>28</v>
      </c>
      <c r="T545" s="68" t="s">
        <v>27756</v>
      </c>
      <c r="U545" s="68" t="s">
        <v>29438</v>
      </c>
      <c r="V545" s="68" t="s">
        <v>29439</v>
      </c>
      <c r="W545" s="68" t="s">
        <v>100</v>
      </c>
      <c r="X545" s="68">
        <v>2261</v>
      </c>
      <c r="Y545" s="11"/>
      <c r="Z545" s="11"/>
      <c r="AA545" s="11"/>
      <c r="AB545" s="11"/>
      <c r="AC545" s="11"/>
      <c r="AD545" s="11"/>
      <c r="AE545" s="11"/>
      <c r="AF545" s="11"/>
      <c r="AG545" s="11"/>
      <c r="AU545" s="44"/>
      <c r="AV545" s="44"/>
      <c r="AW545" s="1"/>
      <c r="AX545" s="44"/>
      <c r="AY545" s="44"/>
      <c r="AZ545" s="44"/>
      <c r="BA545" s="44"/>
      <c r="BB545" s="11"/>
      <c r="BK545" s="66"/>
    </row>
    <row r="546" spans="1:63" s="70" customFormat="1" ht="12" customHeight="1" x14ac:dyDescent="0.2">
      <c r="A546" s="11" t="s">
        <v>27896</v>
      </c>
      <c r="B546" s="68">
        <v>50</v>
      </c>
      <c r="C546" s="11" t="s">
        <v>20</v>
      </c>
      <c r="D546" s="11" t="s">
        <v>37</v>
      </c>
      <c r="E546" s="11"/>
      <c r="F546" s="69">
        <v>42760</v>
      </c>
      <c r="G546" s="11" t="s">
        <v>27897</v>
      </c>
      <c r="H546" s="11" t="s">
        <v>27898</v>
      </c>
      <c r="I546" s="11" t="s">
        <v>438</v>
      </c>
      <c r="J546" s="11">
        <v>54615</v>
      </c>
      <c r="K546" s="11" t="s">
        <v>433</v>
      </c>
      <c r="L546" s="11" t="s">
        <v>9272</v>
      </c>
      <c r="M546" s="11" t="s">
        <v>27</v>
      </c>
      <c r="N546" s="11" t="s">
        <v>27899</v>
      </c>
      <c r="O546" s="11" t="s">
        <v>400</v>
      </c>
      <c r="P546" s="11" t="s">
        <v>401</v>
      </c>
      <c r="Q546" s="71" t="s">
        <v>27900</v>
      </c>
      <c r="R546" s="11" t="s">
        <v>555</v>
      </c>
      <c r="S546" s="11" t="s">
        <v>28</v>
      </c>
      <c r="T546" s="68" t="s">
        <v>27756</v>
      </c>
      <c r="U546" s="68" t="s">
        <v>29438</v>
      </c>
      <c r="V546" s="68" t="s">
        <v>29439</v>
      </c>
      <c r="W546" s="68" t="s">
        <v>100</v>
      </c>
      <c r="X546" s="68">
        <v>2262</v>
      </c>
      <c r="Y546" s="11"/>
      <c r="Z546" s="11"/>
      <c r="AA546" s="11"/>
      <c r="AB546" s="11"/>
      <c r="AC546" s="11"/>
      <c r="AD546" s="11"/>
      <c r="AE546" s="11"/>
      <c r="AF546" s="11"/>
      <c r="AG546" s="11"/>
      <c r="AU546" s="44"/>
      <c r="AV546" s="44"/>
      <c r="AW546" s="1"/>
      <c r="AX546" s="1"/>
      <c r="AY546" s="1"/>
      <c r="AZ546" s="44"/>
      <c r="BA546" s="44"/>
      <c r="BB546" s="11"/>
      <c r="BC546" s="1"/>
      <c r="BD546" s="1"/>
      <c r="BE546" s="1"/>
      <c r="BF546" s="1"/>
      <c r="BG546" s="1"/>
      <c r="BH546" s="1"/>
      <c r="BI546" s="1"/>
      <c r="BJ546" s="1"/>
      <c r="BK546" s="66"/>
    </row>
    <row r="547" spans="1:63" s="70" customFormat="1" ht="12" customHeight="1" x14ac:dyDescent="0.2">
      <c r="A547" s="11" t="s">
        <v>28556</v>
      </c>
      <c r="B547" s="68">
        <v>37</v>
      </c>
      <c r="C547" s="11" t="s">
        <v>20</v>
      </c>
      <c r="D547" s="11" t="s">
        <v>37</v>
      </c>
      <c r="E547" s="11"/>
      <c r="F547" s="69">
        <v>42760</v>
      </c>
      <c r="G547" s="11" t="s">
        <v>28557</v>
      </c>
      <c r="H547" s="11" t="s">
        <v>7820</v>
      </c>
      <c r="I547" s="11" t="s">
        <v>94</v>
      </c>
      <c r="J547" s="11">
        <v>36203</v>
      </c>
      <c r="K547" s="11" t="s">
        <v>6104</v>
      </c>
      <c r="L547" s="11" t="s">
        <v>28558</v>
      </c>
      <c r="M547" s="11" t="s">
        <v>27</v>
      </c>
      <c r="N547" s="11" t="s">
        <v>28559</v>
      </c>
      <c r="O547" s="11" t="s">
        <v>400</v>
      </c>
      <c r="P547" s="11" t="s">
        <v>401</v>
      </c>
      <c r="Q547" s="71" t="s">
        <v>28560</v>
      </c>
      <c r="R547" s="11" t="s">
        <v>555</v>
      </c>
      <c r="S547" s="11" t="s">
        <v>379</v>
      </c>
      <c r="T547" s="68" t="s">
        <v>379</v>
      </c>
      <c r="U547" s="68" t="s">
        <v>29438</v>
      </c>
      <c r="V547" s="68" t="s">
        <v>29437</v>
      </c>
      <c r="W547" s="68" t="s">
        <v>100</v>
      </c>
      <c r="X547" s="68">
        <v>2260</v>
      </c>
      <c r="Y547" s="11"/>
      <c r="Z547" s="11"/>
      <c r="AA547" s="11"/>
      <c r="AB547" s="11"/>
      <c r="AC547" s="11"/>
      <c r="AD547" s="11"/>
      <c r="AE547" s="11"/>
      <c r="AF547" s="11"/>
      <c r="AG547" s="11"/>
      <c r="AU547" s="44"/>
      <c r="AV547" s="44"/>
      <c r="AW547" s="44"/>
      <c r="AX547" s="1"/>
      <c r="AY547" s="1"/>
      <c r="AZ547" s="44"/>
      <c r="BA547" s="44"/>
      <c r="BB547" s="11"/>
      <c r="BC547" s="1"/>
      <c r="BD547" s="1"/>
      <c r="BE547" s="1"/>
      <c r="BF547" s="1"/>
      <c r="BG547" s="1"/>
      <c r="BH547" s="1"/>
      <c r="BI547" s="1"/>
      <c r="BJ547" s="1"/>
      <c r="BK547" s="11"/>
    </row>
    <row r="548" spans="1:63" s="70" customFormat="1" ht="12" customHeight="1" x14ac:dyDescent="0.2">
      <c r="A548" s="11" t="s">
        <v>27773</v>
      </c>
      <c r="B548" s="68">
        <v>26</v>
      </c>
      <c r="C548" s="11" t="s">
        <v>20</v>
      </c>
      <c r="D548" s="11" t="s">
        <v>85</v>
      </c>
      <c r="E548" s="71" t="s">
        <v>27774</v>
      </c>
      <c r="F548" s="69">
        <v>42759</v>
      </c>
      <c r="G548" s="11" t="s">
        <v>28803</v>
      </c>
      <c r="H548" s="11" t="s">
        <v>1039</v>
      </c>
      <c r="I548" s="11" t="s">
        <v>25</v>
      </c>
      <c r="J548" s="11">
        <v>70127</v>
      </c>
      <c r="K548" s="11" t="s">
        <v>2579</v>
      </c>
      <c r="L548" s="11" t="s">
        <v>1041</v>
      </c>
      <c r="M548" s="11" t="s">
        <v>27</v>
      </c>
      <c r="N548" s="11" t="s">
        <v>27775</v>
      </c>
      <c r="O548" s="11" t="s">
        <v>400</v>
      </c>
      <c r="P548" s="11" t="s">
        <v>401</v>
      </c>
      <c r="Q548" s="71" t="s">
        <v>27776</v>
      </c>
      <c r="R548" s="11" t="s">
        <v>100</v>
      </c>
      <c r="S548" s="11" t="s">
        <v>28</v>
      </c>
      <c r="T548" s="68" t="s">
        <v>27756</v>
      </c>
      <c r="U548" s="68" t="s">
        <v>29438</v>
      </c>
      <c r="V548" s="68" t="s">
        <v>29437</v>
      </c>
      <c r="W548" s="68" t="s">
        <v>100</v>
      </c>
      <c r="X548" s="68">
        <v>2254</v>
      </c>
      <c r="Y548" s="11"/>
      <c r="Z548" s="11"/>
      <c r="AA548" s="11"/>
      <c r="AB548" s="11"/>
      <c r="AC548" s="11"/>
      <c r="AD548" s="11"/>
      <c r="AE548" s="11"/>
      <c r="AF548" s="11"/>
      <c r="AG548" s="11"/>
      <c r="AU548" s="44"/>
      <c r="AV548" s="44"/>
      <c r="AW548" s="44"/>
      <c r="AX548" s="44"/>
      <c r="AY548" s="44"/>
      <c r="AZ548" s="44"/>
      <c r="BA548" s="44"/>
      <c r="BB548" s="11"/>
      <c r="BK548" s="66"/>
    </row>
    <row r="549" spans="1:63" s="70" customFormat="1" ht="12" customHeight="1" x14ac:dyDescent="0.2">
      <c r="A549" s="11" t="s">
        <v>27766</v>
      </c>
      <c r="B549" s="68">
        <v>27</v>
      </c>
      <c r="C549" s="11" t="s">
        <v>20</v>
      </c>
      <c r="D549" s="11" t="s">
        <v>48</v>
      </c>
      <c r="E549" s="11"/>
      <c r="F549" s="69">
        <v>42759</v>
      </c>
      <c r="G549" s="11" t="s">
        <v>27767</v>
      </c>
      <c r="H549" s="11" t="s">
        <v>679</v>
      </c>
      <c r="I549" s="11" t="s">
        <v>45</v>
      </c>
      <c r="J549" s="11">
        <v>93305</v>
      </c>
      <c r="K549" s="11" t="s">
        <v>680</v>
      </c>
      <c r="L549" s="11" t="s">
        <v>681</v>
      </c>
      <c r="M549" s="11" t="s">
        <v>27</v>
      </c>
      <c r="N549" s="11" t="s">
        <v>27768</v>
      </c>
      <c r="O549" s="11" t="s">
        <v>400</v>
      </c>
      <c r="P549" s="11" t="s">
        <v>401</v>
      </c>
      <c r="Q549" s="71" t="s">
        <v>27769</v>
      </c>
      <c r="R549" s="11" t="s">
        <v>100</v>
      </c>
      <c r="S549" s="11" t="s">
        <v>28</v>
      </c>
      <c r="T549" s="68" t="s">
        <v>27756</v>
      </c>
      <c r="U549" s="68" t="s">
        <v>29438</v>
      </c>
      <c r="V549" s="68" t="s">
        <v>21212</v>
      </c>
      <c r="W549" s="68" t="s">
        <v>100</v>
      </c>
      <c r="X549" s="68">
        <v>2255</v>
      </c>
      <c r="Y549" s="11"/>
      <c r="Z549" s="11"/>
      <c r="AA549" s="11"/>
      <c r="AB549" s="11"/>
      <c r="AC549" s="11"/>
      <c r="AD549" s="11"/>
      <c r="AE549" s="11"/>
      <c r="AF549" s="11"/>
      <c r="AG549" s="11"/>
      <c r="AU549" s="44"/>
      <c r="AV549" s="44"/>
      <c r="AW549" s="44"/>
      <c r="AX549" s="1"/>
      <c r="AY549" s="1"/>
      <c r="AZ549" s="44"/>
      <c r="BA549" s="44"/>
      <c r="BB549" s="11"/>
      <c r="BC549" s="1"/>
      <c r="BD549" s="1"/>
      <c r="BE549" s="1"/>
      <c r="BF549" s="1"/>
      <c r="BG549" s="1"/>
      <c r="BH549" s="1"/>
      <c r="BI549" s="1"/>
      <c r="BJ549" s="1"/>
      <c r="BK549" s="66"/>
    </row>
    <row r="550" spans="1:63" s="70" customFormat="1" ht="12" customHeight="1" x14ac:dyDescent="0.2">
      <c r="A550" s="11" t="s">
        <v>28059</v>
      </c>
      <c r="B550" s="68">
        <v>34</v>
      </c>
      <c r="C550" s="11" t="s">
        <v>20</v>
      </c>
      <c r="D550" s="11" t="s">
        <v>48</v>
      </c>
      <c r="E550" s="71" t="s">
        <v>28060</v>
      </c>
      <c r="F550" s="69">
        <v>42759</v>
      </c>
      <c r="G550" s="11" t="s">
        <v>28061</v>
      </c>
      <c r="H550" s="11" t="s">
        <v>28062</v>
      </c>
      <c r="I550" s="11" t="s">
        <v>45</v>
      </c>
      <c r="J550" s="11">
        <v>93422</v>
      </c>
      <c r="K550" s="11" t="s">
        <v>28063</v>
      </c>
      <c r="L550" s="11" t="s">
        <v>28064</v>
      </c>
      <c r="M550" s="11" t="s">
        <v>27</v>
      </c>
      <c r="N550" s="11" t="s">
        <v>28065</v>
      </c>
      <c r="O550" s="11" t="s">
        <v>400</v>
      </c>
      <c r="P550" s="11" t="s">
        <v>401</v>
      </c>
      <c r="Q550" s="71" t="s">
        <v>28066</v>
      </c>
      <c r="R550" s="11" t="s">
        <v>100</v>
      </c>
      <c r="S550" s="11" t="s">
        <v>28</v>
      </c>
      <c r="T550" s="68" t="s">
        <v>27756</v>
      </c>
      <c r="U550" s="68" t="s">
        <v>29436</v>
      </c>
      <c r="V550" s="68" t="s">
        <v>29439</v>
      </c>
      <c r="W550" s="68" t="s">
        <v>100</v>
      </c>
      <c r="X550" s="68">
        <v>2246</v>
      </c>
      <c r="Y550" s="11"/>
      <c r="Z550" s="11"/>
      <c r="AA550" s="11"/>
      <c r="AB550" s="11"/>
      <c r="AC550" s="11"/>
      <c r="AD550" s="11"/>
      <c r="AE550" s="11"/>
      <c r="AF550" s="11"/>
      <c r="AG550" s="11"/>
      <c r="AU550" s="44"/>
      <c r="AV550" s="44"/>
      <c r="AW550" s="11"/>
      <c r="AX550" s="1"/>
      <c r="AY550" s="1"/>
      <c r="AZ550" s="44"/>
      <c r="BA550" s="11"/>
      <c r="BB550" s="11"/>
      <c r="BC550" s="1"/>
      <c r="BD550" s="1"/>
      <c r="BE550" s="1"/>
      <c r="BF550" s="1"/>
      <c r="BG550" s="1"/>
      <c r="BH550" s="1"/>
      <c r="BI550" s="1"/>
      <c r="BJ550" s="1"/>
      <c r="BK550" s="66"/>
    </row>
    <row r="551" spans="1:63" s="70" customFormat="1" ht="12" customHeight="1" x14ac:dyDescent="0.2">
      <c r="A551" s="11" t="s">
        <v>28730</v>
      </c>
      <c r="B551" s="68">
        <v>32</v>
      </c>
      <c r="C551" s="11" t="s">
        <v>20</v>
      </c>
      <c r="D551" s="11" t="s">
        <v>48</v>
      </c>
      <c r="E551" s="71" t="s">
        <v>28731</v>
      </c>
      <c r="F551" s="69">
        <v>42759</v>
      </c>
      <c r="G551" s="11" t="s">
        <v>28865</v>
      </c>
      <c r="H551" s="11" t="s">
        <v>28732</v>
      </c>
      <c r="I551" s="11" t="s">
        <v>790</v>
      </c>
      <c r="J551" s="11">
        <v>83634</v>
      </c>
      <c r="K551" s="11" t="s">
        <v>4240</v>
      </c>
      <c r="L551" s="11" t="s">
        <v>28733</v>
      </c>
      <c r="M551" s="11" t="s">
        <v>27</v>
      </c>
      <c r="N551" s="11" t="s">
        <v>28734</v>
      </c>
      <c r="O551" s="11" t="s">
        <v>400</v>
      </c>
      <c r="P551" s="11" t="s">
        <v>401</v>
      </c>
      <c r="Q551" s="71" t="s">
        <v>28735</v>
      </c>
      <c r="R551" s="11" t="s">
        <v>100</v>
      </c>
      <c r="S551" s="11" t="s">
        <v>28</v>
      </c>
      <c r="T551" s="68" t="s">
        <v>27756</v>
      </c>
      <c r="U551" s="68" t="s">
        <v>29438</v>
      </c>
      <c r="V551" s="68" t="s">
        <v>29437</v>
      </c>
      <c r="W551" s="68" t="s">
        <v>100</v>
      </c>
      <c r="X551" s="68">
        <v>2259</v>
      </c>
      <c r="Y551" s="11"/>
      <c r="Z551" s="11"/>
      <c r="AA551" s="11"/>
      <c r="AB551" s="11"/>
      <c r="AC551" s="11"/>
      <c r="AD551" s="11"/>
      <c r="AE551" s="11"/>
      <c r="AF551" s="11"/>
      <c r="AG551" s="11"/>
      <c r="AU551" s="44"/>
      <c r="AV551" s="44"/>
      <c r="AW551" s="11"/>
      <c r="AX551" s="1"/>
      <c r="AY551" s="1"/>
      <c r="AZ551" s="44"/>
      <c r="BA551" s="44"/>
      <c r="BB551" s="11"/>
      <c r="BC551" s="1"/>
      <c r="BD551" s="1"/>
      <c r="BE551" s="1"/>
      <c r="BF551" s="1"/>
      <c r="BG551" s="1"/>
      <c r="BH551" s="1"/>
      <c r="BI551" s="1"/>
      <c r="BJ551" s="1"/>
      <c r="BK551" s="66"/>
    </row>
    <row r="552" spans="1:63" s="70" customFormat="1" ht="12" customHeight="1" x14ac:dyDescent="0.2">
      <c r="A552" s="11" t="s">
        <v>27991</v>
      </c>
      <c r="B552" s="68">
        <v>29</v>
      </c>
      <c r="C552" s="11" t="s">
        <v>20</v>
      </c>
      <c r="D552" s="11" t="s">
        <v>48</v>
      </c>
      <c r="E552" s="71" t="s">
        <v>27992</v>
      </c>
      <c r="F552" s="69">
        <v>42759</v>
      </c>
      <c r="G552" s="11" t="s">
        <v>27993</v>
      </c>
      <c r="H552" s="11" t="s">
        <v>971</v>
      </c>
      <c r="I552" s="11" t="s">
        <v>195</v>
      </c>
      <c r="J552" s="11">
        <v>88001</v>
      </c>
      <c r="K552" s="11" t="s">
        <v>972</v>
      </c>
      <c r="L552" s="11" t="s">
        <v>7134</v>
      </c>
      <c r="M552" s="11" t="s">
        <v>27</v>
      </c>
      <c r="N552" s="11" t="s">
        <v>27994</v>
      </c>
      <c r="O552" s="11" t="s">
        <v>400</v>
      </c>
      <c r="P552" s="11" t="s">
        <v>401</v>
      </c>
      <c r="Q552" s="71" t="s">
        <v>27995</v>
      </c>
      <c r="R552" s="11" t="s">
        <v>100</v>
      </c>
      <c r="S552" s="11" t="s">
        <v>28</v>
      </c>
      <c r="T552" s="68" t="s">
        <v>29493</v>
      </c>
      <c r="U552" s="68" t="s">
        <v>29438</v>
      </c>
      <c r="V552" s="68" t="s">
        <v>29440</v>
      </c>
      <c r="W552" s="68" t="s">
        <v>100</v>
      </c>
      <c r="X552" s="68">
        <v>2256</v>
      </c>
      <c r="Y552" s="11"/>
      <c r="Z552" s="11"/>
      <c r="AA552" s="11"/>
      <c r="AB552" s="11"/>
      <c r="AC552" s="11"/>
      <c r="AD552" s="11"/>
      <c r="AE552" s="11"/>
      <c r="AF552" s="11"/>
      <c r="AG552" s="11"/>
      <c r="AU552" s="44"/>
      <c r="AV552" s="44"/>
      <c r="AW552" s="44"/>
      <c r="AX552" s="1"/>
      <c r="AY552" s="1"/>
      <c r="AZ552" s="44"/>
      <c r="BA552" s="44"/>
      <c r="BB552" s="11"/>
      <c r="BC552" s="1"/>
      <c r="BD552" s="1"/>
      <c r="BE552" s="1"/>
      <c r="BF552" s="1"/>
      <c r="BG552" s="1"/>
      <c r="BH552" s="1"/>
      <c r="BI552" s="1"/>
      <c r="BJ552" s="1"/>
      <c r="BK552" s="66"/>
    </row>
    <row r="553" spans="1:63" s="70" customFormat="1" ht="12" customHeight="1" x14ac:dyDescent="0.2">
      <c r="A553" s="11" t="s">
        <v>28525</v>
      </c>
      <c r="B553" s="68">
        <v>22</v>
      </c>
      <c r="C553" s="11" t="s">
        <v>20</v>
      </c>
      <c r="D553" s="11" t="s">
        <v>37</v>
      </c>
      <c r="E553" s="71" t="s">
        <v>28526</v>
      </c>
      <c r="F553" s="69">
        <v>42759</v>
      </c>
      <c r="G553" s="11" t="s">
        <v>28527</v>
      </c>
      <c r="H553" s="11" t="s">
        <v>430</v>
      </c>
      <c r="I553" s="11" t="s">
        <v>431</v>
      </c>
      <c r="J553" s="11">
        <v>64050</v>
      </c>
      <c r="K553" s="11" t="s">
        <v>433</v>
      </c>
      <c r="L553" s="11" t="s">
        <v>1412</v>
      </c>
      <c r="M553" s="11" t="s">
        <v>27</v>
      </c>
      <c r="N553" s="11" t="s">
        <v>28528</v>
      </c>
      <c r="O553" s="11" t="s">
        <v>400</v>
      </c>
      <c r="P553" s="11" t="s">
        <v>401</v>
      </c>
      <c r="Q553" s="71" t="s">
        <v>28529</v>
      </c>
      <c r="R553" s="11" t="s">
        <v>100</v>
      </c>
      <c r="S553" s="13" t="s">
        <v>35</v>
      </c>
      <c r="T553" s="68" t="s">
        <v>29441</v>
      </c>
      <c r="U553" s="68" t="s">
        <v>29441</v>
      </c>
      <c r="V553" s="68" t="s">
        <v>29437</v>
      </c>
      <c r="W553" s="68" t="s">
        <v>100</v>
      </c>
      <c r="X553" s="68">
        <v>2247</v>
      </c>
      <c r="Y553" s="11"/>
      <c r="Z553" s="11"/>
      <c r="AA553" s="11"/>
      <c r="AB553" s="11"/>
      <c r="AC553" s="11"/>
      <c r="AD553" s="11"/>
      <c r="AE553" s="11"/>
      <c r="AF553" s="11"/>
      <c r="AG553" s="11"/>
      <c r="AU553" s="44"/>
      <c r="AV553" s="44"/>
      <c r="AW553" s="44"/>
      <c r="AX553" s="1"/>
      <c r="AY553" s="1"/>
      <c r="AZ553" s="44"/>
      <c r="BA553" s="44"/>
      <c r="BB553" s="11"/>
      <c r="BC553" s="1"/>
      <c r="BD553" s="1"/>
      <c r="BE553" s="1"/>
      <c r="BF553" s="1"/>
      <c r="BG553" s="1"/>
      <c r="BH553" s="1"/>
      <c r="BI553" s="1"/>
      <c r="BJ553" s="1"/>
    </row>
    <row r="554" spans="1:63" s="70" customFormat="1" ht="12" customHeight="1" x14ac:dyDescent="0.2">
      <c r="A554" s="11" t="s">
        <v>28042</v>
      </c>
      <c r="B554" s="68">
        <v>18</v>
      </c>
      <c r="C554" s="11" t="s">
        <v>20</v>
      </c>
      <c r="D554" s="11" t="s">
        <v>48</v>
      </c>
      <c r="E554" s="11"/>
      <c r="F554" s="69">
        <v>42759</v>
      </c>
      <c r="G554" s="11" t="s">
        <v>28043</v>
      </c>
      <c r="H554" s="11" t="s">
        <v>1492</v>
      </c>
      <c r="I554" s="11" t="s">
        <v>404</v>
      </c>
      <c r="J554" s="11">
        <v>17602</v>
      </c>
      <c r="K554" s="11" t="s">
        <v>1492</v>
      </c>
      <c r="L554" s="11" t="s">
        <v>2274</v>
      </c>
      <c r="M554" s="68" t="s">
        <v>5411</v>
      </c>
      <c r="N554" s="11" t="s">
        <v>28044</v>
      </c>
      <c r="O554" s="11" t="s">
        <v>400</v>
      </c>
      <c r="P554" s="11" t="s">
        <v>401</v>
      </c>
      <c r="Q554" s="71" t="s">
        <v>28045</v>
      </c>
      <c r="R554" s="11" t="s">
        <v>29</v>
      </c>
      <c r="S554" s="11" t="s">
        <v>28</v>
      </c>
      <c r="T554" s="68" t="s">
        <v>27756</v>
      </c>
      <c r="U554" s="68" t="s">
        <v>29438</v>
      </c>
      <c r="V554" s="68" t="s">
        <v>29439</v>
      </c>
      <c r="W554" s="68" t="s">
        <v>100</v>
      </c>
      <c r="X554" s="68">
        <v>2258</v>
      </c>
      <c r="Y554" s="11"/>
      <c r="Z554" s="11"/>
      <c r="AA554" s="11"/>
      <c r="AB554" s="11"/>
      <c r="AC554" s="11"/>
      <c r="AD554" s="11"/>
      <c r="AE554" s="11"/>
      <c r="AF554" s="11"/>
      <c r="AG554" s="11"/>
      <c r="AU554" s="44"/>
      <c r="AV554" s="44"/>
      <c r="AX554" s="1"/>
      <c r="AY554" s="1"/>
      <c r="AZ554" s="44"/>
      <c r="BA554" s="1"/>
      <c r="BC554" s="1"/>
      <c r="BD554" s="1"/>
      <c r="BE554" s="1"/>
      <c r="BF554" s="1"/>
      <c r="BG554" s="1"/>
      <c r="BH554" s="1"/>
      <c r="BI554" s="1"/>
      <c r="BJ554" s="1"/>
      <c r="BK554" s="1"/>
    </row>
    <row r="555" spans="1:63" s="70" customFormat="1" ht="12" customHeight="1" x14ac:dyDescent="0.2">
      <c r="A555" s="11" t="s">
        <v>28415</v>
      </c>
      <c r="B555" s="11">
        <v>45</v>
      </c>
      <c r="C555" s="11" t="s">
        <v>20</v>
      </c>
      <c r="D555" s="11" t="s">
        <v>85</v>
      </c>
      <c r="E555" s="71" t="s">
        <v>28416</v>
      </c>
      <c r="F555" s="72">
        <v>42759</v>
      </c>
      <c r="G555" s="11" t="s">
        <v>28417</v>
      </c>
      <c r="H555" s="11" t="s">
        <v>28418</v>
      </c>
      <c r="I555" s="11" t="s">
        <v>244</v>
      </c>
      <c r="J555" s="11">
        <v>23970</v>
      </c>
      <c r="K555" s="11" t="s">
        <v>4193</v>
      </c>
      <c r="L555" s="11" t="s">
        <v>28419</v>
      </c>
      <c r="M555" s="1" t="s">
        <v>391</v>
      </c>
      <c r="N555" s="11" t="s">
        <v>28420</v>
      </c>
      <c r="O555" s="11" t="s">
        <v>400</v>
      </c>
      <c r="P555" s="11" t="s">
        <v>401</v>
      </c>
      <c r="Q555" s="71" t="s">
        <v>28421</v>
      </c>
      <c r="R555" s="11" t="s">
        <v>555</v>
      </c>
      <c r="S555" s="11" t="s">
        <v>18</v>
      </c>
      <c r="T555" s="11" t="s">
        <v>28345</v>
      </c>
      <c r="U555" s="11"/>
      <c r="V555" s="11"/>
      <c r="W555" s="11"/>
      <c r="X555" s="11"/>
      <c r="Y555" s="11"/>
      <c r="Z555" s="11"/>
      <c r="AA555" s="11"/>
      <c r="AB555" s="11"/>
      <c r="AC555" s="11"/>
      <c r="AD555" s="11"/>
      <c r="AE555" s="11"/>
      <c r="AF555" s="11"/>
      <c r="AG555" s="11"/>
      <c r="AU555" s="11"/>
      <c r="AV555" s="11"/>
      <c r="AW555" s="1"/>
      <c r="AX555" s="44"/>
      <c r="AY555" s="44"/>
      <c r="BA555" s="1"/>
      <c r="BB555" s="1"/>
      <c r="BK555" s="1"/>
    </row>
    <row r="556" spans="1:63" s="70" customFormat="1" ht="12" customHeight="1" x14ac:dyDescent="0.2">
      <c r="A556" s="11" t="s">
        <v>28663</v>
      </c>
      <c r="B556" s="68">
        <v>30</v>
      </c>
      <c r="C556" s="11" t="s">
        <v>20</v>
      </c>
      <c r="D556" s="11" t="s">
        <v>37</v>
      </c>
      <c r="E556" s="71" t="s">
        <v>28664</v>
      </c>
      <c r="F556" s="69">
        <v>42759</v>
      </c>
      <c r="G556" s="11" t="s">
        <v>28665</v>
      </c>
      <c r="H556" s="11" t="s">
        <v>2333</v>
      </c>
      <c r="I556" s="11" t="s">
        <v>57</v>
      </c>
      <c r="J556" s="11">
        <v>49341</v>
      </c>
      <c r="K556" s="11" t="s">
        <v>2534</v>
      </c>
      <c r="L556" s="11" t="s">
        <v>28666</v>
      </c>
      <c r="M556" s="11" t="s">
        <v>27</v>
      </c>
      <c r="N556" s="11" t="s">
        <v>28667</v>
      </c>
      <c r="O556" s="11" t="s">
        <v>400</v>
      </c>
      <c r="P556" s="11" t="s">
        <v>401</v>
      </c>
      <c r="Q556" s="71" t="s">
        <v>28668</v>
      </c>
      <c r="R556" s="68" t="s">
        <v>555</v>
      </c>
      <c r="S556" s="11" t="s">
        <v>18</v>
      </c>
      <c r="T556" s="68" t="s">
        <v>28345</v>
      </c>
      <c r="U556" s="68" t="s">
        <v>29438</v>
      </c>
      <c r="V556" s="68" t="s">
        <v>29439</v>
      </c>
      <c r="W556" s="68" t="s">
        <v>100</v>
      </c>
      <c r="X556" s="68">
        <v>2257</v>
      </c>
      <c r="Y556" s="11"/>
      <c r="Z556" s="11"/>
      <c r="AA556" s="11"/>
      <c r="AB556" s="11"/>
      <c r="AC556" s="11"/>
      <c r="AD556" s="11"/>
      <c r="AE556" s="11"/>
      <c r="AF556" s="11"/>
      <c r="AG556" s="11"/>
      <c r="AU556" s="44"/>
      <c r="AV556" s="44"/>
      <c r="AW556" s="44"/>
      <c r="AX556" s="1"/>
      <c r="AY556" s="1"/>
      <c r="AZ556" s="44"/>
      <c r="BB556" s="44"/>
      <c r="BC556" s="1"/>
      <c r="BD556" s="1"/>
      <c r="BE556" s="1"/>
      <c r="BF556" s="1"/>
      <c r="BG556" s="1"/>
      <c r="BH556" s="1"/>
      <c r="BI556" s="1"/>
      <c r="BJ556" s="1"/>
      <c r="BK556" s="1"/>
    </row>
    <row r="557" spans="1:63" s="70" customFormat="1" ht="12" customHeight="1" x14ac:dyDescent="0.2">
      <c r="A557" s="11" t="s">
        <v>28422</v>
      </c>
      <c r="B557" s="11">
        <v>57</v>
      </c>
      <c r="C557" s="11" t="s">
        <v>20</v>
      </c>
      <c r="D557" s="11" t="s">
        <v>37</v>
      </c>
      <c r="E557" s="71" t="s">
        <v>28423</v>
      </c>
      <c r="F557" s="72">
        <v>42758</v>
      </c>
      <c r="G557" s="11" t="s">
        <v>28848</v>
      </c>
      <c r="H557" s="11" t="s">
        <v>709</v>
      </c>
      <c r="I557" s="11" t="s">
        <v>431</v>
      </c>
      <c r="J557" s="11">
        <v>63129</v>
      </c>
      <c r="K557" s="11" t="s">
        <v>709</v>
      </c>
      <c r="L557" s="11" t="s">
        <v>7158</v>
      </c>
      <c r="M557" s="1" t="s">
        <v>391</v>
      </c>
      <c r="N557" s="11" t="s">
        <v>28424</v>
      </c>
      <c r="O557" s="11" t="s">
        <v>400</v>
      </c>
      <c r="P557" s="11" t="s">
        <v>401</v>
      </c>
      <c r="Q557" s="71" t="s">
        <v>28425</v>
      </c>
      <c r="R557" s="11" t="s">
        <v>964</v>
      </c>
      <c r="S557" s="11" t="s">
        <v>18</v>
      </c>
      <c r="T557" s="11" t="s">
        <v>28345</v>
      </c>
      <c r="U557" s="11"/>
      <c r="V557" s="11"/>
      <c r="W557" s="11"/>
      <c r="X557" s="11"/>
      <c r="Y557" s="11"/>
      <c r="Z557" s="11"/>
      <c r="AA557" s="11"/>
      <c r="AB557" s="11"/>
      <c r="AC557" s="11"/>
      <c r="AD557" s="11"/>
      <c r="AE557" s="11"/>
      <c r="AF557" s="11"/>
      <c r="AG557" s="11"/>
      <c r="AU557" s="11"/>
      <c r="AV557" s="11"/>
      <c r="AW557" s="1"/>
      <c r="AX557" s="1"/>
      <c r="AY557" s="1"/>
      <c r="BA557" s="1"/>
      <c r="BB557" s="1"/>
      <c r="BC557" s="1"/>
      <c r="BD557" s="1"/>
      <c r="BE557" s="1"/>
      <c r="BF557" s="1"/>
      <c r="BG557" s="1"/>
      <c r="BH557" s="1"/>
      <c r="BI557" s="1"/>
      <c r="BJ557" s="1"/>
      <c r="BK557" s="1"/>
    </row>
    <row r="558" spans="1:63" s="70" customFormat="1" ht="12" customHeight="1" x14ac:dyDescent="0.2">
      <c r="A558" s="11" t="s">
        <v>27762</v>
      </c>
      <c r="B558" s="68">
        <v>21</v>
      </c>
      <c r="C558" s="11" t="s">
        <v>20</v>
      </c>
      <c r="D558" s="11" t="s">
        <v>48</v>
      </c>
      <c r="E558" s="71" t="s">
        <v>27763</v>
      </c>
      <c r="F558" s="69">
        <v>42758</v>
      </c>
      <c r="G558" s="11" t="s">
        <v>28801</v>
      </c>
      <c r="H558" s="11" t="s">
        <v>3421</v>
      </c>
      <c r="I558" s="11" t="s">
        <v>45</v>
      </c>
      <c r="J558" s="11">
        <v>94590</v>
      </c>
      <c r="K558" s="11" t="s">
        <v>3423</v>
      </c>
      <c r="L558" s="11" t="s">
        <v>3424</v>
      </c>
      <c r="M558" s="11" t="s">
        <v>27</v>
      </c>
      <c r="N558" s="11" t="s">
        <v>27764</v>
      </c>
      <c r="O558" s="11" t="s">
        <v>400</v>
      </c>
      <c r="P558" s="11" t="s">
        <v>401</v>
      </c>
      <c r="Q558" s="71" t="s">
        <v>27765</v>
      </c>
      <c r="R558" s="11" t="s">
        <v>100</v>
      </c>
      <c r="S558" s="11" t="s">
        <v>28</v>
      </c>
      <c r="T558" s="68" t="s">
        <v>29493</v>
      </c>
      <c r="U558" s="68" t="s">
        <v>29438</v>
      </c>
      <c r="V558" s="68" t="s">
        <v>29439</v>
      </c>
      <c r="W558" s="68" t="s">
        <v>555</v>
      </c>
      <c r="X558" s="68">
        <v>2235</v>
      </c>
      <c r="Y558" s="11"/>
      <c r="Z558" s="11"/>
      <c r="AA558" s="11"/>
      <c r="AB558" s="11"/>
      <c r="AC558" s="11"/>
      <c r="AD558" s="11"/>
      <c r="AE558" s="11"/>
      <c r="AF558" s="11"/>
      <c r="AG558" s="11"/>
      <c r="AU558" s="44"/>
      <c r="AV558" s="44"/>
      <c r="AX558" s="1"/>
      <c r="AY558" s="1"/>
      <c r="AZ558" s="44"/>
      <c r="BA558" s="44"/>
      <c r="BB558" s="11"/>
      <c r="BC558" s="1"/>
      <c r="BD558" s="1"/>
      <c r="BE558" s="1"/>
      <c r="BF558" s="1"/>
      <c r="BG558" s="1"/>
      <c r="BH558" s="1"/>
      <c r="BI558" s="1"/>
      <c r="BJ558" s="1"/>
      <c r="BK558" s="66"/>
    </row>
    <row r="559" spans="1:63" s="70" customFormat="1" ht="12" customHeight="1" x14ac:dyDescent="0.2">
      <c r="A559" s="11" t="s">
        <v>27919</v>
      </c>
      <c r="B559" s="68">
        <v>52</v>
      </c>
      <c r="C559" s="11" t="s">
        <v>20</v>
      </c>
      <c r="D559" s="11" t="s">
        <v>37</v>
      </c>
      <c r="E559" s="11"/>
      <c r="F559" s="69">
        <v>42758</v>
      </c>
      <c r="G559" s="11" t="s">
        <v>27920</v>
      </c>
      <c r="H559" s="11" t="s">
        <v>27921</v>
      </c>
      <c r="I559" s="11" t="s">
        <v>173</v>
      </c>
      <c r="J559" s="11">
        <v>30415</v>
      </c>
      <c r="K559" s="11" t="s">
        <v>13318</v>
      </c>
      <c r="L559" s="11" t="s">
        <v>27922</v>
      </c>
      <c r="M559" s="11" t="s">
        <v>27</v>
      </c>
      <c r="N559" s="11" t="s">
        <v>27923</v>
      </c>
      <c r="O559" s="11" t="s">
        <v>400</v>
      </c>
      <c r="P559" s="11" t="s">
        <v>401</v>
      </c>
      <c r="Q559" s="71" t="s">
        <v>27924</v>
      </c>
      <c r="R559" s="11" t="s">
        <v>100</v>
      </c>
      <c r="S559" s="11" t="s">
        <v>28</v>
      </c>
      <c r="T559" s="68" t="s">
        <v>27756</v>
      </c>
      <c r="U559" s="68" t="s">
        <v>29438</v>
      </c>
      <c r="V559" s="68" t="s">
        <v>29440</v>
      </c>
      <c r="W559" s="68" t="s">
        <v>100</v>
      </c>
      <c r="X559" s="68">
        <v>2248</v>
      </c>
      <c r="Y559" s="11"/>
      <c r="Z559" s="11"/>
      <c r="AA559" s="11"/>
      <c r="AB559" s="11"/>
      <c r="AC559" s="11"/>
      <c r="AD559" s="11"/>
      <c r="AE559" s="11"/>
      <c r="AF559" s="11"/>
      <c r="AG559" s="11"/>
      <c r="AU559" s="44"/>
      <c r="AV559" s="44"/>
      <c r="AW559" s="1"/>
      <c r="AX559" s="1"/>
      <c r="AY559" s="1"/>
      <c r="AZ559" s="44"/>
      <c r="BA559" s="44"/>
      <c r="BB559" s="11"/>
      <c r="BC559" s="1"/>
      <c r="BD559" s="1"/>
      <c r="BE559" s="1"/>
      <c r="BF559" s="1"/>
      <c r="BG559" s="1"/>
      <c r="BH559" s="1"/>
      <c r="BI559" s="1"/>
      <c r="BJ559" s="1"/>
      <c r="BK559" s="66"/>
    </row>
    <row r="560" spans="1:63" s="70" customFormat="1" ht="12" customHeight="1" x14ac:dyDescent="0.2">
      <c r="A560" s="11" t="s">
        <v>27788</v>
      </c>
      <c r="B560" s="68">
        <v>60</v>
      </c>
      <c r="C560" s="11" t="s">
        <v>20</v>
      </c>
      <c r="D560" s="11" t="s">
        <v>37</v>
      </c>
      <c r="E560" s="11" t="s">
        <v>28875</v>
      </c>
      <c r="F560" s="69">
        <v>42758</v>
      </c>
      <c r="G560" s="11" t="s">
        <v>28804</v>
      </c>
      <c r="H560" s="11" t="s">
        <v>224</v>
      </c>
      <c r="I560" s="11" t="s">
        <v>225</v>
      </c>
      <c r="J560" s="11">
        <v>19806</v>
      </c>
      <c r="K560" s="11" t="s">
        <v>3810</v>
      </c>
      <c r="L560" s="11" t="s">
        <v>226</v>
      </c>
      <c r="M560" s="11" t="s">
        <v>27</v>
      </c>
      <c r="N560" s="11" t="s">
        <v>27789</v>
      </c>
      <c r="O560" s="11" t="s">
        <v>400</v>
      </c>
      <c r="P560" s="11" t="s">
        <v>401</v>
      </c>
      <c r="Q560" s="71" t="s">
        <v>27790</v>
      </c>
      <c r="R560" s="11" t="s">
        <v>29</v>
      </c>
      <c r="S560" s="11" t="s">
        <v>28</v>
      </c>
      <c r="T560" s="68" t="s">
        <v>27756</v>
      </c>
      <c r="U560" s="68" t="s">
        <v>29436</v>
      </c>
      <c r="V560" s="68" t="s">
        <v>29439</v>
      </c>
      <c r="W560" s="68" t="s">
        <v>100</v>
      </c>
      <c r="X560" s="68">
        <v>2251</v>
      </c>
      <c r="Y560" s="11"/>
      <c r="Z560" s="11"/>
      <c r="AA560" s="11"/>
      <c r="AB560" s="11"/>
      <c r="AC560" s="11"/>
      <c r="AD560" s="11"/>
      <c r="AE560" s="11"/>
      <c r="AF560" s="11"/>
      <c r="AG560" s="11"/>
      <c r="AU560" s="44"/>
      <c r="AV560" s="44"/>
      <c r="AW560" s="1"/>
      <c r="AX560" s="1"/>
      <c r="AY560" s="1"/>
      <c r="AZ560" s="44"/>
      <c r="BA560" s="1"/>
      <c r="BB560" s="1"/>
      <c r="BC560" s="1"/>
      <c r="BD560" s="1"/>
      <c r="BE560" s="1"/>
      <c r="BF560" s="1"/>
      <c r="BG560" s="1"/>
      <c r="BH560" s="1"/>
      <c r="BI560" s="1"/>
      <c r="BJ560" s="1"/>
      <c r="BK560" s="66"/>
    </row>
    <row r="561" spans="1:63" s="70" customFormat="1" ht="12" customHeight="1" x14ac:dyDescent="0.2">
      <c r="A561" s="11" t="s">
        <v>27770</v>
      </c>
      <c r="B561" s="68">
        <v>25</v>
      </c>
      <c r="C561" s="11" t="s">
        <v>20</v>
      </c>
      <c r="D561" s="11" t="s">
        <v>85</v>
      </c>
      <c r="E561" s="11"/>
      <c r="F561" s="69">
        <v>42758</v>
      </c>
      <c r="G561" s="11" t="s">
        <v>28802</v>
      </c>
      <c r="H561" s="11" t="s">
        <v>3438</v>
      </c>
      <c r="I561" s="11" t="s">
        <v>25</v>
      </c>
      <c r="J561" s="11">
        <v>70062</v>
      </c>
      <c r="K561" s="11" t="s">
        <v>1778</v>
      </c>
      <c r="L561" s="11" t="s">
        <v>11949</v>
      </c>
      <c r="M561" s="68" t="s">
        <v>5411</v>
      </c>
      <c r="N561" s="11" t="s">
        <v>27771</v>
      </c>
      <c r="O561" s="11" t="s">
        <v>400</v>
      </c>
      <c r="P561" s="11" t="s">
        <v>401</v>
      </c>
      <c r="Q561" s="71" t="s">
        <v>27772</v>
      </c>
      <c r="R561" s="11" t="s">
        <v>555</v>
      </c>
      <c r="S561" s="11" t="s">
        <v>28</v>
      </c>
      <c r="T561" s="68" t="s">
        <v>29493</v>
      </c>
      <c r="U561" s="68" t="s">
        <v>29436</v>
      </c>
      <c r="V561" s="68" t="s">
        <v>29439</v>
      </c>
      <c r="W561" s="68" t="s">
        <v>100</v>
      </c>
      <c r="X561" s="68">
        <v>2253</v>
      </c>
      <c r="Y561" s="11"/>
      <c r="Z561" s="11"/>
      <c r="AA561" s="11"/>
      <c r="AB561" s="11"/>
      <c r="AC561" s="11"/>
      <c r="AD561" s="11"/>
      <c r="AE561" s="11"/>
      <c r="AF561" s="11"/>
      <c r="AG561" s="11"/>
      <c r="AU561" s="44"/>
      <c r="AV561" s="44"/>
      <c r="AW561" s="11"/>
      <c r="AX561" s="44"/>
      <c r="AY561" s="44"/>
      <c r="AZ561" s="44"/>
      <c r="BA561" s="44"/>
      <c r="BK561" s="1"/>
    </row>
    <row r="562" spans="1:63" s="70" customFormat="1" ht="12" customHeight="1" x14ac:dyDescent="0.2">
      <c r="A562" s="11" t="s">
        <v>28381</v>
      </c>
      <c r="B562" s="68">
        <v>27</v>
      </c>
      <c r="C562" s="11" t="s">
        <v>20</v>
      </c>
      <c r="D562" s="11" t="s">
        <v>37</v>
      </c>
      <c r="E562" s="71" t="s">
        <v>28382</v>
      </c>
      <c r="F562" s="69">
        <v>42758</v>
      </c>
      <c r="G562" s="11" t="s">
        <v>28383</v>
      </c>
      <c r="H562" s="11" t="s">
        <v>4182</v>
      </c>
      <c r="I562" s="11" t="s">
        <v>44</v>
      </c>
      <c r="J562" s="11">
        <v>62702</v>
      </c>
      <c r="K562" s="11" t="s">
        <v>28384</v>
      </c>
      <c r="L562" s="11" t="s">
        <v>4185</v>
      </c>
      <c r="M562" s="11" t="s">
        <v>27</v>
      </c>
      <c r="N562" s="11" t="s">
        <v>28385</v>
      </c>
      <c r="O562" s="11" t="s">
        <v>400</v>
      </c>
      <c r="P562" s="11" t="s">
        <v>401</v>
      </c>
      <c r="Q562" s="71" t="s">
        <v>28386</v>
      </c>
      <c r="R562" s="68" t="s">
        <v>555</v>
      </c>
      <c r="S562" s="11" t="s">
        <v>18</v>
      </c>
      <c r="T562" s="68" t="s">
        <v>28345</v>
      </c>
      <c r="U562" s="68" t="s">
        <v>29438</v>
      </c>
      <c r="V562" s="68" t="s">
        <v>29439</v>
      </c>
      <c r="W562" s="68" t="s">
        <v>555</v>
      </c>
      <c r="X562" s="68">
        <v>2249</v>
      </c>
      <c r="Y562" s="11"/>
      <c r="Z562" s="11"/>
      <c r="AA562" s="11"/>
      <c r="AB562" s="11"/>
      <c r="AC562" s="11"/>
      <c r="AD562" s="11"/>
      <c r="AE562" s="11"/>
      <c r="AF562" s="11"/>
      <c r="AG562" s="11"/>
      <c r="AU562" s="44"/>
      <c r="AV562" s="44"/>
      <c r="AW562" s="44"/>
      <c r="AX562" s="1"/>
      <c r="AY562" s="1"/>
      <c r="AZ562" s="44"/>
      <c r="BB562" s="44"/>
      <c r="BC562" s="1"/>
      <c r="BD562" s="1"/>
      <c r="BE562" s="1"/>
      <c r="BF562" s="1"/>
      <c r="BG562" s="1"/>
      <c r="BH562" s="1"/>
      <c r="BI562" s="1"/>
      <c r="BJ562" s="1"/>
      <c r="BK562" s="1"/>
    </row>
    <row r="563" spans="1:63" s="70" customFormat="1" ht="12" customHeight="1" x14ac:dyDescent="0.2">
      <c r="A563" s="11" t="s">
        <v>27826</v>
      </c>
      <c r="B563" s="68">
        <v>57</v>
      </c>
      <c r="C563" s="11" t="s">
        <v>20</v>
      </c>
      <c r="D563" s="11" t="s">
        <v>85</v>
      </c>
      <c r="E563" s="11"/>
      <c r="F563" s="69">
        <v>42757</v>
      </c>
      <c r="G563" s="11" t="s">
        <v>27827</v>
      </c>
      <c r="H563" s="11" t="s">
        <v>553</v>
      </c>
      <c r="I563" s="11" t="s">
        <v>404</v>
      </c>
      <c r="J563" s="11">
        <v>15206</v>
      </c>
      <c r="K563" s="11" t="s">
        <v>1635</v>
      </c>
      <c r="L563" s="11" t="s">
        <v>1636</v>
      </c>
      <c r="M563" s="11" t="s">
        <v>27</v>
      </c>
      <c r="N563" s="11" t="s">
        <v>27828</v>
      </c>
      <c r="O563" s="11" t="s">
        <v>400</v>
      </c>
      <c r="P563" s="11" t="s">
        <v>401</v>
      </c>
      <c r="Q563" s="71" t="s">
        <v>27829</v>
      </c>
      <c r="R563" s="11" t="s">
        <v>100</v>
      </c>
      <c r="S563" s="11" t="s">
        <v>28</v>
      </c>
      <c r="T563" s="68" t="s">
        <v>27756</v>
      </c>
      <c r="U563" s="68" t="s">
        <v>29438</v>
      </c>
      <c r="V563" s="68" t="s">
        <v>29439</v>
      </c>
      <c r="W563" s="68" t="s">
        <v>100</v>
      </c>
      <c r="X563" s="68">
        <v>2234</v>
      </c>
      <c r="Y563" s="11"/>
      <c r="Z563" s="11"/>
      <c r="AA563" s="11"/>
      <c r="AB563" s="11"/>
      <c r="AC563" s="11"/>
      <c r="AD563" s="11"/>
      <c r="AE563" s="11"/>
      <c r="AF563" s="11"/>
      <c r="AG563" s="11"/>
      <c r="AU563" s="44"/>
      <c r="AV563" s="44"/>
      <c r="AW563" s="1"/>
      <c r="AX563" s="44"/>
      <c r="AY563" s="44"/>
      <c r="AZ563" s="44"/>
      <c r="BA563" s="44"/>
      <c r="BB563" s="11"/>
      <c r="BK563" s="66"/>
    </row>
    <row r="564" spans="1:63" s="70" customFormat="1" ht="12" customHeight="1" x14ac:dyDescent="0.2">
      <c r="A564" s="11" t="s">
        <v>28035</v>
      </c>
      <c r="B564" s="68">
        <v>33</v>
      </c>
      <c r="C564" s="11" t="s">
        <v>20</v>
      </c>
      <c r="D564" s="11" t="s">
        <v>48</v>
      </c>
      <c r="E564" s="11"/>
      <c r="F564" s="69">
        <v>42757</v>
      </c>
      <c r="G564" s="11" t="s">
        <v>28824</v>
      </c>
      <c r="H564" s="11" t="s">
        <v>5712</v>
      </c>
      <c r="I564" s="11" t="s">
        <v>45</v>
      </c>
      <c r="J564" s="11">
        <v>90810</v>
      </c>
      <c r="K564" s="11" t="s">
        <v>98</v>
      </c>
      <c r="L564" s="11" t="s">
        <v>490</v>
      </c>
      <c r="M564" s="11" t="s">
        <v>27</v>
      </c>
      <c r="N564" s="11" t="s">
        <v>28036</v>
      </c>
      <c r="O564" s="11" t="s">
        <v>400</v>
      </c>
      <c r="P564" s="11" t="s">
        <v>401</v>
      </c>
      <c r="Q564" s="71" t="s">
        <v>28037</v>
      </c>
      <c r="R564" s="11" t="s">
        <v>100</v>
      </c>
      <c r="S564" s="11" t="s">
        <v>28</v>
      </c>
      <c r="T564" s="68" t="s">
        <v>27756</v>
      </c>
      <c r="U564" s="68" t="s">
        <v>29436</v>
      </c>
      <c r="V564" s="68" t="s">
        <v>29439</v>
      </c>
      <c r="W564" s="68" t="s">
        <v>100</v>
      </c>
      <c r="X564" s="68">
        <v>2238</v>
      </c>
      <c r="Y564" s="11"/>
      <c r="Z564" s="11"/>
      <c r="AA564" s="11"/>
      <c r="AB564" s="11"/>
      <c r="AC564" s="11"/>
      <c r="AD564" s="11"/>
      <c r="AE564" s="11"/>
      <c r="AF564" s="11"/>
      <c r="AG564" s="11"/>
      <c r="AU564" s="44"/>
      <c r="AV564" s="44"/>
      <c r="AW564" s="11"/>
      <c r="AX564" s="1"/>
      <c r="AY564" s="1"/>
      <c r="AZ564" s="44"/>
      <c r="BA564" s="44"/>
      <c r="BB564" s="11"/>
      <c r="BC564" s="1"/>
      <c r="BD564" s="1"/>
      <c r="BE564" s="1"/>
      <c r="BF564" s="1"/>
      <c r="BG564" s="1"/>
      <c r="BH564" s="1"/>
      <c r="BI564" s="1"/>
      <c r="BJ564" s="1"/>
      <c r="BK564" s="66"/>
    </row>
    <row r="565" spans="1:63" s="70" customFormat="1" ht="12" customHeight="1" x14ac:dyDescent="0.2">
      <c r="A565" s="11" t="s">
        <v>28029</v>
      </c>
      <c r="B565" s="68">
        <v>57</v>
      </c>
      <c r="C565" s="11" t="s">
        <v>20</v>
      </c>
      <c r="D565" s="11" t="s">
        <v>37</v>
      </c>
      <c r="E565" s="11" t="s">
        <v>28880</v>
      </c>
      <c r="F565" s="69">
        <v>42757</v>
      </c>
      <c r="G565" s="11" t="s">
        <v>28030</v>
      </c>
      <c r="H565" s="11" t="s">
        <v>28031</v>
      </c>
      <c r="I565" s="11" t="s">
        <v>4371</v>
      </c>
      <c r="J565" s="11">
        <v>4572</v>
      </c>
      <c r="K565" s="11" t="s">
        <v>2316</v>
      </c>
      <c r="L565" s="11" t="s">
        <v>28032</v>
      </c>
      <c r="M565" s="11" t="s">
        <v>27</v>
      </c>
      <c r="N565" s="11" t="s">
        <v>28033</v>
      </c>
      <c r="O565" s="11" t="s">
        <v>400</v>
      </c>
      <c r="P565" s="11" t="s">
        <v>401</v>
      </c>
      <c r="Q565" s="71" t="s">
        <v>28034</v>
      </c>
      <c r="R565" s="11" t="s">
        <v>100</v>
      </c>
      <c r="S565" s="11" t="s">
        <v>28</v>
      </c>
      <c r="T565" s="68" t="s">
        <v>27756</v>
      </c>
      <c r="U565" s="68" t="s">
        <v>29438</v>
      </c>
      <c r="V565" s="68" t="s">
        <v>29439</v>
      </c>
      <c r="W565" s="68" t="s">
        <v>100</v>
      </c>
      <c r="X565" s="68">
        <v>2233</v>
      </c>
      <c r="Y565" s="11"/>
      <c r="Z565" s="11"/>
      <c r="AA565" s="11"/>
      <c r="AB565" s="11"/>
      <c r="AC565" s="11"/>
      <c r="AD565" s="11"/>
      <c r="AE565" s="11"/>
      <c r="AF565" s="11"/>
      <c r="AG565" s="11"/>
      <c r="AU565" s="44"/>
      <c r="AV565" s="44"/>
      <c r="AW565" s="1"/>
      <c r="AX565" s="1"/>
      <c r="AY565" s="1"/>
      <c r="AZ565" s="44"/>
      <c r="BA565" s="44"/>
      <c r="BB565" s="11"/>
      <c r="BC565" s="1"/>
      <c r="BD565" s="1"/>
      <c r="BE565" s="1"/>
      <c r="BF565" s="1"/>
      <c r="BG565" s="1"/>
      <c r="BH565" s="1"/>
      <c r="BI565" s="1"/>
      <c r="BJ565" s="1"/>
      <c r="BK565" s="66"/>
    </row>
    <row r="566" spans="1:63" s="70" customFormat="1" ht="12" customHeight="1" x14ac:dyDescent="0.2">
      <c r="A566" s="11" t="s">
        <v>28229</v>
      </c>
      <c r="B566" s="68">
        <v>44</v>
      </c>
      <c r="C566" s="11" t="s">
        <v>20</v>
      </c>
      <c r="D566" s="11" t="s">
        <v>85</v>
      </c>
      <c r="E566" s="71" t="s">
        <v>28230</v>
      </c>
      <c r="F566" s="69">
        <v>42756</v>
      </c>
      <c r="G566" s="11" t="s">
        <v>28231</v>
      </c>
      <c r="H566" s="11" t="s">
        <v>33</v>
      </c>
      <c r="I566" s="11" t="s">
        <v>669</v>
      </c>
      <c r="J566" s="11">
        <v>38701</v>
      </c>
      <c r="K566" s="11" t="s">
        <v>118</v>
      </c>
      <c r="L566" s="11" t="s">
        <v>827</v>
      </c>
      <c r="M566" s="11" t="s">
        <v>27</v>
      </c>
      <c r="N566" s="11" t="s">
        <v>28232</v>
      </c>
      <c r="O566" s="11" t="s">
        <v>400</v>
      </c>
      <c r="P566" s="11" t="s">
        <v>401</v>
      </c>
      <c r="Q566" s="71" t="s">
        <v>28233</v>
      </c>
      <c r="R566" s="11" t="s">
        <v>100</v>
      </c>
      <c r="S566" s="11" t="s">
        <v>28</v>
      </c>
      <c r="T566" s="68" t="s">
        <v>27756</v>
      </c>
      <c r="U566" s="68" t="s">
        <v>29438</v>
      </c>
      <c r="V566" s="68" t="s">
        <v>29439</v>
      </c>
      <c r="W566" s="68" t="s">
        <v>100</v>
      </c>
      <c r="X566" s="68">
        <v>2237</v>
      </c>
      <c r="Y566" s="11"/>
      <c r="Z566" s="11"/>
      <c r="AA566" s="11"/>
      <c r="AB566" s="11"/>
      <c r="AC566" s="11"/>
      <c r="AD566" s="11"/>
      <c r="AE566" s="11"/>
      <c r="AF566" s="11"/>
      <c r="AG566" s="11"/>
      <c r="AU566" s="44"/>
      <c r="AV566" s="44"/>
      <c r="AW566" s="1"/>
      <c r="AX566" s="44"/>
      <c r="AY566" s="44"/>
      <c r="AZ566" s="44"/>
      <c r="BA566" s="44"/>
      <c r="BB566" s="11"/>
      <c r="BK566" s="66"/>
    </row>
    <row r="567" spans="1:63" s="70" customFormat="1" ht="12" customHeight="1" x14ac:dyDescent="0.2">
      <c r="A567" s="11" t="s">
        <v>28198</v>
      </c>
      <c r="B567" s="68">
        <v>57</v>
      </c>
      <c r="C567" s="11" t="s">
        <v>20</v>
      </c>
      <c r="D567" s="11" t="s">
        <v>37</v>
      </c>
      <c r="E567" s="11" t="s">
        <v>28882</v>
      </c>
      <c r="F567" s="69">
        <v>42756</v>
      </c>
      <c r="G567" s="11" t="s">
        <v>28199</v>
      </c>
      <c r="H567" s="11" t="s">
        <v>6538</v>
      </c>
      <c r="I567" s="11" t="s">
        <v>269</v>
      </c>
      <c r="J567" s="11">
        <v>89019</v>
      </c>
      <c r="K567" s="11" t="s">
        <v>570</v>
      </c>
      <c r="L567" s="11" t="s">
        <v>571</v>
      </c>
      <c r="M567" s="68" t="s">
        <v>5411</v>
      </c>
      <c r="N567" s="11" t="s">
        <v>28200</v>
      </c>
      <c r="O567" s="11" t="s">
        <v>400</v>
      </c>
      <c r="P567" s="11" t="s">
        <v>401</v>
      </c>
      <c r="Q567" s="71" t="s">
        <v>28201</v>
      </c>
      <c r="R567" s="68" t="s">
        <v>555</v>
      </c>
      <c r="S567" s="11" t="s">
        <v>28</v>
      </c>
      <c r="T567" s="68" t="s">
        <v>29493</v>
      </c>
      <c r="U567" s="68" t="s">
        <v>29438</v>
      </c>
      <c r="V567" s="68" t="s">
        <v>29439</v>
      </c>
      <c r="W567" s="68" t="s">
        <v>100</v>
      </c>
      <c r="X567" s="68">
        <v>2239</v>
      </c>
      <c r="Y567" s="11"/>
      <c r="Z567" s="11"/>
      <c r="AA567" s="11"/>
      <c r="AB567" s="11"/>
      <c r="AC567" s="11"/>
      <c r="AD567" s="11"/>
      <c r="AE567" s="11"/>
      <c r="AF567" s="11"/>
      <c r="AG567" s="11"/>
      <c r="AU567" s="44"/>
      <c r="AV567" s="44"/>
      <c r="AW567" s="1"/>
      <c r="AX567" s="1"/>
      <c r="AY567" s="1"/>
      <c r="AZ567" s="44"/>
      <c r="BC567" s="1"/>
      <c r="BD567" s="1"/>
      <c r="BE567" s="1"/>
      <c r="BF567" s="1"/>
      <c r="BG567" s="1"/>
      <c r="BH567" s="1"/>
      <c r="BI567" s="1"/>
      <c r="BJ567" s="1"/>
      <c r="BK567" s="1"/>
    </row>
    <row r="568" spans="1:63" s="70" customFormat="1" ht="12" customHeight="1" x14ac:dyDescent="0.2">
      <c r="A568" s="11" t="s">
        <v>28673</v>
      </c>
      <c r="B568" s="11">
        <v>20</v>
      </c>
      <c r="C568" s="11" t="s">
        <v>20</v>
      </c>
      <c r="D568" s="11" t="s">
        <v>85</v>
      </c>
      <c r="E568" s="71" t="s">
        <v>28674</v>
      </c>
      <c r="F568" s="72">
        <v>42755</v>
      </c>
      <c r="G568" s="11" t="s">
        <v>28859</v>
      </c>
      <c r="H568" s="11" t="s">
        <v>87</v>
      </c>
      <c r="I568" s="11" t="s">
        <v>44</v>
      </c>
      <c r="J568" s="11">
        <v>60628</v>
      </c>
      <c r="K568" s="11" t="s">
        <v>88</v>
      </c>
      <c r="L568" s="11" t="s">
        <v>28675</v>
      </c>
      <c r="M568" s="11" t="s">
        <v>27</v>
      </c>
      <c r="N568" s="11" t="s">
        <v>28676</v>
      </c>
      <c r="O568" s="11" t="s">
        <v>400</v>
      </c>
      <c r="P568" s="11" t="s">
        <v>401</v>
      </c>
      <c r="Q568" s="71" t="s">
        <v>28677</v>
      </c>
      <c r="R568" s="11" t="s">
        <v>100</v>
      </c>
      <c r="S568" s="11" t="s">
        <v>28</v>
      </c>
      <c r="T568" s="68"/>
      <c r="U568" s="68"/>
      <c r="V568" s="68"/>
      <c r="W568" s="68"/>
      <c r="X568" s="68"/>
      <c r="Y568" s="11"/>
      <c r="Z568" s="11"/>
      <c r="AA568" s="11"/>
      <c r="AB568" s="11"/>
      <c r="AC568" s="11"/>
      <c r="AD568" s="11"/>
      <c r="AE568" s="11"/>
      <c r="AF568" s="11"/>
      <c r="AG568" s="11"/>
      <c r="AU568" s="44"/>
      <c r="AV568" s="44"/>
      <c r="AW568" s="1"/>
      <c r="AX568" s="44"/>
      <c r="AY568" s="44"/>
      <c r="AZ568" s="1"/>
      <c r="BA568" s="1"/>
      <c r="BB568" s="1"/>
      <c r="BK568" s="66"/>
    </row>
    <row r="569" spans="1:63" s="70" customFormat="1" ht="12" customHeight="1" x14ac:dyDescent="0.2">
      <c r="A569" s="11" t="s">
        <v>28461</v>
      </c>
      <c r="B569" s="11">
        <v>17</v>
      </c>
      <c r="C569" s="11" t="s">
        <v>20</v>
      </c>
      <c r="D569" s="11" t="s">
        <v>85</v>
      </c>
      <c r="E569" s="11"/>
      <c r="F569" s="72">
        <v>42755</v>
      </c>
      <c r="G569" s="11" t="s">
        <v>28462</v>
      </c>
      <c r="H569" s="11" t="s">
        <v>28463</v>
      </c>
      <c r="I569" s="11" t="s">
        <v>25</v>
      </c>
      <c r="J569" s="11">
        <v>71075</v>
      </c>
      <c r="K569" s="11" t="s">
        <v>3261</v>
      </c>
      <c r="L569" s="11" t="s">
        <v>28464</v>
      </c>
      <c r="M569" s="11" t="s">
        <v>379</v>
      </c>
      <c r="N569" s="11" t="s">
        <v>28465</v>
      </c>
      <c r="O569" s="11" t="s">
        <v>400</v>
      </c>
      <c r="P569" s="11" t="s">
        <v>401</v>
      </c>
      <c r="Q569" s="71" t="s">
        <v>28466</v>
      </c>
      <c r="R569" s="11" t="s">
        <v>100</v>
      </c>
      <c r="S569" s="11" t="s">
        <v>18</v>
      </c>
      <c r="T569" s="11" t="s">
        <v>28345</v>
      </c>
      <c r="U569" s="11"/>
      <c r="V569" s="11"/>
      <c r="W569" s="11"/>
      <c r="X569" s="11"/>
      <c r="Y569" s="11"/>
      <c r="Z569" s="11"/>
      <c r="AA569" s="11"/>
      <c r="AB569" s="11"/>
      <c r="AC569" s="11"/>
      <c r="AD569" s="11"/>
      <c r="AE569" s="11"/>
      <c r="AF569" s="11"/>
      <c r="AG569" s="11"/>
      <c r="AU569" s="44"/>
      <c r="AV569" s="44"/>
      <c r="AW569" s="1"/>
      <c r="AX569" s="44"/>
      <c r="AY569" s="44"/>
      <c r="BA569" s="1"/>
      <c r="BB569" s="1"/>
      <c r="BK569" s="1"/>
    </row>
    <row r="570" spans="1:63" s="70" customFormat="1" ht="12" customHeight="1" x14ac:dyDescent="0.2">
      <c r="A570" s="11" t="s">
        <v>27935</v>
      </c>
      <c r="B570" s="68">
        <v>39</v>
      </c>
      <c r="C570" s="11" t="s">
        <v>20</v>
      </c>
      <c r="D570" s="11" t="s">
        <v>37</v>
      </c>
      <c r="E570" s="11"/>
      <c r="F570" s="69">
        <v>42755</v>
      </c>
      <c r="G570" s="11" t="s">
        <v>27936</v>
      </c>
      <c r="H570" s="11" t="s">
        <v>11351</v>
      </c>
      <c r="I570" s="11" t="s">
        <v>62</v>
      </c>
      <c r="J570" s="11">
        <v>32608</v>
      </c>
      <c r="K570" s="11" t="s">
        <v>1024</v>
      </c>
      <c r="L570" s="11" t="s">
        <v>27937</v>
      </c>
      <c r="M570" s="11" t="s">
        <v>27</v>
      </c>
      <c r="N570" s="11" t="s">
        <v>27938</v>
      </c>
      <c r="O570" s="11" t="s">
        <v>400</v>
      </c>
      <c r="P570" s="11" t="s">
        <v>401</v>
      </c>
      <c r="Q570" s="71" t="s">
        <v>27939</v>
      </c>
      <c r="R570" s="68" t="s">
        <v>555</v>
      </c>
      <c r="S570" s="11" t="s">
        <v>28</v>
      </c>
      <c r="T570" s="68" t="s">
        <v>27756</v>
      </c>
      <c r="U570" s="68" t="s">
        <v>29438</v>
      </c>
      <c r="V570" s="68" t="s">
        <v>29439</v>
      </c>
      <c r="W570" s="68" t="s">
        <v>100</v>
      </c>
      <c r="X570" s="68">
        <v>2240</v>
      </c>
      <c r="Y570" s="11"/>
      <c r="Z570" s="11"/>
      <c r="AA570" s="11"/>
      <c r="AB570" s="11"/>
      <c r="AC570" s="11"/>
      <c r="AD570" s="11"/>
      <c r="AE570" s="11"/>
      <c r="AF570" s="11"/>
      <c r="AG570" s="11"/>
      <c r="AU570" s="44"/>
      <c r="AV570" s="44"/>
      <c r="AW570" s="44"/>
      <c r="AX570" s="1"/>
      <c r="AY570" s="1"/>
      <c r="AZ570" s="44"/>
      <c r="BB570" s="44"/>
      <c r="BC570" s="1"/>
      <c r="BD570" s="1"/>
      <c r="BE570" s="1"/>
      <c r="BF570" s="1"/>
      <c r="BG570" s="1"/>
      <c r="BH570" s="1"/>
      <c r="BI570" s="1"/>
      <c r="BJ570" s="1"/>
      <c r="BK570" s="66"/>
    </row>
    <row r="571" spans="1:63" s="70" customFormat="1" ht="12" customHeight="1" x14ac:dyDescent="0.2">
      <c r="A571" s="11" t="s">
        <v>27819</v>
      </c>
      <c r="B571" s="68">
        <v>44</v>
      </c>
      <c r="C571" s="11" t="s">
        <v>20</v>
      </c>
      <c r="D571" s="11" t="s">
        <v>48</v>
      </c>
      <c r="E571" s="71" t="s">
        <v>27820</v>
      </c>
      <c r="F571" s="69">
        <v>42754</v>
      </c>
      <c r="G571" s="11" t="s">
        <v>27821</v>
      </c>
      <c r="H571" s="11" t="s">
        <v>27822</v>
      </c>
      <c r="I571" s="11" t="s">
        <v>73</v>
      </c>
      <c r="J571" s="11">
        <v>79036</v>
      </c>
      <c r="K571" s="11" t="s">
        <v>1609</v>
      </c>
      <c r="L571" s="11" t="s">
        <v>27823</v>
      </c>
      <c r="M571" s="11" t="s">
        <v>27</v>
      </c>
      <c r="N571" s="11" t="s">
        <v>27824</v>
      </c>
      <c r="O571" s="11" t="s">
        <v>400</v>
      </c>
      <c r="P571" s="11" t="s">
        <v>401</v>
      </c>
      <c r="Q571" s="71" t="s">
        <v>27825</v>
      </c>
      <c r="R571" s="11" t="s">
        <v>100</v>
      </c>
      <c r="S571" s="11" t="s">
        <v>28</v>
      </c>
      <c r="T571" s="68" t="s">
        <v>27756</v>
      </c>
      <c r="U571" s="68" t="s">
        <v>29438</v>
      </c>
      <c r="V571" s="68" t="s">
        <v>29440</v>
      </c>
      <c r="W571" s="68" t="s">
        <v>100</v>
      </c>
      <c r="X571" s="68">
        <v>2244</v>
      </c>
      <c r="Y571" s="11"/>
      <c r="Z571" s="11"/>
      <c r="AA571" s="11"/>
      <c r="AB571" s="11"/>
      <c r="AC571" s="11"/>
      <c r="AD571" s="11"/>
      <c r="AE571" s="11"/>
      <c r="AF571" s="11"/>
      <c r="AG571" s="11"/>
      <c r="AU571" s="44"/>
      <c r="AV571" s="44"/>
      <c r="AW571" s="1"/>
      <c r="AX571" s="1"/>
      <c r="AY571" s="1"/>
      <c r="AZ571" s="44"/>
      <c r="BA571" s="44"/>
      <c r="BB571" s="11"/>
      <c r="BC571" s="1"/>
      <c r="BD571" s="1"/>
      <c r="BE571" s="1"/>
      <c r="BF571" s="1"/>
      <c r="BG571" s="1"/>
      <c r="BH571" s="1"/>
      <c r="BI571" s="1"/>
      <c r="BJ571" s="1"/>
      <c r="BK571" s="66"/>
    </row>
    <row r="572" spans="1:63" s="70" customFormat="1" ht="12" customHeight="1" x14ac:dyDescent="0.2">
      <c r="A572" s="11" t="s">
        <v>31035</v>
      </c>
      <c r="B572" s="11">
        <v>54</v>
      </c>
      <c r="C572" s="11" t="s">
        <v>20</v>
      </c>
      <c r="D572" s="11" t="s">
        <v>37</v>
      </c>
      <c r="E572" s="11"/>
      <c r="F572" s="72">
        <v>42754</v>
      </c>
      <c r="G572" s="11" t="s">
        <v>28455</v>
      </c>
      <c r="H572" s="11" t="s">
        <v>4013</v>
      </c>
      <c r="I572" s="11" t="s">
        <v>669</v>
      </c>
      <c r="J572" s="11">
        <v>39503</v>
      </c>
      <c r="K572" s="11" t="s">
        <v>4015</v>
      </c>
      <c r="L572" s="11" t="s">
        <v>4016</v>
      </c>
      <c r="M572" s="11" t="s">
        <v>379</v>
      </c>
      <c r="N572" s="11" t="s">
        <v>28456</v>
      </c>
      <c r="O572" s="11" t="s">
        <v>400</v>
      </c>
      <c r="P572" s="11" t="s">
        <v>401</v>
      </c>
      <c r="Q572" s="71" t="s">
        <v>28457</v>
      </c>
      <c r="R572" s="11" t="s">
        <v>100</v>
      </c>
      <c r="S572" s="11" t="s">
        <v>18</v>
      </c>
      <c r="T572" s="11" t="s">
        <v>28345</v>
      </c>
      <c r="U572" s="11"/>
      <c r="V572" s="11"/>
      <c r="W572" s="11"/>
      <c r="X572" s="11"/>
      <c r="Y572" s="11"/>
      <c r="Z572" s="11"/>
      <c r="AA572" s="11"/>
      <c r="AB572" s="11"/>
      <c r="AC572" s="11"/>
      <c r="AD572" s="11"/>
      <c r="AE572" s="11"/>
      <c r="AF572" s="11"/>
      <c r="AG572" s="11"/>
      <c r="AU572" s="44"/>
      <c r="AV572" s="44"/>
      <c r="AW572" s="1"/>
      <c r="AX572" s="1"/>
      <c r="AY572" s="1"/>
      <c r="BA572" s="1"/>
      <c r="BB572" s="1"/>
      <c r="BC572" s="1"/>
      <c r="BD572" s="1"/>
      <c r="BE572" s="1"/>
      <c r="BF572" s="1"/>
      <c r="BG572" s="1"/>
      <c r="BH572" s="1"/>
      <c r="BI572" s="1"/>
      <c r="BJ572" s="1"/>
      <c r="BK572" s="1"/>
    </row>
    <row r="573" spans="1:63" s="70" customFormat="1" ht="12" customHeight="1" x14ac:dyDescent="0.2">
      <c r="A573" s="11" t="s">
        <v>3252</v>
      </c>
      <c r="B573" s="11">
        <v>55</v>
      </c>
      <c r="C573" s="11" t="s">
        <v>20</v>
      </c>
      <c r="D573" s="11" t="s">
        <v>30</v>
      </c>
      <c r="E573" s="11"/>
      <c r="F573" s="72">
        <v>42754</v>
      </c>
      <c r="G573" s="11" t="s">
        <v>28847</v>
      </c>
      <c r="H573" s="11" t="s">
        <v>1100</v>
      </c>
      <c r="I573" s="11" t="s">
        <v>404</v>
      </c>
      <c r="J573" s="11">
        <v>19123</v>
      </c>
      <c r="K573" s="11" t="s">
        <v>1100</v>
      </c>
      <c r="L573" s="11" t="s">
        <v>1101</v>
      </c>
      <c r="M573" s="1" t="s">
        <v>391</v>
      </c>
      <c r="N573" s="11" t="s">
        <v>28413</v>
      </c>
      <c r="O573" s="11" t="s">
        <v>400</v>
      </c>
      <c r="P573" s="11" t="s">
        <v>401</v>
      </c>
      <c r="Q573" s="71" t="s">
        <v>28414</v>
      </c>
      <c r="R573" s="11" t="s">
        <v>29</v>
      </c>
      <c r="S573" s="11" t="s">
        <v>18</v>
      </c>
      <c r="T573" s="11" t="s">
        <v>28345</v>
      </c>
      <c r="U573" s="11"/>
      <c r="V573" s="11"/>
      <c r="W573" s="11"/>
      <c r="X573" s="11"/>
      <c r="Y573" s="11"/>
      <c r="Z573" s="11"/>
      <c r="AA573" s="11"/>
      <c r="AB573" s="11"/>
      <c r="AC573" s="11"/>
      <c r="AD573" s="11"/>
      <c r="AE573" s="11"/>
      <c r="AF573" s="11"/>
      <c r="AG573" s="11"/>
      <c r="AU573" s="11"/>
      <c r="AV573" s="11"/>
      <c r="AW573" s="1"/>
      <c r="AX573" s="1"/>
      <c r="AY573" s="1"/>
      <c r="BA573" s="1"/>
      <c r="BB573" s="1"/>
      <c r="BC573" s="1"/>
      <c r="BD573" s="1"/>
      <c r="BE573" s="1"/>
      <c r="BF573" s="1"/>
      <c r="BG573" s="1"/>
      <c r="BH573" s="1"/>
      <c r="BI573" s="1"/>
      <c r="BJ573" s="1"/>
      <c r="BK573" s="1"/>
    </row>
    <row r="574" spans="1:63" s="70" customFormat="1" ht="12" customHeight="1" x14ac:dyDescent="0.2">
      <c r="A574" s="11" t="s">
        <v>28305</v>
      </c>
      <c r="B574" s="68">
        <v>49</v>
      </c>
      <c r="C574" s="11" t="s">
        <v>20</v>
      </c>
      <c r="D574" s="68" t="s">
        <v>37</v>
      </c>
      <c r="E574" s="11"/>
      <c r="F574" s="69">
        <v>42754</v>
      </c>
      <c r="G574" s="11" t="s">
        <v>28841</v>
      </c>
      <c r="H574" s="11" t="s">
        <v>25553</v>
      </c>
      <c r="I574" s="11" t="s">
        <v>244</v>
      </c>
      <c r="J574" s="11">
        <v>22580</v>
      </c>
      <c r="K574" s="11" t="s">
        <v>28306</v>
      </c>
      <c r="L574" s="11" t="s">
        <v>28307</v>
      </c>
      <c r="M574" s="11" t="s">
        <v>27</v>
      </c>
      <c r="N574" s="11" t="s">
        <v>28308</v>
      </c>
      <c r="O574" s="11" t="s">
        <v>400</v>
      </c>
      <c r="P574" s="11" t="s">
        <v>401</v>
      </c>
      <c r="Q574" s="71" t="s">
        <v>28309</v>
      </c>
      <c r="R574" s="11" t="s">
        <v>555</v>
      </c>
      <c r="S574" s="11" t="s">
        <v>28</v>
      </c>
      <c r="T574" s="68" t="s">
        <v>27756</v>
      </c>
      <c r="U574" s="68" t="s">
        <v>29436</v>
      </c>
      <c r="V574" s="68" t="s">
        <v>29439</v>
      </c>
      <c r="W574" s="68" t="s">
        <v>100</v>
      </c>
      <c r="X574" s="68">
        <v>2242</v>
      </c>
      <c r="Y574" s="11"/>
      <c r="Z574" s="11"/>
      <c r="AA574" s="11"/>
      <c r="AB574" s="11"/>
      <c r="AC574" s="11"/>
      <c r="AD574" s="11"/>
      <c r="AE574" s="11"/>
      <c r="AF574" s="11"/>
      <c r="AG574" s="11"/>
      <c r="AU574" s="44"/>
      <c r="AV574" s="44"/>
      <c r="AW574" s="1"/>
      <c r="AX574" s="1"/>
      <c r="AY574" s="1"/>
      <c r="AZ574" s="44"/>
      <c r="BA574" s="44"/>
      <c r="BB574" s="11"/>
      <c r="BC574" s="1"/>
      <c r="BD574" s="1"/>
      <c r="BE574" s="1"/>
      <c r="BF574" s="1"/>
      <c r="BG574" s="1"/>
      <c r="BH574" s="1"/>
      <c r="BI574" s="1"/>
      <c r="BJ574" s="1"/>
      <c r="BK574" s="66"/>
    </row>
    <row r="575" spans="1:63" s="70" customFormat="1" ht="12" customHeight="1" x14ac:dyDescent="0.2">
      <c r="A575" s="11" t="s">
        <v>27913</v>
      </c>
      <c r="B575" s="68">
        <v>25</v>
      </c>
      <c r="C575" s="11" t="s">
        <v>20</v>
      </c>
      <c r="D575" s="11" t="s">
        <v>37</v>
      </c>
      <c r="E575" s="11"/>
      <c r="F575" s="69">
        <v>42754</v>
      </c>
      <c r="G575" s="11" t="s">
        <v>28813</v>
      </c>
      <c r="H575" s="11" t="s">
        <v>20351</v>
      </c>
      <c r="I575" s="11" t="s">
        <v>431</v>
      </c>
      <c r="J575" s="11">
        <v>63033</v>
      </c>
      <c r="K575" s="11" t="s">
        <v>709</v>
      </c>
      <c r="L575" s="11" t="s">
        <v>13565</v>
      </c>
      <c r="M575" s="68" t="s">
        <v>5411</v>
      </c>
      <c r="N575" s="11" t="s">
        <v>27914</v>
      </c>
      <c r="O575" s="11" t="s">
        <v>400</v>
      </c>
      <c r="P575" s="11" t="s">
        <v>401</v>
      </c>
      <c r="Q575" s="71" t="s">
        <v>27915</v>
      </c>
      <c r="R575" s="11" t="s">
        <v>555</v>
      </c>
      <c r="S575" s="11" t="s">
        <v>28</v>
      </c>
      <c r="T575" s="68" t="s">
        <v>29493</v>
      </c>
      <c r="U575" s="68" t="s">
        <v>29438</v>
      </c>
      <c r="V575" s="68" t="s">
        <v>29439</v>
      </c>
      <c r="W575" s="68" t="s">
        <v>100</v>
      </c>
      <c r="X575" s="68">
        <v>2241</v>
      </c>
      <c r="Y575" s="11"/>
      <c r="Z575" s="11"/>
      <c r="AA575" s="11"/>
      <c r="AB575" s="11"/>
      <c r="AC575" s="11"/>
      <c r="AD575" s="11"/>
      <c r="AE575" s="11"/>
      <c r="AF575" s="11"/>
      <c r="AG575" s="11"/>
      <c r="AU575" s="44"/>
      <c r="AV575" s="44"/>
      <c r="AW575" s="11"/>
      <c r="AX575" s="1"/>
      <c r="AY575" s="1"/>
      <c r="AZ575" s="44"/>
      <c r="BA575" s="44"/>
      <c r="BC575" s="1"/>
      <c r="BD575" s="1"/>
      <c r="BE575" s="1"/>
      <c r="BF575" s="1"/>
      <c r="BG575" s="1"/>
      <c r="BH575" s="1"/>
      <c r="BI575" s="1"/>
      <c r="BJ575" s="1"/>
      <c r="BK575" s="1"/>
    </row>
    <row r="576" spans="1:63" s="70" customFormat="1" ht="12" customHeight="1" x14ac:dyDescent="0.2">
      <c r="A576" s="11" t="s">
        <v>28128</v>
      </c>
      <c r="B576" s="68">
        <v>19</v>
      </c>
      <c r="C576" s="11" t="s">
        <v>20</v>
      </c>
      <c r="D576" s="11" t="s">
        <v>85</v>
      </c>
      <c r="E576" s="11"/>
      <c r="F576" s="69">
        <v>42753</v>
      </c>
      <c r="G576" s="11" t="s">
        <v>28832</v>
      </c>
      <c r="H576" s="11" t="s">
        <v>28129</v>
      </c>
      <c r="I576" s="11" t="s">
        <v>217</v>
      </c>
      <c r="J576" s="11">
        <v>46409</v>
      </c>
      <c r="K576" s="11" t="s">
        <v>1256</v>
      </c>
      <c r="L576" s="11" t="s">
        <v>1257</v>
      </c>
      <c r="M576" s="11" t="s">
        <v>27</v>
      </c>
      <c r="N576" s="11" t="s">
        <v>28130</v>
      </c>
      <c r="O576" s="11" t="s">
        <v>400</v>
      </c>
      <c r="P576" s="11" t="s">
        <v>401</v>
      </c>
      <c r="Q576" s="71" t="s">
        <v>28131</v>
      </c>
      <c r="R576" s="11" t="s">
        <v>100</v>
      </c>
      <c r="S576" s="11" t="s">
        <v>28</v>
      </c>
      <c r="T576" s="68" t="s">
        <v>27756</v>
      </c>
      <c r="U576" s="68" t="s">
        <v>29438</v>
      </c>
      <c r="V576" s="68" t="s">
        <v>29437</v>
      </c>
      <c r="W576" s="68" t="s">
        <v>100</v>
      </c>
      <c r="X576" s="68">
        <v>2243</v>
      </c>
      <c r="Y576" s="11"/>
      <c r="Z576" s="11"/>
      <c r="AA576" s="11"/>
      <c r="AB576" s="11"/>
      <c r="AC576" s="11"/>
      <c r="AD576" s="11"/>
      <c r="AE576" s="11"/>
      <c r="AF576" s="11"/>
      <c r="AG576" s="11"/>
      <c r="AU576" s="44"/>
      <c r="AV576" s="44"/>
      <c r="AZ576" s="44"/>
      <c r="BA576" s="44"/>
      <c r="BB576" s="11"/>
    </row>
    <row r="577" spans="1:63" s="70" customFormat="1" ht="12" customHeight="1" x14ac:dyDescent="0.2">
      <c r="A577" s="11" t="s">
        <v>28138</v>
      </c>
      <c r="B577" s="68">
        <v>28</v>
      </c>
      <c r="C577" s="11" t="s">
        <v>20</v>
      </c>
      <c r="D577" s="11" t="s">
        <v>139</v>
      </c>
      <c r="E577" s="71" t="s">
        <v>28139</v>
      </c>
      <c r="F577" s="69">
        <v>42753</v>
      </c>
      <c r="G577" s="11"/>
      <c r="H577" s="11" t="s">
        <v>28140</v>
      </c>
      <c r="I577" s="11" t="s">
        <v>1716</v>
      </c>
      <c r="J577" s="11">
        <v>58316</v>
      </c>
      <c r="K577" s="11" t="s">
        <v>28141</v>
      </c>
      <c r="L577" s="11" t="s">
        <v>28142</v>
      </c>
      <c r="M577" s="11" t="s">
        <v>27</v>
      </c>
      <c r="N577" s="11" t="s">
        <v>28143</v>
      </c>
      <c r="O577" s="11" t="s">
        <v>400</v>
      </c>
      <c r="P577" s="11" t="s">
        <v>401</v>
      </c>
      <c r="Q577" s="71" t="s">
        <v>28144</v>
      </c>
      <c r="R577" s="11" t="s">
        <v>100</v>
      </c>
      <c r="S577" s="11" t="s">
        <v>28</v>
      </c>
      <c r="T577" s="68" t="s">
        <v>27756</v>
      </c>
      <c r="U577" s="68" t="s">
        <v>29438</v>
      </c>
      <c r="V577" s="68" t="s">
        <v>29439</v>
      </c>
      <c r="W577" s="68" t="s">
        <v>100</v>
      </c>
      <c r="X577" s="68">
        <v>2245</v>
      </c>
      <c r="Y577" s="11"/>
      <c r="Z577" s="11"/>
      <c r="AA577" s="11"/>
      <c r="AB577" s="11"/>
      <c r="AC577" s="11"/>
      <c r="AD577" s="11"/>
      <c r="AE577" s="11"/>
      <c r="AF577" s="11"/>
      <c r="AG577" s="11"/>
      <c r="AU577" s="44"/>
      <c r="AV577" s="44"/>
      <c r="AW577" s="44"/>
      <c r="AX577" s="1"/>
      <c r="AY577" s="1"/>
      <c r="AZ577" s="44"/>
      <c r="BA577" s="44"/>
      <c r="BB577" s="11"/>
      <c r="BC577" s="1"/>
      <c r="BD577" s="1"/>
      <c r="BE577" s="1"/>
      <c r="BF577" s="1"/>
      <c r="BG577" s="1"/>
      <c r="BH577" s="1"/>
      <c r="BI577" s="1"/>
      <c r="BJ577" s="1"/>
    </row>
    <row r="578" spans="1:63" s="70" customFormat="1" ht="12" customHeight="1" x14ac:dyDescent="0.2">
      <c r="A578" s="66" t="s">
        <v>29607</v>
      </c>
      <c r="B578" s="66">
        <v>35</v>
      </c>
      <c r="C578" s="66" t="s">
        <v>20</v>
      </c>
      <c r="D578" s="66" t="s">
        <v>37</v>
      </c>
      <c r="E578" s="66"/>
      <c r="F578" s="67">
        <v>42753</v>
      </c>
      <c r="G578" s="67"/>
      <c r="H578" s="66" t="s">
        <v>51</v>
      </c>
      <c r="I578" s="66" t="s">
        <v>431</v>
      </c>
      <c r="J578" s="66"/>
      <c r="K578" s="66"/>
      <c r="L578" s="66"/>
      <c r="M578" s="66" t="s">
        <v>27</v>
      </c>
      <c r="N578" s="66"/>
      <c r="O578" s="66" t="s">
        <v>400</v>
      </c>
      <c r="P578" s="66" t="s">
        <v>401</v>
      </c>
      <c r="Q578" s="66" t="s">
        <v>31031</v>
      </c>
      <c r="R578" s="66" t="s">
        <v>100</v>
      </c>
      <c r="S578" s="66" t="s">
        <v>28</v>
      </c>
      <c r="T578" s="66" t="s">
        <v>27756</v>
      </c>
      <c r="U578" s="66" t="s">
        <v>29438</v>
      </c>
      <c r="V578" s="66" t="s">
        <v>29439</v>
      </c>
      <c r="W578" s="66" t="s">
        <v>100</v>
      </c>
      <c r="X578" s="66">
        <v>2230</v>
      </c>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c r="AY578" s="66"/>
      <c r="AZ578" s="66"/>
      <c r="BA578" s="66"/>
      <c r="BB578" s="66"/>
      <c r="BC578" s="1"/>
      <c r="BD578" s="1"/>
      <c r="BE578" s="1"/>
      <c r="BF578" s="1"/>
      <c r="BG578" s="1"/>
      <c r="BH578" s="1"/>
      <c r="BI578" s="1"/>
      <c r="BJ578" s="1"/>
    </row>
    <row r="579" spans="1:63" s="70" customFormat="1" ht="12" customHeight="1" x14ac:dyDescent="0.2">
      <c r="A579" s="11" t="s">
        <v>28279</v>
      </c>
      <c r="B579" s="68">
        <v>40</v>
      </c>
      <c r="C579" s="11" t="s">
        <v>20</v>
      </c>
      <c r="D579" s="11" t="s">
        <v>37</v>
      </c>
      <c r="E579" s="71" t="s">
        <v>28280</v>
      </c>
      <c r="F579" s="69">
        <v>42753</v>
      </c>
      <c r="G579" s="11" t="s">
        <v>28839</v>
      </c>
      <c r="H579" s="11" t="s">
        <v>28281</v>
      </c>
      <c r="I579" s="11" t="s">
        <v>395</v>
      </c>
      <c r="J579" s="11">
        <v>74964</v>
      </c>
      <c r="K579" s="11" t="s">
        <v>2610</v>
      </c>
      <c r="L579" s="11" t="s">
        <v>28282</v>
      </c>
      <c r="M579" s="11" t="s">
        <v>27</v>
      </c>
      <c r="N579" s="11" t="s">
        <v>28283</v>
      </c>
      <c r="O579" s="11" t="s">
        <v>400</v>
      </c>
      <c r="P579" s="11" t="s">
        <v>401</v>
      </c>
      <c r="Q579" s="71" t="s">
        <v>28284</v>
      </c>
      <c r="R579" s="11" t="s">
        <v>100</v>
      </c>
      <c r="S579" s="11" t="s">
        <v>28</v>
      </c>
      <c r="T579" s="68" t="s">
        <v>29450</v>
      </c>
      <c r="U579" s="68" t="s">
        <v>29438</v>
      </c>
      <c r="V579" s="68" t="s">
        <v>29439</v>
      </c>
      <c r="W579" s="68" t="s">
        <v>100</v>
      </c>
      <c r="X579" s="68">
        <v>2228</v>
      </c>
      <c r="Y579" s="11"/>
      <c r="Z579" s="11"/>
      <c r="AA579" s="11"/>
      <c r="AB579" s="11"/>
      <c r="AC579" s="11"/>
      <c r="AD579" s="11"/>
      <c r="AE579" s="11"/>
      <c r="AF579" s="11"/>
      <c r="AG579" s="11"/>
      <c r="AU579" s="44"/>
      <c r="AV579" s="44"/>
      <c r="AW579" s="44"/>
      <c r="AX579" s="1"/>
      <c r="AY579" s="1"/>
      <c r="AZ579" s="44"/>
      <c r="BA579" s="44"/>
      <c r="BB579" s="11"/>
      <c r="BC579" s="1"/>
      <c r="BD579" s="1"/>
      <c r="BE579" s="1"/>
      <c r="BF579" s="1"/>
      <c r="BG579" s="1"/>
      <c r="BH579" s="1"/>
      <c r="BI579" s="1"/>
      <c r="BJ579" s="1"/>
      <c r="BK579" s="66"/>
    </row>
    <row r="580" spans="1:63" s="70" customFormat="1" ht="12" customHeight="1" x14ac:dyDescent="0.2">
      <c r="A580" s="11" t="s">
        <v>28530</v>
      </c>
      <c r="B580" s="68">
        <v>21</v>
      </c>
      <c r="C580" s="11" t="s">
        <v>114</v>
      </c>
      <c r="D580" s="11" t="s">
        <v>48</v>
      </c>
      <c r="E580" s="71" t="s">
        <v>28531</v>
      </c>
      <c r="F580" s="69">
        <v>42753</v>
      </c>
      <c r="G580" s="11" t="s">
        <v>28853</v>
      </c>
      <c r="H580" s="11" t="s">
        <v>285</v>
      </c>
      <c r="I580" s="11" t="s">
        <v>73</v>
      </c>
      <c r="J580" s="11">
        <v>75226</v>
      </c>
      <c r="K580" s="11" t="s">
        <v>285</v>
      </c>
      <c r="L580" s="11" t="s">
        <v>286</v>
      </c>
      <c r="M580" s="11" t="s">
        <v>27</v>
      </c>
      <c r="N580" s="11" t="s">
        <v>28532</v>
      </c>
      <c r="O580" s="11" t="s">
        <v>31007</v>
      </c>
      <c r="P580" s="11" t="s">
        <v>1159</v>
      </c>
      <c r="Q580" s="71" t="s">
        <v>28533</v>
      </c>
      <c r="R580" s="11" t="s">
        <v>100</v>
      </c>
      <c r="S580" s="11" t="s">
        <v>379</v>
      </c>
      <c r="T580" s="68" t="s">
        <v>379</v>
      </c>
      <c r="U580" s="68" t="s">
        <v>29436</v>
      </c>
      <c r="V580" s="68" t="s">
        <v>29437</v>
      </c>
      <c r="W580" s="68" t="s">
        <v>100</v>
      </c>
      <c r="X580" s="68">
        <v>2231</v>
      </c>
      <c r="Y580" s="11"/>
      <c r="Z580" s="11"/>
      <c r="AA580" s="11"/>
      <c r="AB580" s="11"/>
      <c r="AC580" s="11"/>
      <c r="AD580" s="11"/>
      <c r="AE580" s="11"/>
      <c r="AF580" s="11"/>
      <c r="AG580" s="11"/>
      <c r="AU580" s="44"/>
      <c r="AV580" s="44"/>
      <c r="AX580" s="1"/>
      <c r="AY580" s="1"/>
      <c r="AZ580" s="44"/>
      <c r="BA580" s="44"/>
      <c r="BB580" s="11"/>
      <c r="BC580" s="1"/>
      <c r="BD580" s="1"/>
      <c r="BE580" s="1"/>
      <c r="BF580" s="1"/>
      <c r="BG580" s="1"/>
      <c r="BH580" s="1"/>
      <c r="BI580" s="1"/>
      <c r="BJ580" s="1"/>
      <c r="BK580" s="11"/>
    </row>
    <row r="581" spans="1:63" s="70" customFormat="1" ht="12" customHeight="1" x14ac:dyDescent="0.2">
      <c r="A581" s="68" t="s">
        <v>29432</v>
      </c>
      <c r="B581" s="68">
        <v>50</v>
      </c>
      <c r="C581" s="11" t="s">
        <v>20</v>
      </c>
      <c r="D581" s="11" t="s">
        <v>37</v>
      </c>
      <c r="E581" s="11"/>
      <c r="F581" s="69">
        <v>42753</v>
      </c>
      <c r="G581" s="11" t="s">
        <v>28185</v>
      </c>
      <c r="H581" s="11" t="s">
        <v>98</v>
      </c>
      <c r="I581" s="11" t="s">
        <v>45</v>
      </c>
      <c r="J581" s="11">
        <v>90045</v>
      </c>
      <c r="K581" s="11" t="s">
        <v>98</v>
      </c>
      <c r="L581" s="11" t="s">
        <v>414</v>
      </c>
      <c r="M581" s="11" t="s">
        <v>27</v>
      </c>
      <c r="N581" s="11" t="s">
        <v>28186</v>
      </c>
      <c r="O581" s="11" t="s">
        <v>400</v>
      </c>
      <c r="P581" s="11" t="s">
        <v>401</v>
      </c>
      <c r="Q581" s="71" t="s">
        <v>28187</v>
      </c>
      <c r="R581" s="11" t="s">
        <v>29</v>
      </c>
      <c r="S581" s="11" t="s">
        <v>28</v>
      </c>
      <c r="T581" s="68" t="s">
        <v>29451</v>
      </c>
      <c r="U581" s="68" t="s">
        <v>29436</v>
      </c>
      <c r="V581" s="68" t="s">
        <v>29437</v>
      </c>
      <c r="W581" s="68" t="s">
        <v>100</v>
      </c>
      <c r="X581" s="68">
        <v>2232</v>
      </c>
      <c r="Y581" s="11"/>
      <c r="Z581" s="11"/>
      <c r="AA581" s="11"/>
      <c r="AB581" s="11"/>
      <c r="AC581" s="11"/>
      <c r="AD581" s="11"/>
      <c r="AE581" s="11"/>
      <c r="AF581" s="11"/>
      <c r="AG581" s="11"/>
      <c r="AU581" s="44"/>
      <c r="AV581" s="44"/>
      <c r="AW581" s="1"/>
      <c r="AX581" s="1"/>
      <c r="AY581" s="1"/>
      <c r="AZ581" s="44"/>
      <c r="BA581" s="1"/>
      <c r="BB581" s="1"/>
      <c r="BC581" s="1"/>
      <c r="BD581" s="1"/>
      <c r="BE581" s="1"/>
      <c r="BF581" s="1"/>
      <c r="BG581" s="1"/>
      <c r="BH581" s="1"/>
      <c r="BI581" s="1"/>
      <c r="BJ581" s="1"/>
    </row>
    <row r="582" spans="1:63" s="70" customFormat="1" ht="12" customHeight="1" x14ac:dyDescent="0.2">
      <c r="A582" s="11" t="s">
        <v>28125</v>
      </c>
      <c r="B582" s="68">
        <v>16</v>
      </c>
      <c r="C582" s="11" t="s">
        <v>20</v>
      </c>
      <c r="D582" s="11" t="s">
        <v>48</v>
      </c>
      <c r="E582" s="11"/>
      <c r="F582" s="69">
        <v>42753</v>
      </c>
      <c r="G582" s="11" t="s">
        <v>28831</v>
      </c>
      <c r="H582" s="11" t="s">
        <v>6345</v>
      </c>
      <c r="I582" s="11" t="s">
        <v>45</v>
      </c>
      <c r="J582" s="11">
        <v>93905</v>
      </c>
      <c r="K582" s="11" t="s">
        <v>65</v>
      </c>
      <c r="L582" s="11" t="s">
        <v>6347</v>
      </c>
      <c r="M582" s="68" t="s">
        <v>5411</v>
      </c>
      <c r="N582" s="11" t="s">
        <v>28126</v>
      </c>
      <c r="O582" s="11" t="s">
        <v>400</v>
      </c>
      <c r="P582" s="11" t="s">
        <v>401</v>
      </c>
      <c r="Q582" s="71" t="s">
        <v>28127</v>
      </c>
      <c r="R582" s="11" t="s">
        <v>555</v>
      </c>
      <c r="S582" s="11" t="s">
        <v>28</v>
      </c>
      <c r="T582" s="68" t="s">
        <v>29493</v>
      </c>
      <c r="U582" s="68" t="s">
        <v>29436</v>
      </c>
      <c r="V582" s="68" t="s">
        <v>29439</v>
      </c>
      <c r="W582" s="68" t="s">
        <v>555</v>
      </c>
      <c r="X582" s="68">
        <v>2225</v>
      </c>
      <c r="Y582" s="11"/>
      <c r="Z582" s="11"/>
      <c r="AA582" s="11"/>
      <c r="AB582" s="11"/>
      <c r="AC582" s="11"/>
      <c r="AD582" s="11"/>
      <c r="AE582" s="11"/>
      <c r="AF582" s="11"/>
      <c r="AG582" s="11"/>
      <c r="AU582" s="44"/>
      <c r="AV582" s="44"/>
      <c r="AX582" s="1"/>
      <c r="AY582" s="1"/>
      <c r="AZ582" s="44"/>
      <c r="BA582" s="1"/>
      <c r="BC582" s="1"/>
      <c r="BD582" s="1"/>
      <c r="BE582" s="1"/>
      <c r="BF582" s="1"/>
      <c r="BG582" s="1"/>
      <c r="BH582" s="1"/>
      <c r="BI582" s="1"/>
      <c r="BJ582" s="1"/>
      <c r="BK582" s="1"/>
    </row>
    <row r="583" spans="1:63" s="70" customFormat="1" ht="12" customHeight="1" x14ac:dyDescent="0.2">
      <c r="A583" s="11" t="s">
        <v>27880</v>
      </c>
      <c r="B583" s="68">
        <v>39</v>
      </c>
      <c r="C583" s="11" t="s">
        <v>20</v>
      </c>
      <c r="D583" s="68" t="s">
        <v>48</v>
      </c>
      <c r="E583" s="11"/>
      <c r="F583" s="69">
        <v>42752</v>
      </c>
      <c r="G583" s="11" t="s">
        <v>27881</v>
      </c>
      <c r="H583" s="11" t="s">
        <v>27882</v>
      </c>
      <c r="I583" s="11" t="s">
        <v>45</v>
      </c>
      <c r="J583" s="11">
        <v>92277</v>
      </c>
      <c r="K583" s="11" t="s">
        <v>309</v>
      </c>
      <c r="L583" s="11" t="s">
        <v>310</v>
      </c>
      <c r="M583" s="11" t="s">
        <v>27</v>
      </c>
      <c r="N583" s="11" t="s">
        <v>27883</v>
      </c>
      <c r="O583" s="11" t="s">
        <v>400</v>
      </c>
      <c r="P583" s="11" t="s">
        <v>401</v>
      </c>
      <c r="Q583" s="71" t="s">
        <v>27884</v>
      </c>
      <c r="R583" s="11" t="s">
        <v>964</v>
      </c>
      <c r="S583" s="11" t="s">
        <v>28</v>
      </c>
      <c r="T583" s="68" t="s">
        <v>27756</v>
      </c>
      <c r="U583" s="68" t="s">
        <v>29438</v>
      </c>
      <c r="V583" s="68" t="s">
        <v>29439</v>
      </c>
      <c r="W583" s="68" t="s">
        <v>100</v>
      </c>
      <c r="X583" s="68">
        <v>2229</v>
      </c>
      <c r="Y583" s="11"/>
      <c r="Z583" s="11"/>
      <c r="AA583" s="11"/>
      <c r="AB583" s="11"/>
      <c r="AC583" s="11"/>
      <c r="AD583" s="11"/>
      <c r="AE583" s="11"/>
      <c r="AF583" s="11"/>
      <c r="AG583" s="11"/>
      <c r="AU583" s="44"/>
      <c r="AV583" s="44"/>
      <c r="AW583" s="44"/>
      <c r="AX583" s="1"/>
      <c r="AY583" s="1"/>
      <c r="AZ583" s="44"/>
      <c r="BA583" s="44"/>
      <c r="BB583" s="44"/>
      <c r="BC583" s="1"/>
      <c r="BD583" s="1"/>
      <c r="BE583" s="1"/>
      <c r="BF583" s="1"/>
      <c r="BG583" s="1"/>
      <c r="BH583" s="1"/>
      <c r="BI583" s="1"/>
      <c r="BJ583" s="1"/>
    </row>
    <row r="584" spans="1:63" s="70" customFormat="1" ht="12" customHeight="1" x14ac:dyDescent="0.2">
      <c r="A584" s="11" t="s">
        <v>28238</v>
      </c>
      <c r="B584" s="11">
        <v>46</v>
      </c>
      <c r="C584" s="11" t="s">
        <v>20</v>
      </c>
      <c r="D584" s="11" t="s">
        <v>48</v>
      </c>
      <c r="E584" s="11"/>
      <c r="F584" s="72">
        <v>42752</v>
      </c>
      <c r="G584" s="11" t="s">
        <v>28239</v>
      </c>
      <c r="H584" s="11" t="s">
        <v>28240</v>
      </c>
      <c r="I584" s="11" t="s">
        <v>73</v>
      </c>
      <c r="J584" s="11">
        <v>75068</v>
      </c>
      <c r="K584" s="11" t="s">
        <v>166</v>
      </c>
      <c r="L584" s="11" t="s">
        <v>28241</v>
      </c>
      <c r="M584" s="11" t="s">
        <v>27</v>
      </c>
      <c r="N584" s="11" t="s">
        <v>28242</v>
      </c>
      <c r="O584" s="11" t="s">
        <v>400</v>
      </c>
      <c r="P584" s="11" t="s">
        <v>401</v>
      </c>
      <c r="Q584" s="71" t="s">
        <v>28243</v>
      </c>
      <c r="R584" s="11" t="s">
        <v>100</v>
      </c>
      <c r="S584" s="11" t="s">
        <v>28</v>
      </c>
      <c r="T584" s="68" t="s">
        <v>27756</v>
      </c>
      <c r="U584" s="68"/>
      <c r="V584" s="68"/>
      <c r="W584" s="68"/>
      <c r="X584" s="68"/>
      <c r="Y584" s="11"/>
      <c r="Z584" s="11"/>
      <c r="AA584" s="11"/>
      <c r="AB584" s="11"/>
      <c r="AC584" s="11"/>
      <c r="AD584" s="11"/>
      <c r="AE584" s="11"/>
      <c r="AF584" s="11"/>
      <c r="AG584" s="11"/>
      <c r="AU584" s="44"/>
      <c r="AV584" s="44"/>
      <c r="AW584" s="1"/>
      <c r="AX584" s="1"/>
      <c r="AY584" s="1"/>
      <c r="AZ584" s="1"/>
      <c r="BA584" s="1"/>
      <c r="BB584" s="1"/>
      <c r="BC584" s="1"/>
      <c r="BD584" s="1"/>
      <c r="BE584" s="1"/>
      <c r="BF584" s="1"/>
      <c r="BG584" s="1"/>
      <c r="BH584" s="1"/>
      <c r="BI584" s="1"/>
      <c r="BJ584" s="1"/>
    </row>
    <row r="585" spans="1:63" s="70" customFormat="1" ht="12" customHeight="1" x14ac:dyDescent="0.2">
      <c r="A585" s="11" t="s">
        <v>28458</v>
      </c>
      <c r="B585" s="11">
        <v>28</v>
      </c>
      <c r="C585" s="11" t="s">
        <v>114</v>
      </c>
      <c r="D585" s="11" t="s">
        <v>37</v>
      </c>
      <c r="E585" s="11"/>
      <c r="F585" s="72">
        <v>42752</v>
      </c>
      <c r="G585" s="11" t="s">
        <v>28849</v>
      </c>
      <c r="H585" s="11" t="s">
        <v>9752</v>
      </c>
      <c r="I585" s="11" t="s">
        <v>978</v>
      </c>
      <c r="J585" s="11">
        <v>72209</v>
      </c>
      <c r="K585" s="11" t="s">
        <v>2495</v>
      </c>
      <c r="L585" s="11" t="s">
        <v>9754</v>
      </c>
      <c r="M585" s="11" t="s">
        <v>379</v>
      </c>
      <c r="N585" s="11" t="s">
        <v>28459</v>
      </c>
      <c r="O585" s="11" t="s">
        <v>400</v>
      </c>
      <c r="P585" s="11" t="s">
        <v>401</v>
      </c>
      <c r="Q585" s="71" t="s">
        <v>28460</v>
      </c>
      <c r="R585" s="11" t="s">
        <v>100</v>
      </c>
      <c r="S585" s="11" t="s">
        <v>18</v>
      </c>
      <c r="T585" s="11" t="s">
        <v>28345</v>
      </c>
      <c r="U585" s="11"/>
      <c r="V585" s="11"/>
      <c r="W585" s="11"/>
      <c r="X585" s="11"/>
      <c r="Y585" s="11"/>
      <c r="Z585" s="11"/>
      <c r="AA585" s="11"/>
      <c r="AB585" s="11"/>
      <c r="AC585" s="11"/>
      <c r="AD585" s="11"/>
      <c r="AE585" s="11"/>
      <c r="AF585" s="11"/>
      <c r="AG585" s="11"/>
      <c r="AU585" s="44"/>
      <c r="AV585" s="44"/>
      <c r="AW585" s="1"/>
      <c r="AX585" s="1"/>
      <c r="AY585" s="1"/>
      <c r="BA585" s="1"/>
      <c r="BB585" s="1"/>
      <c r="BC585" s="1"/>
      <c r="BD585" s="1"/>
      <c r="BE585" s="1"/>
      <c r="BF585" s="1"/>
      <c r="BG585" s="1"/>
      <c r="BH585" s="1"/>
      <c r="BI585" s="1"/>
      <c r="BJ585" s="1"/>
      <c r="BK585" s="1"/>
    </row>
    <row r="586" spans="1:63" s="70" customFormat="1" ht="12" customHeight="1" x14ac:dyDescent="0.2">
      <c r="A586" s="11" t="s">
        <v>27814</v>
      </c>
      <c r="B586" s="68">
        <v>29</v>
      </c>
      <c r="C586" s="11" t="s">
        <v>20</v>
      </c>
      <c r="D586" s="11" t="s">
        <v>37</v>
      </c>
      <c r="E586" s="11" t="s">
        <v>28874</v>
      </c>
      <c r="F586" s="69">
        <v>42752</v>
      </c>
      <c r="G586" s="11" t="s">
        <v>27815</v>
      </c>
      <c r="H586" s="11" t="s">
        <v>27816</v>
      </c>
      <c r="I586" s="11" t="s">
        <v>319</v>
      </c>
      <c r="J586" s="11">
        <v>37379</v>
      </c>
      <c r="K586" s="11" t="s">
        <v>548</v>
      </c>
      <c r="L586" s="11" t="s">
        <v>616</v>
      </c>
      <c r="M586" s="11" t="s">
        <v>27</v>
      </c>
      <c r="N586" s="11" t="s">
        <v>27817</v>
      </c>
      <c r="O586" s="11" t="s">
        <v>400</v>
      </c>
      <c r="P586" s="11" t="s">
        <v>401</v>
      </c>
      <c r="Q586" s="71" t="s">
        <v>27818</v>
      </c>
      <c r="R586" s="68" t="s">
        <v>555</v>
      </c>
      <c r="S586" s="11" t="s">
        <v>28</v>
      </c>
      <c r="T586" s="68" t="s">
        <v>27756</v>
      </c>
      <c r="U586" s="68" t="s">
        <v>29438</v>
      </c>
      <c r="V586" s="68" t="s">
        <v>29437</v>
      </c>
      <c r="W586" s="68" t="s">
        <v>100</v>
      </c>
      <c r="X586" s="68">
        <v>2226</v>
      </c>
      <c r="Y586" s="11"/>
      <c r="Z586" s="11"/>
      <c r="AA586" s="11"/>
      <c r="AB586" s="11"/>
      <c r="AC586" s="11"/>
      <c r="AD586" s="11"/>
      <c r="AE586" s="11"/>
      <c r="AF586" s="11"/>
      <c r="AG586" s="11"/>
      <c r="AU586" s="44"/>
      <c r="AV586" s="44"/>
      <c r="AW586" s="44"/>
      <c r="AX586" s="1"/>
      <c r="AY586" s="1"/>
      <c r="AZ586" s="44"/>
      <c r="BB586" s="44"/>
      <c r="BC586" s="1"/>
      <c r="BD586" s="1"/>
      <c r="BE586" s="1"/>
      <c r="BF586" s="1"/>
      <c r="BG586" s="1"/>
      <c r="BH586" s="1"/>
      <c r="BI586" s="1"/>
      <c r="BJ586" s="1"/>
    </row>
    <row r="587" spans="1:63" s="70" customFormat="1" ht="12" customHeight="1" x14ac:dyDescent="0.2">
      <c r="A587" s="11" t="s">
        <v>28175</v>
      </c>
      <c r="B587" s="68">
        <v>32</v>
      </c>
      <c r="C587" s="11" t="s">
        <v>20</v>
      </c>
      <c r="D587" s="11" t="s">
        <v>85</v>
      </c>
      <c r="E587" s="11"/>
      <c r="F587" s="69">
        <v>42751</v>
      </c>
      <c r="G587" s="11" t="s">
        <v>28176</v>
      </c>
      <c r="H587" s="11" t="s">
        <v>28177</v>
      </c>
      <c r="I587" s="11" t="s">
        <v>244</v>
      </c>
      <c r="J587" s="11">
        <v>20171</v>
      </c>
      <c r="K587" s="11" t="s">
        <v>4411</v>
      </c>
      <c r="L587" s="11" t="s">
        <v>28178</v>
      </c>
      <c r="M587" s="11" t="s">
        <v>27</v>
      </c>
      <c r="N587" s="11" t="s">
        <v>28179</v>
      </c>
      <c r="O587" s="11" t="s">
        <v>400</v>
      </c>
      <c r="P587" s="11" t="s">
        <v>401</v>
      </c>
      <c r="Q587" s="71" t="s">
        <v>28180</v>
      </c>
      <c r="R587" s="11" t="s">
        <v>29</v>
      </c>
      <c r="S587" s="11" t="s">
        <v>28</v>
      </c>
      <c r="T587" s="68" t="s">
        <v>29494</v>
      </c>
      <c r="U587" s="68" t="s">
        <v>29438</v>
      </c>
      <c r="V587" s="68" t="s">
        <v>29439</v>
      </c>
      <c r="W587" s="68" t="s">
        <v>100</v>
      </c>
      <c r="X587" s="68">
        <v>2214</v>
      </c>
      <c r="Y587" s="11"/>
      <c r="Z587" s="11"/>
      <c r="AA587" s="11"/>
      <c r="AB587" s="11"/>
      <c r="AC587" s="11"/>
      <c r="AD587" s="11"/>
      <c r="AE587" s="11"/>
      <c r="AF587" s="11"/>
      <c r="AG587" s="11"/>
      <c r="AU587" s="44"/>
      <c r="AV587" s="44"/>
      <c r="AW587" s="11"/>
      <c r="AZ587" s="44"/>
      <c r="BA587" s="1"/>
      <c r="BB587" s="1"/>
    </row>
    <row r="588" spans="1:63" s="70" customFormat="1" ht="12" customHeight="1" x14ac:dyDescent="0.2">
      <c r="A588" s="11" t="s">
        <v>27867</v>
      </c>
      <c r="B588" s="68">
        <v>36</v>
      </c>
      <c r="C588" s="11" t="s">
        <v>20</v>
      </c>
      <c r="D588" s="68" t="s">
        <v>37</v>
      </c>
      <c r="E588" s="11"/>
      <c r="F588" s="69">
        <v>42751</v>
      </c>
      <c r="G588" s="11" t="s">
        <v>27868</v>
      </c>
      <c r="H588" s="11" t="s">
        <v>27869</v>
      </c>
      <c r="I588" s="11" t="s">
        <v>173</v>
      </c>
      <c r="J588" s="11">
        <v>30277</v>
      </c>
      <c r="K588" s="11" t="s">
        <v>22875</v>
      </c>
      <c r="L588" s="11" t="s">
        <v>27870</v>
      </c>
      <c r="M588" s="11" t="s">
        <v>27</v>
      </c>
      <c r="N588" s="11" t="s">
        <v>27871</v>
      </c>
      <c r="O588" s="11" t="s">
        <v>400</v>
      </c>
      <c r="P588" s="11" t="s">
        <v>401</v>
      </c>
      <c r="Q588" s="71" t="s">
        <v>27872</v>
      </c>
      <c r="R588" s="11" t="s">
        <v>29</v>
      </c>
      <c r="S588" s="11" t="s">
        <v>28</v>
      </c>
      <c r="T588" s="68" t="s">
        <v>27756</v>
      </c>
      <c r="U588" s="68" t="s">
        <v>29438</v>
      </c>
      <c r="V588" s="68" t="s">
        <v>29437</v>
      </c>
      <c r="W588" s="68" t="s">
        <v>100</v>
      </c>
      <c r="X588" s="68">
        <v>2212</v>
      </c>
      <c r="Y588" s="11"/>
      <c r="Z588" s="11"/>
      <c r="AA588" s="11"/>
      <c r="AB588" s="11"/>
      <c r="AC588" s="11"/>
      <c r="AD588" s="11"/>
      <c r="AE588" s="11"/>
      <c r="AF588" s="11"/>
      <c r="AG588" s="11"/>
      <c r="AU588" s="44"/>
      <c r="AV588" s="44"/>
      <c r="AW588" s="44"/>
      <c r="AX588" s="1"/>
      <c r="AY588" s="1"/>
      <c r="AZ588" s="44"/>
      <c r="BA588" s="1"/>
      <c r="BB588" s="1"/>
      <c r="BC588" s="1"/>
      <c r="BD588" s="1"/>
      <c r="BE588" s="1"/>
      <c r="BF588" s="1"/>
      <c r="BG588" s="1"/>
      <c r="BH588" s="1"/>
      <c r="BI588" s="1"/>
      <c r="BJ588" s="1"/>
    </row>
    <row r="589" spans="1:63" s="70" customFormat="1" ht="12" customHeight="1" x14ac:dyDescent="0.2">
      <c r="A589" s="11" t="s">
        <v>27809</v>
      </c>
      <c r="B589" s="68">
        <v>43</v>
      </c>
      <c r="C589" s="11" t="s">
        <v>20</v>
      </c>
      <c r="D589" s="11" t="s">
        <v>37</v>
      </c>
      <c r="E589" s="11"/>
      <c r="F589" s="69">
        <v>42751</v>
      </c>
      <c r="G589" s="11" t="s">
        <v>27810</v>
      </c>
      <c r="H589" s="11" t="s">
        <v>1556</v>
      </c>
      <c r="I589" s="11" t="s">
        <v>315</v>
      </c>
      <c r="J589" s="11">
        <v>42041</v>
      </c>
      <c r="K589" s="11" t="s">
        <v>1556</v>
      </c>
      <c r="L589" s="11" t="s">
        <v>27811</v>
      </c>
      <c r="M589" s="11" t="s">
        <v>27</v>
      </c>
      <c r="N589" s="11" t="s">
        <v>27812</v>
      </c>
      <c r="O589" s="11" t="s">
        <v>400</v>
      </c>
      <c r="P589" s="11" t="s">
        <v>401</v>
      </c>
      <c r="Q589" s="71" t="s">
        <v>27813</v>
      </c>
      <c r="R589" s="11" t="s">
        <v>29</v>
      </c>
      <c r="S589" s="11" t="s">
        <v>28</v>
      </c>
      <c r="T589" s="68" t="s">
        <v>29495</v>
      </c>
      <c r="U589" s="68" t="s">
        <v>29441</v>
      </c>
      <c r="V589" s="68"/>
      <c r="W589" s="68" t="s">
        <v>100</v>
      </c>
      <c r="X589" s="68">
        <v>2213</v>
      </c>
      <c r="Y589" s="11"/>
      <c r="Z589" s="11"/>
      <c r="AA589" s="11"/>
      <c r="AB589" s="11"/>
      <c r="AC589" s="11"/>
      <c r="AD589" s="11"/>
      <c r="AE589" s="11"/>
      <c r="AF589" s="11"/>
      <c r="AG589" s="11"/>
      <c r="AU589" s="44"/>
      <c r="AV589" s="44"/>
      <c r="AW589" s="1"/>
      <c r="AX589" s="1"/>
      <c r="AY589" s="1"/>
      <c r="AZ589" s="44"/>
      <c r="BA589" s="1"/>
      <c r="BB589" s="1"/>
      <c r="BC589" s="1"/>
      <c r="BD589" s="1"/>
      <c r="BE589" s="1"/>
      <c r="BF589" s="1"/>
      <c r="BG589" s="1"/>
      <c r="BH589" s="1"/>
      <c r="BI589" s="1"/>
      <c r="BJ589" s="1"/>
    </row>
    <row r="590" spans="1:63" s="70" customFormat="1" ht="12" customHeight="1" x14ac:dyDescent="0.2">
      <c r="A590" s="11" t="s">
        <v>27949</v>
      </c>
      <c r="B590" s="68">
        <v>34</v>
      </c>
      <c r="C590" s="11" t="s">
        <v>20</v>
      </c>
      <c r="D590" s="11" t="s">
        <v>85</v>
      </c>
      <c r="E590" s="11"/>
      <c r="F590" s="69">
        <v>42750</v>
      </c>
      <c r="G590" s="11" t="s">
        <v>28816</v>
      </c>
      <c r="H590" s="11" t="s">
        <v>87</v>
      </c>
      <c r="I590" s="11" t="s">
        <v>44</v>
      </c>
      <c r="J590" s="11">
        <v>60612</v>
      </c>
      <c r="K590" s="11" t="s">
        <v>88</v>
      </c>
      <c r="L590" s="11" t="s">
        <v>89</v>
      </c>
      <c r="M590" s="11" t="s">
        <v>27</v>
      </c>
      <c r="N590" s="11" t="s">
        <v>27950</v>
      </c>
      <c r="O590" s="11" t="s">
        <v>400</v>
      </c>
      <c r="P590" s="11" t="s">
        <v>401</v>
      </c>
      <c r="Q590" s="71" t="s">
        <v>27951</v>
      </c>
      <c r="R590" s="11" t="s">
        <v>100</v>
      </c>
      <c r="S590" s="11" t="s">
        <v>28</v>
      </c>
      <c r="T590" s="68" t="s">
        <v>27756</v>
      </c>
      <c r="U590" s="68" t="s">
        <v>29436</v>
      </c>
      <c r="V590" s="68" t="s">
        <v>29440</v>
      </c>
      <c r="W590" s="68" t="s">
        <v>100</v>
      </c>
      <c r="X590" s="68">
        <v>2219</v>
      </c>
      <c r="Y590" s="11"/>
      <c r="Z590" s="11"/>
      <c r="AA590" s="11"/>
      <c r="AB590" s="11"/>
      <c r="AC590" s="11"/>
      <c r="AD590" s="11"/>
      <c r="AE590" s="11"/>
      <c r="AF590" s="11"/>
      <c r="AG590" s="11"/>
      <c r="AU590" s="44"/>
      <c r="AV590" s="44"/>
      <c r="AW590" s="11"/>
      <c r="AX590" s="11"/>
      <c r="AY590" s="11"/>
      <c r="AZ590" s="44"/>
      <c r="BA590" s="44"/>
      <c r="BB590" s="11"/>
    </row>
    <row r="591" spans="1:63" s="70" customFormat="1" ht="12" customHeight="1" x14ac:dyDescent="0.2">
      <c r="A591" s="11" t="s">
        <v>27916</v>
      </c>
      <c r="B591" s="68">
        <v>48</v>
      </c>
      <c r="C591" s="11" t="s">
        <v>20</v>
      </c>
      <c r="D591" s="11" t="s">
        <v>37</v>
      </c>
      <c r="E591" s="11"/>
      <c r="F591" s="69">
        <v>42750</v>
      </c>
      <c r="G591" s="11" t="s">
        <v>28814</v>
      </c>
      <c r="H591" s="11" t="s">
        <v>1667</v>
      </c>
      <c r="I591" s="11" t="s">
        <v>45</v>
      </c>
      <c r="J591" s="11">
        <v>91702</v>
      </c>
      <c r="K591" s="11" t="s">
        <v>98</v>
      </c>
      <c r="L591" s="11" t="s">
        <v>1669</v>
      </c>
      <c r="M591" s="11" t="s">
        <v>27</v>
      </c>
      <c r="N591" s="11" t="s">
        <v>27917</v>
      </c>
      <c r="O591" s="11" t="s">
        <v>400</v>
      </c>
      <c r="P591" s="11" t="s">
        <v>401</v>
      </c>
      <c r="Q591" s="71" t="s">
        <v>27918</v>
      </c>
      <c r="R591" s="11" t="s">
        <v>100</v>
      </c>
      <c r="S591" s="11" t="s">
        <v>28</v>
      </c>
      <c r="T591" s="68" t="s">
        <v>27756</v>
      </c>
      <c r="U591" s="68" t="s">
        <v>29438</v>
      </c>
      <c r="V591" s="68" t="s">
        <v>29439</v>
      </c>
      <c r="W591" s="68" t="s">
        <v>100</v>
      </c>
      <c r="X591" s="68">
        <v>2216</v>
      </c>
      <c r="Y591" s="11"/>
      <c r="Z591" s="11"/>
      <c r="AA591" s="11"/>
      <c r="AB591" s="11"/>
      <c r="AC591" s="11"/>
      <c r="AD591" s="11"/>
      <c r="AE591" s="11"/>
      <c r="AF591" s="11"/>
      <c r="AG591" s="11"/>
      <c r="AU591" s="44"/>
      <c r="AV591" s="44"/>
      <c r="AW591" s="1"/>
      <c r="AX591" s="1"/>
      <c r="AY591" s="1"/>
      <c r="AZ591" s="44"/>
      <c r="BA591" s="44"/>
      <c r="BB591" s="11"/>
      <c r="BC591" s="1"/>
      <c r="BD591" s="1"/>
      <c r="BE591" s="1"/>
      <c r="BF591" s="1"/>
      <c r="BG591" s="1"/>
      <c r="BH591" s="1"/>
      <c r="BI591" s="1"/>
      <c r="BJ591" s="1"/>
    </row>
    <row r="592" spans="1:63" s="70" customFormat="1" ht="12" customHeight="1" x14ac:dyDescent="0.2">
      <c r="A592" s="11" t="s">
        <v>27876</v>
      </c>
      <c r="B592" s="68">
        <v>33</v>
      </c>
      <c r="C592" s="11" t="s">
        <v>20</v>
      </c>
      <c r="D592" s="11" t="s">
        <v>139</v>
      </c>
      <c r="E592" s="11"/>
      <c r="F592" s="69">
        <v>42750</v>
      </c>
      <c r="G592" s="11" t="s">
        <v>27877</v>
      </c>
      <c r="H592" s="11" t="s">
        <v>838</v>
      </c>
      <c r="I592" s="11" t="s">
        <v>303</v>
      </c>
      <c r="J592" s="11">
        <v>99204</v>
      </c>
      <c r="K592" s="11" t="s">
        <v>838</v>
      </c>
      <c r="L592" s="11" t="s">
        <v>839</v>
      </c>
      <c r="M592" s="68" t="s">
        <v>5411</v>
      </c>
      <c r="N592" s="11" t="s">
        <v>27878</v>
      </c>
      <c r="O592" s="11" t="s">
        <v>400</v>
      </c>
      <c r="P592" s="11" t="s">
        <v>401</v>
      </c>
      <c r="Q592" s="71" t="s">
        <v>27879</v>
      </c>
      <c r="R592" s="11" t="s">
        <v>29</v>
      </c>
      <c r="S592" s="11" t="s">
        <v>28</v>
      </c>
      <c r="T592" s="68" t="s">
        <v>29493</v>
      </c>
      <c r="U592" s="68" t="s">
        <v>29436</v>
      </c>
      <c r="V592" s="68" t="s">
        <v>29440</v>
      </c>
      <c r="W592" s="68" t="s">
        <v>555</v>
      </c>
      <c r="X592" s="68">
        <v>2220</v>
      </c>
      <c r="Y592" s="11"/>
      <c r="Z592" s="11"/>
      <c r="AA592" s="11"/>
      <c r="AB592" s="11"/>
      <c r="AC592" s="11"/>
      <c r="AD592" s="11"/>
      <c r="AE592" s="11"/>
      <c r="AF592" s="11"/>
      <c r="AG592" s="11"/>
      <c r="AU592" s="44"/>
      <c r="AV592" s="44"/>
      <c r="AW592" s="11"/>
      <c r="AX592" s="1"/>
      <c r="AY592" s="1"/>
      <c r="AZ592" s="44"/>
      <c r="BA592" s="1"/>
      <c r="BC592" s="1"/>
      <c r="BD592" s="1"/>
      <c r="BE592" s="1"/>
      <c r="BF592" s="1"/>
      <c r="BG592" s="1"/>
      <c r="BH592" s="1"/>
      <c r="BI592" s="1"/>
      <c r="BJ592" s="1"/>
      <c r="BK592" s="1"/>
    </row>
    <row r="593" spans="1:63" s="70" customFormat="1" ht="12" customHeight="1" x14ac:dyDescent="0.2">
      <c r="A593" s="11" t="s">
        <v>28259</v>
      </c>
      <c r="B593" s="68">
        <v>37</v>
      </c>
      <c r="C593" s="11" t="s">
        <v>114</v>
      </c>
      <c r="D593" s="11" t="s">
        <v>21</v>
      </c>
      <c r="E593" s="11"/>
      <c r="F593" s="69">
        <v>42750</v>
      </c>
      <c r="G593" s="11" t="s">
        <v>28260</v>
      </c>
      <c r="H593" s="11" t="s">
        <v>489</v>
      </c>
      <c r="I593" s="11" t="s">
        <v>45</v>
      </c>
      <c r="J593" s="11">
        <v>90804</v>
      </c>
      <c r="K593" s="11" t="s">
        <v>98</v>
      </c>
      <c r="L593" s="11" t="s">
        <v>490</v>
      </c>
      <c r="M593" s="68" t="s">
        <v>5411</v>
      </c>
      <c r="N593" s="11" t="s">
        <v>28261</v>
      </c>
      <c r="O593" s="11" t="s">
        <v>400</v>
      </c>
      <c r="P593" s="11" t="s">
        <v>401</v>
      </c>
      <c r="Q593" s="71" t="s">
        <v>28262</v>
      </c>
      <c r="R593" s="68" t="s">
        <v>555</v>
      </c>
      <c r="S593" s="11" t="s">
        <v>28</v>
      </c>
      <c r="T593" s="68" t="s">
        <v>29493</v>
      </c>
      <c r="U593" s="68" t="s">
        <v>29436</v>
      </c>
      <c r="V593" s="68" t="s">
        <v>29439</v>
      </c>
      <c r="W593" s="68" t="s">
        <v>100</v>
      </c>
      <c r="X593" s="68">
        <v>2217</v>
      </c>
      <c r="Y593" s="11"/>
      <c r="Z593" s="11"/>
      <c r="AA593" s="11"/>
      <c r="AB593" s="11"/>
      <c r="AC593" s="11"/>
      <c r="AD593" s="11"/>
      <c r="AE593" s="11"/>
      <c r="AF593" s="11"/>
      <c r="AG593" s="11"/>
      <c r="AU593" s="44"/>
      <c r="AV593" s="44"/>
      <c r="AW593" s="44"/>
      <c r="AZ593" s="44"/>
      <c r="BK593" s="1"/>
    </row>
    <row r="594" spans="1:63" s="70" customFormat="1" ht="12" customHeight="1" x14ac:dyDescent="0.2">
      <c r="A594" s="11" t="s">
        <v>28244</v>
      </c>
      <c r="B594" s="68">
        <v>47</v>
      </c>
      <c r="C594" s="11" t="s">
        <v>20</v>
      </c>
      <c r="D594" s="11" t="s">
        <v>37</v>
      </c>
      <c r="E594" s="11"/>
      <c r="F594" s="69">
        <v>42749</v>
      </c>
      <c r="G594" s="11" t="s">
        <v>28245</v>
      </c>
      <c r="H594" s="11" t="s">
        <v>1313</v>
      </c>
      <c r="I594" s="11" t="s">
        <v>73</v>
      </c>
      <c r="J594" s="11">
        <v>78750</v>
      </c>
      <c r="K594" s="11" t="s">
        <v>1314</v>
      </c>
      <c r="L594" s="11" t="s">
        <v>1315</v>
      </c>
      <c r="M594" s="11" t="s">
        <v>27</v>
      </c>
      <c r="N594" s="11" t="s">
        <v>28246</v>
      </c>
      <c r="O594" s="11" t="s">
        <v>400</v>
      </c>
      <c r="P594" s="11" t="s">
        <v>401</v>
      </c>
      <c r="Q594" s="71" t="s">
        <v>28247</v>
      </c>
      <c r="R594" s="11" t="s">
        <v>29</v>
      </c>
      <c r="S594" s="11" t="s">
        <v>28</v>
      </c>
      <c r="T594" s="68" t="s">
        <v>27756</v>
      </c>
      <c r="U594" s="68" t="s">
        <v>29438</v>
      </c>
      <c r="V594" s="68" t="s">
        <v>29440</v>
      </c>
      <c r="W594" s="68" t="s">
        <v>100</v>
      </c>
      <c r="X594" s="68">
        <v>2221</v>
      </c>
      <c r="Y594" s="11"/>
      <c r="Z594" s="11"/>
      <c r="AA594" s="11"/>
      <c r="AB594" s="11"/>
      <c r="AC594" s="11"/>
      <c r="AD594" s="11"/>
      <c r="AE594" s="11"/>
      <c r="AF594" s="11"/>
      <c r="AG594" s="11"/>
      <c r="AU594" s="44"/>
      <c r="AV594" s="44"/>
      <c r="AW594" s="1"/>
      <c r="AX594" s="1"/>
      <c r="AY594" s="1"/>
      <c r="AZ594" s="44"/>
      <c r="BA594" s="1"/>
      <c r="BB594" s="1"/>
      <c r="BC594" s="1"/>
      <c r="BD594" s="1"/>
      <c r="BE594" s="1"/>
      <c r="BF594" s="1"/>
      <c r="BG594" s="1"/>
      <c r="BH594" s="1"/>
      <c r="BI594" s="1"/>
      <c r="BJ594" s="1"/>
    </row>
    <row r="595" spans="1:63" s="70" customFormat="1" ht="12" customHeight="1" x14ac:dyDescent="0.2">
      <c r="A595" s="11" t="s">
        <v>28487</v>
      </c>
      <c r="B595" s="68">
        <v>28</v>
      </c>
      <c r="C595" s="11" t="s">
        <v>20</v>
      </c>
      <c r="D595" s="11" t="s">
        <v>85</v>
      </c>
      <c r="E595" s="11"/>
      <c r="F595" s="69">
        <v>42749</v>
      </c>
      <c r="G595" s="11" t="s">
        <v>28488</v>
      </c>
      <c r="H595" s="11" t="s">
        <v>28489</v>
      </c>
      <c r="I595" s="11" t="s">
        <v>423</v>
      </c>
      <c r="J595" s="11">
        <v>11413</v>
      </c>
      <c r="K595" s="11" t="s">
        <v>2675</v>
      </c>
      <c r="L595" s="11" t="s">
        <v>582</v>
      </c>
      <c r="M595" s="68" t="s">
        <v>5411</v>
      </c>
      <c r="N595" s="11" t="s">
        <v>28490</v>
      </c>
      <c r="O595" s="11" t="s">
        <v>400</v>
      </c>
      <c r="P595" s="11" t="s">
        <v>401</v>
      </c>
      <c r="Q595" s="71" t="s">
        <v>28491</v>
      </c>
      <c r="R595" s="11" t="s">
        <v>29</v>
      </c>
      <c r="S595" s="11" t="s">
        <v>35</v>
      </c>
      <c r="T595" s="68" t="s">
        <v>29452</v>
      </c>
      <c r="U595" s="68" t="s">
        <v>29438</v>
      </c>
      <c r="V595" s="68" t="s">
        <v>29439</v>
      </c>
      <c r="W595" s="68" t="s">
        <v>100</v>
      </c>
      <c r="X595" s="68">
        <v>2222</v>
      </c>
      <c r="Y595" s="11"/>
      <c r="Z595" s="11"/>
      <c r="AA595" s="11"/>
      <c r="AB595" s="11"/>
      <c r="AC595" s="11"/>
      <c r="AD595" s="11"/>
      <c r="AE595" s="11"/>
      <c r="AF595" s="11"/>
      <c r="AG595" s="11"/>
      <c r="AU595" s="44"/>
      <c r="AV595" s="44"/>
      <c r="AW595" s="44"/>
      <c r="AX595" s="11"/>
      <c r="AY595" s="11"/>
      <c r="AZ595" s="44"/>
      <c r="BA595" s="1"/>
      <c r="BK595" s="11"/>
    </row>
    <row r="596" spans="1:63" s="70" customFormat="1" ht="12" customHeight="1" x14ac:dyDescent="0.2">
      <c r="A596" s="11" t="s">
        <v>28579</v>
      </c>
      <c r="B596" s="11">
        <v>21</v>
      </c>
      <c r="C596" s="11" t="s">
        <v>20</v>
      </c>
      <c r="D596" s="11" t="s">
        <v>85</v>
      </c>
      <c r="E596" s="71" t="s">
        <v>28580</v>
      </c>
      <c r="F596" s="72">
        <v>42748</v>
      </c>
      <c r="G596" s="11" t="s">
        <v>28581</v>
      </c>
      <c r="H596" s="11" t="s">
        <v>5209</v>
      </c>
      <c r="I596" s="11" t="s">
        <v>81</v>
      </c>
      <c r="J596" s="11">
        <v>8302</v>
      </c>
      <c r="K596" s="11" t="s">
        <v>3152</v>
      </c>
      <c r="L596" s="11" t="s">
        <v>2477</v>
      </c>
      <c r="M596" s="11" t="s">
        <v>379</v>
      </c>
      <c r="N596" s="11" t="s">
        <v>28582</v>
      </c>
      <c r="O596" s="11" t="s">
        <v>1010</v>
      </c>
      <c r="P596" s="11" t="s">
        <v>401</v>
      </c>
      <c r="Q596" s="71" t="s">
        <v>28583</v>
      </c>
      <c r="R596" s="11" t="s">
        <v>100</v>
      </c>
      <c r="S596" s="11" t="s">
        <v>379</v>
      </c>
      <c r="T596" s="11" t="s">
        <v>379</v>
      </c>
      <c r="U596" s="11"/>
      <c r="V596" s="11"/>
      <c r="W596" s="11"/>
      <c r="X596" s="11"/>
      <c r="Y596" s="11"/>
      <c r="Z596" s="11"/>
      <c r="AA596" s="11"/>
      <c r="AB596" s="11"/>
      <c r="AC596" s="11"/>
      <c r="AD596" s="11"/>
      <c r="AE596" s="11"/>
      <c r="AF596" s="11"/>
      <c r="AG596" s="11"/>
      <c r="AU596" s="44"/>
      <c r="AV596" s="44"/>
      <c r="AW596" s="1"/>
      <c r="AX596" s="44"/>
      <c r="AY596" s="44"/>
      <c r="BA596" s="1"/>
      <c r="BB596" s="1"/>
      <c r="BK596" s="1"/>
    </row>
    <row r="597" spans="1:63" s="70" customFormat="1" ht="12" customHeight="1" x14ac:dyDescent="0.2">
      <c r="A597" s="11" t="s">
        <v>28432</v>
      </c>
      <c r="B597" s="11">
        <v>16</v>
      </c>
      <c r="C597" s="11" t="s">
        <v>114</v>
      </c>
      <c r="D597" s="11" t="s">
        <v>85</v>
      </c>
      <c r="E597" s="71" t="s">
        <v>28433</v>
      </c>
      <c r="F597" s="72">
        <v>42748</v>
      </c>
      <c r="G597" s="11" t="s">
        <v>28434</v>
      </c>
      <c r="H597" s="11" t="s">
        <v>28435</v>
      </c>
      <c r="I597" s="11" t="s">
        <v>32</v>
      </c>
      <c r="J597" s="11">
        <v>29137</v>
      </c>
      <c r="K597" s="11" t="s">
        <v>1784</v>
      </c>
      <c r="L597" s="11" t="s">
        <v>28436</v>
      </c>
      <c r="M597" s="11" t="s">
        <v>379</v>
      </c>
      <c r="N597" s="11" t="s">
        <v>28437</v>
      </c>
      <c r="O597" s="11" t="s">
        <v>28431</v>
      </c>
      <c r="P597" s="11" t="s">
        <v>401</v>
      </c>
      <c r="Q597" s="71" t="s">
        <v>28438</v>
      </c>
      <c r="R597" s="11" t="s">
        <v>100</v>
      </c>
      <c r="S597" s="66" t="s">
        <v>379</v>
      </c>
      <c r="T597" s="66" t="s">
        <v>30738</v>
      </c>
      <c r="U597" s="1"/>
      <c r="V597" s="11"/>
      <c r="W597" s="11"/>
      <c r="X597" s="11"/>
      <c r="Y597" s="11"/>
      <c r="Z597" s="11"/>
      <c r="AA597" s="11"/>
      <c r="AB597" s="11"/>
      <c r="AC597" s="11"/>
      <c r="AD597" s="11"/>
      <c r="AE597" s="11"/>
      <c r="AF597" s="11"/>
      <c r="AG597" s="11"/>
      <c r="AU597" s="44"/>
      <c r="AV597" s="44"/>
      <c r="AW597" s="1"/>
      <c r="AX597" s="44"/>
      <c r="AY597" s="44"/>
      <c r="BA597" s="1"/>
      <c r="BB597" s="1"/>
      <c r="BK597" s="1"/>
    </row>
    <row r="598" spans="1:63" s="70" customFormat="1" ht="12" customHeight="1" x14ac:dyDescent="0.2">
      <c r="A598" s="11" t="s">
        <v>28521</v>
      </c>
      <c r="B598" s="68">
        <v>29</v>
      </c>
      <c r="C598" s="11" t="s">
        <v>20</v>
      </c>
      <c r="D598" s="11" t="s">
        <v>942</v>
      </c>
      <c r="E598" s="11"/>
      <c r="F598" s="69">
        <v>42748</v>
      </c>
      <c r="G598" s="11" t="s">
        <v>28852</v>
      </c>
      <c r="H598" s="11" t="s">
        <v>28522</v>
      </c>
      <c r="I598" s="11" t="s">
        <v>870</v>
      </c>
      <c r="J598" s="11">
        <v>96762</v>
      </c>
      <c r="K598" s="11" t="s">
        <v>2362</v>
      </c>
      <c r="L598" s="11" t="s">
        <v>3582</v>
      </c>
      <c r="M598" s="11" t="s">
        <v>27</v>
      </c>
      <c r="N598" s="11" t="s">
        <v>28523</v>
      </c>
      <c r="O598" s="11" t="s">
        <v>400</v>
      </c>
      <c r="P598" s="11" t="s">
        <v>401</v>
      </c>
      <c r="Q598" s="71" t="s">
        <v>28524</v>
      </c>
      <c r="R598" s="11" t="s">
        <v>100</v>
      </c>
      <c r="S598" s="11" t="s">
        <v>379</v>
      </c>
      <c r="T598" s="68" t="s">
        <v>379</v>
      </c>
      <c r="U598" s="68" t="s">
        <v>29441</v>
      </c>
      <c r="V598" s="68" t="s">
        <v>29437</v>
      </c>
      <c r="W598" s="68" t="s">
        <v>100</v>
      </c>
      <c r="X598" s="68">
        <v>2218</v>
      </c>
      <c r="Y598" s="11"/>
      <c r="Z598" s="11"/>
      <c r="AA598" s="11"/>
      <c r="AB598" s="11"/>
      <c r="AC598" s="11"/>
      <c r="AD598" s="11"/>
      <c r="AE598" s="11"/>
      <c r="AF598" s="11"/>
      <c r="AG598" s="11"/>
      <c r="AU598" s="44"/>
      <c r="AV598" s="44"/>
      <c r="AW598" s="44"/>
      <c r="AX598" s="1"/>
      <c r="AY598" s="1"/>
      <c r="AZ598" s="44"/>
      <c r="BA598" s="44"/>
      <c r="BB598" s="11"/>
      <c r="BC598" s="1"/>
      <c r="BD598" s="1"/>
      <c r="BE598" s="1"/>
      <c r="BF598" s="1"/>
      <c r="BG598" s="1"/>
      <c r="BH598" s="1"/>
      <c r="BI598" s="1"/>
      <c r="BJ598" s="1"/>
      <c r="BK598" s="11"/>
    </row>
    <row r="599" spans="1:63" s="70" customFormat="1" ht="12" customHeight="1" x14ac:dyDescent="0.2">
      <c r="A599" s="11" t="s">
        <v>27980</v>
      </c>
      <c r="B599" s="68">
        <v>20</v>
      </c>
      <c r="C599" s="11" t="s">
        <v>20</v>
      </c>
      <c r="D599" s="11" t="s">
        <v>139</v>
      </c>
      <c r="E599" s="71" t="s">
        <v>27981</v>
      </c>
      <c r="F599" s="69">
        <v>42747</v>
      </c>
      <c r="G599" s="11" t="s">
        <v>28819</v>
      </c>
      <c r="H599" s="11" t="s">
        <v>27982</v>
      </c>
      <c r="I599" s="11" t="s">
        <v>133</v>
      </c>
      <c r="J599" s="11">
        <v>56359</v>
      </c>
      <c r="K599" s="11" t="s">
        <v>27983</v>
      </c>
      <c r="L599" s="11" t="s">
        <v>27984</v>
      </c>
      <c r="M599" s="11" t="s">
        <v>27</v>
      </c>
      <c r="N599" s="11" t="s">
        <v>27985</v>
      </c>
      <c r="O599" s="11" t="s">
        <v>400</v>
      </c>
      <c r="P599" s="11" t="s">
        <v>401</v>
      </c>
      <c r="Q599" s="71" t="s">
        <v>27986</v>
      </c>
      <c r="R599" s="11" t="s">
        <v>100</v>
      </c>
      <c r="S599" s="11" t="s">
        <v>28</v>
      </c>
      <c r="T599" s="68" t="s">
        <v>27756</v>
      </c>
      <c r="U599" s="68" t="s">
        <v>29438</v>
      </c>
      <c r="V599" s="68" t="s">
        <v>29439</v>
      </c>
      <c r="W599" s="68" t="s">
        <v>100</v>
      </c>
      <c r="X599" s="68">
        <v>2224</v>
      </c>
      <c r="Y599" s="11"/>
      <c r="Z599" s="11"/>
      <c r="AA599" s="11"/>
      <c r="AB599" s="11"/>
      <c r="AC599" s="11"/>
      <c r="AD599" s="11"/>
      <c r="AE599" s="11"/>
      <c r="AF599" s="11"/>
      <c r="AG599" s="11"/>
      <c r="AU599" s="44"/>
      <c r="AV599" s="44"/>
      <c r="AX599" s="1"/>
      <c r="AY599" s="1"/>
      <c r="AZ599" s="44"/>
      <c r="BA599" s="44"/>
      <c r="BB599" s="11"/>
      <c r="BC599" s="1"/>
      <c r="BD599" s="1"/>
      <c r="BE599" s="1"/>
      <c r="BF599" s="1"/>
      <c r="BG599" s="1"/>
      <c r="BH599" s="1"/>
      <c r="BI599" s="1"/>
      <c r="BJ599" s="1"/>
    </row>
    <row r="600" spans="1:63" s="70" customFormat="1" ht="12" customHeight="1" x14ac:dyDescent="0.2">
      <c r="A600" s="11" t="s">
        <v>28223</v>
      </c>
      <c r="B600" s="68">
        <v>26</v>
      </c>
      <c r="C600" s="11" t="s">
        <v>20</v>
      </c>
      <c r="D600" s="11" t="s">
        <v>37</v>
      </c>
      <c r="E600" s="71" t="s">
        <v>28224</v>
      </c>
      <c r="F600" s="69">
        <v>42747</v>
      </c>
      <c r="G600" s="11" t="s">
        <v>28225</v>
      </c>
      <c r="H600" s="11" t="s">
        <v>9776</v>
      </c>
      <c r="I600" s="11" t="s">
        <v>244</v>
      </c>
      <c r="J600" s="11">
        <v>24134</v>
      </c>
      <c r="K600" s="11" t="s">
        <v>9778</v>
      </c>
      <c r="L600" s="11" t="s">
        <v>28226</v>
      </c>
      <c r="M600" s="11" t="s">
        <v>27</v>
      </c>
      <c r="N600" s="11" t="s">
        <v>28227</v>
      </c>
      <c r="O600" s="11" t="s">
        <v>400</v>
      </c>
      <c r="P600" s="11" t="s">
        <v>401</v>
      </c>
      <c r="Q600" s="71" t="s">
        <v>28228</v>
      </c>
      <c r="R600" s="11" t="s">
        <v>29</v>
      </c>
      <c r="S600" s="11" t="s">
        <v>28</v>
      </c>
      <c r="T600" s="68" t="s">
        <v>29493</v>
      </c>
      <c r="U600" s="68" t="s">
        <v>29438</v>
      </c>
      <c r="V600" s="68" t="s">
        <v>29439</v>
      </c>
      <c r="W600" s="68" t="s">
        <v>100</v>
      </c>
      <c r="X600" s="68">
        <v>2227</v>
      </c>
      <c r="Y600" s="11"/>
      <c r="Z600" s="11"/>
      <c r="AA600" s="11"/>
      <c r="AB600" s="11"/>
      <c r="AC600" s="11"/>
      <c r="AD600" s="11"/>
      <c r="AE600" s="11"/>
      <c r="AF600" s="11"/>
      <c r="AG600" s="11"/>
      <c r="AU600" s="44"/>
      <c r="AV600" s="44"/>
      <c r="AW600" s="44"/>
      <c r="AX600" s="1"/>
      <c r="AY600" s="1"/>
      <c r="AZ600" s="44"/>
      <c r="BA600" s="1"/>
      <c r="BB600" s="1"/>
      <c r="BC600" s="1"/>
      <c r="BD600" s="1"/>
      <c r="BE600" s="1"/>
      <c r="BF600" s="1"/>
      <c r="BG600" s="1"/>
      <c r="BH600" s="1"/>
      <c r="BI600" s="1"/>
      <c r="BJ600" s="1"/>
    </row>
    <row r="601" spans="1:63" s="70" customFormat="1" ht="12" customHeight="1" x14ac:dyDescent="0.2">
      <c r="A601" s="11" t="s">
        <v>28690</v>
      </c>
      <c r="B601" s="68">
        <v>54</v>
      </c>
      <c r="C601" s="11" t="s">
        <v>20</v>
      </c>
      <c r="D601" s="11" t="s">
        <v>37</v>
      </c>
      <c r="E601" s="71" t="s">
        <v>28691</v>
      </c>
      <c r="F601" s="69">
        <v>42747</v>
      </c>
      <c r="G601" s="11" t="s">
        <v>28692</v>
      </c>
      <c r="H601" s="11" t="s">
        <v>3052</v>
      </c>
      <c r="I601" s="11" t="s">
        <v>62</v>
      </c>
      <c r="J601" s="11">
        <v>34471</v>
      </c>
      <c r="K601" s="11" t="s">
        <v>420</v>
      </c>
      <c r="L601" s="11" t="s">
        <v>3054</v>
      </c>
      <c r="M601" s="11" t="s">
        <v>27</v>
      </c>
      <c r="N601" s="11" t="s">
        <v>28693</v>
      </c>
      <c r="O601" s="11" t="s">
        <v>400</v>
      </c>
      <c r="P601" s="11" t="s">
        <v>401</v>
      </c>
      <c r="Q601" s="71" t="s">
        <v>28694</v>
      </c>
      <c r="R601" s="68" t="s">
        <v>555</v>
      </c>
      <c r="S601" s="11" t="s">
        <v>28</v>
      </c>
      <c r="T601" s="68" t="s">
        <v>27756</v>
      </c>
      <c r="U601" s="68" t="s">
        <v>29441</v>
      </c>
      <c r="V601" s="68"/>
      <c r="W601" s="68" t="s">
        <v>100</v>
      </c>
      <c r="X601" s="68">
        <v>2211</v>
      </c>
      <c r="Y601" s="11"/>
      <c r="Z601" s="11"/>
      <c r="AA601" s="11"/>
      <c r="AB601" s="11"/>
      <c r="AC601" s="11"/>
      <c r="AD601" s="11"/>
      <c r="AE601" s="11"/>
      <c r="AF601" s="11"/>
      <c r="AG601" s="11"/>
      <c r="AU601" s="44"/>
      <c r="AV601" s="44"/>
      <c r="AW601" s="1"/>
      <c r="AX601" s="1"/>
      <c r="AY601" s="1"/>
      <c r="AZ601" s="44"/>
      <c r="BB601" s="11"/>
      <c r="BC601" s="1"/>
      <c r="BD601" s="1"/>
      <c r="BE601" s="1"/>
      <c r="BF601" s="1"/>
      <c r="BG601" s="1"/>
      <c r="BH601" s="1"/>
      <c r="BI601" s="1"/>
      <c r="BJ601" s="1"/>
    </row>
    <row r="602" spans="1:63" s="70" customFormat="1" ht="12" customHeight="1" x14ac:dyDescent="0.2">
      <c r="A602" s="11" t="s">
        <v>27944</v>
      </c>
      <c r="B602" s="68">
        <v>41</v>
      </c>
      <c r="C602" s="11" t="s">
        <v>20</v>
      </c>
      <c r="D602" s="11" t="s">
        <v>21</v>
      </c>
      <c r="E602" s="11"/>
      <c r="F602" s="69">
        <v>42746</v>
      </c>
      <c r="G602" s="11" t="s">
        <v>27945</v>
      </c>
      <c r="H602" s="11" t="s">
        <v>12021</v>
      </c>
      <c r="I602" s="11" t="s">
        <v>45</v>
      </c>
      <c r="J602" s="11">
        <v>92532</v>
      </c>
      <c r="K602" s="11" t="s">
        <v>783</v>
      </c>
      <c r="L602" s="11" t="s">
        <v>27946</v>
      </c>
      <c r="M602" s="11" t="s">
        <v>27</v>
      </c>
      <c r="N602" s="11" t="s">
        <v>27947</v>
      </c>
      <c r="O602" s="11" t="s">
        <v>400</v>
      </c>
      <c r="P602" s="11" t="s">
        <v>401</v>
      </c>
      <c r="Q602" s="71" t="s">
        <v>27948</v>
      </c>
      <c r="R602" s="11" t="s">
        <v>964</v>
      </c>
      <c r="S602" s="11" t="s">
        <v>28</v>
      </c>
      <c r="T602" s="68" t="s">
        <v>27756</v>
      </c>
      <c r="U602" s="68" t="s">
        <v>29438</v>
      </c>
      <c r="V602" s="68" t="s">
        <v>21212</v>
      </c>
      <c r="W602" s="68" t="s">
        <v>100</v>
      </c>
      <c r="X602" s="68">
        <v>2210</v>
      </c>
      <c r="Y602" s="11"/>
      <c r="Z602" s="11"/>
      <c r="AA602" s="11"/>
      <c r="AB602" s="11"/>
      <c r="AC602" s="11"/>
      <c r="AD602" s="11"/>
      <c r="AE602" s="11"/>
      <c r="AF602" s="11"/>
      <c r="AG602" s="11"/>
      <c r="AU602" s="44"/>
      <c r="AV602" s="44"/>
      <c r="AW602" s="1"/>
      <c r="AZ602" s="44"/>
      <c r="BA602" s="44"/>
      <c r="BB602" s="44"/>
    </row>
    <row r="603" spans="1:63" s="70" customFormat="1" ht="12" customHeight="1" x14ac:dyDescent="0.2">
      <c r="A603" s="11" t="s">
        <v>28038</v>
      </c>
      <c r="B603" s="68">
        <v>38</v>
      </c>
      <c r="C603" s="11" t="s">
        <v>20</v>
      </c>
      <c r="D603" s="11" t="s">
        <v>48</v>
      </c>
      <c r="E603" s="71" t="s">
        <v>28039</v>
      </c>
      <c r="F603" s="69">
        <v>42746</v>
      </c>
      <c r="G603" s="11" t="s">
        <v>28825</v>
      </c>
      <c r="H603" s="11" t="s">
        <v>1505</v>
      </c>
      <c r="I603" s="11" t="s">
        <v>81</v>
      </c>
      <c r="J603" s="11">
        <v>8105</v>
      </c>
      <c r="K603" s="11" t="s">
        <v>1505</v>
      </c>
      <c r="L603" s="11" t="s">
        <v>1506</v>
      </c>
      <c r="M603" s="11" t="s">
        <v>27</v>
      </c>
      <c r="N603" s="11" t="s">
        <v>28040</v>
      </c>
      <c r="O603" s="11" t="s">
        <v>400</v>
      </c>
      <c r="P603" s="11" t="s">
        <v>401</v>
      </c>
      <c r="Q603" s="71" t="s">
        <v>28041</v>
      </c>
      <c r="R603" s="11" t="s">
        <v>100</v>
      </c>
      <c r="S603" s="11" t="s">
        <v>28</v>
      </c>
      <c r="T603" s="68" t="s">
        <v>27756</v>
      </c>
      <c r="U603" s="68" t="s">
        <v>29438</v>
      </c>
      <c r="V603" s="68" t="s">
        <v>29439</v>
      </c>
      <c r="W603" s="68" t="s">
        <v>100</v>
      </c>
      <c r="X603" s="68">
        <v>2215</v>
      </c>
      <c r="Y603" s="11"/>
      <c r="Z603" s="11"/>
      <c r="AA603" s="11"/>
      <c r="AB603" s="11"/>
      <c r="AC603" s="11"/>
      <c r="AD603" s="11"/>
      <c r="AE603" s="11"/>
      <c r="AF603" s="11"/>
      <c r="AG603" s="11"/>
      <c r="AU603" s="44"/>
      <c r="AV603" s="44"/>
      <c r="AW603" s="44"/>
      <c r="AX603" s="1"/>
      <c r="AY603" s="1"/>
      <c r="AZ603" s="44"/>
      <c r="BA603" s="44"/>
      <c r="BB603" s="11"/>
      <c r="BC603" s="1"/>
      <c r="BD603" s="1"/>
      <c r="BE603" s="1"/>
      <c r="BF603" s="1"/>
      <c r="BG603" s="1"/>
      <c r="BH603" s="1"/>
      <c r="BI603" s="1"/>
      <c r="BJ603" s="1"/>
    </row>
    <row r="604" spans="1:63" s="70" customFormat="1" ht="12" customHeight="1" x14ac:dyDescent="0.2">
      <c r="A604" s="11" t="s">
        <v>28745</v>
      </c>
      <c r="B604" s="68">
        <v>41</v>
      </c>
      <c r="C604" s="11" t="s">
        <v>20</v>
      </c>
      <c r="D604" s="68" t="s">
        <v>37</v>
      </c>
      <c r="E604" s="11"/>
      <c r="F604" s="69">
        <v>42746</v>
      </c>
      <c r="G604" s="11" t="s">
        <v>28746</v>
      </c>
      <c r="H604" s="11" t="s">
        <v>1313</v>
      </c>
      <c r="I604" s="11" t="s">
        <v>133</v>
      </c>
      <c r="J604" s="11">
        <v>55912</v>
      </c>
      <c r="K604" s="11" t="s">
        <v>28747</v>
      </c>
      <c r="L604" s="11" t="s">
        <v>28748</v>
      </c>
      <c r="M604" s="11" t="s">
        <v>27</v>
      </c>
      <c r="N604" s="11" t="s">
        <v>28749</v>
      </c>
      <c r="O604" s="11" t="s">
        <v>400</v>
      </c>
      <c r="P604" s="11" t="s">
        <v>401</v>
      </c>
      <c r="Q604" s="71" t="s">
        <v>28750</v>
      </c>
      <c r="R604" s="11" t="s">
        <v>100</v>
      </c>
      <c r="S604" s="13" t="s">
        <v>18</v>
      </c>
      <c r="T604" s="68" t="s">
        <v>28345</v>
      </c>
      <c r="U604" s="68" t="s">
        <v>29441</v>
      </c>
      <c r="V604" s="68" t="s">
        <v>29439</v>
      </c>
      <c r="W604" s="68" t="s">
        <v>100</v>
      </c>
      <c r="X604" s="68">
        <v>2209</v>
      </c>
      <c r="Y604" s="11"/>
      <c r="Z604" s="11"/>
      <c r="AA604" s="11"/>
      <c r="AB604" s="11"/>
      <c r="AC604" s="11"/>
      <c r="AD604" s="11"/>
      <c r="AE604" s="11"/>
      <c r="AF604" s="11"/>
      <c r="AG604" s="11"/>
      <c r="AU604" s="44"/>
      <c r="AV604" s="44"/>
      <c r="AW604" s="1"/>
      <c r="AX604" s="1"/>
      <c r="AY604" s="1"/>
      <c r="AZ604" s="44"/>
      <c r="BA604" s="44"/>
      <c r="BB604" s="11"/>
      <c r="BC604" s="1"/>
      <c r="BD604" s="1"/>
      <c r="BE604" s="1"/>
      <c r="BF604" s="1"/>
      <c r="BG604" s="1"/>
      <c r="BH604" s="1"/>
      <c r="BI604" s="1"/>
      <c r="BJ604" s="1"/>
      <c r="BK604" s="1"/>
    </row>
    <row r="605" spans="1:63" s="70" customFormat="1" ht="12" customHeight="1" x14ac:dyDescent="0.2">
      <c r="A605" s="11" t="s">
        <v>28152</v>
      </c>
      <c r="B605" s="68">
        <v>32</v>
      </c>
      <c r="C605" s="11" t="s">
        <v>20</v>
      </c>
      <c r="D605" s="11" t="s">
        <v>37</v>
      </c>
      <c r="E605" s="11"/>
      <c r="F605" s="69">
        <v>42745</v>
      </c>
      <c r="G605" s="11" t="s">
        <v>28153</v>
      </c>
      <c r="H605" s="11" t="s">
        <v>98</v>
      </c>
      <c r="I605" s="11" t="s">
        <v>45</v>
      </c>
      <c r="J605" s="11">
        <v>90015</v>
      </c>
      <c r="K605" s="11" t="s">
        <v>98</v>
      </c>
      <c r="L605" s="11" t="s">
        <v>99</v>
      </c>
      <c r="M605" s="11" t="s">
        <v>27</v>
      </c>
      <c r="N605" s="11" t="s">
        <v>28154</v>
      </c>
      <c r="O605" s="11" t="s">
        <v>400</v>
      </c>
      <c r="P605" s="11" t="s">
        <v>401</v>
      </c>
      <c r="Q605" s="71" t="s">
        <v>28155</v>
      </c>
      <c r="R605" s="11" t="s">
        <v>100</v>
      </c>
      <c r="S605" s="11" t="s">
        <v>28</v>
      </c>
      <c r="T605" s="68" t="s">
        <v>29493</v>
      </c>
      <c r="U605" s="68" t="s">
        <v>29436</v>
      </c>
      <c r="V605" s="68" t="s">
        <v>29439</v>
      </c>
      <c r="W605" s="68" t="s">
        <v>100</v>
      </c>
      <c r="X605" s="68">
        <v>2207</v>
      </c>
      <c r="Y605" s="11"/>
      <c r="Z605" s="11"/>
      <c r="AA605" s="11"/>
      <c r="AB605" s="11"/>
      <c r="AC605" s="11"/>
      <c r="AD605" s="11"/>
      <c r="AE605" s="11"/>
      <c r="AF605" s="11"/>
      <c r="AG605" s="11"/>
      <c r="AU605" s="44"/>
      <c r="AV605" s="44"/>
      <c r="AW605" s="11"/>
      <c r="AX605" s="1"/>
      <c r="AY605" s="1"/>
      <c r="AZ605" s="44"/>
      <c r="BA605" s="44"/>
      <c r="BB605" s="11"/>
      <c r="BC605" s="1"/>
      <c r="BD605" s="1"/>
      <c r="BE605" s="1"/>
      <c r="BF605" s="1"/>
      <c r="BG605" s="1"/>
      <c r="BH605" s="1"/>
      <c r="BI605" s="1"/>
      <c r="BJ605" s="1"/>
    </row>
    <row r="606" spans="1:63" s="70" customFormat="1" ht="12" customHeight="1" x14ac:dyDescent="0.2">
      <c r="A606" s="11" t="s">
        <v>28601</v>
      </c>
      <c r="B606" s="68">
        <v>23</v>
      </c>
      <c r="C606" s="11" t="s">
        <v>20</v>
      </c>
      <c r="D606" s="11" t="s">
        <v>85</v>
      </c>
      <c r="E606" s="71" t="s">
        <v>28602</v>
      </c>
      <c r="F606" s="69">
        <v>42745</v>
      </c>
      <c r="G606" s="11" t="s">
        <v>28603</v>
      </c>
      <c r="H606" s="11" t="s">
        <v>28604</v>
      </c>
      <c r="I606" s="11" t="s">
        <v>319</v>
      </c>
      <c r="J606" s="11">
        <v>38368</v>
      </c>
      <c r="K606" s="11" t="s">
        <v>1277</v>
      </c>
      <c r="L606" s="11" t="s">
        <v>1278</v>
      </c>
      <c r="M606" s="68" t="s">
        <v>5411</v>
      </c>
      <c r="N606" s="11" t="s">
        <v>28605</v>
      </c>
      <c r="O606" s="11" t="s">
        <v>400</v>
      </c>
      <c r="P606" s="11" t="s">
        <v>401</v>
      </c>
      <c r="Q606" s="71" t="s">
        <v>28606</v>
      </c>
      <c r="R606" s="11" t="s">
        <v>100</v>
      </c>
      <c r="S606" s="11" t="s">
        <v>18</v>
      </c>
      <c r="T606" s="68" t="s">
        <v>28345</v>
      </c>
      <c r="U606" s="68" t="s">
        <v>29438</v>
      </c>
      <c r="V606" s="68" t="s">
        <v>29439</v>
      </c>
      <c r="W606" s="68" t="s">
        <v>100</v>
      </c>
      <c r="X606" s="68">
        <v>2223</v>
      </c>
      <c r="Y606" s="11"/>
      <c r="Z606" s="11"/>
      <c r="AA606" s="11"/>
      <c r="AB606" s="11"/>
      <c r="AC606" s="11"/>
      <c r="AD606" s="11"/>
      <c r="AE606" s="11"/>
      <c r="AF606" s="11"/>
      <c r="AG606" s="11"/>
      <c r="AU606" s="44"/>
      <c r="AV606" s="44"/>
      <c r="AW606" s="44"/>
      <c r="AX606" s="44"/>
      <c r="AY606" s="44"/>
      <c r="AZ606" s="44"/>
      <c r="BA606" s="44"/>
      <c r="BK606" s="1"/>
    </row>
    <row r="607" spans="1:63" s="70" customFormat="1" ht="12" customHeight="1" x14ac:dyDescent="0.2">
      <c r="A607" s="11" t="s">
        <v>28346</v>
      </c>
      <c r="B607" s="11">
        <v>30</v>
      </c>
      <c r="C607" s="11" t="s">
        <v>20</v>
      </c>
      <c r="D607" s="11" t="s">
        <v>48</v>
      </c>
      <c r="E607" s="71" t="s">
        <v>28347</v>
      </c>
      <c r="F607" s="72">
        <v>42745</v>
      </c>
      <c r="G607" s="11" t="s">
        <v>28348</v>
      </c>
      <c r="H607" s="11" t="s">
        <v>1287</v>
      </c>
      <c r="I607" s="11" t="s">
        <v>173</v>
      </c>
      <c r="J607" s="11">
        <v>31904</v>
      </c>
      <c r="K607" s="11" t="s">
        <v>10789</v>
      </c>
      <c r="L607" s="11" t="s">
        <v>3402</v>
      </c>
      <c r="M607" s="44" t="s">
        <v>2291</v>
      </c>
      <c r="N607" s="11" t="s">
        <v>28349</v>
      </c>
      <c r="O607" s="11" t="s">
        <v>400</v>
      </c>
      <c r="P607" s="11" t="s">
        <v>401</v>
      </c>
      <c r="Q607" s="71" t="s">
        <v>28350</v>
      </c>
      <c r="R607" s="11" t="s">
        <v>100</v>
      </c>
      <c r="S607" s="11" t="s">
        <v>18</v>
      </c>
      <c r="T607" s="11" t="s">
        <v>28345</v>
      </c>
      <c r="U607" s="11"/>
      <c r="V607" s="11"/>
      <c r="W607" s="11"/>
      <c r="X607" s="11"/>
      <c r="Y607" s="11"/>
      <c r="Z607" s="11"/>
      <c r="AA607" s="11"/>
      <c r="AB607" s="11"/>
      <c r="AC607" s="11"/>
      <c r="AD607" s="11"/>
      <c r="AE607" s="11"/>
      <c r="AF607" s="11"/>
      <c r="AG607" s="11"/>
      <c r="AU607" s="1"/>
      <c r="AV607" s="1"/>
      <c r="AW607" s="1"/>
      <c r="AX607" s="1"/>
      <c r="AY607" s="1"/>
      <c r="BA607" s="1"/>
      <c r="BB607" s="1"/>
      <c r="BC607" s="1"/>
      <c r="BD607" s="1"/>
      <c r="BE607" s="1"/>
      <c r="BF607" s="1"/>
      <c r="BG607" s="1"/>
      <c r="BH607" s="1"/>
      <c r="BI607" s="1"/>
      <c r="BJ607" s="1"/>
      <c r="BK607" s="1"/>
    </row>
    <row r="608" spans="1:63" s="70" customFormat="1" ht="12" customHeight="1" x14ac:dyDescent="0.2">
      <c r="A608" s="11" t="s">
        <v>28439</v>
      </c>
      <c r="B608" s="11">
        <v>23</v>
      </c>
      <c r="C608" s="11" t="s">
        <v>114</v>
      </c>
      <c r="D608" s="11" t="s">
        <v>37</v>
      </c>
      <c r="E608" s="71" t="s">
        <v>28440</v>
      </c>
      <c r="F608" s="72">
        <v>42745</v>
      </c>
      <c r="G608" s="11" t="s">
        <v>28441</v>
      </c>
      <c r="H608" s="11" t="s">
        <v>28442</v>
      </c>
      <c r="I608" s="11" t="s">
        <v>69</v>
      </c>
      <c r="J608" s="11">
        <v>44502</v>
      </c>
      <c r="K608" s="11" t="s">
        <v>15602</v>
      </c>
      <c r="L608" s="11" t="s">
        <v>28443</v>
      </c>
      <c r="M608" s="11" t="s">
        <v>379</v>
      </c>
      <c r="N608" s="11" t="s">
        <v>28444</v>
      </c>
      <c r="O608" s="11" t="s">
        <v>28431</v>
      </c>
      <c r="P608" s="11" t="s">
        <v>401</v>
      </c>
      <c r="Q608" s="71" t="s">
        <v>28445</v>
      </c>
      <c r="R608" s="11" t="s">
        <v>100</v>
      </c>
      <c r="S608" s="66" t="s">
        <v>379</v>
      </c>
      <c r="T608" s="66" t="s">
        <v>30738</v>
      </c>
      <c r="U608" s="1"/>
      <c r="V608" s="11"/>
      <c r="W608" s="11"/>
      <c r="X608" s="11"/>
      <c r="Y608" s="11"/>
      <c r="Z608" s="11"/>
      <c r="AA608" s="11"/>
      <c r="AB608" s="11"/>
      <c r="AC608" s="11"/>
      <c r="AD608" s="11"/>
      <c r="AE608" s="11"/>
      <c r="AF608" s="11"/>
      <c r="AG608" s="11"/>
      <c r="AU608" s="44"/>
      <c r="AV608" s="44"/>
      <c r="AW608" s="1"/>
      <c r="AX608" s="1"/>
      <c r="AY608" s="1"/>
      <c r="BA608" s="1"/>
      <c r="BB608" s="1"/>
      <c r="BC608" s="1"/>
      <c r="BD608" s="1"/>
      <c r="BE608" s="1"/>
      <c r="BF608" s="1"/>
      <c r="BG608" s="1"/>
      <c r="BH608" s="1"/>
      <c r="BI608" s="1"/>
      <c r="BJ608" s="1"/>
      <c r="BK608" s="1"/>
    </row>
    <row r="609" spans="1:63" s="70" customFormat="1" ht="12" customHeight="1" x14ac:dyDescent="0.2">
      <c r="A609" s="11" t="s">
        <v>27873</v>
      </c>
      <c r="B609" s="68">
        <v>21</v>
      </c>
      <c r="C609" s="11" t="s">
        <v>20</v>
      </c>
      <c r="D609" s="11" t="s">
        <v>85</v>
      </c>
      <c r="E609" s="11"/>
      <c r="F609" s="69">
        <v>42744</v>
      </c>
      <c r="G609" s="11" t="s">
        <v>28809</v>
      </c>
      <c r="H609" s="11" t="s">
        <v>21401</v>
      </c>
      <c r="I609" s="11" t="s">
        <v>431</v>
      </c>
      <c r="J609" s="11">
        <v>63113</v>
      </c>
      <c r="K609" s="11" t="s">
        <v>20282</v>
      </c>
      <c r="L609" s="11" t="s">
        <v>4516</v>
      </c>
      <c r="M609" s="11" t="s">
        <v>27</v>
      </c>
      <c r="N609" s="11" t="s">
        <v>27874</v>
      </c>
      <c r="O609" s="11" t="s">
        <v>400</v>
      </c>
      <c r="P609" s="11" t="s">
        <v>401</v>
      </c>
      <c r="Q609" s="71" t="s">
        <v>27875</v>
      </c>
      <c r="R609" s="11" t="s">
        <v>100</v>
      </c>
      <c r="S609" s="11" t="s">
        <v>28</v>
      </c>
      <c r="T609" s="68" t="s">
        <v>27756</v>
      </c>
      <c r="U609" s="68" t="s">
        <v>29438</v>
      </c>
      <c r="V609" s="68" t="s">
        <v>29437</v>
      </c>
      <c r="W609" s="68" t="s">
        <v>100</v>
      </c>
      <c r="X609" s="68">
        <v>2206</v>
      </c>
      <c r="Y609" s="11"/>
      <c r="Z609" s="11"/>
      <c r="AA609" s="11"/>
      <c r="AB609" s="11"/>
      <c r="AC609" s="11"/>
      <c r="AD609" s="11"/>
      <c r="AE609" s="11"/>
      <c r="AF609" s="11"/>
      <c r="AG609" s="11"/>
      <c r="AU609" s="44"/>
      <c r="AV609" s="44"/>
      <c r="AZ609" s="44"/>
      <c r="BA609" s="44"/>
      <c r="BB609" s="11"/>
    </row>
    <row r="610" spans="1:63" s="70" customFormat="1" ht="12" customHeight="1" x14ac:dyDescent="0.2">
      <c r="A610" s="11" t="s">
        <v>28682</v>
      </c>
      <c r="B610" s="68">
        <v>38</v>
      </c>
      <c r="C610" s="11" t="s">
        <v>20</v>
      </c>
      <c r="D610" s="11" t="s">
        <v>85</v>
      </c>
      <c r="E610" s="11"/>
      <c r="F610" s="69">
        <v>42744</v>
      </c>
      <c r="G610" s="11" t="s">
        <v>28683</v>
      </c>
      <c r="H610" s="11" t="s">
        <v>632</v>
      </c>
      <c r="I610" s="11" t="s">
        <v>123</v>
      </c>
      <c r="J610" s="11">
        <v>85051</v>
      </c>
      <c r="K610" s="11" t="s">
        <v>633</v>
      </c>
      <c r="L610" s="11" t="s">
        <v>634</v>
      </c>
      <c r="M610" s="11" t="s">
        <v>27</v>
      </c>
      <c r="N610" s="11" t="s">
        <v>28684</v>
      </c>
      <c r="O610" s="11" t="s">
        <v>400</v>
      </c>
      <c r="P610" s="11" t="s">
        <v>401</v>
      </c>
      <c r="Q610" s="71" t="s">
        <v>28685</v>
      </c>
      <c r="R610" s="11" t="s">
        <v>100</v>
      </c>
      <c r="S610" s="11" t="s">
        <v>18</v>
      </c>
      <c r="T610" s="68" t="s">
        <v>28345</v>
      </c>
      <c r="U610" s="68" t="s">
        <v>29436</v>
      </c>
      <c r="V610" s="68" t="s">
        <v>29440</v>
      </c>
      <c r="W610" s="68" t="s">
        <v>555</v>
      </c>
      <c r="X610" s="68">
        <v>2205</v>
      </c>
      <c r="Y610" s="11"/>
      <c r="Z610" s="11"/>
      <c r="AA610" s="11"/>
      <c r="AB610" s="11"/>
      <c r="AC610" s="11"/>
      <c r="AD610" s="11"/>
      <c r="AE610" s="11"/>
      <c r="AF610" s="11"/>
      <c r="AG610" s="11"/>
      <c r="AU610" s="44"/>
      <c r="AV610" s="44"/>
      <c r="AW610" s="11"/>
      <c r="AX610" s="44"/>
      <c r="AY610" s="44"/>
      <c r="AZ610" s="44"/>
      <c r="BA610" s="44"/>
      <c r="BB610" s="11"/>
      <c r="BK610" s="1"/>
    </row>
    <row r="611" spans="1:63" s="70" customFormat="1" ht="12" customHeight="1" x14ac:dyDescent="0.2">
      <c r="A611" s="11" t="s">
        <v>27987</v>
      </c>
      <c r="B611" s="68">
        <v>44</v>
      </c>
      <c r="C611" s="11" t="s">
        <v>20</v>
      </c>
      <c r="D611" s="11" t="s">
        <v>37</v>
      </c>
      <c r="E611" s="11" t="s">
        <v>28878</v>
      </c>
      <c r="F611" s="69">
        <v>42743</v>
      </c>
      <c r="G611" s="11" t="s">
        <v>27988</v>
      </c>
      <c r="H611" s="11" t="s">
        <v>9361</v>
      </c>
      <c r="I611" s="11" t="s">
        <v>173</v>
      </c>
      <c r="J611" s="11">
        <v>30041</v>
      </c>
      <c r="K611" s="11" t="s">
        <v>9363</v>
      </c>
      <c r="L611" s="11" t="s">
        <v>11043</v>
      </c>
      <c r="M611" s="11" t="s">
        <v>27</v>
      </c>
      <c r="N611" s="11" t="s">
        <v>27989</v>
      </c>
      <c r="O611" s="11" t="s">
        <v>400</v>
      </c>
      <c r="P611" s="11" t="s">
        <v>401</v>
      </c>
      <c r="Q611" s="71" t="s">
        <v>27990</v>
      </c>
      <c r="R611" s="11" t="s">
        <v>555</v>
      </c>
      <c r="S611" s="11" t="s">
        <v>28</v>
      </c>
      <c r="T611" s="68" t="s">
        <v>29493</v>
      </c>
      <c r="U611" s="68" t="s">
        <v>29436</v>
      </c>
      <c r="V611" s="68" t="s">
        <v>29439</v>
      </c>
      <c r="W611" s="68" t="s">
        <v>100</v>
      </c>
      <c r="X611" s="68">
        <v>2204</v>
      </c>
      <c r="Y611" s="11"/>
      <c r="Z611" s="11"/>
      <c r="AA611" s="11"/>
      <c r="AB611" s="11"/>
      <c r="AC611" s="11"/>
      <c r="AD611" s="11"/>
      <c r="AE611" s="11"/>
      <c r="AF611" s="11"/>
      <c r="AG611" s="11"/>
      <c r="AU611" s="44"/>
      <c r="AV611" s="44"/>
      <c r="AW611" s="1"/>
      <c r="AX611" s="1"/>
      <c r="AY611" s="1"/>
      <c r="AZ611" s="44"/>
      <c r="BA611" s="44"/>
      <c r="BB611" s="11"/>
      <c r="BC611" s="1"/>
      <c r="BD611" s="1"/>
      <c r="BE611" s="1"/>
      <c r="BF611" s="1"/>
      <c r="BG611" s="1"/>
      <c r="BH611" s="1"/>
      <c r="BI611" s="1"/>
      <c r="BJ611" s="1"/>
    </row>
    <row r="612" spans="1:63" s="70" customFormat="1" ht="12" customHeight="1" x14ac:dyDescent="0.2">
      <c r="A612" s="11" t="s">
        <v>28292</v>
      </c>
      <c r="B612" s="68">
        <v>42</v>
      </c>
      <c r="C612" s="11" t="s">
        <v>20</v>
      </c>
      <c r="D612" s="11" t="s">
        <v>37</v>
      </c>
      <c r="E612" s="71" t="s">
        <v>28293</v>
      </c>
      <c r="F612" s="69">
        <v>42742</v>
      </c>
      <c r="G612" s="11" t="s">
        <v>28294</v>
      </c>
      <c r="H612" s="11" t="s">
        <v>28295</v>
      </c>
      <c r="I612" s="11" t="s">
        <v>395</v>
      </c>
      <c r="J612" s="11">
        <v>74343</v>
      </c>
      <c r="K612" s="11" t="s">
        <v>7694</v>
      </c>
      <c r="L612" s="11" t="s">
        <v>28296</v>
      </c>
      <c r="M612" s="11" t="s">
        <v>27</v>
      </c>
      <c r="N612" s="11" t="s">
        <v>28297</v>
      </c>
      <c r="O612" s="11" t="s">
        <v>400</v>
      </c>
      <c r="P612" s="11" t="s">
        <v>401</v>
      </c>
      <c r="Q612" s="71" t="s">
        <v>28298</v>
      </c>
      <c r="R612" s="11" t="s">
        <v>100</v>
      </c>
      <c r="S612" s="11" t="s">
        <v>28</v>
      </c>
      <c r="T612" s="68" t="s">
        <v>27756</v>
      </c>
      <c r="U612" s="68" t="s">
        <v>29438</v>
      </c>
      <c r="V612" s="68" t="s">
        <v>21212</v>
      </c>
      <c r="W612" s="68" t="s">
        <v>100</v>
      </c>
      <c r="X612" s="68">
        <v>2198</v>
      </c>
      <c r="Y612" s="11"/>
      <c r="Z612" s="11"/>
      <c r="AA612" s="11"/>
      <c r="AB612" s="11"/>
      <c r="AC612" s="11"/>
      <c r="AD612" s="11"/>
      <c r="AE612" s="11"/>
      <c r="AF612" s="11"/>
      <c r="AG612" s="11"/>
      <c r="AU612" s="44"/>
      <c r="AV612" s="44"/>
      <c r="AW612" s="1"/>
      <c r="AX612" s="1"/>
      <c r="AY612" s="1"/>
      <c r="AZ612" s="44"/>
      <c r="BA612" s="44"/>
      <c r="BB612" s="11"/>
      <c r="BC612" s="1"/>
      <c r="BD612" s="1"/>
      <c r="BE612" s="1"/>
      <c r="BF612" s="1"/>
      <c r="BG612" s="1"/>
      <c r="BH612" s="1"/>
      <c r="BI612" s="1"/>
      <c r="BJ612" s="1"/>
    </row>
    <row r="613" spans="1:63" s="70" customFormat="1" ht="12" customHeight="1" x14ac:dyDescent="0.2">
      <c r="A613" s="11" t="s">
        <v>27852</v>
      </c>
      <c r="B613" s="68">
        <v>25</v>
      </c>
      <c r="C613" s="11" t="s">
        <v>20</v>
      </c>
      <c r="D613" s="11" t="s">
        <v>37</v>
      </c>
      <c r="E613" s="71" t="s">
        <v>27853</v>
      </c>
      <c r="F613" s="69">
        <v>42742</v>
      </c>
      <c r="G613" s="11" t="s">
        <v>27854</v>
      </c>
      <c r="H613" s="11" t="s">
        <v>8637</v>
      </c>
      <c r="I613" s="11" t="s">
        <v>150</v>
      </c>
      <c r="J613" s="11">
        <v>24740</v>
      </c>
      <c r="K613" s="11" t="s">
        <v>2902</v>
      </c>
      <c r="L613" s="11" t="s">
        <v>27855</v>
      </c>
      <c r="M613" s="11" t="s">
        <v>27</v>
      </c>
      <c r="N613" s="11" t="s">
        <v>27856</v>
      </c>
      <c r="O613" s="11" t="s">
        <v>400</v>
      </c>
      <c r="P613" s="11" t="s">
        <v>401</v>
      </c>
      <c r="Q613" s="71" t="s">
        <v>27857</v>
      </c>
      <c r="R613" s="11" t="s">
        <v>100</v>
      </c>
      <c r="S613" s="11" t="s">
        <v>28</v>
      </c>
      <c r="T613" s="68" t="s">
        <v>29493</v>
      </c>
      <c r="U613" s="68" t="s">
        <v>29436</v>
      </c>
      <c r="V613" s="68" t="s">
        <v>29437</v>
      </c>
      <c r="W613" s="68" t="s">
        <v>100</v>
      </c>
      <c r="X613" s="68">
        <v>2196</v>
      </c>
      <c r="Y613" s="11"/>
      <c r="Z613" s="11"/>
      <c r="AA613" s="11"/>
      <c r="AB613" s="11"/>
      <c r="AC613" s="11"/>
      <c r="AD613" s="11"/>
      <c r="AE613" s="11"/>
      <c r="AF613" s="11"/>
      <c r="AG613" s="11"/>
      <c r="AU613" s="44"/>
      <c r="AV613" s="44"/>
      <c r="AW613" s="11"/>
      <c r="AX613" s="1"/>
      <c r="AY613" s="1"/>
      <c r="AZ613" s="44"/>
      <c r="BA613" s="44"/>
      <c r="BB613" s="11"/>
      <c r="BC613" s="1"/>
      <c r="BD613" s="1"/>
      <c r="BE613" s="1"/>
      <c r="BF613" s="1"/>
      <c r="BG613" s="1"/>
      <c r="BH613" s="1"/>
      <c r="BI613" s="1"/>
      <c r="BJ613" s="1"/>
    </row>
    <row r="614" spans="1:63" s="70" customFormat="1" ht="12" customHeight="1" x14ac:dyDescent="0.2">
      <c r="A614" s="11" t="s">
        <v>28626</v>
      </c>
      <c r="B614" s="68">
        <v>38</v>
      </c>
      <c r="C614" s="11" t="s">
        <v>20</v>
      </c>
      <c r="D614" s="11" t="s">
        <v>48</v>
      </c>
      <c r="E614" s="71" t="s">
        <v>28627</v>
      </c>
      <c r="F614" s="69">
        <v>42742</v>
      </c>
      <c r="G614" s="11" t="s">
        <v>28628</v>
      </c>
      <c r="H614" s="11" t="s">
        <v>922</v>
      </c>
      <c r="I614" s="11" t="s">
        <v>195</v>
      </c>
      <c r="J614" s="11">
        <v>87107</v>
      </c>
      <c r="K614" s="11" t="s">
        <v>467</v>
      </c>
      <c r="L614" s="11" t="s">
        <v>4961</v>
      </c>
      <c r="M614" s="11" t="s">
        <v>27</v>
      </c>
      <c r="N614" s="11" t="s">
        <v>28629</v>
      </c>
      <c r="O614" s="11" t="s">
        <v>400</v>
      </c>
      <c r="P614" s="11" t="s">
        <v>401</v>
      </c>
      <c r="Q614" s="71" t="s">
        <v>28630</v>
      </c>
      <c r="R614" s="11" t="s">
        <v>100</v>
      </c>
      <c r="S614" s="11" t="s">
        <v>18</v>
      </c>
      <c r="T614" s="68" t="s">
        <v>29760</v>
      </c>
      <c r="U614" s="68" t="s">
        <v>29436</v>
      </c>
      <c r="V614" s="68" t="s">
        <v>29439</v>
      </c>
      <c r="W614" s="68" t="s">
        <v>100</v>
      </c>
      <c r="X614" s="68">
        <v>2203</v>
      </c>
      <c r="Y614" s="11"/>
      <c r="Z614" s="11"/>
      <c r="AA614" s="11"/>
      <c r="AB614" s="11"/>
      <c r="AC614" s="11"/>
      <c r="AD614" s="11"/>
      <c r="AE614" s="11"/>
      <c r="AF614" s="11"/>
      <c r="AG614" s="11"/>
      <c r="AU614" s="44"/>
      <c r="AV614" s="44"/>
      <c r="AW614" s="44"/>
      <c r="AX614" s="1"/>
      <c r="AY614" s="1"/>
      <c r="AZ614" s="44"/>
      <c r="BA614" s="44"/>
      <c r="BB614" s="11"/>
      <c r="BC614" s="1"/>
      <c r="BD614" s="1"/>
      <c r="BE614" s="1"/>
      <c r="BF614" s="1"/>
      <c r="BG614" s="1"/>
      <c r="BH614" s="1"/>
      <c r="BI614" s="1"/>
      <c r="BJ614" s="1"/>
      <c r="BK614" s="1"/>
    </row>
    <row r="615" spans="1:63" s="70" customFormat="1" ht="12" customHeight="1" x14ac:dyDescent="0.2">
      <c r="A615" s="11" t="s">
        <v>28791</v>
      </c>
      <c r="B615" s="68">
        <v>41</v>
      </c>
      <c r="C615" s="11" t="s">
        <v>20</v>
      </c>
      <c r="D615" s="11" t="s">
        <v>37</v>
      </c>
      <c r="E615" s="11"/>
      <c r="F615" s="69">
        <v>42742</v>
      </c>
      <c r="G615" s="11" t="s">
        <v>28871</v>
      </c>
      <c r="H615" s="11" t="s">
        <v>28792</v>
      </c>
      <c r="I615" s="11" t="s">
        <v>52</v>
      </c>
      <c r="J615" s="11">
        <v>21075</v>
      </c>
      <c r="K615" s="11" t="s">
        <v>53</v>
      </c>
      <c r="L615" s="11" t="s">
        <v>54</v>
      </c>
      <c r="M615" s="11" t="s">
        <v>27</v>
      </c>
      <c r="N615" s="11" t="s">
        <v>28793</v>
      </c>
      <c r="O615" s="11" t="s">
        <v>400</v>
      </c>
      <c r="P615" s="11" t="s">
        <v>401</v>
      </c>
      <c r="Q615" s="71" t="s">
        <v>28794</v>
      </c>
      <c r="R615" s="11" t="s">
        <v>100</v>
      </c>
      <c r="S615" s="11" t="s">
        <v>18</v>
      </c>
      <c r="T615" s="68" t="s">
        <v>28345</v>
      </c>
      <c r="U615" s="68" t="s">
        <v>29438</v>
      </c>
      <c r="V615" s="68" t="s">
        <v>29439</v>
      </c>
      <c r="W615" s="68" t="s">
        <v>100</v>
      </c>
      <c r="X615" s="68">
        <v>2199</v>
      </c>
      <c r="Y615" s="11"/>
      <c r="Z615" s="11"/>
      <c r="AA615" s="11"/>
      <c r="AB615" s="11"/>
      <c r="AC615" s="11"/>
      <c r="AD615" s="11"/>
      <c r="AE615" s="11"/>
      <c r="AF615" s="11"/>
      <c r="AG615" s="11"/>
      <c r="AU615" s="44"/>
      <c r="AV615" s="44"/>
      <c r="AW615" s="1"/>
      <c r="AX615" s="1"/>
      <c r="AY615" s="1"/>
      <c r="AZ615" s="44"/>
      <c r="BA615" s="44"/>
      <c r="BB615" s="11"/>
      <c r="BC615" s="1"/>
      <c r="BD615" s="1"/>
      <c r="BE615" s="1"/>
      <c r="BF615" s="1"/>
      <c r="BG615" s="1"/>
      <c r="BH615" s="1"/>
      <c r="BI615" s="1"/>
      <c r="BJ615" s="1"/>
      <c r="BK615" s="1"/>
    </row>
    <row r="616" spans="1:63" s="70" customFormat="1" ht="12" customHeight="1" x14ac:dyDescent="0.2">
      <c r="A616" s="11" t="s">
        <v>27796</v>
      </c>
      <c r="B616" s="68">
        <v>50</v>
      </c>
      <c r="C616" s="11" t="s">
        <v>20</v>
      </c>
      <c r="D616" s="11" t="s">
        <v>48</v>
      </c>
      <c r="E616" s="11"/>
      <c r="F616" s="69">
        <v>42742</v>
      </c>
      <c r="G616" s="11" t="s">
        <v>27797</v>
      </c>
      <c r="H616" s="11" t="s">
        <v>5353</v>
      </c>
      <c r="I616" s="11" t="s">
        <v>431</v>
      </c>
      <c r="J616" s="11">
        <v>64057</v>
      </c>
      <c r="K616" s="11" t="s">
        <v>433</v>
      </c>
      <c r="L616" s="11" t="s">
        <v>1412</v>
      </c>
      <c r="M616" s="11" t="s">
        <v>27</v>
      </c>
      <c r="N616" s="11" t="s">
        <v>27798</v>
      </c>
      <c r="O616" s="11" t="s">
        <v>400</v>
      </c>
      <c r="P616" s="11" t="s">
        <v>401</v>
      </c>
      <c r="Q616" s="71" t="s">
        <v>27799</v>
      </c>
      <c r="R616" s="11" t="s">
        <v>555</v>
      </c>
      <c r="S616" s="11" t="s">
        <v>28</v>
      </c>
      <c r="T616" s="68" t="s">
        <v>27756</v>
      </c>
      <c r="U616" s="68" t="s">
        <v>29438</v>
      </c>
      <c r="V616" s="68" t="s">
        <v>29439</v>
      </c>
      <c r="W616" s="68" t="s">
        <v>100</v>
      </c>
      <c r="X616" s="68">
        <v>2202</v>
      </c>
      <c r="Y616" s="11"/>
      <c r="Z616" s="11"/>
      <c r="AA616" s="11"/>
      <c r="AB616" s="11"/>
      <c r="AC616" s="11"/>
      <c r="AD616" s="11"/>
      <c r="AE616" s="11"/>
      <c r="AF616" s="11"/>
      <c r="AG616" s="11"/>
      <c r="AU616" s="44"/>
      <c r="AV616" s="44"/>
      <c r="AW616" s="1"/>
      <c r="AX616" s="1"/>
      <c r="AY616" s="1"/>
      <c r="AZ616" s="44"/>
      <c r="BA616" s="44"/>
      <c r="BB616" s="11"/>
      <c r="BC616" s="1"/>
      <c r="BD616" s="1"/>
      <c r="BE616" s="1"/>
      <c r="BF616" s="1"/>
      <c r="BG616" s="1"/>
      <c r="BH616" s="1"/>
      <c r="BI616" s="1"/>
      <c r="BJ616" s="1"/>
    </row>
    <row r="617" spans="1:63" s="70" customFormat="1" ht="12" customHeight="1" x14ac:dyDescent="0.2">
      <c r="A617" s="11" t="s">
        <v>28534</v>
      </c>
      <c r="B617" s="68">
        <v>31</v>
      </c>
      <c r="C617" s="11" t="s">
        <v>20</v>
      </c>
      <c r="D617" s="11" t="s">
        <v>48</v>
      </c>
      <c r="E617" s="71" t="s">
        <v>28535</v>
      </c>
      <c r="F617" s="69">
        <v>42742</v>
      </c>
      <c r="G617" s="11" t="s">
        <v>28536</v>
      </c>
      <c r="H617" s="11" t="s">
        <v>2088</v>
      </c>
      <c r="I617" s="11" t="s">
        <v>209</v>
      </c>
      <c r="J617" s="11">
        <v>80234</v>
      </c>
      <c r="K617" s="11" t="s">
        <v>1924</v>
      </c>
      <c r="L617" s="11" t="s">
        <v>2089</v>
      </c>
      <c r="M617" s="11" t="s">
        <v>27</v>
      </c>
      <c r="N617" s="11" t="s">
        <v>28537</v>
      </c>
      <c r="O617" s="11" t="s">
        <v>400</v>
      </c>
      <c r="P617" s="11" t="s">
        <v>401</v>
      </c>
      <c r="Q617" s="71" t="s">
        <v>28538</v>
      </c>
      <c r="R617" s="68" t="s">
        <v>555</v>
      </c>
      <c r="S617" s="11" t="s">
        <v>379</v>
      </c>
      <c r="T617" s="68" t="s">
        <v>379</v>
      </c>
      <c r="U617" s="68" t="s">
        <v>29436</v>
      </c>
      <c r="V617" s="68" t="s">
        <v>29439</v>
      </c>
      <c r="W617" s="68" t="s">
        <v>100</v>
      </c>
      <c r="X617" s="68">
        <v>2201</v>
      </c>
      <c r="Y617" s="11"/>
      <c r="Z617" s="11"/>
      <c r="AA617" s="11"/>
      <c r="AB617" s="11"/>
      <c r="AC617" s="11"/>
      <c r="AD617" s="11"/>
      <c r="AE617" s="11"/>
      <c r="AF617" s="11"/>
      <c r="AG617" s="11"/>
      <c r="AU617" s="44"/>
      <c r="AV617" s="44"/>
      <c r="AW617" s="11"/>
      <c r="AX617" s="1"/>
      <c r="AY617" s="1"/>
      <c r="AZ617" s="44"/>
      <c r="BB617" s="44"/>
      <c r="BC617" s="1"/>
      <c r="BD617" s="1"/>
      <c r="BE617" s="1"/>
      <c r="BF617" s="1"/>
      <c r="BG617" s="1"/>
      <c r="BH617" s="1"/>
      <c r="BI617" s="1"/>
      <c r="BJ617" s="1"/>
      <c r="BK617" s="11"/>
    </row>
    <row r="618" spans="1:63" s="70" customFormat="1" ht="12" customHeight="1" x14ac:dyDescent="0.2">
      <c r="A618" s="66" t="s">
        <v>29606</v>
      </c>
      <c r="B618" s="66">
        <v>32</v>
      </c>
      <c r="C618" s="66" t="s">
        <v>20</v>
      </c>
      <c r="D618" s="66" t="s">
        <v>85</v>
      </c>
      <c r="E618" s="66"/>
      <c r="F618" s="67">
        <v>42741</v>
      </c>
      <c r="G618" s="67"/>
      <c r="H618" s="66" t="s">
        <v>29605</v>
      </c>
      <c r="I618" s="66" t="s">
        <v>44</v>
      </c>
      <c r="J618" s="66"/>
      <c r="K618" s="66"/>
      <c r="L618" s="66"/>
      <c r="M618" s="66" t="s">
        <v>27</v>
      </c>
      <c r="N618" s="66"/>
      <c r="O618" s="66" t="s">
        <v>400</v>
      </c>
      <c r="P618" s="66" t="s">
        <v>401</v>
      </c>
      <c r="Q618" s="66"/>
      <c r="R618" s="66" t="s">
        <v>100</v>
      </c>
      <c r="S618" s="66" t="s">
        <v>28</v>
      </c>
      <c r="T618" s="66" t="s">
        <v>27756</v>
      </c>
      <c r="U618" s="66" t="s">
        <v>29438</v>
      </c>
      <c r="V618" s="66" t="s">
        <v>21212</v>
      </c>
      <c r="W618" s="66" t="s">
        <v>100</v>
      </c>
      <c r="X618" s="66">
        <v>2200</v>
      </c>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c r="AY618" s="66"/>
      <c r="AZ618" s="66"/>
      <c r="BA618" s="66"/>
      <c r="BB618" s="66"/>
    </row>
    <row r="619" spans="1:63" s="70" customFormat="1" ht="12" customHeight="1" x14ac:dyDescent="0.2">
      <c r="A619" s="11" t="s">
        <v>28751</v>
      </c>
      <c r="B619" s="68">
        <v>23</v>
      </c>
      <c r="C619" s="11" t="s">
        <v>22441</v>
      </c>
      <c r="D619" s="11" t="s">
        <v>37</v>
      </c>
      <c r="E619" s="71" t="s">
        <v>28752</v>
      </c>
      <c r="F619" s="69">
        <v>42741</v>
      </c>
      <c r="G619" s="11" t="s">
        <v>28753</v>
      </c>
      <c r="H619" s="11" t="s">
        <v>28754</v>
      </c>
      <c r="I619" s="11" t="s">
        <v>404</v>
      </c>
      <c r="J619" s="11">
        <v>16146</v>
      </c>
      <c r="K619" s="11" t="s">
        <v>2902</v>
      </c>
      <c r="L619" s="11" t="s">
        <v>28755</v>
      </c>
      <c r="M619" s="11" t="s">
        <v>27</v>
      </c>
      <c r="N619" s="11" t="s">
        <v>28756</v>
      </c>
      <c r="O619" s="11" t="s">
        <v>400</v>
      </c>
      <c r="P619" s="11" t="s">
        <v>401</v>
      </c>
      <c r="Q619" s="71" t="s">
        <v>28757</v>
      </c>
      <c r="R619" s="68" t="s">
        <v>555</v>
      </c>
      <c r="S619" s="13" t="s">
        <v>28</v>
      </c>
      <c r="T619" s="68" t="s">
        <v>29493</v>
      </c>
      <c r="U619" s="68" t="s">
        <v>29436</v>
      </c>
      <c r="V619" s="68" t="s">
        <v>29439</v>
      </c>
      <c r="W619" s="68" t="s">
        <v>100</v>
      </c>
      <c r="X619" s="68">
        <v>2197</v>
      </c>
      <c r="Y619" s="11"/>
      <c r="Z619" s="11"/>
      <c r="AA619" s="11"/>
      <c r="AB619" s="11"/>
      <c r="AC619" s="11"/>
      <c r="AD619" s="11"/>
      <c r="AE619" s="11"/>
      <c r="AF619" s="11"/>
      <c r="AG619" s="11"/>
      <c r="AU619" s="44"/>
      <c r="AV619" s="44"/>
      <c r="AW619" s="44"/>
      <c r="AX619" s="1"/>
      <c r="AY619" s="1"/>
      <c r="AZ619" s="44"/>
      <c r="BB619" s="44"/>
      <c r="BC619" s="1"/>
      <c r="BD619" s="1"/>
      <c r="BE619" s="1"/>
      <c r="BF619" s="1"/>
      <c r="BG619" s="1"/>
      <c r="BH619" s="1"/>
      <c r="BI619" s="1"/>
      <c r="BJ619" s="1"/>
    </row>
    <row r="620" spans="1:63" s="70" customFormat="1" ht="12" customHeight="1" x14ac:dyDescent="0.2">
      <c r="A620" s="11" t="s">
        <v>28114</v>
      </c>
      <c r="B620" s="68">
        <v>20</v>
      </c>
      <c r="C620" s="11" t="s">
        <v>20</v>
      </c>
      <c r="D620" s="11" t="s">
        <v>48</v>
      </c>
      <c r="E620" s="11"/>
      <c r="F620" s="69">
        <v>42740</v>
      </c>
      <c r="G620" s="11" t="s">
        <v>28115</v>
      </c>
      <c r="H620" s="11" t="s">
        <v>28116</v>
      </c>
      <c r="I620" s="11" t="s">
        <v>45</v>
      </c>
      <c r="J620" s="11">
        <v>93618</v>
      </c>
      <c r="K620" s="11" t="s">
        <v>1163</v>
      </c>
      <c r="L620" s="11" t="s">
        <v>28117</v>
      </c>
      <c r="M620" s="11" t="s">
        <v>27</v>
      </c>
      <c r="N620" s="11" t="s">
        <v>28118</v>
      </c>
      <c r="O620" s="11" t="s">
        <v>400</v>
      </c>
      <c r="P620" s="11" t="s">
        <v>401</v>
      </c>
      <c r="Q620" s="71" t="s">
        <v>28119</v>
      </c>
      <c r="R620" s="11" t="s">
        <v>100</v>
      </c>
      <c r="S620" s="11" t="s">
        <v>28</v>
      </c>
      <c r="T620" s="68" t="s">
        <v>27756</v>
      </c>
      <c r="U620" s="68" t="s">
        <v>29438</v>
      </c>
      <c r="V620" s="68" t="s">
        <v>29439</v>
      </c>
      <c r="W620" s="68" t="s">
        <v>100</v>
      </c>
      <c r="X620" s="68">
        <v>2194</v>
      </c>
      <c r="Y620" s="11"/>
      <c r="Z620" s="11"/>
      <c r="AA620" s="11"/>
      <c r="AB620" s="11"/>
      <c r="AC620" s="11"/>
      <c r="AD620" s="11"/>
      <c r="AE620" s="11"/>
      <c r="AF620" s="11"/>
      <c r="AG620" s="11"/>
      <c r="AU620" s="44"/>
      <c r="AV620" s="44"/>
      <c r="AX620" s="1"/>
      <c r="AY620" s="1"/>
      <c r="AZ620" s="44"/>
      <c r="BA620" s="44"/>
      <c r="BB620" s="11"/>
      <c r="BC620" s="1"/>
      <c r="BD620" s="1"/>
      <c r="BE620" s="1"/>
      <c r="BF620" s="1"/>
      <c r="BG620" s="1"/>
      <c r="BH620" s="1"/>
      <c r="BI620" s="1"/>
      <c r="BJ620" s="1"/>
    </row>
    <row r="621" spans="1:63" s="70" customFormat="1" ht="12" customHeight="1" x14ac:dyDescent="0.2">
      <c r="A621" s="11" t="s">
        <v>28572</v>
      </c>
      <c r="B621" s="11">
        <v>17</v>
      </c>
      <c r="C621" s="11" t="s">
        <v>114</v>
      </c>
      <c r="D621" s="11" t="s">
        <v>85</v>
      </c>
      <c r="E621" s="71" t="s">
        <v>28573</v>
      </c>
      <c r="F621" s="72">
        <v>42740</v>
      </c>
      <c r="G621" s="11" t="s">
        <v>28855</v>
      </c>
      <c r="H621" s="11" t="s">
        <v>28574</v>
      </c>
      <c r="I621" s="11" t="s">
        <v>44</v>
      </c>
      <c r="J621" s="11">
        <v>60560</v>
      </c>
      <c r="K621" s="11" t="s">
        <v>763</v>
      </c>
      <c r="L621" s="11" t="s">
        <v>28575</v>
      </c>
      <c r="M621" s="11" t="s">
        <v>379</v>
      </c>
      <c r="N621" s="11" t="s">
        <v>28576</v>
      </c>
      <c r="O621" s="11" t="s">
        <v>400</v>
      </c>
      <c r="P621" s="11" t="s">
        <v>401</v>
      </c>
      <c r="Q621" s="71" t="s">
        <v>28577</v>
      </c>
      <c r="R621" s="11" t="s">
        <v>100</v>
      </c>
      <c r="S621" s="11" t="s">
        <v>379</v>
      </c>
      <c r="T621" s="11" t="s">
        <v>379</v>
      </c>
      <c r="U621" s="11"/>
      <c r="V621" s="11"/>
      <c r="W621" s="11"/>
      <c r="X621" s="11"/>
      <c r="Y621" s="11"/>
      <c r="Z621" s="11"/>
      <c r="AA621" s="11"/>
      <c r="AB621" s="11"/>
      <c r="AC621" s="11"/>
      <c r="AD621" s="11"/>
      <c r="AE621" s="11"/>
      <c r="AF621" s="11"/>
      <c r="AG621" s="11"/>
      <c r="AU621" s="44"/>
      <c r="AV621" s="44"/>
      <c r="AW621" s="1"/>
      <c r="AX621" s="44"/>
      <c r="AY621" s="44"/>
      <c r="BA621" s="1"/>
      <c r="BB621" s="1"/>
      <c r="BK621" s="1"/>
    </row>
    <row r="622" spans="1:63" s="70" customFormat="1" ht="12" customHeight="1" x14ac:dyDescent="0.2">
      <c r="A622" s="11" t="s">
        <v>28207</v>
      </c>
      <c r="B622" s="68">
        <v>41</v>
      </c>
      <c r="C622" s="11" t="s">
        <v>20</v>
      </c>
      <c r="D622" s="11" t="s">
        <v>37</v>
      </c>
      <c r="E622" s="11" t="s">
        <v>28883</v>
      </c>
      <c r="F622" s="69">
        <v>42740</v>
      </c>
      <c r="G622" s="11" t="s">
        <v>28208</v>
      </c>
      <c r="H622" s="11" t="s">
        <v>28209</v>
      </c>
      <c r="I622" s="11" t="s">
        <v>319</v>
      </c>
      <c r="J622" s="11">
        <v>37375</v>
      </c>
      <c r="K622" s="11" t="s">
        <v>1288</v>
      </c>
      <c r="L622" s="11" t="s">
        <v>28210</v>
      </c>
      <c r="M622" s="11" t="s">
        <v>27</v>
      </c>
      <c r="N622" s="11" t="s">
        <v>28211</v>
      </c>
      <c r="O622" s="11" t="s">
        <v>400</v>
      </c>
      <c r="P622" s="11" t="s">
        <v>401</v>
      </c>
      <c r="Q622" s="71" t="s">
        <v>28212</v>
      </c>
      <c r="R622" s="11" t="s">
        <v>555</v>
      </c>
      <c r="S622" s="11" t="s">
        <v>28</v>
      </c>
      <c r="T622" s="68" t="s">
        <v>27756</v>
      </c>
      <c r="U622" s="68" t="s">
        <v>29438</v>
      </c>
      <c r="V622" s="68" t="s">
        <v>29439</v>
      </c>
      <c r="W622" s="68" t="s">
        <v>100</v>
      </c>
      <c r="X622" s="68">
        <v>2195</v>
      </c>
      <c r="Y622" s="11"/>
      <c r="Z622" s="11"/>
      <c r="AA622" s="11"/>
      <c r="AB622" s="11"/>
      <c r="AC622" s="11"/>
      <c r="AD622" s="11"/>
      <c r="AE622" s="11"/>
      <c r="AF622" s="11"/>
      <c r="AG622" s="11"/>
      <c r="AU622" s="44"/>
      <c r="AV622" s="44"/>
      <c r="AW622" s="1"/>
      <c r="AX622" s="1"/>
      <c r="AY622" s="1"/>
      <c r="AZ622" s="44"/>
      <c r="BA622" s="1"/>
      <c r="BB622" s="1"/>
      <c r="BC622" s="1"/>
      <c r="BD622" s="1"/>
      <c r="BE622" s="1"/>
      <c r="BF622" s="1"/>
      <c r="BG622" s="1"/>
      <c r="BH622" s="1"/>
      <c r="BI622" s="1"/>
      <c r="BJ622" s="1"/>
    </row>
    <row r="623" spans="1:63" s="70" customFormat="1" ht="12" customHeight="1" x14ac:dyDescent="0.2">
      <c r="A623" s="11" t="s">
        <v>28409</v>
      </c>
      <c r="B623" s="11">
        <v>35</v>
      </c>
      <c r="C623" s="11" t="s">
        <v>20</v>
      </c>
      <c r="D623" s="11" t="s">
        <v>37</v>
      </c>
      <c r="E623" s="11"/>
      <c r="F623" s="72">
        <v>42739</v>
      </c>
      <c r="G623" s="11" t="s">
        <v>28410</v>
      </c>
      <c r="H623" s="11" t="s">
        <v>13437</v>
      </c>
      <c r="I623" s="11" t="s">
        <v>62</v>
      </c>
      <c r="J623" s="11">
        <v>33705</v>
      </c>
      <c r="K623" s="11" t="s">
        <v>2309</v>
      </c>
      <c r="L623" s="11" t="s">
        <v>14047</v>
      </c>
      <c r="M623" s="1" t="s">
        <v>391</v>
      </c>
      <c r="N623" s="11" t="s">
        <v>28411</v>
      </c>
      <c r="O623" s="11" t="s">
        <v>400</v>
      </c>
      <c r="P623" s="11" t="s">
        <v>401</v>
      </c>
      <c r="Q623" s="71" t="s">
        <v>28412</v>
      </c>
      <c r="R623" s="11" t="s">
        <v>964</v>
      </c>
      <c r="S623" s="11" t="s">
        <v>18</v>
      </c>
      <c r="T623" s="11" t="s">
        <v>28345</v>
      </c>
      <c r="U623" s="11"/>
      <c r="V623" s="11"/>
      <c r="W623" s="11"/>
      <c r="X623" s="11"/>
      <c r="Y623" s="11"/>
      <c r="Z623" s="11"/>
      <c r="AA623" s="11"/>
      <c r="AB623" s="11"/>
      <c r="AC623" s="11"/>
      <c r="AD623" s="11"/>
      <c r="AE623" s="11"/>
      <c r="AF623" s="11"/>
      <c r="AG623" s="11"/>
      <c r="AU623" s="11"/>
      <c r="AV623" s="11"/>
      <c r="AW623" s="1"/>
      <c r="AX623" s="1"/>
      <c r="AY623" s="1"/>
      <c r="BA623" s="1"/>
      <c r="BB623" s="1"/>
      <c r="BC623" s="1"/>
      <c r="BD623" s="1"/>
      <c r="BE623" s="1"/>
      <c r="BF623" s="1"/>
      <c r="BG623" s="1"/>
      <c r="BH623" s="1"/>
      <c r="BI623" s="1"/>
      <c r="BJ623" s="1"/>
      <c r="BK623" s="1"/>
    </row>
    <row r="624" spans="1:63" s="70" customFormat="1" ht="12" customHeight="1" x14ac:dyDescent="0.2">
      <c r="A624" s="11" t="s">
        <v>28234</v>
      </c>
      <c r="B624" s="68">
        <v>51</v>
      </c>
      <c r="C624" s="11" t="s">
        <v>20</v>
      </c>
      <c r="D624" s="11" t="s">
        <v>85</v>
      </c>
      <c r="E624" s="11"/>
      <c r="F624" s="69">
        <v>42739</v>
      </c>
      <c r="G624" s="11" t="s">
        <v>28837</v>
      </c>
      <c r="H624" s="11" t="s">
        <v>2874</v>
      </c>
      <c r="I624" s="11" t="s">
        <v>45</v>
      </c>
      <c r="J624" s="11">
        <v>91767</v>
      </c>
      <c r="K624" s="11" t="s">
        <v>98</v>
      </c>
      <c r="L624" s="11" t="s">
        <v>28235</v>
      </c>
      <c r="M624" s="11" t="s">
        <v>27</v>
      </c>
      <c r="N624" s="11" t="s">
        <v>28236</v>
      </c>
      <c r="O624" s="11" t="s">
        <v>400</v>
      </c>
      <c r="P624" s="11" t="s">
        <v>401</v>
      </c>
      <c r="Q624" s="71" t="s">
        <v>28237</v>
      </c>
      <c r="R624" s="11" t="s">
        <v>100</v>
      </c>
      <c r="S624" s="11" t="s">
        <v>28</v>
      </c>
      <c r="T624" s="68" t="s">
        <v>27756</v>
      </c>
      <c r="U624" s="68" t="s">
        <v>29438</v>
      </c>
      <c r="V624" s="68" t="s">
        <v>29440</v>
      </c>
      <c r="W624" s="68" t="s">
        <v>100</v>
      </c>
      <c r="X624" s="68">
        <v>2191</v>
      </c>
      <c r="Y624" s="11"/>
      <c r="Z624" s="11"/>
      <c r="AA624" s="11"/>
      <c r="AB624" s="11"/>
      <c r="AC624" s="11"/>
      <c r="AD624" s="11"/>
      <c r="AE624" s="11"/>
      <c r="AF624" s="11"/>
      <c r="AG624" s="11"/>
      <c r="AU624" s="44"/>
      <c r="AV624" s="44"/>
      <c r="AW624" s="1"/>
      <c r="AX624" s="44"/>
      <c r="AY624" s="44"/>
      <c r="AZ624" s="44"/>
      <c r="BA624" s="44"/>
      <c r="BB624" s="11"/>
    </row>
    <row r="625" spans="1:63" s="70" customFormat="1" ht="12" customHeight="1" x14ac:dyDescent="0.2">
      <c r="A625" s="11" t="s">
        <v>28054</v>
      </c>
      <c r="B625" s="68">
        <v>18</v>
      </c>
      <c r="C625" s="11" t="s">
        <v>20</v>
      </c>
      <c r="D625" s="11" t="s">
        <v>48</v>
      </c>
      <c r="E625" s="71" t="s">
        <v>28055</v>
      </c>
      <c r="F625" s="69">
        <v>42739</v>
      </c>
      <c r="G625" s="11" t="s">
        <v>28056</v>
      </c>
      <c r="H625" s="11" t="s">
        <v>1710</v>
      </c>
      <c r="I625" s="11" t="s">
        <v>423</v>
      </c>
      <c r="J625" s="11">
        <v>11238</v>
      </c>
      <c r="K625" s="11" t="s">
        <v>1712</v>
      </c>
      <c r="L625" s="11" t="s">
        <v>582</v>
      </c>
      <c r="M625" s="11" t="s">
        <v>27</v>
      </c>
      <c r="N625" s="11" t="s">
        <v>28057</v>
      </c>
      <c r="O625" s="11" t="s">
        <v>400</v>
      </c>
      <c r="P625" s="11" t="s">
        <v>401</v>
      </c>
      <c r="Q625" s="71" t="s">
        <v>28058</v>
      </c>
      <c r="R625" s="11" t="s">
        <v>100</v>
      </c>
      <c r="S625" s="11" t="s">
        <v>28</v>
      </c>
      <c r="T625" s="68" t="s">
        <v>27756</v>
      </c>
      <c r="U625" s="68" t="s">
        <v>29438</v>
      </c>
      <c r="V625" s="68" t="s">
        <v>29440</v>
      </c>
      <c r="W625" s="68" t="s">
        <v>100</v>
      </c>
      <c r="X625" s="68">
        <v>2190</v>
      </c>
      <c r="Y625" s="11"/>
      <c r="Z625" s="11"/>
      <c r="AA625" s="11"/>
      <c r="AB625" s="11"/>
      <c r="AC625" s="11"/>
      <c r="AD625" s="11"/>
      <c r="AE625" s="11"/>
      <c r="AF625" s="11"/>
      <c r="AG625" s="11"/>
      <c r="AU625" s="44"/>
      <c r="AV625" s="44"/>
      <c r="AX625" s="1"/>
      <c r="AY625" s="1"/>
      <c r="AZ625" s="44"/>
      <c r="BA625" s="44"/>
      <c r="BB625" s="11"/>
      <c r="BC625" s="1"/>
      <c r="BD625" s="1"/>
      <c r="BE625" s="1"/>
      <c r="BF625" s="1"/>
      <c r="BG625" s="1"/>
      <c r="BH625" s="1"/>
      <c r="BI625" s="1"/>
      <c r="BJ625" s="1"/>
    </row>
    <row r="626" spans="1:63" s="70" customFormat="1" ht="12" customHeight="1" x14ac:dyDescent="0.2">
      <c r="A626" s="11" t="s">
        <v>28775</v>
      </c>
      <c r="B626" s="68">
        <v>64</v>
      </c>
      <c r="C626" s="11" t="s">
        <v>20</v>
      </c>
      <c r="D626" s="11" t="s">
        <v>37</v>
      </c>
      <c r="E626" s="11"/>
      <c r="F626" s="69">
        <v>42739</v>
      </c>
      <c r="G626" s="11" t="s">
        <v>28776</v>
      </c>
      <c r="H626" s="11" t="s">
        <v>1492</v>
      </c>
      <c r="I626" s="11" t="s">
        <v>315</v>
      </c>
      <c r="J626" s="11">
        <v>40444</v>
      </c>
      <c r="K626" s="11" t="s">
        <v>28777</v>
      </c>
      <c r="L626" s="11" t="s">
        <v>28778</v>
      </c>
      <c r="M626" s="11" t="s">
        <v>27</v>
      </c>
      <c r="N626" s="11" t="s">
        <v>28779</v>
      </c>
      <c r="O626" s="11" t="s">
        <v>400</v>
      </c>
      <c r="P626" s="11" t="s">
        <v>401</v>
      </c>
      <c r="Q626" s="71" t="s">
        <v>28780</v>
      </c>
      <c r="R626" s="11" t="s">
        <v>100</v>
      </c>
      <c r="S626" s="11" t="s">
        <v>28</v>
      </c>
      <c r="T626" s="68" t="s">
        <v>27756</v>
      </c>
      <c r="U626" s="68" t="s">
        <v>29438</v>
      </c>
      <c r="V626" s="68" t="s">
        <v>29439</v>
      </c>
      <c r="W626" s="68" t="s">
        <v>100</v>
      </c>
      <c r="X626" s="68">
        <v>2192</v>
      </c>
      <c r="Y626" s="11"/>
      <c r="Z626" s="11"/>
      <c r="AA626" s="11"/>
      <c r="AB626" s="11"/>
      <c r="AC626" s="11"/>
      <c r="AD626" s="11"/>
      <c r="AE626" s="11"/>
      <c r="AF626" s="11"/>
      <c r="AG626" s="11"/>
      <c r="AU626" s="44"/>
      <c r="AV626" s="44"/>
      <c r="AW626" s="1"/>
      <c r="AX626" s="1"/>
      <c r="AY626" s="1"/>
      <c r="AZ626" s="44"/>
      <c r="BA626" s="44"/>
      <c r="BB626" s="11"/>
      <c r="BC626" s="1"/>
      <c r="BD626" s="1"/>
      <c r="BE626" s="1"/>
      <c r="BF626" s="1"/>
      <c r="BG626" s="1"/>
      <c r="BH626" s="1"/>
      <c r="BI626" s="1"/>
      <c r="BJ626" s="1"/>
    </row>
    <row r="627" spans="1:63" s="70" customFormat="1" ht="12" customHeight="1" x14ac:dyDescent="0.2">
      <c r="A627" s="11" t="s">
        <v>3252</v>
      </c>
      <c r="B627" s="11" t="s">
        <v>28451</v>
      </c>
      <c r="C627" s="11" t="s">
        <v>114</v>
      </c>
      <c r="D627" s="11" t="s">
        <v>30</v>
      </c>
      <c r="E627" s="11"/>
      <c r="F627" s="72">
        <v>42739</v>
      </c>
      <c r="G627" s="11" t="s">
        <v>28452</v>
      </c>
      <c r="H627" s="11" t="s">
        <v>2216</v>
      </c>
      <c r="I627" s="11" t="s">
        <v>150</v>
      </c>
      <c r="J627" s="11">
        <v>25302</v>
      </c>
      <c r="K627" s="11" t="s">
        <v>915</v>
      </c>
      <c r="L627" s="11" t="s">
        <v>9041</v>
      </c>
      <c r="M627" s="11" t="s">
        <v>379</v>
      </c>
      <c r="N627" s="11" t="s">
        <v>28453</v>
      </c>
      <c r="O627" s="11" t="s">
        <v>400</v>
      </c>
      <c r="P627" s="11" t="s">
        <v>401</v>
      </c>
      <c r="Q627" s="71" t="s">
        <v>28454</v>
      </c>
      <c r="R627" s="11" t="s">
        <v>100</v>
      </c>
      <c r="S627" s="66" t="s">
        <v>379</v>
      </c>
      <c r="T627" s="66" t="s">
        <v>30738</v>
      </c>
      <c r="U627" s="1"/>
      <c r="V627" s="11"/>
      <c r="W627" s="11"/>
      <c r="X627" s="11"/>
      <c r="Y627" s="11"/>
      <c r="Z627" s="11"/>
      <c r="AA627" s="11"/>
      <c r="AB627" s="11"/>
      <c r="AC627" s="11"/>
      <c r="AD627" s="11"/>
      <c r="AE627" s="11"/>
      <c r="AF627" s="11"/>
      <c r="AG627" s="11"/>
      <c r="AU627" s="44"/>
      <c r="AV627" s="44"/>
      <c r="AW627" s="1"/>
      <c r="AX627" s="1"/>
      <c r="AY627" s="1"/>
      <c r="BA627" s="1"/>
      <c r="BB627" s="1"/>
      <c r="BC627" s="1"/>
      <c r="BD627" s="1"/>
      <c r="BE627" s="1"/>
      <c r="BF627" s="1"/>
      <c r="BG627" s="1"/>
      <c r="BH627" s="1"/>
      <c r="BI627" s="1"/>
      <c r="BJ627" s="1"/>
      <c r="BK627" s="1"/>
    </row>
    <row r="628" spans="1:63" s="44" customFormat="1" ht="12" customHeight="1" x14ac:dyDescent="0.2">
      <c r="A628" s="11" t="s">
        <v>28740</v>
      </c>
      <c r="B628" s="68">
        <v>45</v>
      </c>
      <c r="C628" s="11" t="s">
        <v>20</v>
      </c>
      <c r="D628" s="11" t="s">
        <v>37</v>
      </c>
      <c r="E628" s="11"/>
      <c r="F628" s="69">
        <v>42739</v>
      </c>
      <c r="G628" s="11" t="s">
        <v>28741</v>
      </c>
      <c r="H628" s="11" t="s">
        <v>28742</v>
      </c>
      <c r="I628" s="11" t="s">
        <v>217</v>
      </c>
      <c r="J628" s="11">
        <v>47118</v>
      </c>
      <c r="K628" s="11" t="s">
        <v>11295</v>
      </c>
      <c r="L628" s="11" t="s">
        <v>12152</v>
      </c>
      <c r="M628" s="11" t="s">
        <v>27</v>
      </c>
      <c r="N628" s="11" t="s">
        <v>28743</v>
      </c>
      <c r="O628" s="11" t="s">
        <v>400</v>
      </c>
      <c r="P628" s="11" t="s">
        <v>401</v>
      </c>
      <c r="Q628" s="71" t="s">
        <v>28744</v>
      </c>
      <c r="R628" s="11" t="s">
        <v>100</v>
      </c>
      <c r="S628" s="13" t="s">
        <v>379</v>
      </c>
      <c r="T628" s="68" t="s">
        <v>379</v>
      </c>
      <c r="U628" s="68" t="s">
        <v>29436</v>
      </c>
      <c r="V628" s="68" t="s">
        <v>29437</v>
      </c>
      <c r="W628" s="68" t="s">
        <v>100</v>
      </c>
      <c r="X628" s="68">
        <v>2193</v>
      </c>
      <c r="Y628" s="11"/>
      <c r="Z628" s="11"/>
      <c r="AA628" s="11"/>
      <c r="AB628" s="11"/>
      <c r="AC628" s="11"/>
      <c r="AD628" s="11"/>
      <c r="AE628" s="11"/>
      <c r="AF628" s="11"/>
      <c r="AG628" s="11"/>
      <c r="AH628" s="70"/>
      <c r="AI628" s="70"/>
      <c r="AJ628" s="70"/>
      <c r="AK628" s="70"/>
      <c r="AL628" s="70"/>
      <c r="AM628" s="70"/>
      <c r="AN628" s="70"/>
      <c r="AO628" s="70"/>
      <c r="AP628" s="70"/>
      <c r="AQ628" s="70"/>
      <c r="AR628" s="70"/>
      <c r="AS628" s="70"/>
      <c r="AT628" s="70"/>
      <c r="AW628" s="1"/>
      <c r="AX628" s="1"/>
      <c r="AY628" s="1"/>
      <c r="BB628" s="11"/>
      <c r="BC628" s="1"/>
      <c r="BD628" s="1"/>
      <c r="BE628" s="1"/>
      <c r="BF628" s="1"/>
      <c r="BG628" s="1"/>
      <c r="BH628" s="1"/>
      <c r="BI628" s="1"/>
      <c r="BJ628" s="1"/>
      <c r="BK628" s="11"/>
    </row>
    <row r="629" spans="1:63" s="44" customFormat="1" ht="12" customHeight="1" x14ac:dyDescent="0.2">
      <c r="A629" s="11" t="s">
        <v>28351</v>
      </c>
      <c r="B629" s="11">
        <v>43</v>
      </c>
      <c r="C629" s="11" t="s">
        <v>20</v>
      </c>
      <c r="D629" s="11" t="s">
        <v>85</v>
      </c>
      <c r="E629" s="71" t="s">
        <v>28352</v>
      </c>
      <c r="F629" s="72">
        <v>42739</v>
      </c>
      <c r="G629" s="11" t="s">
        <v>28353</v>
      </c>
      <c r="H629" s="11" t="s">
        <v>632</v>
      </c>
      <c r="I629" s="11" t="s">
        <v>123</v>
      </c>
      <c r="J629" s="11">
        <v>85031</v>
      </c>
      <c r="K629" s="11" t="s">
        <v>633</v>
      </c>
      <c r="L629" s="11" t="s">
        <v>634</v>
      </c>
      <c r="M629" s="44" t="s">
        <v>2291</v>
      </c>
      <c r="N629" s="11" t="s">
        <v>28354</v>
      </c>
      <c r="O629" s="11" t="s">
        <v>400</v>
      </c>
      <c r="P629" s="11" t="s">
        <v>401</v>
      </c>
      <c r="Q629" s="71" t="s">
        <v>28355</v>
      </c>
      <c r="R629" s="11" t="s">
        <v>29</v>
      </c>
      <c r="S629" s="11" t="s">
        <v>18</v>
      </c>
      <c r="T629" s="11" t="s">
        <v>28345</v>
      </c>
      <c r="U629" s="11"/>
      <c r="V629" s="11"/>
      <c r="W629" s="11"/>
      <c r="X629" s="11"/>
      <c r="Y629" s="11"/>
      <c r="Z629" s="11"/>
      <c r="AA629" s="11"/>
      <c r="AB629" s="11"/>
      <c r="AC629" s="11"/>
      <c r="AD629" s="11"/>
      <c r="AE629" s="11"/>
      <c r="AF629" s="11"/>
      <c r="AG629" s="11"/>
      <c r="AH629" s="70"/>
      <c r="AI629" s="70"/>
      <c r="AJ629" s="70"/>
      <c r="AK629" s="70"/>
      <c r="AL629" s="70"/>
      <c r="AM629" s="70"/>
      <c r="AN629" s="70"/>
      <c r="AO629" s="70"/>
      <c r="AP629" s="70"/>
      <c r="AQ629" s="70"/>
      <c r="AR629" s="70"/>
      <c r="AS629" s="70"/>
      <c r="AT629" s="70"/>
      <c r="AU629" s="1"/>
      <c r="AV629" s="1"/>
      <c r="AW629" s="1"/>
      <c r="AZ629" s="70"/>
      <c r="BA629" s="1"/>
      <c r="BB629" s="1"/>
      <c r="BC629" s="70"/>
      <c r="BD629" s="70"/>
      <c r="BE629" s="70"/>
      <c r="BF629" s="70"/>
      <c r="BG629" s="70"/>
      <c r="BH629" s="70"/>
      <c r="BI629" s="70"/>
      <c r="BJ629" s="70"/>
      <c r="BK629" s="1"/>
    </row>
    <row r="630" spans="1:63" s="44" customFormat="1" ht="12" customHeight="1" x14ac:dyDescent="0.2">
      <c r="A630" s="11" t="s">
        <v>27971</v>
      </c>
      <c r="B630" s="68">
        <v>63</v>
      </c>
      <c r="C630" s="11" t="s">
        <v>20</v>
      </c>
      <c r="D630" s="11" t="s">
        <v>85</v>
      </c>
      <c r="E630" s="11"/>
      <c r="F630" s="69">
        <v>42738</v>
      </c>
      <c r="G630" s="11" t="s">
        <v>27972</v>
      </c>
      <c r="H630" s="11" t="s">
        <v>1710</v>
      </c>
      <c r="I630" s="11" t="s">
        <v>423</v>
      </c>
      <c r="J630" s="11">
        <v>11236</v>
      </c>
      <c r="K630" s="11" t="s">
        <v>1712</v>
      </c>
      <c r="L630" s="11" t="s">
        <v>582</v>
      </c>
      <c r="M630" s="68" t="s">
        <v>5411</v>
      </c>
      <c r="N630" s="11" t="s">
        <v>27973</v>
      </c>
      <c r="O630" s="11" t="s">
        <v>400</v>
      </c>
      <c r="P630" s="11" t="s">
        <v>401</v>
      </c>
      <c r="Q630" s="71" t="s">
        <v>27974</v>
      </c>
      <c r="R630" s="11" t="s">
        <v>555</v>
      </c>
      <c r="S630" s="11" t="s">
        <v>28</v>
      </c>
      <c r="T630" s="68" t="s">
        <v>29493</v>
      </c>
      <c r="U630" s="68" t="s">
        <v>29436</v>
      </c>
      <c r="V630" s="68" t="s">
        <v>29439</v>
      </c>
      <c r="W630" s="68" t="s">
        <v>100</v>
      </c>
      <c r="X630" s="68">
        <v>2189</v>
      </c>
      <c r="Y630" s="11"/>
      <c r="Z630" s="11"/>
      <c r="AA630" s="11"/>
      <c r="AB630" s="11"/>
      <c r="AC630" s="11"/>
      <c r="AD630" s="11"/>
      <c r="AE630" s="11"/>
      <c r="AF630" s="11"/>
      <c r="AG630" s="11"/>
      <c r="AH630" s="70"/>
      <c r="AI630" s="70"/>
      <c r="AJ630" s="70"/>
      <c r="AK630" s="70"/>
      <c r="AL630" s="70"/>
      <c r="AM630" s="70"/>
      <c r="AN630" s="70"/>
      <c r="AO630" s="70"/>
      <c r="AP630" s="70"/>
      <c r="AQ630" s="70"/>
      <c r="AR630" s="70"/>
      <c r="AS630" s="70"/>
      <c r="AT630" s="70"/>
      <c r="AW630" s="1"/>
      <c r="BB630" s="70"/>
      <c r="BC630" s="70"/>
      <c r="BD630" s="70"/>
      <c r="BE630" s="70"/>
      <c r="BF630" s="70"/>
      <c r="BG630" s="70"/>
      <c r="BH630" s="70"/>
      <c r="BI630" s="70"/>
      <c r="BJ630" s="70"/>
      <c r="BK630" s="1"/>
    </row>
    <row r="631" spans="1:63" s="44" customFormat="1" ht="12" customHeight="1" x14ac:dyDescent="0.2">
      <c r="A631" s="11" t="s">
        <v>27843</v>
      </c>
      <c r="B631" s="68">
        <v>53</v>
      </c>
      <c r="C631" s="11" t="s">
        <v>20</v>
      </c>
      <c r="D631" s="11" t="s">
        <v>37</v>
      </c>
      <c r="E631" s="11"/>
      <c r="F631" s="69">
        <v>42738</v>
      </c>
      <c r="G631" s="11" t="s">
        <v>28807</v>
      </c>
      <c r="H631" s="11" t="s">
        <v>27844</v>
      </c>
      <c r="I631" s="11" t="s">
        <v>73</v>
      </c>
      <c r="J631" s="11">
        <v>75645</v>
      </c>
      <c r="K631" s="11" t="s">
        <v>25856</v>
      </c>
      <c r="L631" s="11" t="s">
        <v>27845</v>
      </c>
      <c r="M631" s="11" t="s">
        <v>27</v>
      </c>
      <c r="N631" s="11" t="s">
        <v>27846</v>
      </c>
      <c r="O631" s="11" t="s">
        <v>400</v>
      </c>
      <c r="P631" s="11" t="s">
        <v>401</v>
      </c>
      <c r="Q631" s="71" t="s">
        <v>27847</v>
      </c>
      <c r="R631" s="68" t="s">
        <v>555</v>
      </c>
      <c r="S631" s="11" t="s">
        <v>28</v>
      </c>
      <c r="T631" s="68" t="s">
        <v>27756</v>
      </c>
      <c r="U631" s="68" t="s">
        <v>29438</v>
      </c>
      <c r="V631" s="68" t="s">
        <v>29439</v>
      </c>
      <c r="W631" s="68" t="s">
        <v>555</v>
      </c>
      <c r="X631" s="68">
        <v>2188</v>
      </c>
      <c r="Y631" s="11"/>
      <c r="Z631" s="11"/>
      <c r="AA631" s="11"/>
      <c r="AB631" s="11"/>
      <c r="AC631" s="11"/>
      <c r="AD631" s="11"/>
      <c r="AE631" s="11"/>
      <c r="AF631" s="11"/>
      <c r="AG631" s="11"/>
      <c r="AH631" s="70"/>
      <c r="AI631" s="70"/>
      <c r="AJ631" s="70"/>
      <c r="AK631" s="70"/>
      <c r="AL631" s="70"/>
      <c r="AM631" s="70"/>
      <c r="AN631" s="70"/>
      <c r="AO631" s="70"/>
      <c r="AP631" s="70"/>
      <c r="AQ631" s="70"/>
      <c r="AR631" s="70"/>
      <c r="AS631" s="70"/>
      <c r="AT631" s="70"/>
      <c r="AW631" s="1"/>
      <c r="AX631" s="1"/>
      <c r="AY631" s="1"/>
      <c r="BA631" s="70"/>
      <c r="BB631" s="11"/>
      <c r="BC631" s="1"/>
      <c r="BD631" s="1"/>
      <c r="BE631" s="1"/>
      <c r="BF631" s="1"/>
      <c r="BG631" s="1"/>
      <c r="BH631" s="1"/>
      <c r="BI631" s="1"/>
      <c r="BJ631" s="1"/>
      <c r="BK631" s="70"/>
    </row>
    <row r="632" spans="1:63" s="44" customFormat="1" ht="12" customHeight="1" x14ac:dyDescent="0.2">
      <c r="A632" s="11" t="s">
        <v>28669</v>
      </c>
      <c r="B632" s="11">
        <v>38</v>
      </c>
      <c r="C632" s="11" t="s">
        <v>20</v>
      </c>
      <c r="D632" s="11" t="s">
        <v>48</v>
      </c>
      <c r="E632" s="71" t="s">
        <v>28670</v>
      </c>
      <c r="F632" s="72">
        <v>42737</v>
      </c>
      <c r="G632" s="11" t="s">
        <v>28858</v>
      </c>
      <c r="H632" s="11" t="s">
        <v>87</v>
      </c>
      <c r="I632" s="11" t="s">
        <v>44</v>
      </c>
      <c r="J632" s="11">
        <v>60639</v>
      </c>
      <c r="K632" s="11" t="s">
        <v>88</v>
      </c>
      <c r="L632" s="11" t="s">
        <v>89</v>
      </c>
      <c r="M632" s="11" t="s">
        <v>27</v>
      </c>
      <c r="N632" s="11" t="s">
        <v>28671</v>
      </c>
      <c r="O632" s="11" t="s">
        <v>400</v>
      </c>
      <c r="P632" s="11" t="s">
        <v>401</v>
      </c>
      <c r="Q632" s="71" t="s">
        <v>28672</v>
      </c>
      <c r="R632" s="11" t="s">
        <v>100</v>
      </c>
      <c r="S632" s="11" t="s">
        <v>18</v>
      </c>
      <c r="T632" s="68" t="s">
        <v>29760</v>
      </c>
      <c r="U632" s="68"/>
      <c r="V632" s="68"/>
      <c r="W632" s="68"/>
      <c r="X632" s="68"/>
      <c r="Y632" s="11"/>
      <c r="Z632" s="11"/>
      <c r="AA632" s="11"/>
      <c r="AB632" s="11"/>
      <c r="AC632" s="11"/>
      <c r="AD632" s="11"/>
      <c r="AE632" s="11"/>
      <c r="AF632" s="11"/>
      <c r="AG632" s="11"/>
      <c r="AH632" s="70"/>
      <c r="AI632" s="70"/>
      <c r="AJ632" s="70"/>
      <c r="AK632" s="70"/>
      <c r="AL632" s="70"/>
      <c r="AM632" s="70"/>
      <c r="AN632" s="70"/>
      <c r="AO632" s="70"/>
      <c r="AP632" s="70"/>
      <c r="AQ632" s="70"/>
      <c r="AR632" s="70"/>
      <c r="AS632" s="70"/>
      <c r="AT632" s="70"/>
      <c r="AW632" s="1"/>
      <c r="AX632" s="1"/>
      <c r="AY632" s="1"/>
      <c r="AZ632" s="1"/>
      <c r="BA632" s="1"/>
      <c r="BB632" s="1"/>
      <c r="BC632" s="1"/>
      <c r="BD632" s="1"/>
      <c r="BE632" s="1"/>
      <c r="BF632" s="1"/>
      <c r="BG632" s="1"/>
      <c r="BH632" s="1"/>
      <c r="BI632" s="1"/>
      <c r="BJ632" s="1"/>
      <c r="BK632" s="1"/>
    </row>
    <row r="633" spans="1:63" s="44" customFormat="1" ht="12" customHeight="1" x14ac:dyDescent="0.2">
      <c r="A633" s="11" t="s">
        <v>28446</v>
      </c>
      <c r="B633" s="11">
        <v>20</v>
      </c>
      <c r="C633" s="11" t="s">
        <v>20</v>
      </c>
      <c r="D633" s="11" t="s">
        <v>48</v>
      </c>
      <c r="E633" s="11"/>
      <c r="F633" s="72">
        <v>42737</v>
      </c>
      <c r="G633" s="11" t="s">
        <v>28447</v>
      </c>
      <c r="H633" s="11" t="s">
        <v>3601</v>
      </c>
      <c r="I633" s="11" t="s">
        <v>41</v>
      </c>
      <c r="J633" s="11">
        <v>6515</v>
      </c>
      <c r="K633" s="11" t="s">
        <v>3601</v>
      </c>
      <c r="L633" s="11" t="s">
        <v>28448</v>
      </c>
      <c r="M633" s="11" t="s">
        <v>379</v>
      </c>
      <c r="N633" s="11" t="s">
        <v>28449</v>
      </c>
      <c r="O633" s="11" t="s">
        <v>400</v>
      </c>
      <c r="P633" s="11" t="s">
        <v>401</v>
      </c>
      <c r="Q633" s="71" t="s">
        <v>28450</v>
      </c>
      <c r="R633" s="11" t="s">
        <v>100</v>
      </c>
      <c r="S633" s="66" t="s">
        <v>379</v>
      </c>
      <c r="T633" s="66" t="s">
        <v>30738</v>
      </c>
      <c r="U633" s="1"/>
      <c r="V633" s="11"/>
      <c r="W633" s="11"/>
      <c r="X633" s="11"/>
      <c r="Y633" s="11"/>
      <c r="Z633" s="11"/>
      <c r="AA633" s="11"/>
      <c r="AB633" s="11"/>
      <c r="AC633" s="11"/>
      <c r="AD633" s="11"/>
      <c r="AE633" s="11"/>
      <c r="AF633" s="11"/>
      <c r="AG633" s="11"/>
      <c r="AH633" s="70"/>
      <c r="AI633" s="70"/>
      <c r="AJ633" s="70"/>
      <c r="AK633" s="70"/>
      <c r="AL633" s="70"/>
      <c r="AM633" s="70"/>
      <c r="AN633" s="70"/>
      <c r="AO633" s="70"/>
      <c r="AP633" s="70"/>
      <c r="AQ633" s="70"/>
      <c r="AR633" s="70"/>
      <c r="AS633" s="70"/>
      <c r="AT633" s="70"/>
      <c r="AW633" s="1"/>
      <c r="AX633" s="1"/>
      <c r="AY633" s="1"/>
      <c r="AZ633" s="70"/>
      <c r="BA633" s="1"/>
      <c r="BB633" s="1"/>
      <c r="BC633" s="1"/>
      <c r="BD633" s="1"/>
      <c r="BE633" s="1"/>
      <c r="BF633" s="1"/>
      <c r="BG633" s="1"/>
      <c r="BH633" s="1"/>
      <c r="BI633" s="1"/>
      <c r="BJ633" s="1"/>
      <c r="BK633" s="1"/>
    </row>
    <row r="634" spans="1:63" s="44" customFormat="1" ht="12" customHeight="1" x14ac:dyDescent="0.2">
      <c r="A634" s="11" t="s">
        <v>28578</v>
      </c>
      <c r="B634" s="11">
        <v>23</v>
      </c>
      <c r="C634" s="11" t="s">
        <v>20</v>
      </c>
      <c r="D634" s="11" t="s">
        <v>30</v>
      </c>
      <c r="E634" s="11"/>
      <c r="F634" s="72">
        <v>42737</v>
      </c>
      <c r="G634" s="11" t="s">
        <v>28447</v>
      </c>
      <c r="H634" s="11" t="s">
        <v>3601</v>
      </c>
      <c r="I634" s="11" t="s">
        <v>41</v>
      </c>
      <c r="J634" s="11">
        <v>6515</v>
      </c>
      <c r="K634" s="11" t="s">
        <v>3601</v>
      </c>
      <c r="L634" s="11" t="s">
        <v>28448</v>
      </c>
      <c r="M634" s="11" t="s">
        <v>379</v>
      </c>
      <c r="N634" s="11" t="s">
        <v>28449</v>
      </c>
      <c r="O634" s="11" t="s">
        <v>400</v>
      </c>
      <c r="P634" s="11" t="s">
        <v>401</v>
      </c>
      <c r="Q634" s="71" t="s">
        <v>28450</v>
      </c>
      <c r="R634" s="11" t="s">
        <v>100</v>
      </c>
      <c r="S634" s="11" t="s">
        <v>379</v>
      </c>
      <c r="T634" s="11" t="s">
        <v>379</v>
      </c>
      <c r="U634" s="11"/>
      <c r="V634" s="11"/>
      <c r="W634" s="11"/>
      <c r="X634" s="11"/>
      <c r="Y634" s="11"/>
      <c r="Z634" s="11"/>
      <c r="AA634" s="11"/>
      <c r="AB634" s="11"/>
      <c r="AC634" s="11"/>
      <c r="AD634" s="11"/>
      <c r="AE634" s="11"/>
      <c r="AF634" s="11"/>
      <c r="AG634" s="11"/>
      <c r="AH634" s="70"/>
      <c r="AI634" s="70"/>
      <c r="AJ634" s="70"/>
      <c r="AK634" s="70"/>
      <c r="AL634" s="70"/>
      <c r="AM634" s="70"/>
      <c r="AN634" s="70"/>
      <c r="AO634" s="70"/>
      <c r="AP634" s="70"/>
      <c r="AQ634" s="70"/>
      <c r="AR634" s="70"/>
      <c r="AS634" s="70"/>
      <c r="AT634" s="70"/>
      <c r="AW634" s="1"/>
      <c r="AX634" s="1"/>
      <c r="AY634" s="1"/>
      <c r="AZ634" s="70"/>
      <c r="BA634" s="1"/>
      <c r="BB634" s="1"/>
      <c r="BC634" s="1"/>
      <c r="BD634" s="1"/>
      <c r="BE634" s="1"/>
      <c r="BF634" s="1"/>
      <c r="BG634" s="1"/>
      <c r="BH634" s="1"/>
      <c r="BI634" s="1"/>
      <c r="BJ634" s="1"/>
      <c r="BK634" s="1"/>
    </row>
    <row r="635" spans="1:63" s="44" customFormat="1" ht="12" customHeight="1" x14ac:dyDescent="0.2">
      <c r="A635" s="11" t="s">
        <v>28071</v>
      </c>
      <c r="B635" s="68">
        <v>23</v>
      </c>
      <c r="C635" s="11" t="s">
        <v>20</v>
      </c>
      <c r="D635" s="11" t="s">
        <v>48</v>
      </c>
      <c r="E635" s="11"/>
      <c r="F635" s="69">
        <v>42736</v>
      </c>
      <c r="G635" s="11" t="s">
        <v>28828</v>
      </c>
      <c r="H635" s="11" t="s">
        <v>723</v>
      </c>
      <c r="I635" s="11" t="s">
        <v>73</v>
      </c>
      <c r="J635" s="11">
        <v>77053</v>
      </c>
      <c r="K635" s="11" t="s">
        <v>1386</v>
      </c>
      <c r="L635" s="11" t="s">
        <v>559</v>
      </c>
      <c r="M635" s="11" t="s">
        <v>27</v>
      </c>
      <c r="N635" s="11" t="s">
        <v>28072</v>
      </c>
      <c r="O635" s="11" t="s">
        <v>400</v>
      </c>
      <c r="P635" s="11" t="s">
        <v>401</v>
      </c>
      <c r="Q635" s="71" t="s">
        <v>28073</v>
      </c>
      <c r="R635" s="11" t="s">
        <v>100</v>
      </c>
      <c r="S635" s="11" t="s">
        <v>28</v>
      </c>
      <c r="T635" s="68" t="s">
        <v>27756</v>
      </c>
      <c r="U635" s="68" t="s">
        <v>29438</v>
      </c>
      <c r="V635" s="68" t="s">
        <v>29440</v>
      </c>
      <c r="W635" s="68" t="s">
        <v>100</v>
      </c>
      <c r="X635" s="68">
        <v>2185</v>
      </c>
      <c r="Y635" s="11"/>
      <c r="Z635" s="11"/>
      <c r="AA635" s="11"/>
      <c r="AB635" s="11"/>
      <c r="AC635" s="11"/>
      <c r="AD635" s="11"/>
      <c r="AE635" s="11"/>
      <c r="AF635" s="11"/>
      <c r="AG635" s="11"/>
      <c r="AH635" s="70"/>
      <c r="AI635" s="70"/>
      <c r="AJ635" s="70"/>
      <c r="AK635" s="70"/>
      <c r="AL635" s="70"/>
      <c r="AM635" s="70"/>
      <c r="AN635" s="70"/>
      <c r="AO635" s="70"/>
      <c r="AP635" s="70"/>
      <c r="AQ635" s="70"/>
      <c r="AR635" s="70"/>
      <c r="AS635" s="70"/>
      <c r="AT635" s="70"/>
      <c r="AX635" s="1"/>
      <c r="AY635" s="1"/>
      <c r="BB635" s="11"/>
      <c r="BC635" s="1"/>
      <c r="BD635" s="1"/>
      <c r="BE635" s="1"/>
      <c r="BF635" s="1"/>
      <c r="BG635" s="1"/>
      <c r="BH635" s="1"/>
      <c r="BI635" s="1"/>
      <c r="BJ635" s="1"/>
      <c r="BK635" s="70"/>
    </row>
    <row r="636" spans="1:63" s="44" customFormat="1" ht="12" customHeight="1" x14ac:dyDescent="0.2">
      <c r="A636" s="11" t="s">
        <v>27804</v>
      </c>
      <c r="B636" s="68">
        <v>35</v>
      </c>
      <c r="C636" s="11" t="s">
        <v>20</v>
      </c>
      <c r="D636" s="11" t="s">
        <v>37</v>
      </c>
      <c r="E636" s="11"/>
      <c r="F636" s="69">
        <v>42736</v>
      </c>
      <c r="G636" s="11" t="s">
        <v>27805</v>
      </c>
      <c r="H636" s="11" t="s">
        <v>27806</v>
      </c>
      <c r="I636" s="11" t="s">
        <v>173</v>
      </c>
      <c r="J636" s="11">
        <v>30144</v>
      </c>
      <c r="K636" s="11" t="s">
        <v>3309</v>
      </c>
      <c r="L636" s="11" t="s">
        <v>10581</v>
      </c>
      <c r="M636" s="11" t="s">
        <v>27</v>
      </c>
      <c r="N636" s="11" t="s">
        <v>27807</v>
      </c>
      <c r="O636" s="11" t="s">
        <v>400</v>
      </c>
      <c r="P636" s="11" t="s">
        <v>401</v>
      </c>
      <c r="Q636" s="71" t="s">
        <v>27808</v>
      </c>
      <c r="R636" s="11" t="s">
        <v>100</v>
      </c>
      <c r="S636" s="11" t="s">
        <v>28</v>
      </c>
      <c r="T636" s="68" t="s">
        <v>27756</v>
      </c>
      <c r="U636" s="68" t="s">
        <v>29438</v>
      </c>
      <c r="V636" s="68" t="s">
        <v>29437</v>
      </c>
      <c r="W636" s="68" t="s">
        <v>100</v>
      </c>
      <c r="X636" s="68">
        <v>2184</v>
      </c>
      <c r="Y636" s="11"/>
      <c r="Z636" s="11"/>
      <c r="AA636" s="11"/>
      <c r="AB636" s="11"/>
      <c r="AC636" s="11"/>
      <c r="AD636" s="11"/>
      <c r="AE636" s="11"/>
      <c r="AF636" s="11"/>
      <c r="AG636" s="11"/>
      <c r="AH636" s="70"/>
      <c r="AI636" s="70"/>
      <c r="AJ636" s="70"/>
      <c r="AK636" s="70"/>
      <c r="AL636" s="70"/>
      <c r="AM636" s="70"/>
      <c r="AN636" s="70"/>
      <c r="AO636" s="70"/>
      <c r="AP636" s="70"/>
      <c r="AQ636" s="70"/>
      <c r="AR636" s="70"/>
      <c r="AS636" s="70"/>
      <c r="AT636" s="70"/>
      <c r="AW636" s="11"/>
      <c r="AX636" s="1"/>
      <c r="AY636" s="1"/>
      <c r="BB636" s="11"/>
      <c r="BC636" s="1"/>
      <c r="BD636" s="1"/>
      <c r="BE636" s="1"/>
      <c r="BF636" s="1"/>
      <c r="BG636" s="1"/>
      <c r="BH636" s="1"/>
      <c r="BI636" s="1"/>
      <c r="BJ636" s="1"/>
      <c r="BK636" s="70"/>
    </row>
    <row r="637" spans="1:63" s="44" customFormat="1" ht="12" customHeight="1" x14ac:dyDescent="0.2">
      <c r="A637" s="11" t="s">
        <v>28656</v>
      </c>
      <c r="B637" s="68">
        <v>42</v>
      </c>
      <c r="C637" s="11" t="s">
        <v>20</v>
      </c>
      <c r="D637" s="68" t="s">
        <v>37</v>
      </c>
      <c r="E637" s="11"/>
      <c r="F637" s="69">
        <v>42736</v>
      </c>
      <c r="G637" s="11" t="s">
        <v>28857</v>
      </c>
      <c r="H637" s="11" t="s">
        <v>547</v>
      </c>
      <c r="I637" s="11" t="s">
        <v>69</v>
      </c>
      <c r="J637" s="11">
        <v>45231</v>
      </c>
      <c r="K637" s="11" t="s">
        <v>548</v>
      </c>
      <c r="L637" s="11" t="s">
        <v>390</v>
      </c>
      <c r="M637" s="11" t="s">
        <v>27</v>
      </c>
      <c r="N637" s="11" t="s">
        <v>28657</v>
      </c>
      <c r="O637" s="11" t="s">
        <v>400</v>
      </c>
      <c r="P637" s="11" t="s">
        <v>401</v>
      </c>
      <c r="Q637" s="71" t="s">
        <v>28658</v>
      </c>
      <c r="R637" s="11" t="s">
        <v>100</v>
      </c>
      <c r="S637" s="11" t="s">
        <v>28</v>
      </c>
      <c r="T637" s="68" t="s">
        <v>27756</v>
      </c>
      <c r="U637" s="68" t="s">
        <v>29436</v>
      </c>
      <c r="V637" s="68" t="s">
        <v>29439</v>
      </c>
      <c r="W637" s="68" t="s">
        <v>100</v>
      </c>
      <c r="X637" s="68">
        <v>2177</v>
      </c>
      <c r="Y637" s="11"/>
      <c r="Z637" s="11"/>
      <c r="AA637" s="11"/>
      <c r="AB637" s="11"/>
      <c r="AC637" s="11"/>
      <c r="AD637" s="11"/>
      <c r="AE637" s="11"/>
      <c r="AF637" s="11"/>
      <c r="AG637" s="11"/>
      <c r="AH637" s="70"/>
      <c r="AI637" s="70"/>
      <c r="AJ637" s="70"/>
      <c r="AK637" s="70"/>
      <c r="AL637" s="70"/>
      <c r="AM637" s="70"/>
      <c r="AN637" s="70"/>
      <c r="AO637" s="70"/>
      <c r="AP637" s="70"/>
      <c r="AQ637" s="70"/>
      <c r="AR637" s="70"/>
      <c r="AS637" s="70"/>
      <c r="AT637" s="70"/>
      <c r="AW637" s="1"/>
      <c r="AX637" s="1"/>
      <c r="AY637" s="1"/>
      <c r="BB637" s="11"/>
      <c r="BC637" s="1"/>
      <c r="BD637" s="1"/>
      <c r="BE637" s="1"/>
      <c r="BF637" s="1"/>
      <c r="BG637" s="1"/>
      <c r="BH637" s="1"/>
      <c r="BI637" s="1"/>
      <c r="BJ637" s="1"/>
      <c r="BK637" s="70"/>
    </row>
    <row r="638" spans="1:63" s="44" customFormat="1" ht="12" customHeight="1" x14ac:dyDescent="0.2">
      <c r="A638" s="11" t="s">
        <v>28552</v>
      </c>
      <c r="B638" s="68">
        <v>21</v>
      </c>
      <c r="C638" s="11" t="s">
        <v>20</v>
      </c>
      <c r="D638" s="11" t="s">
        <v>85</v>
      </c>
      <c r="E638" s="71" t="s">
        <v>28553</v>
      </c>
      <c r="F638" s="69">
        <v>42736</v>
      </c>
      <c r="G638" s="11" t="s">
        <v>28854</v>
      </c>
      <c r="H638" s="11" t="s">
        <v>1803</v>
      </c>
      <c r="I638" s="11" t="s">
        <v>73</v>
      </c>
      <c r="J638" s="11">
        <v>75002</v>
      </c>
      <c r="K638" s="11" t="s">
        <v>19851</v>
      </c>
      <c r="L638" s="11" t="s">
        <v>27350</v>
      </c>
      <c r="M638" s="11" t="s">
        <v>27</v>
      </c>
      <c r="N638" s="11" t="s">
        <v>28554</v>
      </c>
      <c r="O638" s="11" t="s">
        <v>400</v>
      </c>
      <c r="P638" s="11" t="s">
        <v>401</v>
      </c>
      <c r="Q638" s="71" t="s">
        <v>28555</v>
      </c>
      <c r="R638" s="11" t="s">
        <v>100</v>
      </c>
      <c r="S638" s="11" t="s">
        <v>379</v>
      </c>
      <c r="T638" s="68" t="s">
        <v>379</v>
      </c>
      <c r="U638" s="68" t="s">
        <v>29438</v>
      </c>
      <c r="V638" s="68" t="s">
        <v>29437</v>
      </c>
      <c r="W638" s="68" t="s">
        <v>100</v>
      </c>
      <c r="X638" s="68">
        <v>2187</v>
      </c>
      <c r="Y638" s="11"/>
      <c r="Z638" s="11"/>
      <c r="AA638" s="11"/>
      <c r="AB638" s="11"/>
      <c r="AC638" s="11"/>
      <c r="AD638" s="11"/>
      <c r="AE638" s="11"/>
      <c r="AF638" s="11"/>
      <c r="AG638" s="11"/>
      <c r="AH638" s="70"/>
      <c r="AI638" s="70"/>
      <c r="AJ638" s="70"/>
      <c r="AK638" s="70"/>
      <c r="AL638" s="70"/>
      <c r="AM638" s="70"/>
      <c r="AN638" s="70"/>
      <c r="AO638" s="70"/>
      <c r="AP638" s="70"/>
      <c r="AQ638" s="70"/>
      <c r="AR638" s="70"/>
      <c r="AS638" s="70"/>
      <c r="AT638" s="70"/>
      <c r="AW638" s="70"/>
      <c r="AX638" s="70"/>
      <c r="AY638" s="70"/>
      <c r="BB638" s="11"/>
      <c r="BC638" s="70"/>
      <c r="BD638" s="70"/>
      <c r="BE638" s="70"/>
      <c r="BF638" s="70"/>
      <c r="BG638" s="70"/>
      <c r="BH638" s="70"/>
      <c r="BI638" s="70"/>
      <c r="BJ638" s="70"/>
      <c r="BK638" s="11"/>
    </row>
    <row r="639" spans="1:63" s="44" customFormat="1" ht="12" customHeight="1" x14ac:dyDescent="0.2">
      <c r="A639" s="11" t="s">
        <v>28765</v>
      </c>
      <c r="B639" s="68">
        <v>17</v>
      </c>
      <c r="C639" s="11" t="s">
        <v>20</v>
      </c>
      <c r="D639" s="11" t="s">
        <v>85</v>
      </c>
      <c r="E639" s="11"/>
      <c r="F639" s="69">
        <v>42736</v>
      </c>
      <c r="G639" s="11" t="s">
        <v>28766</v>
      </c>
      <c r="H639" s="11" t="s">
        <v>28767</v>
      </c>
      <c r="I639" s="11" t="s">
        <v>44</v>
      </c>
      <c r="J639" s="11">
        <v>60181</v>
      </c>
      <c r="K639" s="11" t="s">
        <v>88</v>
      </c>
      <c r="L639" s="11" t="s">
        <v>28768</v>
      </c>
      <c r="M639" s="11" t="s">
        <v>27</v>
      </c>
      <c r="N639" s="11" t="s">
        <v>28769</v>
      </c>
      <c r="O639" s="11" t="s">
        <v>400</v>
      </c>
      <c r="P639" s="11" t="s">
        <v>401</v>
      </c>
      <c r="Q639" s="71" t="s">
        <v>28770</v>
      </c>
      <c r="R639" s="68" t="s">
        <v>555</v>
      </c>
      <c r="S639" s="13" t="s">
        <v>28</v>
      </c>
      <c r="T639" s="68" t="s">
        <v>29493</v>
      </c>
      <c r="U639" s="68" t="s">
        <v>29441</v>
      </c>
      <c r="V639" s="68"/>
      <c r="W639" s="68" t="s">
        <v>100</v>
      </c>
      <c r="X639" s="68">
        <v>2178</v>
      </c>
      <c r="Y639" s="11"/>
      <c r="Z639" s="11"/>
      <c r="AA639" s="11"/>
      <c r="AB639" s="11"/>
      <c r="AC639" s="11"/>
      <c r="AD639" s="11"/>
      <c r="AE639" s="11"/>
      <c r="AF639" s="11"/>
      <c r="AG639" s="11"/>
      <c r="AH639" s="70"/>
      <c r="AI639" s="70"/>
      <c r="AJ639" s="70"/>
      <c r="AK639" s="70"/>
      <c r="AL639" s="70"/>
      <c r="AM639" s="70"/>
      <c r="AN639" s="70"/>
      <c r="AO639" s="70"/>
      <c r="AP639" s="70"/>
      <c r="AQ639" s="70"/>
      <c r="AR639" s="70"/>
      <c r="AS639" s="70"/>
      <c r="AT639" s="70"/>
      <c r="AW639" s="70"/>
      <c r="AX639" s="70"/>
      <c r="AY639" s="70"/>
      <c r="BA639" s="70"/>
      <c r="BC639" s="70"/>
      <c r="BD639" s="70"/>
      <c r="BE639" s="70"/>
      <c r="BF639" s="70"/>
      <c r="BG639" s="70"/>
      <c r="BH639" s="70"/>
      <c r="BI639" s="70"/>
      <c r="BJ639" s="70"/>
      <c r="BK639" s="70"/>
    </row>
    <row r="640" spans="1:63" s="44" customFormat="1" ht="12" customHeight="1" x14ac:dyDescent="0.2">
      <c r="A640" s="11" t="s">
        <v>27961</v>
      </c>
      <c r="B640" s="68">
        <v>44</v>
      </c>
      <c r="C640" s="11" t="s">
        <v>20</v>
      </c>
      <c r="D640" s="11" t="s">
        <v>85</v>
      </c>
      <c r="E640" s="71" t="s">
        <v>27962</v>
      </c>
      <c r="F640" s="69">
        <v>42736</v>
      </c>
      <c r="G640" s="11" t="s">
        <v>27963</v>
      </c>
      <c r="H640" s="11" t="s">
        <v>4182</v>
      </c>
      <c r="I640" s="11" t="s">
        <v>431</v>
      </c>
      <c r="J640" s="11">
        <v>65802</v>
      </c>
      <c r="K640" s="11" t="s">
        <v>4946</v>
      </c>
      <c r="L640" s="11" t="s">
        <v>4185</v>
      </c>
      <c r="M640" s="68" t="s">
        <v>5411</v>
      </c>
      <c r="N640" s="11" t="s">
        <v>27964</v>
      </c>
      <c r="O640" s="11" t="s">
        <v>400</v>
      </c>
      <c r="P640" s="11" t="s">
        <v>401</v>
      </c>
      <c r="Q640" s="71" t="s">
        <v>27965</v>
      </c>
      <c r="R640" s="68" t="s">
        <v>555</v>
      </c>
      <c r="S640" s="11" t="s">
        <v>28</v>
      </c>
      <c r="T640" s="68" t="s">
        <v>27756</v>
      </c>
      <c r="U640" s="68" t="s">
        <v>29438</v>
      </c>
      <c r="V640" s="68" t="s">
        <v>29439</v>
      </c>
      <c r="W640" s="68" t="s">
        <v>100</v>
      </c>
      <c r="X640" s="68">
        <v>2180</v>
      </c>
      <c r="Y640" s="11"/>
      <c r="Z640" s="11"/>
      <c r="AA640" s="11"/>
      <c r="AB640" s="11"/>
      <c r="AC640" s="11"/>
      <c r="AD640" s="11"/>
      <c r="AE640" s="11"/>
      <c r="AF640" s="11"/>
      <c r="AG640" s="11"/>
      <c r="AH640" s="70"/>
      <c r="AI640" s="70"/>
      <c r="AJ640" s="70"/>
      <c r="AK640" s="70"/>
      <c r="AL640" s="70"/>
      <c r="AM640" s="70"/>
      <c r="AN640" s="70"/>
      <c r="AO640" s="70"/>
      <c r="AP640" s="70"/>
      <c r="AQ640" s="70"/>
      <c r="AR640" s="70"/>
      <c r="AS640" s="70"/>
      <c r="AT640" s="70"/>
      <c r="AW640" s="1"/>
      <c r="BA640" s="70"/>
      <c r="BB640" s="70"/>
      <c r="BC640" s="70"/>
      <c r="BD640" s="70"/>
      <c r="BE640" s="70"/>
      <c r="BF640" s="70"/>
      <c r="BG640" s="70"/>
      <c r="BH640" s="70"/>
      <c r="BI640" s="70"/>
      <c r="BJ640" s="70"/>
      <c r="BK640" s="1"/>
    </row>
    <row r="641" spans="1:63" s="44" customFormat="1" ht="12" customHeight="1" x14ac:dyDescent="0.2">
      <c r="A641" s="11" t="s">
        <v>27720</v>
      </c>
      <c r="B641" s="68">
        <v>32</v>
      </c>
      <c r="C641" s="11" t="s">
        <v>20</v>
      </c>
      <c r="D641" s="11" t="s">
        <v>37</v>
      </c>
      <c r="E641" s="11"/>
      <c r="F641" s="69">
        <v>42735</v>
      </c>
      <c r="G641" s="11"/>
      <c r="H641" s="11" t="s">
        <v>27724</v>
      </c>
      <c r="I641" s="11" t="s">
        <v>404</v>
      </c>
      <c r="J641" s="11">
        <v>17082</v>
      </c>
      <c r="K641" s="11" t="s">
        <v>27723</v>
      </c>
      <c r="L641" s="11" t="s">
        <v>511</v>
      </c>
      <c r="M641" s="11" t="s">
        <v>27</v>
      </c>
      <c r="N641" s="11" t="s">
        <v>27722</v>
      </c>
      <c r="O641" s="11" t="s">
        <v>400</v>
      </c>
      <c r="P641" s="11" t="s">
        <v>401</v>
      </c>
      <c r="Q641" s="60" t="s">
        <v>27721</v>
      </c>
      <c r="R641" s="11" t="s">
        <v>29</v>
      </c>
      <c r="S641" s="11" t="s">
        <v>28</v>
      </c>
      <c r="T641" s="68" t="s">
        <v>27756</v>
      </c>
      <c r="U641" s="68" t="s">
        <v>29438</v>
      </c>
      <c r="V641" s="68" t="s">
        <v>21212</v>
      </c>
      <c r="W641" s="68" t="s">
        <v>100</v>
      </c>
      <c r="X641" s="68">
        <v>2183</v>
      </c>
      <c r="Y641" s="11"/>
      <c r="Z641" s="11"/>
      <c r="AA641" s="11"/>
      <c r="AB641" s="11"/>
      <c r="AC641" s="11"/>
      <c r="AD641" s="11"/>
      <c r="AE641" s="11"/>
      <c r="AF641" s="11"/>
      <c r="AG641" s="11"/>
      <c r="AH641" s="11"/>
      <c r="AI641" s="11"/>
      <c r="AJ641" s="11"/>
      <c r="AK641" s="11"/>
      <c r="AL641" s="11"/>
      <c r="AW641" s="11"/>
      <c r="AX641" s="1"/>
      <c r="AY641" s="1"/>
      <c r="BA641" s="1"/>
      <c r="BB641" s="1"/>
      <c r="BC641" s="1"/>
      <c r="BD641" s="1"/>
      <c r="BE641" s="1"/>
      <c r="BF641" s="1"/>
      <c r="BG641" s="1"/>
      <c r="BH641" s="1"/>
      <c r="BI641" s="1"/>
      <c r="BJ641" s="1"/>
      <c r="BK641" s="70"/>
    </row>
    <row r="642" spans="1:63" s="44" customFormat="1" ht="12" customHeight="1" x14ac:dyDescent="0.2">
      <c r="A642" s="11" t="s">
        <v>27733</v>
      </c>
      <c r="B642" s="68">
        <v>33</v>
      </c>
      <c r="C642" s="11" t="s">
        <v>20</v>
      </c>
      <c r="D642" s="11" t="s">
        <v>37</v>
      </c>
      <c r="E642" s="11"/>
      <c r="F642" s="69">
        <v>42735</v>
      </c>
      <c r="G642" s="11" t="s">
        <v>27730</v>
      </c>
      <c r="H642" s="11" t="s">
        <v>18357</v>
      </c>
      <c r="I642" s="11" t="s">
        <v>133</v>
      </c>
      <c r="J642" s="11">
        <v>56001</v>
      </c>
      <c r="K642" s="11" t="s">
        <v>27732</v>
      </c>
      <c r="L642" s="11" t="s">
        <v>27726</v>
      </c>
      <c r="M642" s="68" t="s">
        <v>5411</v>
      </c>
      <c r="N642" s="11" t="s">
        <v>27731</v>
      </c>
      <c r="O642" s="11" t="s">
        <v>400</v>
      </c>
      <c r="P642" s="11" t="s">
        <v>401</v>
      </c>
      <c r="Q642" s="60" t="s">
        <v>27725</v>
      </c>
      <c r="R642" s="11" t="s">
        <v>29</v>
      </c>
      <c r="S642" s="11" t="s">
        <v>18</v>
      </c>
      <c r="T642" s="68" t="s">
        <v>28345</v>
      </c>
      <c r="U642" s="68" t="s">
        <v>29438</v>
      </c>
      <c r="V642" s="68" t="s">
        <v>29439</v>
      </c>
      <c r="W642" s="68" t="s">
        <v>100</v>
      </c>
      <c r="X642" s="68">
        <v>2179</v>
      </c>
      <c r="Y642" s="11"/>
      <c r="Z642" s="11"/>
      <c r="AA642" s="11"/>
      <c r="AB642" s="11"/>
      <c r="AC642" s="11"/>
      <c r="AD642" s="11"/>
      <c r="AE642" s="11"/>
      <c r="AF642" s="11"/>
      <c r="AG642" s="11"/>
      <c r="AH642" s="11"/>
      <c r="AI642" s="11"/>
      <c r="AJ642" s="11"/>
      <c r="AK642" s="11"/>
      <c r="AL642" s="11"/>
      <c r="AW642" s="11"/>
      <c r="AX642" s="1"/>
      <c r="AY642" s="1"/>
      <c r="BA642" s="1"/>
      <c r="BB642" s="70"/>
      <c r="BC642" s="1"/>
      <c r="BD642" s="1"/>
      <c r="BE642" s="1"/>
      <c r="BF642" s="1"/>
      <c r="BG642" s="1"/>
      <c r="BH642" s="1"/>
      <c r="BI642" s="1"/>
      <c r="BJ642" s="1"/>
      <c r="BK642" s="1"/>
    </row>
    <row r="643" spans="1:63" s="44" customFormat="1" ht="12" customHeight="1" x14ac:dyDescent="0.2">
      <c r="A643" s="11" t="s">
        <v>27715</v>
      </c>
      <c r="B643" s="68">
        <v>46</v>
      </c>
      <c r="C643" s="11" t="s">
        <v>20</v>
      </c>
      <c r="D643" s="11" t="s">
        <v>37</v>
      </c>
      <c r="E643" s="11"/>
      <c r="F643" s="69">
        <v>42735</v>
      </c>
      <c r="G643" s="11" t="s">
        <v>27718</v>
      </c>
      <c r="H643" s="11" t="s">
        <v>27717</v>
      </c>
      <c r="I643" s="11" t="s">
        <v>62</v>
      </c>
      <c r="J643" s="11">
        <v>33470</v>
      </c>
      <c r="K643" s="11" t="s">
        <v>5318</v>
      </c>
      <c r="L643" s="11" t="s">
        <v>63</v>
      </c>
      <c r="M643" s="11" t="s">
        <v>27</v>
      </c>
      <c r="N643" s="11" t="s">
        <v>27719</v>
      </c>
      <c r="O643" s="11" t="s">
        <v>400</v>
      </c>
      <c r="P643" s="11" t="s">
        <v>401</v>
      </c>
      <c r="Q643" s="60" t="s">
        <v>27716</v>
      </c>
      <c r="R643" s="68" t="s">
        <v>555</v>
      </c>
      <c r="S643" s="11" t="s">
        <v>28</v>
      </c>
      <c r="T643" s="68" t="s">
        <v>29493</v>
      </c>
      <c r="U643" s="68" t="s">
        <v>29438</v>
      </c>
      <c r="V643" s="68" t="s">
        <v>29439</v>
      </c>
      <c r="W643" s="68" t="s">
        <v>100</v>
      </c>
      <c r="X643" s="68">
        <v>2181</v>
      </c>
      <c r="Y643" s="11"/>
      <c r="Z643" s="11"/>
      <c r="AA643" s="11"/>
      <c r="AB643" s="11"/>
      <c r="AC643" s="11"/>
      <c r="AD643" s="11"/>
      <c r="AE643" s="11"/>
      <c r="AF643" s="11"/>
      <c r="AG643" s="11"/>
      <c r="AH643" s="11"/>
      <c r="AI643" s="11"/>
      <c r="AJ643" s="11"/>
      <c r="AK643" s="11"/>
      <c r="AL643" s="11"/>
      <c r="AW643" s="1"/>
      <c r="AX643" s="1"/>
      <c r="AY643" s="1"/>
      <c r="BA643" s="70"/>
      <c r="BB643" s="11"/>
      <c r="BC643" s="1"/>
      <c r="BD643" s="1"/>
      <c r="BE643" s="1"/>
      <c r="BF643" s="1"/>
      <c r="BG643" s="1"/>
      <c r="BH643" s="1"/>
      <c r="BI643" s="1"/>
      <c r="BJ643" s="1"/>
      <c r="BK643" s="70"/>
    </row>
    <row r="644" spans="1:63" s="44" customFormat="1" ht="12" customHeight="1" x14ac:dyDescent="0.2">
      <c r="A644" s="11" t="s">
        <v>27734</v>
      </c>
      <c r="B644" s="11">
        <v>34</v>
      </c>
      <c r="C644" s="11" t="s">
        <v>20</v>
      </c>
      <c r="D644" s="11" t="s">
        <v>37</v>
      </c>
      <c r="E644" s="11"/>
      <c r="F644" s="69">
        <v>42734</v>
      </c>
      <c r="G644" s="11" t="s">
        <v>27728</v>
      </c>
      <c r="H644" s="11" t="s">
        <v>5436</v>
      </c>
      <c r="I644" s="11" t="s">
        <v>62</v>
      </c>
      <c r="J644" s="11">
        <v>32506</v>
      </c>
      <c r="K644" s="11" t="s">
        <v>5437</v>
      </c>
      <c r="L644" s="11" t="s">
        <v>5438</v>
      </c>
      <c r="M644" s="11" t="s">
        <v>27</v>
      </c>
      <c r="N644" s="11" t="s">
        <v>27729</v>
      </c>
      <c r="O644" s="11" t="s">
        <v>400</v>
      </c>
      <c r="P644" s="11" t="s">
        <v>401</v>
      </c>
      <c r="Q644" s="60" t="s">
        <v>27727</v>
      </c>
      <c r="R644" s="11" t="s">
        <v>29</v>
      </c>
      <c r="S644" s="11" t="s">
        <v>28</v>
      </c>
      <c r="T644" s="68" t="s">
        <v>27756</v>
      </c>
      <c r="U644" s="68" t="s">
        <v>29438</v>
      </c>
      <c r="V644" s="68" t="s">
        <v>29439</v>
      </c>
      <c r="W644" s="68" t="s">
        <v>100</v>
      </c>
      <c r="X644" s="68">
        <v>2182</v>
      </c>
      <c r="Y644" s="11"/>
      <c r="Z644" s="11"/>
      <c r="AA644" s="11"/>
      <c r="AB644" s="11"/>
      <c r="AC644" s="11"/>
      <c r="AD644" s="11"/>
      <c r="AE644" s="11"/>
      <c r="AF644" s="11"/>
      <c r="AG644" s="11"/>
      <c r="AH644" s="11"/>
      <c r="AI644" s="11"/>
      <c r="AJ644" s="11"/>
      <c r="AK644" s="11"/>
      <c r="AL644" s="11"/>
      <c r="AW644" s="1"/>
      <c r="AX644" s="1"/>
      <c r="AY644" s="1"/>
      <c r="BA644" s="1"/>
      <c r="BB644" s="1"/>
      <c r="BC644" s="1"/>
      <c r="BD644" s="1"/>
      <c r="BE644" s="1"/>
      <c r="BF644" s="1"/>
      <c r="BG644" s="1"/>
      <c r="BH644" s="1"/>
      <c r="BI644" s="1"/>
      <c r="BJ644" s="1"/>
      <c r="BK644" s="70"/>
    </row>
    <row r="645" spans="1:63" s="44" customFormat="1" ht="12" customHeight="1" x14ac:dyDescent="0.2">
      <c r="A645" s="11" t="s">
        <v>27735</v>
      </c>
      <c r="B645" s="68">
        <v>31</v>
      </c>
      <c r="C645" s="11" t="s">
        <v>20</v>
      </c>
      <c r="D645" s="11" t="s">
        <v>37</v>
      </c>
      <c r="E645" s="11"/>
      <c r="F645" s="69">
        <v>42734</v>
      </c>
      <c r="G645" s="11" t="s">
        <v>27710</v>
      </c>
      <c r="H645" s="11" t="s">
        <v>632</v>
      </c>
      <c r="I645" s="11" t="s">
        <v>123</v>
      </c>
      <c r="J645" s="11">
        <v>85020</v>
      </c>
      <c r="K645" s="11" t="s">
        <v>633</v>
      </c>
      <c r="L645" s="11" t="s">
        <v>634</v>
      </c>
      <c r="M645" s="68" t="s">
        <v>5411</v>
      </c>
      <c r="N645" s="11" t="s">
        <v>27708</v>
      </c>
      <c r="O645" s="11" t="s">
        <v>400</v>
      </c>
      <c r="P645" s="11" t="s">
        <v>401</v>
      </c>
      <c r="Q645" s="60" t="s">
        <v>27709</v>
      </c>
      <c r="R645" s="11" t="s">
        <v>29</v>
      </c>
      <c r="S645" s="11" t="s">
        <v>28</v>
      </c>
      <c r="T645" s="68" t="s">
        <v>29493</v>
      </c>
      <c r="U645" s="68" t="s">
        <v>29436</v>
      </c>
      <c r="V645" s="68" t="s">
        <v>29440</v>
      </c>
      <c r="W645" s="68" t="s">
        <v>100</v>
      </c>
      <c r="X645" s="68">
        <v>2186</v>
      </c>
      <c r="Y645" s="11"/>
      <c r="Z645" s="11"/>
      <c r="AA645" s="11"/>
      <c r="AB645" s="11"/>
      <c r="AC645" s="11"/>
      <c r="AD645" s="11"/>
      <c r="AE645" s="11"/>
      <c r="AF645" s="11"/>
      <c r="AG645" s="11"/>
      <c r="AH645" s="11"/>
      <c r="AI645" s="11"/>
      <c r="AJ645" s="11"/>
      <c r="AK645" s="11"/>
      <c r="AL645" s="11"/>
      <c r="AW645" s="11"/>
      <c r="AX645" s="1"/>
      <c r="AY645" s="1"/>
      <c r="BA645" s="1"/>
      <c r="BB645" s="70"/>
      <c r="BC645" s="1"/>
      <c r="BD645" s="1"/>
      <c r="BE645" s="1"/>
      <c r="BF645" s="1"/>
      <c r="BG645" s="1"/>
      <c r="BH645" s="1"/>
      <c r="BI645" s="1"/>
      <c r="BJ645" s="1"/>
      <c r="BK645" s="1"/>
    </row>
    <row r="646" spans="1:63" s="44" customFormat="1" ht="12" customHeight="1" x14ac:dyDescent="0.2">
      <c r="A646" s="11" t="s">
        <v>27711</v>
      </c>
      <c r="B646" s="68">
        <v>21</v>
      </c>
      <c r="C646" s="11" t="s">
        <v>20</v>
      </c>
      <c r="D646" s="11" t="s">
        <v>85</v>
      </c>
      <c r="E646" s="11"/>
      <c r="F646" s="69">
        <v>42734</v>
      </c>
      <c r="G646" s="11" t="s">
        <v>27714</v>
      </c>
      <c r="H646" s="11" t="s">
        <v>213</v>
      </c>
      <c r="I646" s="11" t="s">
        <v>62</v>
      </c>
      <c r="J646" s="11">
        <v>33157</v>
      </c>
      <c r="K646" s="11" t="s">
        <v>161</v>
      </c>
      <c r="L646" s="11" t="s">
        <v>162</v>
      </c>
      <c r="M646" s="11" t="s">
        <v>27</v>
      </c>
      <c r="N646" s="11" t="s">
        <v>27713</v>
      </c>
      <c r="O646" s="11" t="s">
        <v>400</v>
      </c>
      <c r="P646" s="11" t="s">
        <v>401</v>
      </c>
      <c r="Q646" s="60" t="s">
        <v>27712</v>
      </c>
      <c r="R646" s="11" t="s">
        <v>29</v>
      </c>
      <c r="S646" s="2" t="s">
        <v>35</v>
      </c>
      <c r="T646" s="68" t="s">
        <v>27756</v>
      </c>
      <c r="U646" s="68" t="s">
        <v>29436</v>
      </c>
      <c r="V646" s="68" t="s">
        <v>29437</v>
      </c>
      <c r="W646" s="68" t="s">
        <v>100</v>
      </c>
      <c r="X646" s="68">
        <v>2176</v>
      </c>
      <c r="Y646" s="11"/>
      <c r="Z646" s="11"/>
      <c r="AA646" s="11"/>
      <c r="AB646" s="11"/>
      <c r="AC646" s="11"/>
      <c r="AD646" s="11"/>
      <c r="AE646" s="11"/>
      <c r="AF646" s="11"/>
      <c r="AG646" s="11"/>
      <c r="AH646" s="11"/>
      <c r="AI646" s="11"/>
      <c r="AJ646" s="11"/>
      <c r="AK646" s="11"/>
      <c r="AL646" s="11"/>
      <c r="AW646" s="70"/>
      <c r="AX646" s="70"/>
      <c r="AY646" s="70"/>
      <c r="BA646" s="1"/>
      <c r="BB646" s="1"/>
      <c r="BC646" s="70"/>
      <c r="BD646" s="70"/>
      <c r="BE646" s="70"/>
      <c r="BF646" s="70"/>
      <c r="BG646" s="70"/>
      <c r="BH646" s="70"/>
      <c r="BI646" s="70"/>
      <c r="BJ646" s="70"/>
      <c r="BK646" s="1"/>
    </row>
    <row r="647" spans="1:63" s="44" customFormat="1" ht="12" customHeight="1" x14ac:dyDescent="0.2">
      <c r="A647" s="11" t="s">
        <v>27697</v>
      </c>
      <c r="B647" s="68">
        <v>52</v>
      </c>
      <c r="C647" s="11" t="s">
        <v>20</v>
      </c>
      <c r="D647" s="11" t="s">
        <v>85</v>
      </c>
      <c r="E647" s="11"/>
      <c r="F647" s="69">
        <v>42733</v>
      </c>
      <c r="G647" s="11" t="s">
        <v>27698</v>
      </c>
      <c r="H647" s="11" t="s">
        <v>27699</v>
      </c>
      <c r="I647" s="11" t="s">
        <v>52</v>
      </c>
      <c r="J647" s="11">
        <v>21620</v>
      </c>
      <c r="K647" s="11" t="s">
        <v>27703</v>
      </c>
      <c r="L647" s="11" t="s">
        <v>27700</v>
      </c>
      <c r="M647" s="11" t="s">
        <v>27</v>
      </c>
      <c r="N647" s="11" t="s">
        <v>27701</v>
      </c>
      <c r="O647" s="11" t="s">
        <v>400</v>
      </c>
      <c r="P647" s="11" t="s">
        <v>401</v>
      </c>
      <c r="Q647" s="60" t="s">
        <v>27702</v>
      </c>
      <c r="R647" s="11" t="s">
        <v>29</v>
      </c>
      <c r="S647" s="11" t="s">
        <v>28</v>
      </c>
      <c r="T647" s="68" t="s">
        <v>27756</v>
      </c>
      <c r="U647" s="68" t="s">
        <v>29441</v>
      </c>
      <c r="V647" s="68" t="s">
        <v>29439</v>
      </c>
      <c r="W647" s="68" t="s">
        <v>555</v>
      </c>
      <c r="X647" s="68">
        <v>2173</v>
      </c>
      <c r="Y647" s="11"/>
      <c r="Z647" s="11"/>
      <c r="AA647" s="11"/>
      <c r="AB647" s="11"/>
      <c r="AC647" s="11"/>
      <c r="AD647" s="11"/>
      <c r="AE647" s="11"/>
      <c r="AF647" s="11"/>
      <c r="AG647" s="11"/>
      <c r="AH647" s="11"/>
      <c r="AI647" s="11"/>
      <c r="AJ647" s="11"/>
      <c r="AK647" s="11"/>
      <c r="AL647" s="11"/>
      <c r="AW647" s="1"/>
      <c r="BA647" s="1"/>
      <c r="BB647" s="1"/>
      <c r="BC647" s="70"/>
      <c r="BD647" s="70"/>
      <c r="BE647" s="70"/>
      <c r="BF647" s="70"/>
      <c r="BG647" s="70"/>
      <c r="BH647" s="70"/>
      <c r="BI647" s="70"/>
      <c r="BJ647" s="70"/>
      <c r="BK647" s="70"/>
    </row>
    <row r="648" spans="1:63" s="44" customFormat="1" ht="12" customHeight="1" x14ac:dyDescent="0.15">
      <c r="A648" s="11" t="s">
        <v>27704</v>
      </c>
      <c r="B648" s="11">
        <v>34</v>
      </c>
      <c r="C648" s="11" t="s">
        <v>20</v>
      </c>
      <c r="D648" s="11" t="s">
        <v>37</v>
      </c>
      <c r="E648" s="11"/>
      <c r="F648" s="72">
        <v>42733</v>
      </c>
      <c r="G648" s="11" t="s">
        <v>27707</v>
      </c>
      <c r="H648" s="11"/>
      <c r="I648" s="11" t="s">
        <v>62</v>
      </c>
      <c r="J648" s="11">
        <v>34639</v>
      </c>
      <c r="K648" s="11" t="s">
        <v>4353</v>
      </c>
      <c r="L648" s="11" t="s">
        <v>5400</v>
      </c>
      <c r="M648" s="1" t="s">
        <v>391</v>
      </c>
      <c r="N648" s="11" t="s">
        <v>27706</v>
      </c>
      <c r="O648" s="11" t="s">
        <v>400</v>
      </c>
      <c r="P648" s="11" t="s">
        <v>401</v>
      </c>
      <c r="Q648" s="60" t="s">
        <v>27705</v>
      </c>
      <c r="R648" s="11" t="s">
        <v>29</v>
      </c>
      <c r="S648" s="11" t="s">
        <v>18</v>
      </c>
      <c r="T648" s="11"/>
      <c r="U648" s="11"/>
      <c r="V648" s="11"/>
      <c r="W648" s="11"/>
      <c r="X648" s="11"/>
      <c r="Y648" s="11"/>
      <c r="Z648" s="11"/>
      <c r="AA648" s="11"/>
      <c r="AB648" s="11"/>
      <c r="AC648" s="11"/>
      <c r="AD648" s="11"/>
      <c r="AE648" s="11"/>
      <c r="AF648" s="11"/>
      <c r="AG648" s="11"/>
      <c r="AH648" s="11"/>
      <c r="AI648" s="11"/>
      <c r="AJ648" s="11"/>
      <c r="AK648" s="11"/>
      <c r="AL648" s="11"/>
      <c r="AU648" s="11"/>
      <c r="AV648" s="11"/>
      <c r="AW648" s="11"/>
      <c r="AX648" s="1"/>
      <c r="AY648" s="1"/>
      <c r="AZ648" s="1"/>
      <c r="BA648" s="1"/>
      <c r="BB648" s="1"/>
      <c r="BC648" s="1"/>
      <c r="BD648" s="1"/>
      <c r="BE648" s="1"/>
      <c r="BF648" s="1"/>
      <c r="BG648" s="1"/>
      <c r="BH648" s="1"/>
      <c r="BI648" s="1"/>
      <c r="BJ648" s="1"/>
      <c r="BK648" s="1"/>
    </row>
    <row r="649" spans="1:63" s="44" customFormat="1" ht="12" customHeight="1" x14ac:dyDescent="0.15">
      <c r="A649" s="11" t="s">
        <v>27692</v>
      </c>
      <c r="B649" s="68">
        <v>28</v>
      </c>
      <c r="C649" s="11" t="s">
        <v>20</v>
      </c>
      <c r="D649" s="11" t="s">
        <v>37</v>
      </c>
      <c r="E649" s="11"/>
      <c r="F649" s="69">
        <v>42732</v>
      </c>
      <c r="G649" s="11" t="s">
        <v>27693</v>
      </c>
      <c r="H649" s="11" t="s">
        <v>25587</v>
      </c>
      <c r="I649" s="11" t="s">
        <v>319</v>
      </c>
      <c r="J649" s="11">
        <v>37174</v>
      </c>
      <c r="K649" s="11" t="s">
        <v>2583</v>
      </c>
      <c r="L649" s="11" t="s">
        <v>27694</v>
      </c>
      <c r="M649" s="11" t="s">
        <v>27</v>
      </c>
      <c r="N649" s="11" t="s">
        <v>27695</v>
      </c>
      <c r="O649" s="11" t="s">
        <v>400</v>
      </c>
      <c r="P649" s="11" t="s">
        <v>401</v>
      </c>
      <c r="Q649" s="60" t="s">
        <v>27696</v>
      </c>
      <c r="R649" s="11" t="s">
        <v>29</v>
      </c>
      <c r="S649" s="11" t="s">
        <v>35</v>
      </c>
      <c r="T649" s="66" t="s">
        <v>29441</v>
      </c>
      <c r="U649" s="68" t="s">
        <v>29441</v>
      </c>
      <c r="V649" s="68" t="s">
        <v>29439</v>
      </c>
      <c r="W649" s="68" t="s">
        <v>100</v>
      </c>
      <c r="X649" s="68">
        <v>2175</v>
      </c>
      <c r="Y649" s="11"/>
      <c r="Z649" s="11"/>
      <c r="AA649" s="11"/>
      <c r="AB649" s="11"/>
      <c r="AC649" s="11"/>
      <c r="AD649" s="11"/>
      <c r="AE649" s="11"/>
      <c r="AF649" s="11"/>
      <c r="AG649" s="11"/>
      <c r="AH649" s="11"/>
      <c r="AI649" s="11"/>
      <c r="AJ649" s="11"/>
      <c r="AK649" s="11"/>
      <c r="AL649" s="11"/>
      <c r="AX649" s="1"/>
      <c r="AY649" s="1"/>
      <c r="BA649" s="1"/>
      <c r="BB649" s="1"/>
      <c r="BC649" s="1"/>
      <c r="BD649" s="1"/>
      <c r="BE649" s="1"/>
      <c r="BF649" s="1"/>
      <c r="BG649" s="1"/>
      <c r="BH649" s="1"/>
      <c r="BI649" s="1"/>
      <c r="BJ649" s="1"/>
      <c r="BK649" s="1"/>
    </row>
    <row r="650" spans="1:63" s="44" customFormat="1" ht="12" customHeight="1" x14ac:dyDescent="0.2">
      <c r="A650" s="11" t="s">
        <v>27688</v>
      </c>
      <c r="B650" s="11">
        <v>39</v>
      </c>
      <c r="C650" s="11" t="s">
        <v>20</v>
      </c>
      <c r="D650" s="11" t="s">
        <v>85</v>
      </c>
      <c r="E650" s="11"/>
      <c r="F650" s="72">
        <v>42732</v>
      </c>
      <c r="G650" s="11" t="s">
        <v>27691</v>
      </c>
      <c r="H650" s="11" t="s">
        <v>1567</v>
      </c>
      <c r="I650" s="11" t="s">
        <v>62</v>
      </c>
      <c r="J650" s="11">
        <v>33607</v>
      </c>
      <c r="K650" s="11" t="s">
        <v>638</v>
      </c>
      <c r="L650" s="11" t="s">
        <v>1569</v>
      </c>
      <c r="M650" s="44" t="s">
        <v>2291</v>
      </c>
      <c r="N650" s="11" t="s">
        <v>27690</v>
      </c>
      <c r="O650" s="11" t="s">
        <v>400</v>
      </c>
      <c r="P650" s="11" t="s">
        <v>401</v>
      </c>
      <c r="Q650" s="60" t="s">
        <v>27689</v>
      </c>
      <c r="R650" s="11" t="s">
        <v>555</v>
      </c>
      <c r="S650" s="11" t="s">
        <v>18</v>
      </c>
      <c r="T650" s="11"/>
      <c r="U650" s="11"/>
      <c r="V650" s="11"/>
      <c r="W650" s="11"/>
      <c r="X650" s="11"/>
      <c r="Y650" s="11"/>
      <c r="Z650" s="11"/>
      <c r="AA650" s="11"/>
      <c r="AB650" s="11"/>
      <c r="AC650" s="11"/>
      <c r="AD650" s="11"/>
      <c r="AE650" s="11"/>
      <c r="AF650" s="11"/>
      <c r="AG650" s="11"/>
      <c r="AH650" s="11"/>
      <c r="AI650" s="11"/>
      <c r="AJ650" s="11"/>
      <c r="AK650" s="11"/>
      <c r="AL650" s="11"/>
      <c r="AU650" s="1"/>
      <c r="AV650" s="1"/>
      <c r="AW650" s="1"/>
      <c r="AZ650" s="1"/>
      <c r="BA650" s="11"/>
      <c r="BB650" s="11"/>
      <c r="BC650" s="70"/>
      <c r="BD650" s="70"/>
      <c r="BE650" s="70"/>
      <c r="BF650" s="70"/>
      <c r="BG650" s="70"/>
      <c r="BH650" s="70"/>
      <c r="BI650" s="70"/>
      <c r="BJ650" s="70"/>
      <c r="BK650" s="1"/>
    </row>
    <row r="651" spans="1:63" s="44" customFormat="1" ht="12" customHeight="1" x14ac:dyDescent="0.2">
      <c r="A651" s="11" t="s">
        <v>27092</v>
      </c>
      <c r="B651" s="68">
        <v>35</v>
      </c>
      <c r="C651" s="11" t="s">
        <v>20</v>
      </c>
      <c r="D651" s="11" t="s">
        <v>37</v>
      </c>
      <c r="E651" s="11"/>
      <c r="F651" s="69">
        <v>42731</v>
      </c>
      <c r="G651" s="11" t="s">
        <v>27635</v>
      </c>
      <c r="H651" s="11" t="s">
        <v>27093</v>
      </c>
      <c r="I651" s="11" t="s">
        <v>45</v>
      </c>
      <c r="J651" s="11">
        <v>95945</v>
      </c>
      <c r="K651" s="11" t="s">
        <v>20586</v>
      </c>
      <c r="L651" s="11" t="s">
        <v>27094</v>
      </c>
      <c r="M651" s="11" t="s">
        <v>27</v>
      </c>
      <c r="N651" s="11" t="s">
        <v>27095</v>
      </c>
      <c r="O651" s="11" t="s">
        <v>400</v>
      </c>
      <c r="P651" s="11" t="s">
        <v>401</v>
      </c>
      <c r="Q651" s="60" t="s">
        <v>27096</v>
      </c>
      <c r="R651" s="11" t="s">
        <v>964</v>
      </c>
      <c r="S651" s="11" t="s">
        <v>28</v>
      </c>
      <c r="T651" s="68" t="s">
        <v>27756</v>
      </c>
      <c r="U651" s="68" t="s">
        <v>29438</v>
      </c>
      <c r="V651" s="68" t="s">
        <v>29439</v>
      </c>
      <c r="W651" s="68" t="s">
        <v>100</v>
      </c>
      <c r="X651" s="68">
        <v>2169</v>
      </c>
      <c r="Y651" s="11"/>
      <c r="Z651" s="11"/>
      <c r="AA651" s="11"/>
      <c r="AB651" s="11"/>
      <c r="AC651" s="11"/>
      <c r="AD651" s="11"/>
      <c r="AE651" s="11"/>
      <c r="AF651" s="11"/>
      <c r="AG651" s="11"/>
      <c r="AH651" s="11"/>
      <c r="AI651" s="11"/>
      <c r="AJ651" s="11"/>
      <c r="AK651" s="11"/>
      <c r="AL651" s="11"/>
      <c r="AU651" s="11"/>
      <c r="AV651" s="11"/>
      <c r="AW651" s="11"/>
      <c r="AX651" s="1"/>
      <c r="AY651" s="1"/>
      <c r="AZ651" s="11"/>
      <c r="BC651" s="1"/>
      <c r="BD651" s="1"/>
      <c r="BE651" s="1"/>
      <c r="BF651" s="1"/>
      <c r="BG651" s="1"/>
      <c r="BH651" s="1"/>
      <c r="BI651" s="1"/>
      <c r="BJ651" s="1"/>
      <c r="BK651" s="70"/>
    </row>
    <row r="652" spans="1:63" s="44" customFormat="1" ht="12" customHeight="1" x14ac:dyDescent="0.15">
      <c r="A652" s="11" t="s">
        <v>27670</v>
      </c>
      <c r="B652" s="68">
        <v>41</v>
      </c>
      <c r="C652" s="11" t="s">
        <v>20</v>
      </c>
      <c r="D652" s="11" t="s">
        <v>48</v>
      </c>
      <c r="E652" s="11"/>
      <c r="F652" s="69">
        <v>42731</v>
      </c>
      <c r="G652" s="11" t="s">
        <v>27673</v>
      </c>
      <c r="H652" s="11" t="s">
        <v>27674</v>
      </c>
      <c r="I652" s="11" t="s">
        <v>44</v>
      </c>
      <c r="J652" s="11">
        <v>77584</v>
      </c>
      <c r="K652" s="11" t="s">
        <v>88</v>
      </c>
      <c r="L652" s="11" t="s">
        <v>27675</v>
      </c>
      <c r="M652" s="11" t="s">
        <v>27</v>
      </c>
      <c r="N652" s="11" t="s">
        <v>27672</v>
      </c>
      <c r="O652" s="11" t="s">
        <v>400</v>
      </c>
      <c r="P652" s="11" t="s">
        <v>401</v>
      </c>
      <c r="Q652" s="60" t="s">
        <v>27671</v>
      </c>
      <c r="R652" s="11" t="s">
        <v>29</v>
      </c>
      <c r="S652" s="11" t="s">
        <v>28</v>
      </c>
      <c r="T652" s="66" t="s">
        <v>29674</v>
      </c>
      <c r="U652" s="68" t="s">
        <v>29438</v>
      </c>
      <c r="V652" s="68" t="s">
        <v>29439</v>
      </c>
      <c r="W652" s="68" t="s">
        <v>100</v>
      </c>
      <c r="X652" s="68">
        <v>2171</v>
      </c>
      <c r="Y652" s="11"/>
      <c r="Z652" s="11"/>
      <c r="AA652" s="11"/>
      <c r="AB652" s="11"/>
      <c r="AC652" s="11"/>
      <c r="AD652" s="11"/>
      <c r="AE652" s="11"/>
      <c r="AF652" s="11"/>
      <c r="AG652" s="11"/>
      <c r="AH652" s="11"/>
      <c r="AI652" s="11"/>
      <c r="AJ652" s="11"/>
      <c r="AK652" s="11"/>
      <c r="AL652" s="11"/>
      <c r="AU652" s="11"/>
      <c r="AV652" s="11"/>
      <c r="AW652" s="1"/>
      <c r="AX652" s="1"/>
      <c r="AY652" s="1"/>
      <c r="BA652" s="1"/>
      <c r="BB652" s="1"/>
      <c r="BC652" s="1"/>
      <c r="BD652" s="1"/>
      <c r="BE652" s="1"/>
      <c r="BF652" s="1"/>
      <c r="BG652" s="1"/>
      <c r="BH652" s="1"/>
      <c r="BI652" s="1"/>
      <c r="BJ652" s="1"/>
      <c r="BK652" s="1"/>
    </row>
    <row r="653" spans="1:63" s="44" customFormat="1" ht="12" customHeight="1" x14ac:dyDescent="0.2">
      <c r="A653" s="11" t="s">
        <v>27736</v>
      </c>
      <c r="B653" s="11">
        <v>19</v>
      </c>
      <c r="C653" s="11" t="s">
        <v>20</v>
      </c>
      <c r="D653" s="11" t="s">
        <v>139</v>
      </c>
      <c r="E653" s="11"/>
      <c r="F653" s="72">
        <v>42731</v>
      </c>
      <c r="G653" s="11"/>
      <c r="H653" s="11" t="s">
        <v>12776</v>
      </c>
      <c r="I653" s="11" t="s">
        <v>143</v>
      </c>
      <c r="J653" s="11"/>
      <c r="K653" s="11" t="s">
        <v>24116</v>
      </c>
      <c r="L653" s="11" t="s">
        <v>27687</v>
      </c>
      <c r="M653" s="11" t="s">
        <v>27</v>
      </c>
      <c r="N653" s="11" t="s">
        <v>27686</v>
      </c>
      <c r="O653" s="11" t="s">
        <v>400</v>
      </c>
      <c r="P653" s="11" t="s">
        <v>401</v>
      </c>
      <c r="Q653" s="60" t="s">
        <v>27685</v>
      </c>
      <c r="R653" s="11" t="s">
        <v>29</v>
      </c>
      <c r="S653" s="11" t="s">
        <v>28</v>
      </c>
      <c r="T653" s="68"/>
      <c r="U653" s="68"/>
      <c r="V653" s="68"/>
      <c r="W653" s="68"/>
      <c r="X653" s="68"/>
      <c r="Y653" s="11"/>
      <c r="Z653" s="11"/>
      <c r="AA653" s="11"/>
      <c r="AB653" s="11"/>
      <c r="AC653" s="11"/>
      <c r="AD653" s="11"/>
      <c r="AE653" s="11"/>
      <c r="AF653" s="11"/>
      <c r="AG653" s="11"/>
      <c r="AH653" s="11"/>
      <c r="AI653" s="11"/>
      <c r="AJ653" s="11"/>
      <c r="AK653" s="11"/>
      <c r="AL653" s="11"/>
      <c r="AU653" s="11"/>
      <c r="AV653" s="11"/>
      <c r="AW653" s="1"/>
      <c r="AX653" s="1"/>
      <c r="AY653" s="1"/>
      <c r="AZ653" s="1"/>
      <c r="BA653" s="1"/>
      <c r="BB653" s="1"/>
      <c r="BC653" s="1"/>
      <c r="BD653" s="1"/>
      <c r="BE653" s="1"/>
      <c r="BF653" s="1"/>
      <c r="BG653" s="1"/>
      <c r="BH653" s="1"/>
      <c r="BI653" s="1"/>
      <c r="BJ653" s="1"/>
      <c r="BK653" s="70"/>
    </row>
    <row r="654" spans="1:63" s="44" customFormat="1" ht="12" customHeight="1" x14ac:dyDescent="0.2">
      <c r="A654" s="11" t="s">
        <v>27679</v>
      </c>
      <c r="B654" s="11">
        <v>34</v>
      </c>
      <c r="C654" s="11" t="s">
        <v>20</v>
      </c>
      <c r="D654" s="11" t="s">
        <v>37</v>
      </c>
      <c r="E654" s="11"/>
      <c r="F654" s="72">
        <v>42731</v>
      </c>
      <c r="G654" s="11" t="s">
        <v>27683</v>
      </c>
      <c r="H654" s="11" t="s">
        <v>27684</v>
      </c>
      <c r="I654" s="11" t="s">
        <v>315</v>
      </c>
      <c r="J654" s="11">
        <v>40032</v>
      </c>
      <c r="K654" s="11" t="s">
        <v>27682</v>
      </c>
      <c r="L654" s="11" t="s">
        <v>20114</v>
      </c>
      <c r="M654" s="11" t="s">
        <v>27</v>
      </c>
      <c r="N654" s="11" t="s">
        <v>27681</v>
      </c>
      <c r="O654" s="11" t="s">
        <v>400</v>
      </c>
      <c r="P654" s="11" t="s">
        <v>401</v>
      </c>
      <c r="Q654" s="60" t="s">
        <v>27680</v>
      </c>
      <c r="R654" s="11" t="s">
        <v>29</v>
      </c>
      <c r="S654" s="11" t="s">
        <v>28</v>
      </c>
      <c r="T654" s="68"/>
      <c r="U654" s="68"/>
      <c r="V654" s="68"/>
      <c r="W654" s="68"/>
      <c r="X654" s="68"/>
      <c r="Y654" s="11"/>
      <c r="Z654" s="11"/>
      <c r="AA654" s="11"/>
      <c r="AB654" s="11"/>
      <c r="AC654" s="11"/>
      <c r="AD654" s="11"/>
      <c r="AE654" s="11"/>
      <c r="AF654" s="11"/>
      <c r="AG654" s="11"/>
      <c r="AH654" s="11"/>
      <c r="AI654" s="11"/>
      <c r="AJ654" s="11"/>
      <c r="AK654" s="11"/>
      <c r="AL654" s="11"/>
      <c r="AU654" s="11"/>
      <c r="AV654" s="11"/>
      <c r="AW654" s="1"/>
      <c r="AX654" s="1"/>
      <c r="AY654" s="1"/>
      <c r="AZ654" s="1"/>
      <c r="BA654" s="1"/>
      <c r="BB654" s="1"/>
      <c r="BC654" s="1"/>
      <c r="BD654" s="1"/>
      <c r="BE654" s="1"/>
      <c r="BF654" s="1"/>
      <c r="BG654" s="1"/>
      <c r="BH654" s="1"/>
      <c r="BI654" s="1"/>
      <c r="BJ654" s="1"/>
      <c r="BK654" s="70"/>
    </row>
    <row r="655" spans="1:63" s="44" customFormat="1" ht="12" customHeight="1" x14ac:dyDescent="0.2">
      <c r="A655" s="11" t="s">
        <v>27631</v>
      </c>
      <c r="B655" s="68">
        <v>71</v>
      </c>
      <c r="C655" s="11" t="s">
        <v>114</v>
      </c>
      <c r="D655" s="11" t="s">
        <v>37</v>
      </c>
      <c r="E655" s="11"/>
      <c r="F655" s="69">
        <v>42731</v>
      </c>
      <c r="G655" s="11" t="s">
        <v>27634</v>
      </c>
      <c r="H655" s="11" t="s">
        <v>27669</v>
      </c>
      <c r="I655" s="11" t="s">
        <v>73</v>
      </c>
      <c r="J655" s="11">
        <v>77584</v>
      </c>
      <c r="K655" s="11" t="s">
        <v>4929</v>
      </c>
      <c r="L655" s="11" t="s">
        <v>27633</v>
      </c>
      <c r="M655" s="11" t="s">
        <v>27</v>
      </c>
      <c r="N655" s="11" t="s">
        <v>27668</v>
      </c>
      <c r="O655" s="11" t="s">
        <v>400</v>
      </c>
      <c r="P655" s="11" t="s">
        <v>401</v>
      </c>
      <c r="Q655" s="60" t="s">
        <v>27632</v>
      </c>
      <c r="R655" s="11" t="s">
        <v>29</v>
      </c>
      <c r="S655" s="11" t="s">
        <v>28</v>
      </c>
      <c r="T655" s="68" t="s">
        <v>27756</v>
      </c>
      <c r="U655" s="68" t="s">
        <v>29438</v>
      </c>
      <c r="V655" s="68" t="s">
        <v>29439</v>
      </c>
      <c r="W655" s="68" t="s">
        <v>100</v>
      </c>
      <c r="X655" s="68">
        <v>2170</v>
      </c>
      <c r="Y655" s="11"/>
      <c r="Z655" s="11"/>
      <c r="AA655" s="11"/>
      <c r="AB655" s="11"/>
      <c r="AC655" s="11"/>
      <c r="AD655" s="11"/>
      <c r="AE655" s="11"/>
      <c r="AF655" s="11"/>
      <c r="AG655" s="11"/>
      <c r="AH655" s="11"/>
      <c r="AI655" s="11"/>
      <c r="AJ655" s="11"/>
      <c r="AK655" s="11"/>
      <c r="AL655" s="11"/>
      <c r="AU655" s="11"/>
      <c r="AV655" s="11"/>
      <c r="AW655" s="1"/>
      <c r="AX655" s="1"/>
      <c r="AY655" s="1"/>
      <c r="AZ655" s="11"/>
      <c r="BA655" s="1"/>
      <c r="BB655" s="1"/>
      <c r="BC655" s="1"/>
      <c r="BD655" s="1"/>
      <c r="BE655" s="1"/>
      <c r="BF655" s="1"/>
      <c r="BG655" s="1"/>
      <c r="BH655" s="1"/>
      <c r="BI655" s="1"/>
      <c r="BJ655" s="1"/>
      <c r="BK655" s="70"/>
    </row>
    <row r="656" spans="1:63" s="44" customFormat="1" ht="12" customHeight="1" x14ac:dyDescent="0.2">
      <c r="A656" s="11" t="s">
        <v>27676</v>
      </c>
      <c r="B656" s="68">
        <v>36</v>
      </c>
      <c r="C656" s="11" t="s">
        <v>20</v>
      </c>
      <c r="D656" s="11" t="s">
        <v>37</v>
      </c>
      <c r="E656" s="11"/>
      <c r="F656" s="69">
        <v>42731</v>
      </c>
      <c r="G656" s="11"/>
      <c r="H656" s="11"/>
      <c r="I656" s="11" t="s">
        <v>73</v>
      </c>
      <c r="J656" s="11"/>
      <c r="K656" s="11" t="s">
        <v>4969</v>
      </c>
      <c r="L656" s="11" t="s">
        <v>281</v>
      </c>
      <c r="M656" s="11" t="s">
        <v>27</v>
      </c>
      <c r="N656" s="11" t="s">
        <v>27678</v>
      </c>
      <c r="O656" s="11" t="s">
        <v>400</v>
      </c>
      <c r="P656" s="11" t="s">
        <v>401</v>
      </c>
      <c r="Q656" s="60" t="s">
        <v>27677</v>
      </c>
      <c r="R656" s="11" t="s">
        <v>29</v>
      </c>
      <c r="S656" s="2" t="s">
        <v>28</v>
      </c>
      <c r="T656" s="68" t="s">
        <v>27756</v>
      </c>
      <c r="U656" s="68" t="s">
        <v>29438</v>
      </c>
      <c r="V656" s="68" t="s">
        <v>21212</v>
      </c>
      <c r="W656" s="68" t="s">
        <v>100</v>
      </c>
      <c r="X656" s="68">
        <v>2172</v>
      </c>
      <c r="Y656" s="11"/>
      <c r="Z656" s="11"/>
      <c r="AA656" s="11"/>
      <c r="AB656" s="11"/>
      <c r="AC656" s="11"/>
      <c r="AD656" s="11"/>
      <c r="AE656" s="11"/>
      <c r="AF656" s="11"/>
      <c r="AG656" s="11"/>
      <c r="AH656" s="11"/>
      <c r="AI656" s="11"/>
      <c r="AJ656" s="11"/>
      <c r="AK656" s="11"/>
      <c r="AL656" s="11"/>
      <c r="AU656" s="11"/>
      <c r="AV656" s="11"/>
      <c r="AW656" s="11"/>
      <c r="AX656" s="1"/>
      <c r="AY656" s="1"/>
      <c r="BA656" s="1"/>
      <c r="BB656" s="1"/>
      <c r="BC656" s="1"/>
      <c r="BD656" s="1"/>
      <c r="BE656" s="1"/>
      <c r="BF656" s="1"/>
      <c r="BG656" s="1"/>
      <c r="BH656" s="1"/>
      <c r="BI656" s="1"/>
      <c r="BJ656" s="1"/>
      <c r="BK656" s="70"/>
    </row>
    <row r="657" spans="1:63" s="44" customFormat="1" ht="12" customHeight="1" x14ac:dyDescent="0.2">
      <c r="A657" s="11" t="s">
        <v>27097</v>
      </c>
      <c r="B657" s="68">
        <v>29</v>
      </c>
      <c r="C657" s="11" t="s">
        <v>20</v>
      </c>
      <c r="D657" s="11" t="s">
        <v>85</v>
      </c>
      <c r="E657" s="60" t="s">
        <v>27098</v>
      </c>
      <c r="F657" s="69">
        <v>42729</v>
      </c>
      <c r="G657" s="11" t="s">
        <v>27636</v>
      </c>
      <c r="H657" s="11" t="s">
        <v>118</v>
      </c>
      <c r="I657" s="11" t="s">
        <v>3664</v>
      </c>
      <c r="J657" s="11">
        <v>20018</v>
      </c>
      <c r="K657" s="11" t="s">
        <v>3666</v>
      </c>
      <c r="L657" s="11" t="s">
        <v>19405</v>
      </c>
      <c r="M657" s="11" t="s">
        <v>27</v>
      </c>
      <c r="N657" s="11" t="s">
        <v>27099</v>
      </c>
      <c r="O657" s="11" t="s">
        <v>400</v>
      </c>
      <c r="P657" s="11" t="s">
        <v>401</v>
      </c>
      <c r="Q657" s="60" t="s">
        <v>27100</v>
      </c>
      <c r="R657" s="11" t="s">
        <v>100</v>
      </c>
      <c r="S657" s="11" t="s">
        <v>28</v>
      </c>
      <c r="T657" s="68" t="s">
        <v>29493</v>
      </c>
      <c r="U657" s="68" t="s">
        <v>29436</v>
      </c>
      <c r="V657" s="68" t="s">
        <v>29439</v>
      </c>
      <c r="W657" s="68" t="s">
        <v>555</v>
      </c>
      <c r="X657" s="68">
        <v>2159</v>
      </c>
      <c r="Y657" s="11"/>
      <c r="Z657" s="11"/>
      <c r="AA657" s="11"/>
      <c r="AB657" s="11"/>
      <c r="AC657" s="11"/>
      <c r="AD657" s="11"/>
      <c r="AE657" s="11"/>
      <c r="AF657" s="11"/>
      <c r="AG657" s="11"/>
      <c r="AH657" s="11"/>
      <c r="AI657" s="11"/>
      <c r="AJ657" s="11"/>
      <c r="AK657" s="11"/>
      <c r="AL657" s="11"/>
      <c r="AU657" s="11"/>
      <c r="AV657" s="11"/>
      <c r="AX657" s="11"/>
      <c r="AY657" s="11"/>
      <c r="AZ657" s="11"/>
      <c r="BB657" s="11"/>
      <c r="BC657" s="70"/>
      <c r="BD657" s="70"/>
      <c r="BE657" s="70"/>
      <c r="BF657" s="70"/>
      <c r="BG657" s="70"/>
      <c r="BH657" s="70"/>
      <c r="BI657" s="70"/>
      <c r="BJ657" s="70"/>
      <c r="BK657" s="70"/>
    </row>
    <row r="658" spans="1:63" s="44" customFormat="1" ht="12" customHeight="1" x14ac:dyDescent="0.2">
      <c r="A658" s="11" t="s">
        <v>27107</v>
      </c>
      <c r="B658" s="68">
        <v>33</v>
      </c>
      <c r="C658" s="11" t="s">
        <v>20</v>
      </c>
      <c r="D658" s="11" t="s">
        <v>48</v>
      </c>
      <c r="E658" s="11"/>
      <c r="F658" s="69">
        <v>42729</v>
      </c>
      <c r="G658" s="11" t="s">
        <v>27108</v>
      </c>
      <c r="H658" s="11" t="s">
        <v>27109</v>
      </c>
      <c r="I658" s="11" t="s">
        <v>978</v>
      </c>
      <c r="J658" s="11">
        <v>72527</v>
      </c>
      <c r="K658" s="11" t="s">
        <v>5353</v>
      </c>
      <c r="L658" s="11" t="s">
        <v>27110</v>
      </c>
      <c r="M658" s="11" t="s">
        <v>27</v>
      </c>
      <c r="N658" s="11" t="s">
        <v>27111</v>
      </c>
      <c r="O658" s="11" t="s">
        <v>400</v>
      </c>
      <c r="P658" s="11" t="s">
        <v>401</v>
      </c>
      <c r="Q658" s="60" t="s">
        <v>27112</v>
      </c>
      <c r="R658" s="11" t="s">
        <v>100</v>
      </c>
      <c r="S658" s="11" t="s">
        <v>28</v>
      </c>
      <c r="T658" s="68" t="s">
        <v>27756</v>
      </c>
      <c r="U658" s="68" t="s">
        <v>29438</v>
      </c>
      <c r="V658" s="68" t="s">
        <v>29439</v>
      </c>
      <c r="W658" s="68" t="s">
        <v>100</v>
      </c>
      <c r="X658" s="68">
        <v>2161</v>
      </c>
      <c r="Y658" s="11"/>
      <c r="Z658" s="11"/>
      <c r="AA658" s="11"/>
      <c r="AB658" s="11"/>
      <c r="AC658" s="11"/>
      <c r="AD658" s="11"/>
      <c r="AE658" s="11"/>
      <c r="AF658" s="11"/>
      <c r="AG658" s="11"/>
      <c r="AH658" s="11"/>
      <c r="AI658" s="11"/>
      <c r="AJ658" s="11"/>
      <c r="AK658" s="11"/>
      <c r="AL658" s="11"/>
      <c r="AU658" s="11"/>
      <c r="AV658" s="11"/>
      <c r="AW658" s="11"/>
      <c r="AX658" s="1"/>
      <c r="AY658" s="1"/>
      <c r="AZ658" s="11"/>
      <c r="BB658" s="11"/>
      <c r="BC658" s="1"/>
      <c r="BD658" s="1"/>
      <c r="BE658" s="1"/>
      <c r="BF658" s="1"/>
      <c r="BG658" s="1"/>
      <c r="BH658" s="1"/>
      <c r="BI658" s="1"/>
      <c r="BJ658" s="1"/>
      <c r="BK658" s="70"/>
    </row>
    <row r="659" spans="1:63" s="44" customFormat="1" ht="12" customHeight="1" x14ac:dyDescent="0.2">
      <c r="A659" s="11" t="s">
        <v>27113</v>
      </c>
      <c r="B659" s="68">
        <v>61</v>
      </c>
      <c r="C659" s="11" t="s">
        <v>20</v>
      </c>
      <c r="D659" s="11" t="s">
        <v>37</v>
      </c>
      <c r="E659" s="11"/>
      <c r="F659" s="69">
        <v>42729</v>
      </c>
      <c r="G659" s="11" t="s">
        <v>27114</v>
      </c>
      <c r="H659" s="11" t="s">
        <v>10898</v>
      </c>
      <c r="I659" s="11" t="s">
        <v>62</v>
      </c>
      <c r="J659" s="11">
        <v>32068</v>
      </c>
      <c r="K659" s="11" t="s">
        <v>3395</v>
      </c>
      <c r="L659" s="11" t="s">
        <v>3396</v>
      </c>
      <c r="M659" s="11" t="s">
        <v>27</v>
      </c>
      <c r="N659" s="11" t="s">
        <v>27115</v>
      </c>
      <c r="O659" s="11" t="s">
        <v>400</v>
      </c>
      <c r="P659" s="11" t="s">
        <v>401</v>
      </c>
      <c r="Q659" s="60" t="s">
        <v>27116</v>
      </c>
      <c r="R659" s="11" t="s">
        <v>555</v>
      </c>
      <c r="S659" s="11" t="s">
        <v>28</v>
      </c>
      <c r="T659" s="68" t="s">
        <v>27756</v>
      </c>
      <c r="U659" s="68" t="s">
        <v>29438</v>
      </c>
      <c r="V659" s="68" t="s">
        <v>29439</v>
      </c>
      <c r="W659" s="68" t="s">
        <v>100</v>
      </c>
      <c r="X659" s="68">
        <v>2162</v>
      </c>
      <c r="Y659" s="11"/>
      <c r="Z659" s="11"/>
      <c r="AA659" s="11"/>
      <c r="AB659" s="11"/>
      <c r="AC659" s="11"/>
      <c r="AD659" s="11"/>
      <c r="AE659" s="11"/>
      <c r="AF659" s="11"/>
      <c r="AG659" s="11"/>
      <c r="AH659" s="11"/>
      <c r="AI659" s="11"/>
      <c r="AJ659" s="11"/>
      <c r="AK659" s="11"/>
      <c r="AL659" s="11"/>
      <c r="AU659" s="11"/>
      <c r="AV659" s="11"/>
      <c r="AW659" s="1"/>
      <c r="AX659" s="1"/>
      <c r="AY659" s="1"/>
      <c r="AZ659" s="11"/>
      <c r="BB659" s="11"/>
      <c r="BC659" s="1"/>
      <c r="BD659" s="1"/>
      <c r="BE659" s="1"/>
      <c r="BF659" s="1"/>
      <c r="BG659" s="1"/>
      <c r="BH659" s="1"/>
      <c r="BI659" s="1"/>
      <c r="BJ659" s="1"/>
      <c r="BK659" s="70"/>
    </row>
    <row r="660" spans="1:63" s="44" customFormat="1" ht="12" customHeight="1" x14ac:dyDescent="0.2">
      <c r="A660" s="11" t="s">
        <v>27101</v>
      </c>
      <c r="B660" s="68">
        <v>30</v>
      </c>
      <c r="C660" s="11" t="s">
        <v>20</v>
      </c>
      <c r="D660" s="11" t="s">
        <v>37</v>
      </c>
      <c r="E660" s="60" t="s">
        <v>27102</v>
      </c>
      <c r="F660" s="69">
        <v>42729</v>
      </c>
      <c r="G660" s="11" t="s">
        <v>27103</v>
      </c>
      <c r="H660" s="11" t="s">
        <v>27104</v>
      </c>
      <c r="I660" s="11" t="s">
        <v>117</v>
      </c>
      <c r="J660" s="11">
        <v>97140</v>
      </c>
      <c r="K660" s="11" t="s">
        <v>118</v>
      </c>
      <c r="L660" s="11" t="s">
        <v>2051</v>
      </c>
      <c r="M660" s="11" t="s">
        <v>27</v>
      </c>
      <c r="N660" s="11" t="s">
        <v>27105</v>
      </c>
      <c r="O660" s="11" t="s">
        <v>400</v>
      </c>
      <c r="P660" s="11" t="s">
        <v>401</v>
      </c>
      <c r="Q660" s="60" t="s">
        <v>27106</v>
      </c>
      <c r="R660" s="68" t="s">
        <v>555</v>
      </c>
      <c r="S660" s="11" t="s">
        <v>28</v>
      </c>
      <c r="T660" s="68" t="s">
        <v>27756</v>
      </c>
      <c r="U660" s="68" t="s">
        <v>29438</v>
      </c>
      <c r="V660" s="68" t="s">
        <v>29437</v>
      </c>
      <c r="W660" s="68" t="s">
        <v>100</v>
      </c>
      <c r="X660" s="68">
        <v>2160</v>
      </c>
      <c r="Y660" s="11"/>
      <c r="Z660" s="11"/>
      <c r="AA660" s="11"/>
      <c r="AB660" s="11"/>
      <c r="AC660" s="11"/>
      <c r="AD660" s="11"/>
      <c r="AE660" s="11"/>
      <c r="AF660" s="11"/>
      <c r="AG660" s="11"/>
      <c r="AH660" s="11"/>
      <c r="AI660" s="11"/>
      <c r="AJ660" s="11"/>
      <c r="AK660" s="11"/>
      <c r="AL660" s="11"/>
      <c r="AU660" s="11"/>
      <c r="AV660" s="11"/>
      <c r="AX660" s="1"/>
      <c r="AY660" s="1"/>
      <c r="AZ660" s="11"/>
      <c r="BA660" s="70"/>
      <c r="BC660" s="1"/>
      <c r="BD660" s="1"/>
      <c r="BE660" s="1"/>
      <c r="BF660" s="1"/>
      <c r="BG660" s="1"/>
      <c r="BH660" s="1"/>
      <c r="BI660" s="1"/>
      <c r="BJ660" s="1"/>
      <c r="BK660" s="70"/>
    </row>
    <row r="661" spans="1:63" s="44" customFormat="1" ht="12" customHeight="1" x14ac:dyDescent="0.2">
      <c r="A661" s="11" t="s">
        <v>3252</v>
      </c>
      <c r="B661" s="11" t="s">
        <v>29</v>
      </c>
      <c r="C661" s="11" t="s">
        <v>20</v>
      </c>
      <c r="D661" s="11" t="s">
        <v>85</v>
      </c>
      <c r="E661" s="11"/>
      <c r="F661" s="69">
        <v>42728</v>
      </c>
      <c r="G661" s="11" t="s">
        <v>27126</v>
      </c>
      <c r="H661" s="11" t="s">
        <v>6376</v>
      </c>
      <c r="I661" s="11" t="s">
        <v>94</v>
      </c>
      <c r="J661" s="11">
        <v>35901</v>
      </c>
      <c r="K661" s="11" t="s">
        <v>12740</v>
      </c>
      <c r="L661" s="11" t="s">
        <v>27127</v>
      </c>
      <c r="M661" s="11" t="s">
        <v>27</v>
      </c>
      <c r="N661" s="11" t="s">
        <v>27128</v>
      </c>
      <c r="O661" s="11" t="s">
        <v>400</v>
      </c>
      <c r="P661" s="11" t="s">
        <v>401</v>
      </c>
      <c r="Q661" s="60" t="s">
        <v>27129</v>
      </c>
      <c r="R661" s="11" t="s">
        <v>100</v>
      </c>
      <c r="S661" s="11" t="s">
        <v>28</v>
      </c>
      <c r="T661" s="68" t="s">
        <v>27756</v>
      </c>
      <c r="U661" s="68" t="s">
        <v>29438</v>
      </c>
      <c r="V661" s="68" t="s">
        <v>29440</v>
      </c>
      <c r="W661" s="68" t="s">
        <v>100</v>
      </c>
      <c r="X661" s="68">
        <v>2164</v>
      </c>
      <c r="Y661" s="11"/>
      <c r="Z661" s="11"/>
      <c r="AA661" s="11"/>
      <c r="AB661" s="11"/>
      <c r="AC661" s="11"/>
      <c r="AD661" s="11"/>
      <c r="AE661" s="11"/>
      <c r="AF661" s="11"/>
      <c r="AG661" s="11"/>
      <c r="AH661" s="11"/>
      <c r="AI661" s="11"/>
      <c r="AJ661" s="11"/>
      <c r="AK661" s="11"/>
      <c r="AL661" s="11"/>
      <c r="AU661" s="11"/>
      <c r="AV661" s="11"/>
      <c r="AW661" s="1"/>
      <c r="AZ661" s="11"/>
      <c r="BB661" s="11"/>
      <c r="BC661" s="70"/>
      <c r="BD661" s="70"/>
      <c r="BE661" s="70"/>
      <c r="BF661" s="70"/>
      <c r="BG661" s="70"/>
      <c r="BH661" s="70"/>
      <c r="BI661" s="70"/>
      <c r="BJ661" s="70"/>
      <c r="BK661" s="70"/>
    </row>
    <row r="662" spans="1:63" s="44" customFormat="1" ht="12" customHeight="1" x14ac:dyDescent="0.2">
      <c r="A662" s="11" t="s">
        <v>27120</v>
      </c>
      <c r="B662" s="68">
        <v>53</v>
      </c>
      <c r="C662" s="11" t="s">
        <v>114</v>
      </c>
      <c r="D662" s="11" t="s">
        <v>37</v>
      </c>
      <c r="E662" s="60" t="s">
        <v>27121</v>
      </c>
      <c r="F662" s="69">
        <v>42728</v>
      </c>
      <c r="G662" s="11" t="s">
        <v>27122</v>
      </c>
      <c r="H662" s="11" t="s">
        <v>27123</v>
      </c>
      <c r="I662" s="11" t="s">
        <v>62</v>
      </c>
      <c r="J662" s="11">
        <v>33898</v>
      </c>
      <c r="K662" s="11" t="s">
        <v>1864</v>
      </c>
      <c r="L662" s="11" t="s">
        <v>257</v>
      </c>
      <c r="M662" s="11" t="s">
        <v>27</v>
      </c>
      <c r="N662" s="11" t="s">
        <v>27124</v>
      </c>
      <c r="O662" s="11" t="s">
        <v>400</v>
      </c>
      <c r="P662" s="11" t="s">
        <v>401</v>
      </c>
      <c r="Q662" s="60" t="s">
        <v>27125</v>
      </c>
      <c r="R662" s="11" t="s">
        <v>29</v>
      </c>
      <c r="S662" s="11" t="s">
        <v>28</v>
      </c>
      <c r="T662" s="68" t="s">
        <v>29493</v>
      </c>
      <c r="U662" s="68" t="s">
        <v>29436</v>
      </c>
      <c r="V662" s="68" t="s">
        <v>29439</v>
      </c>
      <c r="W662" s="68" t="s">
        <v>100</v>
      </c>
      <c r="X662" s="68">
        <v>2163</v>
      </c>
      <c r="Y662" s="11"/>
      <c r="Z662" s="11"/>
      <c r="AA662" s="11"/>
      <c r="AB662" s="11"/>
      <c r="AC662" s="11"/>
      <c r="AD662" s="11"/>
      <c r="AE662" s="11"/>
      <c r="AF662" s="11"/>
      <c r="AG662" s="11"/>
      <c r="AH662" s="11"/>
      <c r="AI662" s="11"/>
      <c r="AJ662" s="11"/>
      <c r="AK662" s="11"/>
      <c r="AL662" s="11"/>
      <c r="AU662" s="11"/>
      <c r="AV662" s="11"/>
      <c r="AW662" s="1"/>
      <c r="AX662" s="1"/>
      <c r="AY662" s="1"/>
      <c r="AZ662" s="11"/>
      <c r="BA662" s="1"/>
      <c r="BB662" s="1"/>
      <c r="BC662" s="1"/>
      <c r="BD662" s="1"/>
      <c r="BE662" s="1"/>
      <c r="BF662" s="1"/>
      <c r="BG662" s="1"/>
      <c r="BH662" s="1"/>
      <c r="BI662" s="1"/>
      <c r="BJ662" s="1"/>
      <c r="BK662" s="70"/>
    </row>
    <row r="663" spans="1:63" s="44" customFormat="1" ht="12" customHeight="1" x14ac:dyDescent="0.2">
      <c r="A663" s="11" t="s">
        <v>27117</v>
      </c>
      <c r="B663" s="68">
        <v>48</v>
      </c>
      <c r="C663" s="11" t="s">
        <v>20</v>
      </c>
      <c r="D663" s="11" t="s">
        <v>21</v>
      </c>
      <c r="E663" s="11"/>
      <c r="F663" s="69">
        <v>42728</v>
      </c>
      <c r="G663" s="11" t="s">
        <v>27637</v>
      </c>
      <c r="H663" s="11" t="s">
        <v>8201</v>
      </c>
      <c r="I663" s="11" t="s">
        <v>45</v>
      </c>
      <c r="J663" s="11">
        <v>90660</v>
      </c>
      <c r="K663" s="11" t="s">
        <v>98</v>
      </c>
      <c r="L663" s="11" t="s">
        <v>414</v>
      </c>
      <c r="M663" s="11" t="s">
        <v>27</v>
      </c>
      <c r="N663" s="11" t="s">
        <v>27118</v>
      </c>
      <c r="O663" s="11" t="s">
        <v>400</v>
      </c>
      <c r="P663" s="11" t="s">
        <v>401</v>
      </c>
      <c r="Q663" s="60" t="s">
        <v>27119</v>
      </c>
      <c r="R663" s="11" t="s">
        <v>555</v>
      </c>
      <c r="S663" s="11" t="s">
        <v>35</v>
      </c>
      <c r="T663" s="68" t="s">
        <v>29496</v>
      </c>
      <c r="U663" s="68" t="s">
        <v>29438</v>
      </c>
      <c r="V663" s="68" t="s">
        <v>29439</v>
      </c>
      <c r="W663" s="68" t="s">
        <v>100</v>
      </c>
      <c r="X663" s="68">
        <v>2166</v>
      </c>
      <c r="Y663" s="11"/>
      <c r="Z663" s="11"/>
      <c r="AA663" s="11"/>
      <c r="AB663" s="11"/>
      <c r="AC663" s="11"/>
      <c r="AD663" s="11"/>
      <c r="AE663" s="11"/>
      <c r="AF663" s="11"/>
      <c r="AG663" s="11"/>
      <c r="AH663" s="11"/>
      <c r="AI663" s="11"/>
      <c r="AJ663" s="11"/>
      <c r="AK663" s="11"/>
      <c r="AL663" s="11"/>
      <c r="AU663" s="11"/>
      <c r="AV663" s="11"/>
      <c r="AW663" s="1"/>
      <c r="AX663" s="70"/>
      <c r="AY663" s="70"/>
      <c r="AZ663" s="11"/>
      <c r="BB663" s="11"/>
      <c r="BC663" s="70"/>
      <c r="BD663" s="70"/>
      <c r="BE663" s="70"/>
      <c r="BF663" s="70"/>
      <c r="BG663" s="70"/>
      <c r="BH663" s="70"/>
      <c r="BI663" s="70"/>
      <c r="BJ663" s="70"/>
      <c r="BK663" s="1"/>
    </row>
    <row r="664" spans="1:63" s="44" customFormat="1" ht="12" customHeight="1" x14ac:dyDescent="0.15">
      <c r="A664" s="11" t="s">
        <v>27144</v>
      </c>
      <c r="B664" s="11">
        <v>35</v>
      </c>
      <c r="C664" s="11" t="s">
        <v>20</v>
      </c>
      <c r="D664" s="11" t="s">
        <v>48</v>
      </c>
      <c r="E664" s="11"/>
      <c r="F664" s="72">
        <v>42727</v>
      </c>
      <c r="G664" s="11" t="s">
        <v>27639</v>
      </c>
      <c r="H664" s="11" t="s">
        <v>27145</v>
      </c>
      <c r="I664" s="11" t="s">
        <v>45</v>
      </c>
      <c r="J664" s="11">
        <v>93562</v>
      </c>
      <c r="K664" s="11" t="s">
        <v>309</v>
      </c>
      <c r="L664" s="11" t="s">
        <v>310</v>
      </c>
      <c r="M664" s="44" t="s">
        <v>2291</v>
      </c>
      <c r="N664" s="11" t="s">
        <v>27146</v>
      </c>
      <c r="O664" s="11" t="s">
        <v>400</v>
      </c>
      <c r="P664" s="11" t="s">
        <v>401</v>
      </c>
      <c r="Q664" s="60" t="s">
        <v>27147</v>
      </c>
      <c r="R664" s="11" t="s">
        <v>964</v>
      </c>
      <c r="S664" s="11" t="s">
        <v>18</v>
      </c>
      <c r="T664" s="11"/>
      <c r="U664" s="11"/>
      <c r="V664" s="11"/>
      <c r="W664" s="11"/>
      <c r="X664" s="11"/>
      <c r="Y664" s="11"/>
      <c r="Z664" s="11"/>
      <c r="AA664" s="11"/>
      <c r="AB664" s="11"/>
      <c r="AC664" s="11"/>
      <c r="AD664" s="11"/>
      <c r="AE664" s="11"/>
      <c r="AF664" s="11"/>
      <c r="AG664" s="11"/>
      <c r="AH664" s="11"/>
      <c r="AI664" s="11"/>
      <c r="AJ664" s="11"/>
      <c r="AK664" s="11"/>
      <c r="AL664" s="11"/>
      <c r="AU664" s="1"/>
      <c r="AV664" s="1"/>
      <c r="AW664" s="1"/>
      <c r="AX664" s="1"/>
      <c r="AY664" s="1"/>
      <c r="AZ664" s="1"/>
      <c r="BA664" s="1"/>
      <c r="BB664" s="1"/>
      <c r="BC664" s="1"/>
      <c r="BD664" s="1"/>
      <c r="BE664" s="1"/>
      <c r="BF664" s="1"/>
      <c r="BG664" s="1"/>
      <c r="BH664" s="1"/>
      <c r="BI664" s="1"/>
      <c r="BJ664" s="1"/>
      <c r="BK664" s="1"/>
    </row>
    <row r="665" spans="1:63" s="44" customFormat="1" ht="12" customHeight="1" x14ac:dyDescent="0.2">
      <c r="A665" s="11" t="s">
        <v>27134</v>
      </c>
      <c r="B665" s="68">
        <v>31</v>
      </c>
      <c r="C665" s="11" t="s">
        <v>20</v>
      </c>
      <c r="D665" s="11" t="s">
        <v>37</v>
      </c>
      <c r="E665" s="11"/>
      <c r="F665" s="69">
        <v>42727</v>
      </c>
      <c r="G665" s="11" t="s">
        <v>27135</v>
      </c>
      <c r="H665" s="11" t="s">
        <v>12906</v>
      </c>
      <c r="I665" s="11" t="s">
        <v>117</v>
      </c>
      <c r="J665" s="11">
        <v>97701</v>
      </c>
      <c r="K665" s="11" t="s">
        <v>12908</v>
      </c>
      <c r="L665" s="11" t="s">
        <v>12909</v>
      </c>
      <c r="M665" s="68" t="s">
        <v>5411</v>
      </c>
      <c r="N665" s="11" t="s">
        <v>27136</v>
      </c>
      <c r="O665" s="11" t="s">
        <v>400</v>
      </c>
      <c r="P665" s="11" t="s">
        <v>401</v>
      </c>
      <c r="Q665" s="60" t="s">
        <v>27137</v>
      </c>
      <c r="R665" s="11" t="s">
        <v>964</v>
      </c>
      <c r="S665" s="44" t="s">
        <v>35</v>
      </c>
      <c r="T665" s="66" t="s">
        <v>29441</v>
      </c>
      <c r="U665" s="68" t="s">
        <v>29441</v>
      </c>
      <c r="V665" s="68" t="s">
        <v>29439</v>
      </c>
      <c r="W665" s="68" t="s">
        <v>100</v>
      </c>
      <c r="X665" s="68">
        <v>2165</v>
      </c>
      <c r="Y665" s="11"/>
      <c r="Z665" s="11"/>
      <c r="AA665" s="11"/>
      <c r="AB665" s="11"/>
      <c r="AC665" s="11"/>
      <c r="AD665" s="11"/>
      <c r="AE665" s="11"/>
      <c r="AF665" s="11"/>
      <c r="AG665" s="11"/>
      <c r="AH665" s="11"/>
      <c r="AI665" s="11"/>
      <c r="AJ665" s="11"/>
      <c r="AK665" s="11"/>
      <c r="AL665" s="11"/>
      <c r="AU665" s="11"/>
      <c r="AV665" s="11"/>
      <c r="AW665" s="11"/>
      <c r="AX665" s="1"/>
      <c r="AY665" s="1"/>
      <c r="AZ665" s="11"/>
      <c r="BB665" s="70"/>
      <c r="BC665" s="1"/>
      <c r="BD665" s="1"/>
      <c r="BE665" s="1"/>
      <c r="BF665" s="1"/>
      <c r="BG665" s="1"/>
      <c r="BH665" s="1"/>
      <c r="BI665" s="1"/>
      <c r="BJ665" s="1"/>
      <c r="BK665" s="1"/>
    </row>
    <row r="666" spans="1:63" s="44" customFormat="1" ht="12" customHeight="1" x14ac:dyDescent="0.15">
      <c r="A666" s="11" t="s">
        <v>27737</v>
      </c>
      <c r="B666" s="11">
        <v>34</v>
      </c>
      <c r="C666" s="11" t="s">
        <v>20</v>
      </c>
      <c r="D666" s="11" t="s">
        <v>48</v>
      </c>
      <c r="E666" s="11"/>
      <c r="F666" s="69">
        <v>42727</v>
      </c>
      <c r="G666" s="11" t="s">
        <v>27138</v>
      </c>
      <c r="H666" s="11" t="s">
        <v>359</v>
      </c>
      <c r="I666" s="11" t="s">
        <v>45</v>
      </c>
      <c r="J666" s="11">
        <v>91731</v>
      </c>
      <c r="K666" s="11" t="s">
        <v>98</v>
      </c>
      <c r="L666" s="11" t="s">
        <v>360</v>
      </c>
      <c r="M666" s="11" t="s">
        <v>27</v>
      </c>
      <c r="N666" s="11" t="s">
        <v>27139</v>
      </c>
      <c r="O666" s="11" t="s">
        <v>400</v>
      </c>
      <c r="P666" s="11" t="s">
        <v>401</v>
      </c>
      <c r="Q666" s="60" t="s">
        <v>27140</v>
      </c>
      <c r="R666" s="11" t="s">
        <v>964</v>
      </c>
      <c r="S666" s="11" t="s">
        <v>379</v>
      </c>
      <c r="T666" s="68" t="s">
        <v>379</v>
      </c>
      <c r="U666" s="68" t="s">
        <v>29436</v>
      </c>
      <c r="V666" s="68" t="s">
        <v>29437</v>
      </c>
      <c r="W666" s="68" t="s">
        <v>100</v>
      </c>
      <c r="X666" s="68">
        <v>2168</v>
      </c>
      <c r="Y666" s="11"/>
      <c r="Z666" s="11"/>
      <c r="AA666" s="11"/>
      <c r="AB666" s="11"/>
      <c r="AC666" s="11"/>
      <c r="AD666" s="11"/>
      <c r="AE666" s="11"/>
      <c r="AF666" s="11"/>
      <c r="AG666" s="11"/>
      <c r="AH666" s="11"/>
      <c r="AI666" s="11"/>
      <c r="AJ666" s="11"/>
      <c r="AK666" s="11"/>
      <c r="AL666" s="11"/>
      <c r="AU666" s="11"/>
      <c r="AV666" s="11"/>
      <c r="AW666" s="1"/>
      <c r="AX666" s="1"/>
      <c r="AY666" s="1"/>
      <c r="AZ666" s="11"/>
      <c r="BC666" s="1"/>
      <c r="BD666" s="1"/>
      <c r="BE666" s="1"/>
      <c r="BF666" s="1"/>
      <c r="BG666" s="1"/>
      <c r="BH666" s="1"/>
      <c r="BI666" s="1"/>
      <c r="BJ666" s="1"/>
      <c r="BK666" s="11"/>
    </row>
    <row r="667" spans="1:63" s="44" customFormat="1" ht="12" customHeight="1" x14ac:dyDescent="0.2">
      <c r="A667" s="11" t="s">
        <v>27152</v>
      </c>
      <c r="B667" s="68">
        <v>55</v>
      </c>
      <c r="C667" s="11" t="s">
        <v>20</v>
      </c>
      <c r="D667" s="11" t="s">
        <v>30</v>
      </c>
      <c r="E667" s="11"/>
      <c r="F667" s="69">
        <v>42727</v>
      </c>
      <c r="G667" s="11" t="s">
        <v>27153</v>
      </c>
      <c r="H667" s="11" t="s">
        <v>27154</v>
      </c>
      <c r="I667" s="11" t="s">
        <v>62</v>
      </c>
      <c r="J667" s="11">
        <v>34683</v>
      </c>
      <c r="K667" s="11" t="s">
        <v>2309</v>
      </c>
      <c r="L667" s="11" t="s">
        <v>9832</v>
      </c>
      <c r="M667" s="11" t="s">
        <v>27</v>
      </c>
      <c r="N667" s="11" t="s">
        <v>27155</v>
      </c>
      <c r="O667" s="11" t="s">
        <v>400</v>
      </c>
      <c r="P667" s="11" t="s">
        <v>401</v>
      </c>
      <c r="Q667" s="60" t="s">
        <v>27156</v>
      </c>
      <c r="R667" s="11" t="s">
        <v>100</v>
      </c>
      <c r="S667" s="44" t="s">
        <v>28</v>
      </c>
      <c r="T667" s="68" t="s">
        <v>29453</v>
      </c>
      <c r="U667" s="68" t="s">
        <v>29438</v>
      </c>
      <c r="V667" s="68" t="s">
        <v>29439</v>
      </c>
      <c r="W667" s="68" t="s">
        <v>100</v>
      </c>
      <c r="X667" s="68">
        <v>2167</v>
      </c>
      <c r="Y667" s="11"/>
      <c r="Z667" s="11"/>
      <c r="AA667" s="11"/>
      <c r="AB667" s="11"/>
      <c r="AC667" s="11"/>
      <c r="AD667" s="11"/>
      <c r="AE667" s="11"/>
      <c r="AF667" s="11"/>
      <c r="AG667" s="11"/>
      <c r="AH667" s="11"/>
      <c r="AI667" s="11"/>
      <c r="AJ667" s="11"/>
      <c r="AK667" s="11"/>
      <c r="AL667" s="11"/>
      <c r="AU667" s="11"/>
      <c r="AV667" s="11"/>
      <c r="AW667" s="1"/>
      <c r="AX667" s="1"/>
      <c r="AY667" s="1"/>
      <c r="AZ667" s="11"/>
      <c r="BB667" s="11"/>
      <c r="BC667" s="1"/>
      <c r="BD667" s="1"/>
      <c r="BE667" s="1"/>
      <c r="BF667" s="1"/>
      <c r="BG667" s="1"/>
      <c r="BH667" s="1"/>
      <c r="BI667" s="1"/>
      <c r="BJ667" s="1"/>
      <c r="BK667" s="70"/>
    </row>
    <row r="668" spans="1:63" s="44" customFormat="1" ht="12" customHeight="1" x14ac:dyDescent="0.15">
      <c r="A668" s="11" t="s">
        <v>27141</v>
      </c>
      <c r="B668" s="11">
        <v>51</v>
      </c>
      <c r="C668" s="11" t="s">
        <v>20</v>
      </c>
      <c r="D668" s="11" t="s">
        <v>30</v>
      </c>
      <c r="E668" s="11"/>
      <c r="F668" s="72">
        <v>42727</v>
      </c>
      <c r="G668" s="11" t="s">
        <v>27638</v>
      </c>
      <c r="H668" s="11" t="s">
        <v>387</v>
      </c>
      <c r="I668" s="11" t="s">
        <v>319</v>
      </c>
      <c r="J668" s="11">
        <v>37916</v>
      </c>
      <c r="K668" s="11" t="s">
        <v>2681</v>
      </c>
      <c r="L668" s="11" t="s">
        <v>7834</v>
      </c>
      <c r="M668" s="44" t="s">
        <v>2291</v>
      </c>
      <c r="N668" s="11" t="s">
        <v>27142</v>
      </c>
      <c r="O668" s="11" t="s">
        <v>400</v>
      </c>
      <c r="P668" s="11" t="s">
        <v>401</v>
      </c>
      <c r="Q668" s="60" t="s">
        <v>27143</v>
      </c>
      <c r="R668" s="11" t="s">
        <v>100</v>
      </c>
      <c r="S668" s="11" t="s">
        <v>35</v>
      </c>
      <c r="T668" s="11"/>
      <c r="U668" s="11"/>
      <c r="V668" s="11"/>
      <c r="W668" s="11"/>
      <c r="X668" s="11"/>
      <c r="Y668" s="11"/>
      <c r="Z668" s="11"/>
      <c r="AA668" s="11"/>
      <c r="AB668" s="11"/>
      <c r="AC668" s="11"/>
      <c r="AD668" s="11"/>
      <c r="AE668" s="11"/>
      <c r="AF668" s="11"/>
      <c r="AG668" s="11"/>
      <c r="AH668" s="11"/>
      <c r="AI668" s="11"/>
      <c r="AJ668" s="11"/>
      <c r="AK668" s="11"/>
      <c r="AL668" s="11"/>
      <c r="AU668" s="1"/>
      <c r="AV668" s="1"/>
      <c r="AW668" s="1"/>
      <c r="AX668" s="1"/>
      <c r="AY668" s="1"/>
      <c r="AZ668" s="1"/>
      <c r="BA668" s="1"/>
      <c r="BB668" s="1"/>
      <c r="BC668" s="1"/>
      <c r="BD668" s="1"/>
      <c r="BE668" s="1"/>
      <c r="BF668" s="1"/>
      <c r="BG668" s="1"/>
      <c r="BH668" s="1"/>
      <c r="BI668" s="1"/>
      <c r="BJ668" s="1"/>
      <c r="BK668" s="11"/>
    </row>
    <row r="669" spans="1:63" s="44" customFormat="1" ht="12" customHeight="1" x14ac:dyDescent="0.2">
      <c r="A669" s="11" t="s">
        <v>27130</v>
      </c>
      <c r="B669" s="11">
        <v>41</v>
      </c>
      <c r="C669" s="11" t="s">
        <v>20</v>
      </c>
      <c r="D669" s="11" t="s">
        <v>85</v>
      </c>
      <c r="E669" s="11"/>
      <c r="F669" s="72">
        <v>42727</v>
      </c>
      <c r="G669" s="11" t="s">
        <v>27131</v>
      </c>
      <c r="H669" s="11" t="s">
        <v>651</v>
      </c>
      <c r="I669" s="11" t="s">
        <v>62</v>
      </c>
      <c r="J669" s="11">
        <v>32209</v>
      </c>
      <c r="K669" s="11" t="s">
        <v>652</v>
      </c>
      <c r="L669" s="11" t="s">
        <v>653</v>
      </c>
      <c r="M669" s="44" t="s">
        <v>2291</v>
      </c>
      <c r="N669" s="11" t="s">
        <v>27132</v>
      </c>
      <c r="O669" s="11" t="s">
        <v>400</v>
      </c>
      <c r="P669" s="11" t="s">
        <v>401</v>
      </c>
      <c r="Q669" s="60" t="s">
        <v>27133</v>
      </c>
      <c r="R669" s="11" t="s">
        <v>555</v>
      </c>
      <c r="S669" s="11" t="s">
        <v>35</v>
      </c>
      <c r="T669" s="11"/>
      <c r="U669" s="11"/>
      <c r="V669" s="11"/>
      <c r="W669" s="11"/>
      <c r="X669" s="11"/>
      <c r="Y669" s="11"/>
      <c r="Z669" s="11"/>
      <c r="AA669" s="11"/>
      <c r="AB669" s="11"/>
      <c r="AC669" s="11"/>
      <c r="AD669" s="11"/>
      <c r="AE669" s="11"/>
      <c r="AF669" s="11"/>
      <c r="AG669" s="11"/>
      <c r="AH669" s="11"/>
      <c r="AI669" s="11"/>
      <c r="AJ669" s="11"/>
      <c r="AK669" s="11"/>
      <c r="AL669" s="11"/>
      <c r="AU669" s="1"/>
      <c r="AV669" s="1"/>
      <c r="AW669" s="1"/>
      <c r="AZ669" s="1"/>
      <c r="BA669" s="11"/>
      <c r="BB669" s="11"/>
      <c r="BC669" s="70"/>
      <c r="BD669" s="70"/>
      <c r="BE669" s="70"/>
      <c r="BF669" s="70"/>
      <c r="BG669" s="70"/>
      <c r="BH669" s="70"/>
      <c r="BI669" s="70"/>
      <c r="BJ669" s="70"/>
      <c r="BK669" s="11"/>
    </row>
    <row r="670" spans="1:63" s="44" customFormat="1" ht="12" customHeight="1" x14ac:dyDescent="0.2">
      <c r="A670" s="44" t="s">
        <v>27157</v>
      </c>
      <c r="B670" s="68">
        <v>19</v>
      </c>
      <c r="C670" s="44" t="s">
        <v>20</v>
      </c>
      <c r="D670" s="44" t="s">
        <v>85</v>
      </c>
      <c r="F670" s="69">
        <v>42726</v>
      </c>
      <c r="G670" s="44" t="s">
        <v>27158</v>
      </c>
      <c r="H670" s="44" t="s">
        <v>27159</v>
      </c>
      <c r="I670" s="44" t="s">
        <v>52</v>
      </c>
      <c r="J670" s="11">
        <v>20743</v>
      </c>
      <c r="K670" s="11" t="s">
        <v>27160</v>
      </c>
      <c r="L670" s="44" t="s">
        <v>759</v>
      </c>
      <c r="M670" s="11" t="s">
        <v>27</v>
      </c>
      <c r="N670" s="11" t="s">
        <v>27161</v>
      </c>
      <c r="O670" s="11" t="s">
        <v>400</v>
      </c>
      <c r="P670" s="11" t="s">
        <v>401</v>
      </c>
      <c r="Q670" s="44" t="s">
        <v>27162</v>
      </c>
      <c r="R670" s="11" t="s">
        <v>29</v>
      </c>
      <c r="S670" s="11" t="s">
        <v>28</v>
      </c>
      <c r="T670" s="68" t="s">
        <v>27756</v>
      </c>
      <c r="U670" s="68" t="s">
        <v>29438</v>
      </c>
      <c r="V670" s="68" t="s">
        <v>29439</v>
      </c>
      <c r="W670" s="68" t="s">
        <v>100</v>
      </c>
      <c r="X670" s="68">
        <v>2150</v>
      </c>
      <c r="AU670" s="11"/>
      <c r="AV670" s="11"/>
      <c r="AW670" s="70"/>
      <c r="AX670" s="70"/>
      <c r="AY670" s="70"/>
      <c r="AZ670" s="11"/>
      <c r="BA670" s="1"/>
      <c r="BB670" s="1"/>
      <c r="BC670" s="70"/>
      <c r="BD670" s="70"/>
      <c r="BE670" s="70"/>
      <c r="BF670" s="70"/>
      <c r="BG670" s="70"/>
      <c r="BH670" s="70"/>
      <c r="BI670" s="70"/>
      <c r="BJ670" s="70"/>
      <c r="BK670" s="70"/>
    </row>
    <row r="671" spans="1:63" s="44" customFormat="1" ht="12" customHeight="1" x14ac:dyDescent="0.2">
      <c r="A671" s="11" t="s">
        <v>27163</v>
      </c>
      <c r="B671" s="68">
        <v>24</v>
      </c>
      <c r="C671" s="11" t="s">
        <v>20</v>
      </c>
      <c r="D671" s="11" t="s">
        <v>85</v>
      </c>
      <c r="E671" s="60" t="s">
        <v>27164</v>
      </c>
      <c r="F671" s="69">
        <v>42725</v>
      </c>
      <c r="G671" s="11" t="s">
        <v>27165</v>
      </c>
      <c r="H671" s="11" t="s">
        <v>27166</v>
      </c>
      <c r="I671" s="11" t="s">
        <v>45</v>
      </c>
      <c r="J671" s="11">
        <v>93210</v>
      </c>
      <c r="K671" s="11" t="s">
        <v>200</v>
      </c>
      <c r="L671" s="11" t="s">
        <v>1598</v>
      </c>
      <c r="M671" s="11" t="s">
        <v>27</v>
      </c>
      <c r="N671" s="11" t="s">
        <v>27167</v>
      </c>
      <c r="O671" s="11" t="s">
        <v>400</v>
      </c>
      <c r="P671" s="11" t="s">
        <v>401</v>
      </c>
      <c r="Q671" s="60" t="s">
        <v>27168</v>
      </c>
      <c r="R671" s="11" t="s">
        <v>100</v>
      </c>
      <c r="S671" s="44" t="s">
        <v>28</v>
      </c>
      <c r="T671" s="68" t="s">
        <v>27756</v>
      </c>
      <c r="U671" s="68" t="s">
        <v>29438</v>
      </c>
      <c r="V671" s="68" t="s">
        <v>29439</v>
      </c>
      <c r="W671" s="68" t="s">
        <v>100</v>
      </c>
      <c r="X671" s="68">
        <v>2157</v>
      </c>
      <c r="Y671" s="11"/>
      <c r="Z671" s="11"/>
      <c r="AA671" s="11"/>
      <c r="AB671" s="11"/>
      <c r="AC671" s="11"/>
      <c r="AD671" s="11"/>
      <c r="AE671" s="11"/>
      <c r="AF671" s="11"/>
      <c r="AG671" s="11"/>
      <c r="AH671" s="11"/>
      <c r="AI671" s="11"/>
      <c r="AJ671" s="11"/>
      <c r="AK671" s="11"/>
      <c r="AL671" s="11"/>
      <c r="AU671" s="11"/>
      <c r="AV671" s="11"/>
      <c r="AW671" s="11"/>
      <c r="AZ671" s="11"/>
      <c r="BA671" s="11"/>
      <c r="BB671" s="11"/>
      <c r="BC671" s="70"/>
      <c r="BD671" s="70"/>
      <c r="BE671" s="70"/>
      <c r="BF671" s="70"/>
      <c r="BG671" s="70"/>
      <c r="BH671" s="70"/>
      <c r="BI671" s="70"/>
      <c r="BJ671" s="70"/>
      <c r="BK671" s="70"/>
    </row>
    <row r="672" spans="1:63" s="44" customFormat="1" ht="12" customHeight="1" x14ac:dyDescent="0.2">
      <c r="A672" s="11" t="s">
        <v>27188</v>
      </c>
      <c r="B672" s="68">
        <v>31</v>
      </c>
      <c r="C672" s="11" t="s">
        <v>20</v>
      </c>
      <c r="D672" s="11" t="s">
        <v>139</v>
      </c>
      <c r="E672" s="60" t="s">
        <v>27189</v>
      </c>
      <c r="F672" s="69">
        <v>42725</v>
      </c>
      <c r="G672" s="11" t="s">
        <v>27190</v>
      </c>
      <c r="H672" s="11" t="s">
        <v>27191</v>
      </c>
      <c r="I672" s="11" t="s">
        <v>395</v>
      </c>
      <c r="J672" s="11">
        <v>74601</v>
      </c>
      <c r="K672" s="11" t="s">
        <v>27192</v>
      </c>
      <c r="L672" s="11" t="s">
        <v>27193</v>
      </c>
      <c r="M672" s="11" t="s">
        <v>27</v>
      </c>
      <c r="N672" s="11" t="s">
        <v>27194</v>
      </c>
      <c r="O672" s="11" t="s">
        <v>400</v>
      </c>
      <c r="P672" s="11" t="s">
        <v>401</v>
      </c>
      <c r="Q672" s="60" t="s">
        <v>27195</v>
      </c>
      <c r="R672" s="11" t="s">
        <v>100</v>
      </c>
      <c r="S672" s="44" t="s">
        <v>28</v>
      </c>
      <c r="T672" s="68" t="s">
        <v>29501</v>
      </c>
      <c r="U672" s="68" t="s">
        <v>29436</v>
      </c>
      <c r="V672" s="68" t="s">
        <v>29439</v>
      </c>
      <c r="W672" s="68" t="s">
        <v>100</v>
      </c>
      <c r="X672" s="68">
        <v>2146</v>
      </c>
      <c r="Y672" s="11"/>
      <c r="Z672" s="11"/>
      <c r="AA672" s="11"/>
      <c r="AB672" s="11"/>
      <c r="AC672" s="11"/>
      <c r="AD672" s="11"/>
      <c r="AE672" s="11"/>
      <c r="AF672" s="11"/>
      <c r="AG672" s="11"/>
      <c r="AH672" s="11"/>
      <c r="AI672" s="11"/>
      <c r="AJ672" s="11"/>
      <c r="AK672" s="11"/>
      <c r="AL672" s="11"/>
      <c r="AU672" s="11"/>
      <c r="AV672" s="11"/>
      <c r="AW672" s="11"/>
      <c r="AX672" s="1"/>
      <c r="AY672" s="1"/>
      <c r="AZ672" s="11"/>
      <c r="BA672" s="11"/>
      <c r="BB672" s="11"/>
      <c r="BC672" s="1"/>
      <c r="BD672" s="1"/>
      <c r="BE672" s="1"/>
      <c r="BF672" s="1"/>
      <c r="BG672" s="1"/>
      <c r="BH672" s="1"/>
      <c r="BI672" s="1"/>
      <c r="BJ672" s="1"/>
      <c r="BK672" s="70"/>
    </row>
    <row r="673" spans="1:63" s="44" customFormat="1" ht="12" customHeight="1" x14ac:dyDescent="0.2">
      <c r="A673" s="11" t="s">
        <v>27181</v>
      </c>
      <c r="B673" s="68">
        <v>27</v>
      </c>
      <c r="C673" s="11" t="s">
        <v>20</v>
      </c>
      <c r="D673" s="11" t="s">
        <v>37</v>
      </c>
      <c r="E673" s="60" t="s">
        <v>27182</v>
      </c>
      <c r="F673" s="69">
        <v>42725</v>
      </c>
      <c r="G673" s="11" t="s">
        <v>27183</v>
      </c>
      <c r="H673" s="11" t="s">
        <v>27184</v>
      </c>
      <c r="I673" s="11" t="s">
        <v>94</v>
      </c>
      <c r="J673" s="11">
        <v>36571</v>
      </c>
      <c r="K673" s="11" t="s">
        <v>13964</v>
      </c>
      <c r="L673" s="11" t="s">
        <v>27185</v>
      </c>
      <c r="M673" s="11" t="s">
        <v>27</v>
      </c>
      <c r="N673" s="11" t="s">
        <v>27186</v>
      </c>
      <c r="O673" s="11" t="s">
        <v>400</v>
      </c>
      <c r="P673" s="11" t="s">
        <v>401</v>
      </c>
      <c r="Q673" s="60" t="s">
        <v>27187</v>
      </c>
      <c r="R673" s="11" t="s">
        <v>100</v>
      </c>
      <c r="S673" s="44" t="s">
        <v>28</v>
      </c>
      <c r="T673" s="68" t="s">
        <v>27756</v>
      </c>
      <c r="U673" s="68" t="s">
        <v>29438</v>
      </c>
      <c r="V673" s="68" t="s">
        <v>29439</v>
      </c>
      <c r="W673" s="68" t="s">
        <v>100</v>
      </c>
      <c r="X673" s="68">
        <v>2156</v>
      </c>
      <c r="Y673" s="11"/>
      <c r="Z673" s="11"/>
      <c r="AA673" s="11"/>
      <c r="AB673" s="11"/>
      <c r="AC673" s="11"/>
      <c r="AD673" s="11"/>
      <c r="AE673" s="11"/>
      <c r="AF673" s="11"/>
      <c r="AG673" s="11"/>
      <c r="AH673" s="11"/>
      <c r="AI673" s="11"/>
      <c r="AJ673" s="11"/>
      <c r="AK673" s="11"/>
      <c r="AL673" s="11"/>
      <c r="AU673" s="11"/>
      <c r="AV673" s="11"/>
      <c r="AX673" s="1"/>
      <c r="AY673" s="1"/>
      <c r="AZ673" s="11"/>
      <c r="BA673" s="11"/>
      <c r="BB673" s="11"/>
      <c r="BC673" s="1"/>
      <c r="BD673" s="1"/>
      <c r="BE673" s="1"/>
      <c r="BF673" s="1"/>
      <c r="BG673" s="1"/>
      <c r="BH673" s="1"/>
      <c r="BI673" s="1"/>
      <c r="BJ673" s="1"/>
      <c r="BK673" s="70"/>
    </row>
    <row r="674" spans="1:63" s="44" customFormat="1" ht="12" customHeight="1" x14ac:dyDescent="0.2">
      <c r="A674" s="11" t="s">
        <v>27169</v>
      </c>
      <c r="B674" s="68">
        <v>25</v>
      </c>
      <c r="C674" s="11" t="s">
        <v>20</v>
      </c>
      <c r="D674" s="11" t="s">
        <v>37</v>
      </c>
      <c r="E674" s="60" t="s">
        <v>27170</v>
      </c>
      <c r="F674" s="69">
        <v>42725</v>
      </c>
      <c r="G674" s="11" t="s">
        <v>27171</v>
      </c>
      <c r="H674" s="11" t="s">
        <v>27172</v>
      </c>
      <c r="I674" s="11" t="s">
        <v>395</v>
      </c>
      <c r="J674" s="11">
        <v>73647</v>
      </c>
      <c r="K674" s="11" t="s">
        <v>27173</v>
      </c>
      <c r="L674" s="11" t="s">
        <v>27174</v>
      </c>
      <c r="M674" s="11" t="s">
        <v>27</v>
      </c>
      <c r="N674" s="11" t="s">
        <v>27175</v>
      </c>
      <c r="O674" s="11" t="s">
        <v>400</v>
      </c>
      <c r="P674" s="11" t="s">
        <v>401</v>
      </c>
      <c r="Q674" s="60" t="s">
        <v>27176</v>
      </c>
      <c r="R674" s="11" t="s">
        <v>100</v>
      </c>
      <c r="S674" s="44" t="s">
        <v>28</v>
      </c>
      <c r="T674" s="68" t="s">
        <v>27756</v>
      </c>
      <c r="U674" s="68" t="s">
        <v>29438</v>
      </c>
      <c r="V674" s="68" t="s">
        <v>21212</v>
      </c>
      <c r="W674" s="68" t="s">
        <v>100</v>
      </c>
      <c r="X674" s="68">
        <v>2147</v>
      </c>
      <c r="Y674" s="11"/>
      <c r="Z674" s="11"/>
      <c r="AA674" s="11"/>
      <c r="AB674" s="11"/>
      <c r="AC674" s="11"/>
      <c r="AD674" s="11"/>
      <c r="AE674" s="11"/>
      <c r="AF674" s="11"/>
      <c r="AG674" s="11"/>
      <c r="AH674" s="11"/>
      <c r="AI674" s="11"/>
      <c r="AJ674" s="11"/>
      <c r="AK674" s="11"/>
      <c r="AL674" s="11"/>
      <c r="AU674" s="11"/>
      <c r="AV674" s="11"/>
      <c r="AW674" s="11"/>
      <c r="AX674" s="1"/>
      <c r="AY674" s="1"/>
      <c r="AZ674" s="11"/>
      <c r="BA674" s="11"/>
      <c r="BB674" s="11"/>
      <c r="BC674" s="1"/>
      <c r="BD674" s="1"/>
      <c r="BE674" s="1"/>
      <c r="BF674" s="1"/>
      <c r="BG674" s="1"/>
      <c r="BH674" s="1"/>
      <c r="BI674" s="1"/>
      <c r="BJ674" s="1"/>
      <c r="BK674" s="70"/>
    </row>
    <row r="675" spans="1:63" s="44" customFormat="1" ht="12" customHeight="1" x14ac:dyDescent="0.15">
      <c r="A675" s="11" t="s">
        <v>27148</v>
      </c>
      <c r="B675" s="68">
        <v>38</v>
      </c>
      <c r="C675" s="11" t="s">
        <v>20</v>
      </c>
      <c r="D675" s="11" t="s">
        <v>48</v>
      </c>
      <c r="E675" s="60" t="s">
        <v>27149</v>
      </c>
      <c r="F675" s="69">
        <v>42725</v>
      </c>
      <c r="G675" s="11" t="s">
        <v>27640</v>
      </c>
      <c r="H675" s="11" t="s">
        <v>1611</v>
      </c>
      <c r="I675" s="11" t="s">
        <v>269</v>
      </c>
      <c r="J675" s="11">
        <v>89503</v>
      </c>
      <c r="K675" s="11" t="s">
        <v>6245</v>
      </c>
      <c r="L675" s="11" t="s">
        <v>7469</v>
      </c>
      <c r="M675" s="11" t="s">
        <v>27</v>
      </c>
      <c r="N675" s="11" t="s">
        <v>27150</v>
      </c>
      <c r="O675" s="11" t="s">
        <v>400</v>
      </c>
      <c r="P675" s="11" t="s">
        <v>401</v>
      </c>
      <c r="Q675" s="60" t="s">
        <v>27151</v>
      </c>
      <c r="R675" s="11" t="s">
        <v>100</v>
      </c>
      <c r="S675" s="11" t="s">
        <v>379</v>
      </c>
      <c r="T675" s="68" t="s">
        <v>379</v>
      </c>
      <c r="U675" s="68" t="s">
        <v>29438</v>
      </c>
      <c r="V675" s="68" t="s">
        <v>29437</v>
      </c>
      <c r="W675" s="68" t="s">
        <v>100</v>
      </c>
      <c r="X675" s="68">
        <v>2152</v>
      </c>
      <c r="Y675" s="11"/>
      <c r="Z675" s="11"/>
      <c r="AA675" s="11"/>
      <c r="AB675" s="11"/>
      <c r="AC675" s="11"/>
      <c r="AD675" s="11"/>
      <c r="AE675" s="11"/>
      <c r="AF675" s="11"/>
      <c r="AG675" s="11"/>
      <c r="AH675" s="11"/>
      <c r="AI675" s="11"/>
      <c r="AJ675" s="11"/>
      <c r="AK675" s="11"/>
      <c r="AL675" s="11"/>
      <c r="AU675" s="11"/>
      <c r="AV675" s="11"/>
      <c r="AW675" s="11"/>
      <c r="AX675" s="1"/>
      <c r="AY675" s="1"/>
      <c r="AZ675" s="11"/>
      <c r="BA675" s="11"/>
      <c r="BB675" s="11"/>
      <c r="BC675" s="1"/>
      <c r="BD675" s="1"/>
      <c r="BE675" s="1"/>
      <c r="BF675" s="1"/>
      <c r="BG675" s="1"/>
      <c r="BH675" s="1"/>
      <c r="BI675" s="1"/>
      <c r="BJ675" s="1"/>
      <c r="BK675" s="11"/>
    </row>
    <row r="676" spans="1:63" s="44" customFormat="1" ht="12" customHeight="1" x14ac:dyDescent="0.15">
      <c r="A676" s="11" t="s">
        <v>27196</v>
      </c>
      <c r="B676" s="68">
        <v>46</v>
      </c>
      <c r="C676" s="11" t="s">
        <v>20</v>
      </c>
      <c r="D676" s="11" t="s">
        <v>37</v>
      </c>
      <c r="E676" s="11"/>
      <c r="F676" s="69">
        <v>42725</v>
      </c>
      <c r="G676" s="11" t="s">
        <v>27641</v>
      </c>
      <c r="H676" s="11" t="s">
        <v>2681</v>
      </c>
      <c r="I676" s="11" t="s">
        <v>217</v>
      </c>
      <c r="J676" s="11">
        <v>46534</v>
      </c>
      <c r="K676" s="11" t="s">
        <v>27197</v>
      </c>
      <c r="L676" s="11" t="s">
        <v>27198</v>
      </c>
      <c r="M676" s="11" t="s">
        <v>27</v>
      </c>
      <c r="N676" s="11" t="s">
        <v>27199</v>
      </c>
      <c r="O676" s="11" t="s">
        <v>400</v>
      </c>
      <c r="P676" s="11" t="s">
        <v>401</v>
      </c>
      <c r="Q676" s="60" t="s">
        <v>27200</v>
      </c>
      <c r="R676" s="11" t="s">
        <v>100</v>
      </c>
      <c r="S676" s="44" t="s">
        <v>379</v>
      </c>
      <c r="T676" s="68" t="s">
        <v>379</v>
      </c>
      <c r="U676" s="68" t="s">
        <v>29436</v>
      </c>
      <c r="V676" s="68"/>
      <c r="W676" s="68" t="s">
        <v>100</v>
      </c>
      <c r="X676" s="68">
        <v>2151</v>
      </c>
      <c r="Y676" s="11"/>
      <c r="Z676" s="11"/>
      <c r="AA676" s="11"/>
      <c r="AB676" s="11"/>
      <c r="AC676" s="11"/>
      <c r="AD676" s="11"/>
      <c r="AE676" s="11"/>
      <c r="AF676" s="11"/>
      <c r="AG676" s="11"/>
      <c r="AH676" s="11"/>
      <c r="AI676" s="11"/>
      <c r="AJ676" s="11"/>
      <c r="AK676" s="11"/>
      <c r="AL676" s="11"/>
      <c r="AU676" s="11"/>
      <c r="AV676" s="11"/>
      <c r="AW676" s="1"/>
      <c r="AX676" s="1"/>
      <c r="AY676" s="1"/>
      <c r="AZ676" s="11"/>
      <c r="BA676" s="11"/>
      <c r="BB676" s="11"/>
      <c r="BC676" s="1"/>
      <c r="BD676" s="1"/>
      <c r="BE676" s="1"/>
      <c r="BF676" s="1"/>
      <c r="BG676" s="1"/>
      <c r="BH676" s="1"/>
      <c r="BI676" s="1"/>
      <c r="BJ676" s="1"/>
      <c r="BK676" s="11"/>
    </row>
    <row r="677" spans="1:63" s="44" customFormat="1" ht="12" customHeight="1" x14ac:dyDescent="0.2">
      <c r="A677" s="11" t="s">
        <v>27738</v>
      </c>
      <c r="B677" s="11">
        <v>21</v>
      </c>
      <c r="C677" s="11" t="s">
        <v>20</v>
      </c>
      <c r="D677" s="11" t="s">
        <v>48</v>
      </c>
      <c r="E677" s="11"/>
      <c r="F677" s="69">
        <v>42725</v>
      </c>
      <c r="G677" s="11" t="s">
        <v>27642</v>
      </c>
      <c r="H677" s="11" t="s">
        <v>1760</v>
      </c>
      <c r="I677" s="11" t="s">
        <v>45</v>
      </c>
      <c r="J677" s="11">
        <v>95205</v>
      </c>
      <c r="K677" s="11" t="s">
        <v>1762</v>
      </c>
      <c r="L677" s="11" t="s">
        <v>27201</v>
      </c>
      <c r="M677" s="11" t="s">
        <v>27</v>
      </c>
      <c r="N677" s="11" t="s">
        <v>27202</v>
      </c>
      <c r="O677" s="11" t="s">
        <v>400</v>
      </c>
      <c r="P677" s="11" t="s">
        <v>401</v>
      </c>
      <c r="Q677" s="60" t="s">
        <v>27203</v>
      </c>
      <c r="R677" s="11" t="s">
        <v>29</v>
      </c>
      <c r="S677" s="11" t="s">
        <v>28</v>
      </c>
      <c r="T677" s="68" t="s">
        <v>29493</v>
      </c>
      <c r="U677" s="68" t="s">
        <v>29441</v>
      </c>
      <c r="V677" s="68" t="s">
        <v>29439</v>
      </c>
      <c r="W677" s="68" t="s">
        <v>100</v>
      </c>
      <c r="X677" s="68">
        <v>2154</v>
      </c>
      <c r="Y677" s="11"/>
      <c r="Z677" s="11"/>
      <c r="AA677" s="11"/>
      <c r="AB677" s="11"/>
      <c r="AC677" s="11"/>
      <c r="AD677" s="11"/>
      <c r="AE677" s="11"/>
      <c r="AF677" s="11"/>
      <c r="AG677" s="11"/>
      <c r="AH677" s="11"/>
      <c r="AI677" s="11"/>
      <c r="AJ677" s="11"/>
      <c r="AK677" s="11"/>
      <c r="AL677" s="11"/>
      <c r="AU677" s="11"/>
      <c r="AV677" s="11"/>
      <c r="AW677" s="1"/>
      <c r="AX677" s="1"/>
      <c r="AY677" s="1"/>
      <c r="AZ677" s="11"/>
      <c r="BA677" s="1"/>
      <c r="BB677" s="1"/>
      <c r="BC677" s="1"/>
      <c r="BD677" s="1"/>
      <c r="BE677" s="1"/>
      <c r="BF677" s="1"/>
      <c r="BG677" s="1"/>
      <c r="BH677" s="1"/>
      <c r="BI677" s="1"/>
      <c r="BJ677" s="1"/>
      <c r="BK677" s="70"/>
    </row>
    <row r="678" spans="1:63" s="44" customFormat="1" ht="12" customHeight="1" x14ac:dyDescent="0.2">
      <c r="A678" s="11" t="s">
        <v>27177</v>
      </c>
      <c r="B678" s="68">
        <v>25</v>
      </c>
      <c r="C678" s="11" t="s">
        <v>20</v>
      </c>
      <c r="D678" s="11" t="s">
        <v>37</v>
      </c>
      <c r="E678" s="11"/>
      <c r="F678" s="69">
        <v>42725</v>
      </c>
      <c r="G678" s="11" t="s">
        <v>27178</v>
      </c>
      <c r="H678" s="11" t="s">
        <v>5949</v>
      </c>
      <c r="I678" s="11" t="s">
        <v>978</v>
      </c>
      <c r="J678" s="11">
        <v>72701</v>
      </c>
      <c r="K678" s="11" t="s">
        <v>118</v>
      </c>
      <c r="L678" s="11" t="s">
        <v>119</v>
      </c>
      <c r="M678" s="11" t="s">
        <v>27</v>
      </c>
      <c r="N678" s="11" t="s">
        <v>27179</v>
      </c>
      <c r="O678" s="11" t="s">
        <v>400</v>
      </c>
      <c r="P678" s="11" t="s">
        <v>401</v>
      </c>
      <c r="Q678" s="60" t="s">
        <v>27180</v>
      </c>
      <c r="R678" s="68" t="s">
        <v>555</v>
      </c>
      <c r="S678" s="44" t="s">
        <v>28</v>
      </c>
      <c r="T678" s="68" t="s">
        <v>29493</v>
      </c>
      <c r="U678" s="68" t="s">
        <v>29436</v>
      </c>
      <c r="V678" s="68" t="s">
        <v>29439</v>
      </c>
      <c r="W678" s="68" t="s">
        <v>100</v>
      </c>
      <c r="X678" s="68">
        <v>2153</v>
      </c>
      <c r="Y678" s="11"/>
      <c r="Z678" s="11"/>
      <c r="AA678" s="11"/>
      <c r="AB678" s="11"/>
      <c r="AC678" s="11"/>
      <c r="AD678" s="11"/>
      <c r="AE678" s="11"/>
      <c r="AF678" s="11"/>
      <c r="AG678" s="11"/>
      <c r="AH678" s="11"/>
      <c r="AI678" s="11"/>
      <c r="AJ678" s="11"/>
      <c r="AK678" s="11"/>
      <c r="AL678" s="11"/>
      <c r="AU678" s="11"/>
      <c r="AV678" s="11"/>
      <c r="AW678" s="11"/>
      <c r="AX678" s="1"/>
      <c r="AY678" s="1"/>
      <c r="AZ678" s="11"/>
      <c r="BA678" s="70"/>
      <c r="BB678" s="11"/>
      <c r="BC678" s="1"/>
      <c r="BD678" s="1"/>
      <c r="BE678" s="1"/>
      <c r="BF678" s="1"/>
      <c r="BG678" s="1"/>
      <c r="BH678" s="1"/>
      <c r="BI678" s="1"/>
      <c r="BJ678" s="1"/>
      <c r="BK678" s="70"/>
    </row>
    <row r="679" spans="1:63" s="44" customFormat="1" ht="12" customHeight="1" x14ac:dyDescent="0.2">
      <c r="A679" s="11" t="s">
        <v>27204</v>
      </c>
      <c r="B679" s="68">
        <v>46</v>
      </c>
      <c r="C679" s="11" t="s">
        <v>20</v>
      </c>
      <c r="D679" s="11" t="s">
        <v>48</v>
      </c>
      <c r="E679" s="11"/>
      <c r="F679" s="69">
        <v>42724</v>
      </c>
      <c r="G679" s="11" t="s">
        <v>27643</v>
      </c>
      <c r="H679" s="11" t="s">
        <v>27205</v>
      </c>
      <c r="I679" s="11" t="s">
        <v>73</v>
      </c>
      <c r="J679" s="11">
        <v>78577</v>
      </c>
      <c r="K679" s="11" t="s">
        <v>1394</v>
      </c>
      <c r="L679" s="11" t="s">
        <v>27206</v>
      </c>
      <c r="M679" s="11" t="s">
        <v>27</v>
      </c>
      <c r="N679" s="11" t="s">
        <v>27207</v>
      </c>
      <c r="O679" s="11" t="s">
        <v>400</v>
      </c>
      <c r="P679" s="11" t="s">
        <v>401</v>
      </c>
      <c r="Q679" s="60" t="s">
        <v>27208</v>
      </c>
      <c r="R679" s="11" t="s">
        <v>100</v>
      </c>
      <c r="S679" s="11" t="s">
        <v>28</v>
      </c>
      <c r="T679" s="68" t="s">
        <v>29493</v>
      </c>
      <c r="U679" s="68" t="s">
        <v>29436</v>
      </c>
      <c r="V679" s="68" t="s">
        <v>29439</v>
      </c>
      <c r="W679" s="68" t="s">
        <v>100</v>
      </c>
      <c r="X679" s="68">
        <v>2140</v>
      </c>
      <c r="Y679" s="11"/>
      <c r="Z679" s="11"/>
      <c r="AA679" s="11"/>
      <c r="AB679" s="11"/>
      <c r="AC679" s="11"/>
      <c r="AD679" s="11"/>
      <c r="AE679" s="11"/>
      <c r="AF679" s="11"/>
      <c r="AG679" s="11"/>
      <c r="AH679" s="11"/>
      <c r="AI679" s="11"/>
      <c r="AJ679" s="11"/>
      <c r="AK679" s="11"/>
      <c r="AL679" s="11"/>
      <c r="AU679" s="11"/>
      <c r="AV679" s="11"/>
      <c r="AW679" s="1"/>
      <c r="AX679" s="1"/>
      <c r="AY679" s="1"/>
      <c r="AZ679" s="11"/>
      <c r="BA679" s="11"/>
      <c r="BB679" s="11"/>
      <c r="BC679" s="1"/>
      <c r="BD679" s="1"/>
      <c r="BE679" s="1"/>
      <c r="BF679" s="1"/>
      <c r="BG679" s="1"/>
      <c r="BH679" s="1"/>
      <c r="BI679" s="1"/>
      <c r="BJ679" s="1"/>
      <c r="BK679" s="70"/>
    </row>
    <row r="680" spans="1:63" s="44" customFormat="1" ht="12" customHeight="1" x14ac:dyDescent="0.2">
      <c r="A680" s="11" t="s">
        <v>27209</v>
      </c>
      <c r="B680" s="68">
        <v>31</v>
      </c>
      <c r="C680" s="11" t="s">
        <v>20</v>
      </c>
      <c r="D680" s="11" t="s">
        <v>139</v>
      </c>
      <c r="E680" s="60" t="s">
        <v>27210</v>
      </c>
      <c r="F680" s="69">
        <v>42724</v>
      </c>
      <c r="G680" s="11" t="s">
        <v>27211</v>
      </c>
      <c r="H680" s="11" t="s">
        <v>782</v>
      </c>
      <c r="I680" s="11" t="s">
        <v>45</v>
      </c>
      <c r="J680" s="11">
        <v>92544</v>
      </c>
      <c r="K680" s="11" t="s">
        <v>783</v>
      </c>
      <c r="L680" s="11" t="s">
        <v>20509</v>
      </c>
      <c r="M680" s="11" t="s">
        <v>27</v>
      </c>
      <c r="N680" s="11" t="s">
        <v>27212</v>
      </c>
      <c r="O680" s="11" t="s">
        <v>400</v>
      </c>
      <c r="P680" s="11" t="s">
        <v>401</v>
      </c>
      <c r="Q680" s="60" t="s">
        <v>27213</v>
      </c>
      <c r="R680" s="11" t="s">
        <v>29</v>
      </c>
      <c r="S680" s="44" t="s">
        <v>28</v>
      </c>
      <c r="T680" s="68" t="s">
        <v>27756</v>
      </c>
      <c r="U680" s="68" t="s">
        <v>29436</v>
      </c>
      <c r="V680" s="68" t="s">
        <v>21212</v>
      </c>
      <c r="W680" s="68" t="s">
        <v>100</v>
      </c>
      <c r="X680" s="68">
        <v>2139</v>
      </c>
      <c r="Y680" s="11"/>
      <c r="Z680" s="11"/>
      <c r="AA680" s="11"/>
      <c r="AB680" s="11"/>
      <c r="AC680" s="11"/>
      <c r="AD680" s="11"/>
      <c r="AE680" s="11"/>
      <c r="AF680" s="11"/>
      <c r="AG680" s="11"/>
      <c r="AH680" s="11"/>
      <c r="AI680" s="11"/>
      <c r="AJ680" s="11"/>
      <c r="AK680" s="11"/>
      <c r="AL680" s="11"/>
      <c r="AU680" s="11"/>
      <c r="AV680" s="11"/>
      <c r="AW680" s="11"/>
      <c r="AX680" s="1"/>
      <c r="AY680" s="1"/>
      <c r="AZ680" s="11"/>
      <c r="BA680" s="1"/>
      <c r="BB680" s="1"/>
      <c r="BC680" s="1"/>
      <c r="BD680" s="1"/>
      <c r="BE680" s="1"/>
      <c r="BF680" s="1"/>
      <c r="BG680" s="1"/>
      <c r="BH680" s="1"/>
      <c r="BI680" s="1"/>
      <c r="BJ680" s="1"/>
      <c r="BK680" s="70"/>
    </row>
    <row r="681" spans="1:63" s="44" customFormat="1" ht="12" customHeight="1" x14ac:dyDescent="0.2">
      <c r="A681" s="11" t="s">
        <v>3252</v>
      </c>
      <c r="B681" s="11" t="s">
        <v>29</v>
      </c>
      <c r="C681" s="11" t="s">
        <v>20</v>
      </c>
      <c r="D681" s="11" t="s">
        <v>30</v>
      </c>
      <c r="E681" s="11"/>
      <c r="F681" s="69">
        <v>42724</v>
      </c>
      <c r="G681" s="11" t="s">
        <v>27644</v>
      </c>
      <c r="H681" s="11" t="s">
        <v>27214</v>
      </c>
      <c r="I681" s="11" t="s">
        <v>45</v>
      </c>
      <c r="J681" s="11">
        <v>92227</v>
      </c>
      <c r="K681" s="11" t="s">
        <v>9909</v>
      </c>
      <c r="L681" s="11" t="s">
        <v>27215</v>
      </c>
      <c r="M681" s="11" t="s">
        <v>27</v>
      </c>
      <c r="N681" s="11" t="s">
        <v>27216</v>
      </c>
      <c r="O681" s="11" t="s">
        <v>400</v>
      </c>
      <c r="P681" s="11" t="s">
        <v>401</v>
      </c>
      <c r="Q681" s="60" t="s">
        <v>27217</v>
      </c>
      <c r="R681" s="11" t="s">
        <v>555</v>
      </c>
      <c r="S681" s="11" t="s">
        <v>28</v>
      </c>
      <c r="T681" s="68" t="s">
        <v>29493</v>
      </c>
      <c r="U681" s="68" t="s">
        <v>29436</v>
      </c>
      <c r="V681" s="68" t="s">
        <v>29439</v>
      </c>
      <c r="W681" s="68" t="s">
        <v>100</v>
      </c>
      <c r="X681" s="68">
        <v>2141</v>
      </c>
      <c r="Y681" s="11"/>
      <c r="Z681" s="11"/>
      <c r="AA681" s="11"/>
      <c r="AB681" s="11"/>
      <c r="AC681" s="11"/>
      <c r="AD681" s="11"/>
      <c r="AE681" s="11"/>
      <c r="AF681" s="11"/>
      <c r="AG681" s="11"/>
      <c r="AH681" s="11"/>
      <c r="AI681" s="11"/>
      <c r="AJ681" s="11"/>
      <c r="AK681" s="11"/>
      <c r="AL681" s="11"/>
      <c r="AU681" s="11"/>
      <c r="AV681" s="11"/>
      <c r="AW681" s="1"/>
      <c r="AX681" s="1"/>
      <c r="AY681" s="1"/>
      <c r="AZ681" s="11"/>
      <c r="BB681" s="11"/>
      <c r="BC681" s="1"/>
      <c r="BD681" s="1"/>
      <c r="BE681" s="1"/>
      <c r="BF681" s="1"/>
      <c r="BG681" s="1"/>
      <c r="BH681" s="1"/>
      <c r="BI681" s="1"/>
      <c r="BJ681" s="1"/>
      <c r="BK681" s="70"/>
    </row>
    <row r="682" spans="1:63" s="44" customFormat="1" ht="12" customHeight="1" x14ac:dyDescent="0.15">
      <c r="A682" s="11" t="s">
        <v>27218</v>
      </c>
      <c r="B682" s="68">
        <v>52</v>
      </c>
      <c r="C682" s="11" t="s">
        <v>20</v>
      </c>
      <c r="D682" s="11" t="s">
        <v>37</v>
      </c>
      <c r="E682" s="60" t="s">
        <v>27219</v>
      </c>
      <c r="F682" s="69">
        <v>42723</v>
      </c>
      <c r="G682" s="11" t="s">
        <v>27220</v>
      </c>
      <c r="H682" s="11" t="s">
        <v>27221</v>
      </c>
      <c r="I682" s="11" t="s">
        <v>366</v>
      </c>
      <c r="J682" s="11">
        <v>28630</v>
      </c>
      <c r="K682" s="11" t="s">
        <v>8639</v>
      </c>
      <c r="L682" s="11" t="s">
        <v>27222</v>
      </c>
      <c r="M682" s="11" t="s">
        <v>27</v>
      </c>
      <c r="N682" s="11" t="s">
        <v>27223</v>
      </c>
      <c r="O682" s="11" t="s">
        <v>400</v>
      </c>
      <c r="P682" s="11" t="s">
        <v>401</v>
      </c>
      <c r="Q682" s="60" t="s">
        <v>27224</v>
      </c>
      <c r="R682" s="11" t="s">
        <v>100</v>
      </c>
      <c r="S682" s="44" t="s">
        <v>35</v>
      </c>
      <c r="T682" s="66" t="s">
        <v>29441</v>
      </c>
      <c r="U682" s="68" t="s">
        <v>29441</v>
      </c>
      <c r="V682" s="68" t="s">
        <v>29439</v>
      </c>
      <c r="W682" s="68" t="s">
        <v>100</v>
      </c>
      <c r="X682" s="68">
        <v>2131</v>
      </c>
      <c r="Y682" s="11"/>
      <c r="Z682" s="11"/>
      <c r="AA682" s="11"/>
      <c r="AB682" s="11"/>
      <c r="AC682" s="11"/>
      <c r="AD682" s="11"/>
      <c r="AE682" s="11"/>
      <c r="AF682" s="11"/>
      <c r="AG682" s="11"/>
      <c r="AH682" s="11"/>
      <c r="AI682" s="11"/>
      <c r="AJ682" s="11"/>
      <c r="AK682" s="11"/>
      <c r="AL682" s="11"/>
      <c r="AU682" s="11"/>
      <c r="AV682" s="11"/>
      <c r="AW682" s="1"/>
      <c r="AX682" s="1"/>
      <c r="AY682" s="1"/>
      <c r="AZ682" s="11"/>
      <c r="BA682" s="11"/>
      <c r="BB682" s="11"/>
      <c r="BC682" s="1"/>
      <c r="BD682" s="1"/>
      <c r="BE682" s="1"/>
      <c r="BF682" s="1"/>
      <c r="BG682" s="1"/>
      <c r="BH682" s="1"/>
      <c r="BI682" s="1"/>
      <c r="BJ682" s="1"/>
      <c r="BK682" s="1"/>
    </row>
    <row r="683" spans="1:63" s="44" customFormat="1" ht="12" customHeight="1" x14ac:dyDescent="0.2">
      <c r="A683" s="11" t="s">
        <v>27230</v>
      </c>
      <c r="B683" s="68">
        <v>37</v>
      </c>
      <c r="C683" s="11" t="s">
        <v>20</v>
      </c>
      <c r="D683" s="11" t="s">
        <v>37</v>
      </c>
      <c r="E683" s="11"/>
      <c r="F683" s="69">
        <v>42722</v>
      </c>
      <c r="G683" s="11" t="s">
        <v>27231</v>
      </c>
      <c r="H683" s="11" t="s">
        <v>11083</v>
      </c>
      <c r="I683" s="11" t="s">
        <v>303</v>
      </c>
      <c r="J683" s="11">
        <v>98642</v>
      </c>
      <c r="K683" s="11" t="s">
        <v>570</v>
      </c>
      <c r="L683" s="11" t="s">
        <v>3347</v>
      </c>
      <c r="M683" s="11" t="s">
        <v>27</v>
      </c>
      <c r="N683" s="11" t="s">
        <v>27232</v>
      </c>
      <c r="O683" s="11" t="s">
        <v>400</v>
      </c>
      <c r="P683" s="11" t="s">
        <v>401</v>
      </c>
      <c r="Q683" s="60" t="s">
        <v>27233</v>
      </c>
      <c r="R683" s="11" t="s">
        <v>100</v>
      </c>
      <c r="S683" s="11" t="s">
        <v>28</v>
      </c>
      <c r="T683" s="68" t="s">
        <v>27756</v>
      </c>
      <c r="U683" s="68" t="s">
        <v>29436</v>
      </c>
      <c r="V683" s="68" t="s">
        <v>29439</v>
      </c>
      <c r="W683" s="68" t="s">
        <v>100</v>
      </c>
      <c r="X683" s="68">
        <v>2135</v>
      </c>
      <c r="Y683" s="11"/>
      <c r="Z683" s="11"/>
      <c r="AA683" s="11"/>
      <c r="AB683" s="11"/>
      <c r="AC683" s="11"/>
      <c r="AD683" s="11"/>
      <c r="AE683" s="11"/>
      <c r="AF683" s="11"/>
      <c r="AG683" s="11"/>
      <c r="AH683" s="11"/>
      <c r="AI683" s="11"/>
      <c r="AJ683" s="11"/>
      <c r="AK683" s="11"/>
      <c r="AL683" s="11"/>
      <c r="AU683" s="11"/>
      <c r="AV683" s="11"/>
      <c r="AX683" s="1"/>
      <c r="AY683" s="1"/>
      <c r="AZ683" s="11"/>
      <c r="BA683" s="11"/>
      <c r="BB683" s="11"/>
      <c r="BC683" s="1"/>
      <c r="BD683" s="1"/>
      <c r="BE683" s="1"/>
      <c r="BF683" s="1"/>
      <c r="BG683" s="1"/>
      <c r="BH683" s="1"/>
      <c r="BI683" s="1"/>
      <c r="BJ683" s="1"/>
      <c r="BK683" s="70"/>
    </row>
    <row r="684" spans="1:63" s="44" customFormat="1" ht="12" customHeight="1" x14ac:dyDescent="0.2">
      <c r="A684" s="11" t="s">
        <v>27225</v>
      </c>
      <c r="B684" s="68">
        <v>20</v>
      </c>
      <c r="C684" s="11" t="s">
        <v>20</v>
      </c>
      <c r="D684" s="11" t="s">
        <v>85</v>
      </c>
      <c r="E684" s="60" t="s">
        <v>27226</v>
      </c>
      <c r="F684" s="69">
        <v>42722</v>
      </c>
      <c r="G684" s="11" t="s">
        <v>27227</v>
      </c>
      <c r="H684" s="11" t="s">
        <v>98</v>
      </c>
      <c r="I684" s="11" t="s">
        <v>45</v>
      </c>
      <c r="J684" s="11">
        <v>90047</v>
      </c>
      <c r="K684" s="11" t="s">
        <v>98</v>
      </c>
      <c r="L684" s="11" t="s">
        <v>99</v>
      </c>
      <c r="M684" s="11" t="s">
        <v>27</v>
      </c>
      <c r="N684" s="11" t="s">
        <v>27228</v>
      </c>
      <c r="O684" s="11" t="s">
        <v>400</v>
      </c>
      <c r="P684" s="11" t="s">
        <v>401</v>
      </c>
      <c r="Q684" s="60" t="s">
        <v>27229</v>
      </c>
      <c r="R684" s="11" t="s">
        <v>100</v>
      </c>
      <c r="S684" s="11" t="s">
        <v>35</v>
      </c>
      <c r="T684" s="66" t="s">
        <v>29441</v>
      </c>
      <c r="U684" s="68" t="s">
        <v>29441</v>
      </c>
      <c r="V684" s="68" t="s">
        <v>29440</v>
      </c>
      <c r="W684" s="68" t="s">
        <v>100</v>
      </c>
      <c r="X684" s="68">
        <v>2133</v>
      </c>
      <c r="Y684" s="11"/>
      <c r="Z684" s="11"/>
      <c r="AA684" s="11"/>
      <c r="AB684" s="11"/>
      <c r="AC684" s="11"/>
      <c r="AD684" s="11"/>
      <c r="AE684" s="11"/>
      <c r="AF684" s="11"/>
      <c r="AG684" s="11"/>
      <c r="AH684" s="11"/>
      <c r="AI684" s="11"/>
      <c r="AJ684" s="11"/>
      <c r="AK684" s="11"/>
      <c r="AL684" s="11"/>
      <c r="AU684" s="11"/>
      <c r="AV684" s="11"/>
      <c r="AW684" s="70"/>
      <c r="AX684" s="70"/>
      <c r="AY684" s="70"/>
      <c r="AZ684" s="11"/>
      <c r="BA684" s="11"/>
      <c r="BB684" s="11"/>
      <c r="BC684" s="70"/>
      <c r="BD684" s="70"/>
      <c r="BE684" s="70"/>
      <c r="BF684" s="70"/>
      <c r="BG684" s="70"/>
      <c r="BH684" s="70"/>
      <c r="BI684" s="70"/>
      <c r="BJ684" s="70"/>
      <c r="BK684" s="1"/>
    </row>
    <row r="685" spans="1:63" s="44" customFormat="1" ht="12" customHeight="1" x14ac:dyDescent="0.2">
      <c r="A685" s="11" t="s">
        <v>27234</v>
      </c>
      <c r="B685" s="68">
        <v>72</v>
      </c>
      <c r="C685" s="11" t="s">
        <v>20</v>
      </c>
      <c r="D685" s="11" t="s">
        <v>37</v>
      </c>
      <c r="E685" s="11"/>
      <c r="F685" s="69">
        <v>42722</v>
      </c>
      <c r="G685" s="11" t="s">
        <v>27235</v>
      </c>
      <c r="H685" s="11" t="s">
        <v>2487</v>
      </c>
      <c r="I685" s="11" t="s">
        <v>395</v>
      </c>
      <c r="J685" s="11">
        <v>74127</v>
      </c>
      <c r="K685" s="11" t="s">
        <v>2487</v>
      </c>
      <c r="L685" s="11" t="s">
        <v>3379</v>
      </c>
      <c r="M685" s="11" t="s">
        <v>27</v>
      </c>
      <c r="N685" s="11" t="s">
        <v>27236</v>
      </c>
      <c r="O685" s="11" t="s">
        <v>400</v>
      </c>
      <c r="P685" s="11" t="s">
        <v>401</v>
      </c>
      <c r="Q685" s="60" t="s">
        <v>27237</v>
      </c>
      <c r="R685" s="68" t="s">
        <v>555</v>
      </c>
      <c r="S685" s="44" t="s">
        <v>28</v>
      </c>
      <c r="T685" s="68" t="s">
        <v>27756</v>
      </c>
      <c r="U685" s="68" t="s">
        <v>29438</v>
      </c>
      <c r="V685" s="68" t="s">
        <v>29439</v>
      </c>
      <c r="W685" s="68" t="s">
        <v>100</v>
      </c>
      <c r="X685" s="68">
        <v>2136</v>
      </c>
      <c r="Y685" s="11"/>
      <c r="Z685" s="11"/>
      <c r="AA685" s="11"/>
      <c r="AB685" s="11"/>
      <c r="AC685" s="11"/>
      <c r="AD685" s="11"/>
      <c r="AE685" s="11"/>
      <c r="AF685" s="11"/>
      <c r="AG685" s="11"/>
      <c r="AH685" s="11"/>
      <c r="AI685" s="11"/>
      <c r="AJ685" s="11"/>
      <c r="AK685" s="11"/>
      <c r="AL685" s="11"/>
      <c r="AU685" s="11"/>
      <c r="AV685" s="11"/>
      <c r="AW685" s="1"/>
      <c r="AX685" s="1"/>
      <c r="AY685" s="1"/>
      <c r="AZ685" s="11"/>
      <c r="BA685" s="70"/>
      <c r="BC685" s="1"/>
      <c r="BD685" s="1"/>
      <c r="BE685" s="1"/>
      <c r="BF685" s="1"/>
      <c r="BG685" s="1"/>
      <c r="BH685" s="1"/>
      <c r="BI685" s="1"/>
      <c r="BJ685" s="1"/>
      <c r="BK685" s="70"/>
    </row>
    <row r="686" spans="1:63" s="44" customFormat="1" ht="12" customHeight="1" x14ac:dyDescent="0.2">
      <c r="A686" s="11" t="s">
        <v>27740</v>
      </c>
      <c r="B686" s="68">
        <v>33</v>
      </c>
      <c r="C686" s="11" t="s">
        <v>20</v>
      </c>
      <c r="D686" s="11" t="s">
        <v>48</v>
      </c>
      <c r="E686" s="11"/>
      <c r="F686" s="69">
        <v>42721</v>
      </c>
      <c r="G686" s="11" t="s">
        <v>27645</v>
      </c>
      <c r="H686" s="11" t="s">
        <v>5977</v>
      </c>
      <c r="I686" s="11" t="s">
        <v>45</v>
      </c>
      <c r="J686" s="11">
        <v>90022</v>
      </c>
      <c r="K686" s="11" t="s">
        <v>98</v>
      </c>
      <c r="L686" s="11" t="s">
        <v>414</v>
      </c>
      <c r="M686" s="11" t="s">
        <v>27</v>
      </c>
      <c r="N686" s="11" t="s">
        <v>27243</v>
      </c>
      <c r="O686" s="11" t="s">
        <v>400</v>
      </c>
      <c r="P686" s="11" t="s">
        <v>401</v>
      </c>
      <c r="Q686" s="60" t="s">
        <v>27244</v>
      </c>
      <c r="R686" s="11" t="s">
        <v>100</v>
      </c>
      <c r="S686" s="2" t="s">
        <v>28</v>
      </c>
      <c r="T686" s="68" t="s">
        <v>27756</v>
      </c>
      <c r="U686" s="68" t="s">
        <v>29436</v>
      </c>
      <c r="V686" s="68" t="s">
        <v>29439</v>
      </c>
      <c r="W686" s="68" t="s">
        <v>100</v>
      </c>
      <c r="X686" s="68">
        <v>2134</v>
      </c>
      <c r="Y686" s="11"/>
      <c r="Z686" s="11"/>
      <c r="AA686" s="11"/>
      <c r="AB686" s="11"/>
      <c r="AC686" s="11"/>
      <c r="AD686" s="11"/>
      <c r="AE686" s="11"/>
      <c r="AF686" s="11"/>
      <c r="AG686" s="11"/>
      <c r="AH686" s="11"/>
      <c r="AI686" s="11"/>
      <c r="AJ686" s="11"/>
      <c r="AK686" s="11"/>
      <c r="AL686" s="11"/>
      <c r="AU686" s="11"/>
      <c r="AV686" s="11"/>
      <c r="AW686" s="11"/>
      <c r="AX686" s="1"/>
      <c r="AY686" s="1"/>
      <c r="AZ686" s="11"/>
      <c r="BA686" s="11"/>
      <c r="BB686" s="11"/>
      <c r="BC686" s="1"/>
      <c r="BD686" s="1"/>
      <c r="BE686" s="1"/>
      <c r="BF686" s="1"/>
      <c r="BG686" s="1"/>
      <c r="BH686" s="1"/>
      <c r="BI686" s="1"/>
      <c r="BJ686" s="1"/>
      <c r="BK686" s="70"/>
    </row>
    <row r="687" spans="1:63" s="44" customFormat="1" ht="12" customHeight="1" x14ac:dyDescent="0.2">
      <c r="A687" s="11" t="s">
        <v>27238</v>
      </c>
      <c r="B687" s="68">
        <v>48</v>
      </c>
      <c r="C687" s="11" t="s">
        <v>20</v>
      </c>
      <c r="D687" s="11" t="s">
        <v>37</v>
      </c>
      <c r="E687" s="60" t="s">
        <v>27239</v>
      </c>
      <c r="F687" s="69">
        <v>42721</v>
      </c>
      <c r="G687" s="11" t="s">
        <v>27240</v>
      </c>
      <c r="H687" s="11" t="s">
        <v>843</v>
      </c>
      <c r="I687" s="11" t="s">
        <v>319</v>
      </c>
      <c r="J687" s="11">
        <v>38002</v>
      </c>
      <c r="K687" s="11" t="s">
        <v>1193</v>
      </c>
      <c r="L687" s="11" t="s">
        <v>24786</v>
      </c>
      <c r="M687" s="11" t="s">
        <v>27</v>
      </c>
      <c r="N687" s="11" t="s">
        <v>27241</v>
      </c>
      <c r="O687" s="11" t="s">
        <v>400</v>
      </c>
      <c r="P687" s="11" t="s">
        <v>401</v>
      </c>
      <c r="Q687" s="60" t="s">
        <v>27242</v>
      </c>
      <c r="R687" s="11" t="s">
        <v>100</v>
      </c>
      <c r="S687" s="44" t="s">
        <v>28</v>
      </c>
      <c r="T687" s="68" t="s">
        <v>29493</v>
      </c>
      <c r="U687" s="68" t="s">
        <v>29441</v>
      </c>
      <c r="V687" s="68" t="s">
        <v>29439</v>
      </c>
      <c r="W687" s="68" t="s">
        <v>100</v>
      </c>
      <c r="X687" s="68">
        <v>2132</v>
      </c>
      <c r="Y687" s="11"/>
      <c r="Z687" s="11"/>
      <c r="AA687" s="11"/>
      <c r="AB687" s="11"/>
      <c r="AC687" s="11"/>
      <c r="AD687" s="11"/>
      <c r="AE687" s="11"/>
      <c r="AF687" s="11"/>
      <c r="AG687" s="11"/>
      <c r="AH687" s="11"/>
      <c r="AI687" s="11"/>
      <c r="AJ687" s="11"/>
      <c r="AK687" s="11"/>
      <c r="AL687" s="11"/>
      <c r="AU687" s="11"/>
      <c r="AV687" s="11"/>
      <c r="AW687" s="1"/>
      <c r="AX687" s="1"/>
      <c r="AY687" s="1"/>
      <c r="AZ687" s="11"/>
      <c r="BA687" s="11"/>
      <c r="BB687" s="11"/>
      <c r="BC687" s="1"/>
      <c r="BD687" s="1"/>
      <c r="BE687" s="1"/>
      <c r="BF687" s="1"/>
      <c r="BG687" s="1"/>
      <c r="BH687" s="1"/>
      <c r="BI687" s="1"/>
      <c r="BJ687" s="1"/>
      <c r="BK687" s="70"/>
    </row>
    <row r="688" spans="1:63" s="44" customFormat="1" ht="12" customHeight="1" x14ac:dyDescent="0.15">
      <c r="A688" s="11" t="s">
        <v>27739</v>
      </c>
      <c r="B688" s="68">
        <v>44</v>
      </c>
      <c r="C688" s="11" t="s">
        <v>20</v>
      </c>
      <c r="D688" s="11" t="s">
        <v>139</v>
      </c>
      <c r="E688" s="11"/>
      <c r="F688" s="69">
        <v>42721</v>
      </c>
      <c r="G688" s="11" t="s">
        <v>27646</v>
      </c>
      <c r="H688" s="11" t="s">
        <v>16743</v>
      </c>
      <c r="I688" s="11" t="s">
        <v>303</v>
      </c>
      <c r="J688" s="11">
        <v>98201</v>
      </c>
      <c r="K688" s="11" t="s">
        <v>2150</v>
      </c>
      <c r="L688" s="11" t="s">
        <v>16515</v>
      </c>
      <c r="M688" s="11" t="s">
        <v>27</v>
      </c>
      <c r="N688" s="11" t="s">
        <v>27245</v>
      </c>
      <c r="O688" s="11" t="s">
        <v>400</v>
      </c>
      <c r="P688" s="11" t="s">
        <v>401</v>
      </c>
      <c r="Q688" s="60" t="s">
        <v>27246</v>
      </c>
      <c r="R688" s="11" t="s">
        <v>100</v>
      </c>
      <c r="S688" s="2" t="s">
        <v>18</v>
      </c>
      <c r="T688" s="68" t="s">
        <v>28345</v>
      </c>
      <c r="U688" s="68" t="s">
        <v>29436</v>
      </c>
      <c r="V688" s="68" t="s">
        <v>29439</v>
      </c>
      <c r="W688" s="68" t="s">
        <v>100</v>
      </c>
      <c r="X688" s="68">
        <v>2137</v>
      </c>
      <c r="Y688" s="11"/>
      <c r="Z688" s="11"/>
      <c r="AA688" s="11"/>
      <c r="AB688" s="11"/>
      <c r="AC688" s="11"/>
      <c r="AD688" s="11"/>
      <c r="AE688" s="11"/>
      <c r="AF688" s="11"/>
      <c r="AG688" s="11"/>
      <c r="AH688" s="11"/>
      <c r="AI688" s="11"/>
      <c r="AJ688" s="11"/>
      <c r="AK688" s="11"/>
      <c r="AL688" s="11"/>
      <c r="AU688" s="11"/>
      <c r="AV688" s="11"/>
      <c r="AW688" s="1"/>
      <c r="AX688" s="1"/>
      <c r="AY688" s="1"/>
      <c r="AZ688" s="11"/>
      <c r="BA688" s="11"/>
      <c r="BB688" s="11"/>
      <c r="BC688" s="1"/>
      <c r="BD688" s="1"/>
      <c r="BE688" s="1"/>
      <c r="BF688" s="1"/>
      <c r="BG688" s="1"/>
      <c r="BH688" s="1"/>
      <c r="BI688" s="1"/>
      <c r="BJ688" s="1"/>
      <c r="BK688" s="1"/>
    </row>
    <row r="689" spans="1:63" s="44" customFormat="1" ht="12" customHeight="1" x14ac:dyDescent="0.2">
      <c r="A689" s="11" t="s">
        <v>27247</v>
      </c>
      <c r="B689" s="68">
        <v>36</v>
      </c>
      <c r="C689" s="11" t="s">
        <v>20</v>
      </c>
      <c r="D689" s="11" t="s">
        <v>37</v>
      </c>
      <c r="E689" s="60" t="s">
        <v>27248</v>
      </c>
      <c r="F689" s="69">
        <v>42720</v>
      </c>
      <c r="G689" s="11" t="s">
        <v>27249</v>
      </c>
      <c r="H689" s="11" t="s">
        <v>285</v>
      </c>
      <c r="I689" s="11" t="s">
        <v>117</v>
      </c>
      <c r="J689" s="11">
        <v>97338</v>
      </c>
      <c r="K689" s="11" t="s">
        <v>1864</v>
      </c>
      <c r="L689" s="11" t="s">
        <v>31425</v>
      </c>
      <c r="M689" s="11" t="s">
        <v>27</v>
      </c>
      <c r="N689" s="11" t="s">
        <v>27250</v>
      </c>
      <c r="O689" s="11" t="s">
        <v>400</v>
      </c>
      <c r="P689" s="11" t="s">
        <v>401</v>
      </c>
      <c r="Q689" s="60" t="s">
        <v>27251</v>
      </c>
      <c r="R689" s="11" t="s">
        <v>964</v>
      </c>
      <c r="S689" s="44" t="s">
        <v>28</v>
      </c>
      <c r="T689" s="68" t="s">
        <v>27756</v>
      </c>
      <c r="U689" s="68" t="s">
        <v>29438</v>
      </c>
      <c r="V689" s="68" t="s">
        <v>29439</v>
      </c>
      <c r="W689" s="68" t="s">
        <v>100</v>
      </c>
      <c r="X689" s="68">
        <v>2138</v>
      </c>
      <c r="Y689" s="11"/>
      <c r="Z689" s="11"/>
      <c r="AA689" s="11"/>
      <c r="AB689" s="11"/>
      <c r="AC689" s="11"/>
      <c r="AD689" s="11"/>
      <c r="AE689" s="11"/>
      <c r="AF689" s="11"/>
      <c r="AG689" s="11"/>
      <c r="AH689" s="11"/>
      <c r="AI689" s="11"/>
      <c r="AJ689" s="11"/>
      <c r="AK689" s="11"/>
      <c r="AL689" s="11"/>
      <c r="AU689" s="11"/>
      <c r="AV689" s="11"/>
      <c r="AW689" s="11"/>
      <c r="AX689" s="1"/>
      <c r="AY689" s="1"/>
      <c r="AZ689" s="11"/>
      <c r="BC689" s="1"/>
      <c r="BD689" s="1"/>
      <c r="BE689" s="1"/>
      <c r="BF689" s="1"/>
      <c r="BG689" s="1"/>
      <c r="BH689" s="1"/>
      <c r="BI689" s="1"/>
      <c r="BJ689" s="1"/>
      <c r="BK689" s="70"/>
    </row>
    <row r="690" spans="1:63" s="44" customFormat="1" ht="12" customHeight="1" x14ac:dyDescent="0.2">
      <c r="A690" s="11" t="s">
        <v>27260</v>
      </c>
      <c r="B690" s="68">
        <v>60</v>
      </c>
      <c r="C690" s="11" t="s">
        <v>20</v>
      </c>
      <c r="D690" s="11" t="s">
        <v>37</v>
      </c>
      <c r="E690" s="11"/>
      <c r="F690" s="69">
        <v>42719</v>
      </c>
      <c r="G690" s="11" t="s">
        <v>27647</v>
      </c>
      <c r="H690" s="11" t="s">
        <v>27261</v>
      </c>
      <c r="I690" s="11" t="s">
        <v>45</v>
      </c>
      <c r="J690" s="11">
        <v>91745</v>
      </c>
      <c r="K690" s="11" t="s">
        <v>98</v>
      </c>
      <c r="L690" s="11" t="s">
        <v>414</v>
      </c>
      <c r="M690" s="68" t="s">
        <v>5411</v>
      </c>
      <c r="N690" s="11" t="s">
        <v>27262</v>
      </c>
      <c r="O690" s="11" t="s">
        <v>400</v>
      </c>
      <c r="P690" s="11" t="s">
        <v>401</v>
      </c>
      <c r="Q690" s="60" t="s">
        <v>27263</v>
      </c>
      <c r="R690" s="11" t="s">
        <v>100</v>
      </c>
      <c r="S690" s="44" t="s">
        <v>28</v>
      </c>
      <c r="T690" s="68" t="s">
        <v>27756</v>
      </c>
      <c r="U690" s="68" t="s">
        <v>29438</v>
      </c>
      <c r="V690" s="68" t="s">
        <v>29439</v>
      </c>
      <c r="W690" s="68" t="s">
        <v>100</v>
      </c>
      <c r="X690" s="68">
        <v>2130</v>
      </c>
      <c r="Y690" s="11"/>
      <c r="Z690" s="11"/>
      <c r="AA690" s="11"/>
      <c r="AB690" s="11"/>
      <c r="AC690" s="11"/>
      <c r="AD690" s="11"/>
      <c r="AE690" s="11"/>
      <c r="AF690" s="11"/>
      <c r="AG690" s="11"/>
      <c r="AH690" s="11"/>
      <c r="AI690" s="11"/>
      <c r="AJ690" s="11"/>
      <c r="AK690" s="11"/>
      <c r="AL690" s="11"/>
      <c r="AU690" s="11"/>
      <c r="AV690" s="11"/>
      <c r="AW690" s="1"/>
      <c r="AX690" s="1"/>
      <c r="AY690" s="1"/>
      <c r="AZ690" s="11"/>
      <c r="BA690" s="11"/>
      <c r="BB690" s="70"/>
      <c r="BC690" s="1"/>
      <c r="BD690" s="1"/>
      <c r="BE690" s="1"/>
      <c r="BF690" s="1"/>
      <c r="BG690" s="1"/>
      <c r="BH690" s="1"/>
      <c r="BI690" s="1"/>
      <c r="BJ690" s="1"/>
      <c r="BK690" s="1"/>
    </row>
    <row r="691" spans="1:63" s="44" customFormat="1" ht="12" customHeight="1" x14ac:dyDescent="0.2">
      <c r="A691" s="11" t="s">
        <v>27252</v>
      </c>
      <c r="B691" s="11">
        <v>37</v>
      </c>
      <c r="C691" s="11" t="s">
        <v>20</v>
      </c>
      <c r="D691" s="11" t="s">
        <v>85</v>
      </c>
      <c r="E691" s="60" t="s">
        <v>27253</v>
      </c>
      <c r="F691" s="72">
        <v>42719</v>
      </c>
      <c r="G691" s="11" t="s">
        <v>27254</v>
      </c>
      <c r="H691" s="11" t="s">
        <v>27255</v>
      </c>
      <c r="I691" s="11" t="s">
        <v>366</v>
      </c>
      <c r="J691" s="11">
        <v>28001</v>
      </c>
      <c r="K691" s="11" t="s">
        <v>27256</v>
      </c>
      <c r="L691" s="11" t="s">
        <v>27257</v>
      </c>
      <c r="M691" s="1" t="s">
        <v>391</v>
      </c>
      <c r="N691" s="11" t="s">
        <v>27258</v>
      </c>
      <c r="O691" s="11" t="s">
        <v>400</v>
      </c>
      <c r="P691" s="11" t="s">
        <v>401</v>
      </c>
      <c r="Q691" s="60" t="s">
        <v>27259</v>
      </c>
      <c r="R691" s="11" t="s">
        <v>29</v>
      </c>
      <c r="S691" s="11" t="s">
        <v>18</v>
      </c>
      <c r="T691" s="11"/>
      <c r="U691" s="11"/>
      <c r="V691" s="11"/>
      <c r="W691" s="11"/>
      <c r="X691" s="11"/>
      <c r="Y691" s="11"/>
      <c r="Z691" s="11"/>
      <c r="AA691" s="11"/>
      <c r="AB691" s="11"/>
      <c r="AC691" s="11"/>
      <c r="AD691" s="11"/>
      <c r="AE691" s="11"/>
      <c r="AF691" s="11"/>
      <c r="AG691" s="11"/>
      <c r="AH691" s="11"/>
      <c r="AI691" s="11"/>
      <c r="AJ691" s="11"/>
      <c r="AK691" s="11"/>
      <c r="AL691" s="11"/>
      <c r="AU691" s="11"/>
      <c r="AV691" s="11"/>
      <c r="AW691" s="11"/>
      <c r="AZ691" s="1"/>
      <c r="BA691" s="1"/>
      <c r="BB691" s="1"/>
      <c r="BC691" s="70"/>
      <c r="BD691" s="70"/>
      <c r="BE691" s="70"/>
      <c r="BF691" s="70"/>
      <c r="BG691" s="70"/>
      <c r="BH691" s="70"/>
      <c r="BI691" s="70"/>
      <c r="BJ691" s="70"/>
      <c r="BK691" s="1"/>
    </row>
    <row r="692" spans="1:63" s="44" customFormat="1" ht="12" customHeight="1" x14ac:dyDescent="0.2">
      <c r="A692" s="11" t="s">
        <v>27264</v>
      </c>
      <c r="B692" s="68">
        <v>18</v>
      </c>
      <c r="C692" s="11" t="s">
        <v>20</v>
      </c>
      <c r="D692" s="11" t="s">
        <v>85</v>
      </c>
      <c r="E692" s="60" t="s">
        <v>27265</v>
      </c>
      <c r="F692" s="69">
        <v>42717</v>
      </c>
      <c r="G692" s="11" t="s">
        <v>27266</v>
      </c>
      <c r="H692" s="11" t="s">
        <v>1592</v>
      </c>
      <c r="I692" s="11" t="s">
        <v>52</v>
      </c>
      <c r="J692" s="11">
        <v>21216</v>
      </c>
      <c r="K692" s="11" t="s">
        <v>4697</v>
      </c>
      <c r="L692" s="11" t="s">
        <v>27267</v>
      </c>
      <c r="M692" s="11" t="s">
        <v>27</v>
      </c>
      <c r="N692" s="11" t="s">
        <v>27268</v>
      </c>
      <c r="O692" s="11" t="s">
        <v>400</v>
      </c>
      <c r="P692" s="11" t="s">
        <v>401</v>
      </c>
      <c r="Q692" s="60" t="s">
        <v>27269</v>
      </c>
      <c r="R692" s="11" t="s">
        <v>100</v>
      </c>
      <c r="S692" s="44" t="s">
        <v>28</v>
      </c>
      <c r="T692" s="68" t="s">
        <v>27756</v>
      </c>
      <c r="U692" s="68" t="s">
        <v>29438</v>
      </c>
      <c r="V692" s="68" t="s">
        <v>29439</v>
      </c>
      <c r="W692" s="68" t="s">
        <v>100</v>
      </c>
      <c r="X692" s="68">
        <v>2126</v>
      </c>
      <c r="Y692" s="11"/>
      <c r="Z692" s="11"/>
      <c r="AA692" s="11"/>
      <c r="AB692" s="11"/>
      <c r="AC692" s="11"/>
      <c r="AD692" s="11"/>
      <c r="AE692" s="11"/>
      <c r="AF692" s="11"/>
      <c r="AG692" s="11"/>
      <c r="AH692" s="11"/>
      <c r="AI692" s="11"/>
      <c r="AJ692" s="11"/>
      <c r="AK692" s="11"/>
      <c r="AL692" s="11"/>
      <c r="AU692" s="11"/>
      <c r="AV692" s="11"/>
      <c r="AW692" s="70"/>
      <c r="AX692" s="70"/>
      <c r="AY692" s="70"/>
      <c r="AZ692" s="11"/>
      <c r="BA692" s="11"/>
      <c r="BB692" s="11"/>
      <c r="BC692" s="70"/>
      <c r="BD692" s="70"/>
      <c r="BE692" s="70"/>
      <c r="BF692" s="70"/>
      <c r="BG692" s="70"/>
      <c r="BH692" s="70"/>
      <c r="BI692" s="70"/>
      <c r="BJ692" s="70"/>
      <c r="BK692" s="70"/>
    </row>
    <row r="693" spans="1:63" s="44" customFormat="1" ht="12" customHeight="1" x14ac:dyDescent="0.2">
      <c r="A693" s="11" t="s">
        <v>27270</v>
      </c>
      <c r="B693" s="68">
        <v>32</v>
      </c>
      <c r="C693" s="11" t="s">
        <v>20</v>
      </c>
      <c r="D693" s="11" t="s">
        <v>85</v>
      </c>
      <c r="E693" s="60" t="s">
        <v>27271</v>
      </c>
      <c r="F693" s="69">
        <v>42717</v>
      </c>
      <c r="G693" s="11" t="s">
        <v>27272</v>
      </c>
      <c r="H693" s="11" t="s">
        <v>8387</v>
      </c>
      <c r="I693" s="11" t="s">
        <v>173</v>
      </c>
      <c r="J693" s="11">
        <v>30228</v>
      </c>
      <c r="K693" s="11" t="s">
        <v>8389</v>
      </c>
      <c r="L693" s="11" t="s">
        <v>8390</v>
      </c>
      <c r="M693" s="68" t="s">
        <v>5411</v>
      </c>
      <c r="N693" s="11" t="s">
        <v>27273</v>
      </c>
      <c r="O693" s="11" t="s">
        <v>400</v>
      </c>
      <c r="P693" s="11" t="s">
        <v>401</v>
      </c>
      <c r="Q693" s="60" t="s">
        <v>27274</v>
      </c>
      <c r="R693" s="68" t="s">
        <v>555</v>
      </c>
      <c r="S693" s="11" t="s">
        <v>28</v>
      </c>
      <c r="T693" s="68" t="s">
        <v>27756</v>
      </c>
      <c r="U693" s="68" t="s">
        <v>29436</v>
      </c>
      <c r="V693" s="68" t="s">
        <v>29439</v>
      </c>
      <c r="W693" s="68" t="s">
        <v>100</v>
      </c>
      <c r="X693" s="68">
        <v>2128</v>
      </c>
      <c r="Y693" s="11"/>
      <c r="Z693" s="11"/>
      <c r="AA693" s="11"/>
      <c r="AB693" s="11"/>
      <c r="AC693" s="11"/>
      <c r="AD693" s="11"/>
      <c r="AE693" s="11"/>
      <c r="AF693" s="11"/>
      <c r="AG693" s="11"/>
      <c r="AH693" s="11"/>
      <c r="AI693" s="11"/>
      <c r="AJ693" s="11"/>
      <c r="AK693" s="11"/>
      <c r="AL693" s="11"/>
      <c r="AU693" s="11"/>
      <c r="AV693" s="11"/>
      <c r="AW693" s="11"/>
      <c r="AX693" s="11"/>
      <c r="AY693" s="11"/>
      <c r="AZ693" s="11"/>
      <c r="BA693" s="70"/>
      <c r="BB693" s="70"/>
      <c r="BC693" s="70"/>
      <c r="BD693" s="70"/>
      <c r="BE693" s="70"/>
      <c r="BF693" s="70"/>
      <c r="BG693" s="70"/>
      <c r="BH693" s="70"/>
      <c r="BI693" s="70"/>
      <c r="BJ693" s="70"/>
      <c r="BK693" s="1"/>
    </row>
    <row r="694" spans="1:63" s="44" customFormat="1" ht="12" customHeight="1" x14ac:dyDescent="0.2">
      <c r="A694" s="11" t="s">
        <v>27275</v>
      </c>
      <c r="B694" s="68">
        <v>28</v>
      </c>
      <c r="C694" s="11" t="s">
        <v>20</v>
      </c>
      <c r="D694" s="11" t="s">
        <v>85</v>
      </c>
      <c r="E694" s="60" t="s">
        <v>27276</v>
      </c>
      <c r="F694" s="69">
        <v>42716</v>
      </c>
      <c r="G694" s="11" t="s">
        <v>27277</v>
      </c>
      <c r="H694" s="11" t="s">
        <v>1100</v>
      </c>
      <c r="I694" s="11" t="s">
        <v>404</v>
      </c>
      <c r="J694" s="11">
        <v>19111</v>
      </c>
      <c r="K694" s="11" t="s">
        <v>1100</v>
      </c>
      <c r="L694" s="11" t="s">
        <v>5634</v>
      </c>
      <c r="M694" s="11" t="s">
        <v>27</v>
      </c>
      <c r="N694" s="11" t="s">
        <v>27278</v>
      </c>
      <c r="O694" s="11" t="s">
        <v>400</v>
      </c>
      <c r="P694" s="11" t="s">
        <v>401</v>
      </c>
      <c r="Q694" s="60" t="s">
        <v>27279</v>
      </c>
      <c r="R694" s="11" t="s">
        <v>100</v>
      </c>
      <c r="S694" s="44" t="s">
        <v>28</v>
      </c>
      <c r="T694" s="68" t="s">
        <v>27756</v>
      </c>
      <c r="U694" s="68" t="s">
        <v>29438</v>
      </c>
      <c r="V694" s="68" t="s">
        <v>29439</v>
      </c>
      <c r="W694" s="68" t="s">
        <v>100</v>
      </c>
      <c r="X694" s="68">
        <v>2125</v>
      </c>
      <c r="Y694" s="11"/>
      <c r="Z694" s="11"/>
      <c r="AA694" s="11"/>
      <c r="AB694" s="11"/>
      <c r="AC694" s="11"/>
      <c r="AD694" s="11"/>
      <c r="AE694" s="11"/>
      <c r="AF694" s="11"/>
      <c r="AG694" s="11"/>
      <c r="AH694" s="11"/>
      <c r="AI694" s="11"/>
      <c r="AJ694" s="11"/>
      <c r="AK694" s="11"/>
      <c r="AL694" s="11"/>
      <c r="AU694" s="11"/>
      <c r="AV694" s="11"/>
      <c r="AX694" s="11"/>
      <c r="AY694" s="11"/>
      <c r="AZ694" s="11"/>
      <c r="BA694" s="11"/>
      <c r="BB694" s="11"/>
      <c r="BC694" s="70"/>
      <c r="BD694" s="70"/>
      <c r="BE694" s="70"/>
      <c r="BF694" s="70"/>
      <c r="BG694" s="70"/>
      <c r="BH694" s="70"/>
      <c r="BI694" s="70"/>
      <c r="BJ694" s="70"/>
      <c r="BK694" s="70"/>
    </row>
    <row r="695" spans="1:63" s="44" customFormat="1" ht="12" customHeight="1" x14ac:dyDescent="0.2">
      <c r="A695" s="11" t="s">
        <v>27280</v>
      </c>
      <c r="B695" s="68">
        <v>31</v>
      </c>
      <c r="C695" s="11" t="s">
        <v>20</v>
      </c>
      <c r="D695" s="11" t="s">
        <v>37</v>
      </c>
      <c r="E695" s="11"/>
      <c r="F695" s="69">
        <v>42716</v>
      </c>
      <c r="G695" s="11" t="s">
        <v>27281</v>
      </c>
      <c r="H695" s="11" t="s">
        <v>27282</v>
      </c>
      <c r="I695" s="11" t="s">
        <v>173</v>
      </c>
      <c r="J695" s="11">
        <v>31016</v>
      </c>
      <c r="K695" s="11" t="s">
        <v>1104</v>
      </c>
      <c r="L695" s="11" t="s">
        <v>27283</v>
      </c>
      <c r="M695" s="11" t="s">
        <v>27</v>
      </c>
      <c r="N695" s="11" t="s">
        <v>27284</v>
      </c>
      <c r="O695" s="11" t="s">
        <v>400</v>
      </c>
      <c r="P695" s="11" t="s">
        <v>401</v>
      </c>
      <c r="Q695" s="60" t="s">
        <v>27285</v>
      </c>
      <c r="R695" s="11" t="s">
        <v>100</v>
      </c>
      <c r="S695" s="44" t="s">
        <v>28</v>
      </c>
      <c r="T695" s="68" t="s">
        <v>27756</v>
      </c>
      <c r="U695" s="68" t="s">
        <v>29438</v>
      </c>
      <c r="V695" s="68" t="s">
        <v>29439</v>
      </c>
      <c r="W695" s="68" t="s">
        <v>100</v>
      </c>
      <c r="X695" s="68">
        <v>2120</v>
      </c>
      <c r="Y695" s="11"/>
      <c r="Z695" s="11"/>
      <c r="AA695" s="11"/>
      <c r="AB695" s="11"/>
      <c r="AC695" s="11"/>
      <c r="AD695" s="11"/>
      <c r="AE695" s="11"/>
      <c r="AF695" s="11"/>
      <c r="AG695" s="11"/>
      <c r="AH695" s="11"/>
      <c r="AI695" s="11"/>
      <c r="AJ695" s="11"/>
      <c r="AK695" s="11"/>
      <c r="AL695" s="11"/>
      <c r="AU695" s="11"/>
      <c r="AV695" s="11"/>
      <c r="AW695" s="11"/>
      <c r="AX695" s="1"/>
      <c r="AY695" s="1"/>
      <c r="AZ695" s="11"/>
      <c r="BA695" s="11"/>
      <c r="BB695" s="11"/>
      <c r="BC695" s="1"/>
      <c r="BD695" s="1"/>
      <c r="BE695" s="1"/>
      <c r="BF695" s="1"/>
      <c r="BG695" s="1"/>
      <c r="BH695" s="1"/>
      <c r="BI695" s="1"/>
      <c r="BJ695" s="1"/>
      <c r="BK695" s="70"/>
    </row>
    <row r="696" spans="1:63" s="44" customFormat="1" ht="12" customHeight="1" x14ac:dyDescent="0.15">
      <c r="A696" s="11" t="s">
        <v>3252</v>
      </c>
      <c r="B696" s="11" t="s">
        <v>29</v>
      </c>
      <c r="C696" s="11" t="s">
        <v>20</v>
      </c>
      <c r="D696" s="11" t="s">
        <v>30</v>
      </c>
      <c r="E696" s="11"/>
      <c r="F696" s="72">
        <v>42716</v>
      </c>
      <c r="G696" s="11" t="s">
        <v>27649</v>
      </c>
      <c r="H696" s="11" t="s">
        <v>4115</v>
      </c>
      <c r="I696" s="11" t="s">
        <v>62</v>
      </c>
      <c r="J696" s="11">
        <v>32909</v>
      </c>
      <c r="K696" s="11" t="s">
        <v>1769</v>
      </c>
      <c r="L696" s="11" t="s">
        <v>4117</v>
      </c>
      <c r="M696" s="44" t="s">
        <v>2291</v>
      </c>
      <c r="N696" s="11" t="s">
        <v>27290</v>
      </c>
      <c r="O696" s="11" t="s">
        <v>400</v>
      </c>
      <c r="P696" s="11" t="s">
        <v>401</v>
      </c>
      <c r="Q696" s="60" t="s">
        <v>27291</v>
      </c>
      <c r="R696" s="11" t="s">
        <v>555</v>
      </c>
      <c r="S696" s="44" t="s">
        <v>28</v>
      </c>
      <c r="T696" s="11"/>
      <c r="U696" s="11"/>
      <c r="V696" s="11"/>
      <c r="W696" s="11"/>
      <c r="X696" s="11"/>
      <c r="Y696" s="11"/>
      <c r="Z696" s="11"/>
      <c r="AA696" s="11"/>
      <c r="AB696" s="11"/>
      <c r="AC696" s="11"/>
      <c r="AD696" s="11"/>
      <c r="AE696" s="11"/>
      <c r="AF696" s="11"/>
      <c r="AG696" s="11"/>
      <c r="AH696" s="11"/>
      <c r="AI696" s="11"/>
      <c r="AJ696" s="11"/>
      <c r="AK696" s="11"/>
      <c r="AL696" s="11"/>
      <c r="AU696" s="1"/>
      <c r="AV696" s="1"/>
      <c r="AW696" s="1"/>
      <c r="AX696" s="1"/>
      <c r="AY696" s="1"/>
      <c r="AZ696" s="1"/>
      <c r="BA696" s="11"/>
      <c r="BB696" s="11"/>
      <c r="BC696" s="1"/>
      <c r="BD696" s="1"/>
      <c r="BE696" s="1"/>
      <c r="BF696" s="1"/>
      <c r="BG696" s="1"/>
      <c r="BH696" s="1"/>
      <c r="BI696" s="1"/>
      <c r="BJ696" s="1"/>
      <c r="BK696" s="1"/>
    </row>
    <row r="697" spans="1:63" s="44" customFormat="1" ht="12" customHeight="1" x14ac:dyDescent="0.15">
      <c r="A697" s="11" t="s">
        <v>27286</v>
      </c>
      <c r="B697" s="68">
        <v>73</v>
      </c>
      <c r="C697" s="11" t="s">
        <v>20</v>
      </c>
      <c r="D697" s="11" t="s">
        <v>48</v>
      </c>
      <c r="E697" s="60" t="s">
        <v>27287</v>
      </c>
      <c r="F697" s="69">
        <v>42716</v>
      </c>
      <c r="G697" s="11" t="s">
        <v>27648</v>
      </c>
      <c r="H697" s="11" t="s">
        <v>679</v>
      </c>
      <c r="I697" s="11" t="s">
        <v>45</v>
      </c>
      <c r="J697" s="11">
        <v>93313</v>
      </c>
      <c r="K697" s="11" t="s">
        <v>680</v>
      </c>
      <c r="L697" s="11" t="s">
        <v>681</v>
      </c>
      <c r="M697" s="11" t="s">
        <v>27</v>
      </c>
      <c r="N697" s="11" t="s">
        <v>27288</v>
      </c>
      <c r="O697" s="11" t="s">
        <v>400</v>
      </c>
      <c r="P697" s="11" t="s">
        <v>401</v>
      </c>
      <c r="Q697" s="60" t="s">
        <v>27289</v>
      </c>
      <c r="R697" s="11" t="s">
        <v>555</v>
      </c>
      <c r="S697" s="44" t="s">
        <v>18</v>
      </c>
      <c r="T697" s="68" t="s">
        <v>28345</v>
      </c>
      <c r="U697" s="68" t="s">
        <v>29441</v>
      </c>
      <c r="V697" s="68" t="s">
        <v>29439</v>
      </c>
      <c r="W697" s="68" t="s">
        <v>100</v>
      </c>
      <c r="X697" s="68">
        <v>2114</v>
      </c>
      <c r="Y697" s="11"/>
      <c r="Z697" s="11"/>
      <c r="AA697" s="11"/>
      <c r="AB697" s="11"/>
      <c r="AC697" s="11"/>
      <c r="AD697" s="11"/>
      <c r="AE697" s="11"/>
      <c r="AF697" s="11"/>
      <c r="AG697" s="11"/>
      <c r="AH697" s="11"/>
      <c r="AI697" s="11"/>
      <c r="AJ697" s="11"/>
      <c r="AK697" s="11"/>
      <c r="AL697" s="11"/>
      <c r="AU697" s="11"/>
      <c r="AV697" s="11"/>
      <c r="AW697" s="1"/>
      <c r="AX697" s="1"/>
      <c r="AY697" s="1"/>
      <c r="AZ697" s="11"/>
      <c r="BA697" s="1"/>
      <c r="BB697" s="1"/>
      <c r="BC697" s="1"/>
      <c r="BD697" s="1"/>
      <c r="BE697" s="1"/>
      <c r="BF697" s="1"/>
      <c r="BG697" s="1"/>
      <c r="BH697" s="1"/>
      <c r="BI697" s="1"/>
      <c r="BJ697" s="1"/>
      <c r="BK697" s="1"/>
    </row>
    <row r="698" spans="1:63" s="44" customFormat="1" ht="12" customHeight="1" x14ac:dyDescent="0.2">
      <c r="A698" s="11" t="s">
        <v>27298</v>
      </c>
      <c r="B698" s="68">
        <v>24</v>
      </c>
      <c r="C698" s="11" t="s">
        <v>20</v>
      </c>
      <c r="D698" s="11" t="s">
        <v>37</v>
      </c>
      <c r="E698" s="11"/>
      <c r="F698" s="69">
        <v>42715</v>
      </c>
      <c r="G698" s="11" t="s">
        <v>27652</v>
      </c>
      <c r="H698" s="11" t="s">
        <v>27299</v>
      </c>
      <c r="I698" s="11" t="s">
        <v>363</v>
      </c>
      <c r="J698" s="11">
        <v>67104</v>
      </c>
      <c r="K698" s="11" t="s">
        <v>27300</v>
      </c>
      <c r="L698" s="11" t="s">
        <v>27301</v>
      </c>
      <c r="M698" s="11" t="s">
        <v>27</v>
      </c>
      <c r="N698" s="11" t="s">
        <v>27302</v>
      </c>
      <c r="O698" s="11" t="s">
        <v>400</v>
      </c>
      <c r="P698" s="11" t="s">
        <v>401</v>
      </c>
      <c r="Q698" s="60" t="s">
        <v>27303</v>
      </c>
      <c r="R698" s="11" t="s">
        <v>100</v>
      </c>
      <c r="S698" s="44" t="s">
        <v>28</v>
      </c>
      <c r="T698" s="68" t="s">
        <v>27756</v>
      </c>
      <c r="U698" s="68" t="s">
        <v>29438</v>
      </c>
      <c r="V698" s="68" t="s">
        <v>29439</v>
      </c>
      <c r="W698" s="68" t="s">
        <v>100</v>
      </c>
      <c r="X698" s="68">
        <v>2127</v>
      </c>
      <c r="Y698" s="11"/>
      <c r="Z698" s="11"/>
      <c r="AA698" s="11"/>
      <c r="AB698" s="11"/>
      <c r="AC698" s="11"/>
      <c r="AD698" s="11"/>
      <c r="AE698" s="11"/>
      <c r="AF698" s="11"/>
      <c r="AG698" s="11"/>
      <c r="AH698" s="11"/>
      <c r="AI698" s="11"/>
      <c r="AJ698" s="11"/>
      <c r="AK698" s="11"/>
      <c r="AL698" s="11"/>
      <c r="AU698" s="11"/>
      <c r="AV698" s="11"/>
      <c r="AW698" s="11"/>
      <c r="AX698" s="1"/>
      <c r="AY698" s="1"/>
      <c r="AZ698" s="11"/>
      <c r="BA698" s="11"/>
      <c r="BB698" s="11"/>
      <c r="BC698" s="1"/>
      <c r="BD698" s="1"/>
      <c r="BE698" s="1"/>
      <c r="BF698" s="1"/>
      <c r="BG698" s="1"/>
      <c r="BH698" s="1"/>
      <c r="BI698" s="1"/>
      <c r="BJ698" s="1"/>
      <c r="BK698" s="70"/>
    </row>
    <row r="699" spans="1:63" s="44" customFormat="1" ht="12" customHeight="1" x14ac:dyDescent="0.15">
      <c r="A699" s="11" t="s">
        <v>27292</v>
      </c>
      <c r="B699" s="68">
        <v>39</v>
      </c>
      <c r="C699" s="11" t="s">
        <v>20</v>
      </c>
      <c r="D699" s="11" t="s">
        <v>37</v>
      </c>
      <c r="E699" s="11"/>
      <c r="F699" s="69">
        <v>42715</v>
      </c>
      <c r="G699" s="11" t="s">
        <v>27293</v>
      </c>
      <c r="H699" s="11" t="s">
        <v>27294</v>
      </c>
      <c r="I699" s="11" t="s">
        <v>150</v>
      </c>
      <c r="J699" s="11">
        <v>26554</v>
      </c>
      <c r="K699" s="11" t="s">
        <v>420</v>
      </c>
      <c r="L699" s="11" t="s">
        <v>27295</v>
      </c>
      <c r="M699" s="11" t="s">
        <v>27</v>
      </c>
      <c r="N699" s="11" t="s">
        <v>27296</v>
      </c>
      <c r="O699" s="11" t="s">
        <v>400</v>
      </c>
      <c r="P699" s="11" t="s">
        <v>401</v>
      </c>
      <c r="Q699" s="60" t="s">
        <v>27297</v>
      </c>
      <c r="R699" s="11" t="s">
        <v>100</v>
      </c>
      <c r="S699" s="44" t="s">
        <v>379</v>
      </c>
      <c r="T699" s="68" t="s">
        <v>379</v>
      </c>
      <c r="U699" s="68" t="s">
        <v>29436</v>
      </c>
      <c r="V699" s="68" t="s">
        <v>29439</v>
      </c>
      <c r="W699" s="68" t="s">
        <v>100</v>
      </c>
      <c r="X699" s="68">
        <v>2118</v>
      </c>
      <c r="Y699" s="11"/>
      <c r="Z699" s="11"/>
      <c r="AA699" s="11"/>
      <c r="AB699" s="11"/>
      <c r="AC699" s="11"/>
      <c r="AD699" s="11"/>
      <c r="AE699" s="11"/>
      <c r="AF699" s="11"/>
      <c r="AG699" s="11"/>
      <c r="AH699" s="11"/>
      <c r="AI699" s="11"/>
      <c r="AJ699" s="11"/>
      <c r="AK699" s="11"/>
      <c r="AL699" s="11"/>
      <c r="AU699" s="11"/>
      <c r="AV699" s="11"/>
      <c r="AX699" s="1"/>
      <c r="AY699" s="1"/>
      <c r="AZ699" s="11"/>
      <c r="BA699" s="11"/>
      <c r="BB699" s="11"/>
      <c r="BC699" s="1"/>
      <c r="BD699" s="1"/>
      <c r="BE699" s="1"/>
      <c r="BF699" s="1"/>
      <c r="BG699" s="1"/>
      <c r="BH699" s="1"/>
      <c r="BI699" s="1"/>
      <c r="BJ699" s="1"/>
      <c r="BK699" s="11"/>
    </row>
    <row r="700" spans="1:63" s="44" customFormat="1" ht="12" customHeight="1" x14ac:dyDescent="0.2">
      <c r="A700" s="11" t="s">
        <v>27304</v>
      </c>
      <c r="B700" s="68">
        <v>30</v>
      </c>
      <c r="C700" s="11" t="s">
        <v>20</v>
      </c>
      <c r="D700" s="11" t="s">
        <v>48</v>
      </c>
      <c r="E700" s="11"/>
      <c r="F700" s="69">
        <v>42715</v>
      </c>
      <c r="G700" s="11" t="s">
        <v>27651</v>
      </c>
      <c r="H700" s="11" t="s">
        <v>4279</v>
      </c>
      <c r="I700" s="11" t="s">
        <v>73</v>
      </c>
      <c r="J700" s="11">
        <v>78046</v>
      </c>
      <c r="K700" s="11" t="s">
        <v>4281</v>
      </c>
      <c r="L700" s="11" t="s">
        <v>4282</v>
      </c>
      <c r="M700" s="11" t="s">
        <v>27</v>
      </c>
      <c r="N700" s="11" t="s">
        <v>27305</v>
      </c>
      <c r="O700" s="11" t="s">
        <v>400</v>
      </c>
      <c r="P700" s="11" t="s">
        <v>401</v>
      </c>
      <c r="Q700" s="60" t="s">
        <v>27306</v>
      </c>
      <c r="R700" s="11" t="s">
        <v>555</v>
      </c>
      <c r="S700" s="44" t="s">
        <v>28</v>
      </c>
      <c r="T700" s="68" t="s">
        <v>29493</v>
      </c>
      <c r="U700" s="68" t="s">
        <v>29438</v>
      </c>
      <c r="V700" s="68" t="s">
        <v>29439</v>
      </c>
      <c r="W700" s="68" t="s">
        <v>100</v>
      </c>
      <c r="X700" s="68">
        <v>2121</v>
      </c>
      <c r="Y700" s="11"/>
      <c r="Z700" s="11"/>
      <c r="AA700" s="11"/>
      <c r="AB700" s="11"/>
      <c r="AC700" s="11"/>
      <c r="AD700" s="11"/>
      <c r="AE700" s="11"/>
      <c r="AF700" s="11"/>
      <c r="AG700" s="11"/>
      <c r="AH700" s="11"/>
      <c r="AI700" s="11"/>
      <c r="AJ700" s="11"/>
      <c r="AK700" s="11"/>
      <c r="AL700" s="11"/>
      <c r="AU700" s="11"/>
      <c r="AV700" s="11"/>
      <c r="AX700" s="1"/>
      <c r="AY700" s="1"/>
      <c r="AZ700" s="11"/>
      <c r="BA700" s="1"/>
      <c r="BB700" s="1"/>
      <c r="BC700" s="1"/>
      <c r="BD700" s="1"/>
      <c r="BE700" s="1"/>
      <c r="BF700" s="1"/>
      <c r="BG700" s="1"/>
      <c r="BH700" s="1"/>
      <c r="BI700" s="1"/>
      <c r="BJ700" s="1"/>
      <c r="BK700" s="70"/>
    </row>
    <row r="701" spans="1:63" s="44" customFormat="1" ht="12" customHeight="1" x14ac:dyDescent="0.2">
      <c r="A701" s="11" t="s">
        <v>27312</v>
      </c>
      <c r="B701" s="68">
        <v>53</v>
      </c>
      <c r="C701" s="11" t="s">
        <v>20</v>
      </c>
      <c r="D701" s="11" t="s">
        <v>37</v>
      </c>
      <c r="E701" s="11"/>
      <c r="F701" s="69">
        <v>42715</v>
      </c>
      <c r="G701" s="11" t="s">
        <v>27313</v>
      </c>
      <c r="H701" s="11" t="s">
        <v>1604</v>
      </c>
      <c r="I701" s="11" t="s">
        <v>463</v>
      </c>
      <c r="J701" s="11">
        <v>68467</v>
      </c>
      <c r="K701" s="11" t="s">
        <v>1604</v>
      </c>
      <c r="L701" s="11" t="s">
        <v>18759</v>
      </c>
      <c r="M701" s="68" t="s">
        <v>5411</v>
      </c>
      <c r="N701" s="11" t="s">
        <v>27314</v>
      </c>
      <c r="O701" s="11" t="s">
        <v>400</v>
      </c>
      <c r="P701" s="11" t="s">
        <v>401</v>
      </c>
      <c r="Q701" s="60" t="s">
        <v>27315</v>
      </c>
      <c r="R701" s="68" t="s">
        <v>555</v>
      </c>
      <c r="S701" s="44" t="s">
        <v>28</v>
      </c>
      <c r="T701" s="68" t="s">
        <v>29493</v>
      </c>
      <c r="U701" s="68" t="s">
        <v>29436</v>
      </c>
      <c r="V701" s="68" t="s">
        <v>29439</v>
      </c>
      <c r="W701" s="68" t="s">
        <v>100</v>
      </c>
      <c r="X701" s="68">
        <v>2112</v>
      </c>
      <c r="Y701" s="11"/>
      <c r="Z701" s="11"/>
      <c r="AA701" s="11"/>
      <c r="AB701" s="11"/>
      <c r="AC701" s="11"/>
      <c r="AD701" s="11"/>
      <c r="AE701" s="11"/>
      <c r="AF701" s="11"/>
      <c r="AG701" s="11"/>
      <c r="AH701" s="11"/>
      <c r="AI701" s="11"/>
      <c r="AJ701" s="11"/>
      <c r="AK701" s="11"/>
      <c r="AL701" s="11"/>
      <c r="AU701" s="11"/>
      <c r="AV701" s="11"/>
      <c r="AW701" s="1"/>
      <c r="AX701" s="1"/>
      <c r="AY701" s="1"/>
      <c r="AZ701" s="11"/>
      <c r="BA701" s="70"/>
      <c r="BB701" s="70"/>
      <c r="BC701" s="1"/>
      <c r="BD701" s="1"/>
      <c r="BE701" s="1"/>
      <c r="BF701" s="1"/>
      <c r="BG701" s="1"/>
      <c r="BH701" s="1"/>
      <c r="BI701" s="1"/>
      <c r="BJ701" s="1"/>
      <c r="BK701" s="1"/>
    </row>
    <row r="702" spans="1:63" s="44" customFormat="1" ht="12" customHeight="1" x14ac:dyDescent="0.2">
      <c r="A702" s="11" t="s">
        <v>27307</v>
      </c>
      <c r="B702" s="68">
        <v>44</v>
      </c>
      <c r="C702" s="11" t="s">
        <v>114</v>
      </c>
      <c r="D702" s="11" t="s">
        <v>37</v>
      </c>
      <c r="E702" s="11"/>
      <c r="F702" s="69">
        <v>42715</v>
      </c>
      <c r="G702" s="11" t="s">
        <v>27650</v>
      </c>
      <c r="H702" s="11" t="s">
        <v>27308</v>
      </c>
      <c r="I702" s="11" t="s">
        <v>123</v>
      </c>
      <c r="J702" s="11">
        <v>86442</v>
      </c>
      <c r="K702" s="11" t="s">
        <v>5836</v>
      </c>
      <c r="L702" s="11" t="s">
        <v>27309</v>
      </c>
      <c r="M702" s="11" t="s">
        <v>27</v>
      </c>
      <c r="N702" s="11" t="s">
        <v>27310</v>
      </c>
      <c r="O702" s="11" t="s">
        <v>400</v>
      </c>
      <c r="P702" s="11" t="s">
        <v>401</v>
      </c>
      <c r="Q702" s="60" t="s">
        <v>27311</v>
      </c>
      <c r="R702" s="68" t="s">
        <v>555</v>
      </c>
      <c r="S702" s="44" t="s">
        <v>18</v>
      </c>
      <c r="T702" s="68" t="s">
        <v>29612</v>
      </c>
      <c r="U702" s="68" t="s">
        <v>29438</v>
      </c>
      <c r="V702" s="68" t="s">
        <v>29439</v>
      </c>
      <c r="W702" s="68" t="s">
        <v>100</v>
      </c>
      <c r="X702" s="68">
        <v>2123</v>
      </c>
      <c r="Y702" s="11"/>
      <c r="Z702" s="11"/>
      <c r="AA702" s="11"/>
      <c r="AB702" s="11"/>
      <c r="AC702" s="11"/>
      <c r="AD702" s="11"/>
      <c r="AE702" s="11"/>
      <c r="AF702" s="11"/>
      <c r="AG702" s="11"/>
      <c r="AH702" s="11"/>
      <c r="AI702" s="11"/>
      <c r="AJ702" s="11"/>
      <c r="AK702" s="11"/>
      <c r="AL702" s="11"/>
      <c r="AU702" s="11"/>
      <c r="AV702" s="11"/>
      <c r="AW702" s="1"/>
      <c r="AX702" s="1"/>
      <c r="AY702" s="1"/>
      <c r="AZ702" s="11"/>
      <c r="BA702" s="70"/>
      <c r="BC702" s="1"/>
      <c r="BD702" s="1"/>
      <c r="BE702" s="1"/>
      <c r="BF702" s="1"/>
      <c r="BG702" s="1"/>
      <c r="BH702" s="1"/>
      <c r="BI702" s="1"/>
      <c r="BJ702" s="1"/>
      <c r="BK702" s="1"/>
    </row>
    <row r="703" spans="1:63" s="44" customFormat="1" ht="12" customHeight="1" x14ac:dyDescent="0.2">
      <c r="A703" s="11" t="s">
        <v>27316</v>
      </c>
      <c r="B703" s="68">
        <v>35</v>
      </c>
      <c r="C703" s="11" t="s">
        <v>20</v>
      </c>
      <c r="D703" s="11" t="s">
        <v>85</v>
      </c>
      <c r="E703" s="60" t="s">
        <v>27317</v>
      </c>
      <c r="F703" s="69">
        <v>42714</v>
      </c>
      <c r="G703" s="11" t="s">
        <v>27318</v>
      </c>
      <c r="H703" s="11" t="s">
        <v>27319</v>
      </c>
      <c r="I703" s="11" t="s">
        <v>32</v>
      </c>
      <c r="J703" s="11">
        <v>29150</v>
      </c>
      <c r="K703" s="11" t="s">
        <v>27319</v>
      </c>
      <c r="L703" s="11" t="s">
        <v>27320</v>
      </c>
      <c r="M703" s="11" t="s">
        <v>27</v>
      </c>
      <c r="N703" s="11" t="s">
        <v>27321</v>
      </c>
      <c r="O703" s="11" t="s">
        <v>400</v>
      </c>
      <c r="P703" s="11" t="s">
        <v>401</v>
      </c>
      <c r="Q703" s="60" t="s">
        <v>27322</v>
      </c>
      <c r="R703" s="11" t="s">
        <v>100</v>
      </c>
      <c r="S703" s="44" t="s">
        <v>28</v>
      </c>
      <c r="T703" s="68" t="s">
        <v>27756</v>
      </c>
      <c r="U703" s="68" t="s">
        <v>29438</v>
      </c>
      <c r="V703" s="68" t="s">
        <v>29440</v>
      </c>
      <c r="W703" s="68" t="s">
        <v>100</v>
      </c>
      <c r="X703" s="68">
        <v>2113</v>
      </c>
      <c r="Y703" s="11"/>
      <c r="Z703" s="11"/>
      <c r="AA703" s="11"/>
      <c r="AB703" s="11"/>
      <c r="AC703" s="11"/>
      <c r="AD703" s="11"/>
      <c r="AE703" s="11"/>
      <c r="AF703" s="11"/>
      <c r="AG703" s="11"/>
      <c r="AH703" s="11"/>
      <c r="AI703" s="11"/>
      <c r="AJ703" s="11"/>
      <c r="AK703" s="11"/>
      <c r="AL703" s="11"/>
      <c r="AU703" s="11"/>
      <c r="AV703" s="11"/>
      <c r="AW703" s="11"/>
      <c r="AX703" s="11"/>
      <c r="AY703" s="11"/>
      <c r="AZ703" s="11"/>
      <c r="BA703" s="11"/>
      <c r="BB703" s="11"/>
      <c r="BK703" s="70"/>
    </row>
    <row r="704" spans="1:63" s="44" customFormat="1" ht="12" customHeight="1" x14ac:dyDescent="0.2">
      <c r="A704" s="11" t="s">
        <v>27323</v>
      </c>
      <c r="B704" s="68">
        <v>36</v>
      </c>
      <c r="C704" s="11" t="s">
        <v>20</v>
      </c>
      <c r="D704" s="11" t="s">
        <v>37</v>
      </c>
      <c r="E704" s="60" t="s">
        <v>27324</v>
      </c>
      <c r="F704" s="69">
        <v>42714</v>
      </c>
      <c r="G704" s="11" t="s">
        <v>27325</v>
      </c>
      <c r="H704" s="11" t="s">
        <v>13645</v>
      </c>
      <c r="I704" s="11" t="s">
        <v>217</v>
      </c>
      <c r="J704" s="11">
        <v>46143</v>
      </c>
      <c r="K704" s="11" t="s">
        <v>3288</v>
      </c>
      <c r="L704" s="11" t="s">
        <v>24373</v>
      </c>
      <c r="M704" s="11" t="s">
        <v>27</v>
      </c>
      <c r="N704" s="11" t="s">
        <v>27326</v>
      </c>
      <c r="O704" s="11" t="s">
        <v>400</v>
      </c>
      <c r="P704" s="11" t="s">
        <v>401</v>
      </c>
      <c r="Q704" s="60" t="s">
        <v>27327</v>
      </c>
      <c r="R704" s="11" t="s">
        <v>100</v>
      </c>
      <c r="S704" s="44" t="s">
        <v>28</v>
      </c>
      <c r="T704" s="68" t="s">
        <v>29493</v>
      </c>
      <c r="U704" s="68" t="s">
        <v>29436</v>
      </c>
      <c r="V704" s="68" t="s">
        <v>29439</v>
      </c>
      <c r="W704" s="68" t="s">
        <v>555</v>
      </c>
      <c r="X704" s="68">
        <v>2116</v>
      </c>
      <c r="Y704" s="11"/>
      <c r="Z704" s="11"/>
      <c r="AA704" s="11"/>
      <c r="AB704" s="11"/>
      <c r="AC704" s="11"/>
      <c r="AD704" s="11"/>
      <c r="AE704" s="11"/>
      <c r="AF704" s="11"/>
      <c r="AG704" s="11"/>
      <c r="AH704" s="11"/>
      <c r="AI704" s="11"/>
      <c r="AJ704" s="11"/>
      <c r="AK704" s="11"/>
      <c r="AL704" s="11"/>
      <c r="AU704" s="11"/>
      <c r="AV704" s="11"/>
      <c r="AW704" s="11"/>
      <c r="AX704" s="1"/>
      <c r="AY704" s="1"/>
      <c r="AZ704" s="11"/>
      <c r="BA704" s="11"/>
      <c r="BB704" s="11"/>
      <c r="BC704" s="1"/>
      <c r="BD704" s="1"/>
      <c r="BE704" s="1"/>
      <c r="BF704" s="1"/>
      <c r="BG704" s="1"/>
      <c r="BH704" s="1"/>
      <c r="BI704" s="1"/>
      <c r="BJ704" s="1"/>
      <c r="BK704" s="70"/>
    </row>
    <row r="705" spans="1:63" s="44" customFormat="1" ht="12" customHeight="1" x14ac:dyDescent="0.2">
      <c r="A705" s="11" t="s">
        <v>27344</v>
      </c>
      <c r="B705" s="11">
        <v>43</v>
      </c>
      <c r="C705" s="11" t="s">
        <v>20</v>
      </c>
      <c r="D705" s="11" t="s">
        <v>37</v>
      </c>
      <c r="E705" s="11"/>
      <c r="F705" s="69">
        <v>42713</v>
      </c>
      <c r="G705" s="11" t="s">
        <v>27345</v>
      </c>
      <c r="H705" s="11" t="s">
        <v>27346</v>
      </c>
      <c r="I705" s="11" t="s">
        <v>366</v>
      </c>
      <c r="J705" s="11">
        <v>28451</v>
      </c>
      <c r="K705" s="11" t="s">
        <v>12160</v>
      </c>
      <c r="L705" s="11" t="s">
        <v>27347</v>
      </c>
      <c r="M705" s="11" t="s">
        <v>27</v>
      </c>
      <c r="N705" s="11" t="s">
        <v>27348</v>
      </c>
      <c r="O705" s="11" t="s">
        <v>400</v>
      </c>
      <c r="P705" s="11" t="s">
        <v>401</v>
      </c>
      <c r="Q705" s="60" t="s">
        <v>27349</v>
      </c>
      <c r="R705" s="11" t="s">
        <v>964</v>
      </c>
      <c r="S705" s="44" t="s">
        <v>28</v>
      </c>
      <c r="T705" s="68" t="s">
        <v>27756</v>
      </c>
      <c r="U705" s="68" t="s">
        <v>29438</v>
      </c>
      <c r="V705" s="68" t="s">
        <v>29439</v>
      </c>
      <c r="W705" s="68" t="s">
        <v>100</v>
      </c>
      <c r="X705" s="68">
        <v>2119</v>
      </c>
      <c r="Y705" s="11"/>
      <c r="Z705" s="11"/>
      <c r="AA705" s="11"/>
      <c r="AB705" s="11"/>
      <c r="AC705" s="11"/>
      <c r="AD705" s="11"/>
      <c r="AE705" s="11"/>
      <c r="AF705" s="11"/>
      <c r="AG705" s="11"/>
      <c r="AH705" s="11"/>
      <c r="AI705" s="11"/>
      <c r="AJ705" s="11"/>
      <c r="AK705" s="11"/>
      <c r="AL705" s="11"/>
      <c r="AU705" s="11"/>
      <c r="AV705" s="11"/>
      <c r="AW705" s="1"/>
      <c r="AX705" s="1"/>
      <c r="AY705" s="1"/>
      <c r="AZ705" s="11"/>
      <c r="BC705" s="1"/>
      <c r="BD705" s="1"/>
      <c r="BE705" s="1"/>
      <c r="BF705" s="1"/>
      <c r="BG705" s="1"/>
      <c r="BH705" s="1"/>
      <c r="BI705" s="1"/>
      <c r="BJ705" s="1"/>
      <c r="BK705" s="70"/>
    </row>
    <row r="706" spans="1:63" s="44" customFormat="1" ht="12" customHeight="1" x14ac:dyDescent="0.15">
      <c r="A706" s="11" t="s">
        <v>27328</v>
      </c>
      <c r="B706" s="68">
        <v>30</v>
      </c>
      <c r="C706" s="11" t="s">
        <v>20</v>
      </c>
      <c r="D706" s="11" t="s">
        <v>942</v>
      </c>
      <c r="E706" s="60" t="s">
        <v>27329</v>
      </c>
      <c r="F706" s="69">
        <v>42713</v>
      </c>
      <c r="G706" s="11" t="s">
        <v>27330</v>
      </c>
      <c r="H706" s="11" t="s">
        <v>25845</v>
      </c>
      <c r="I706" s="11" t="s">
        <v>870</v>
      </c>
      <c r="J706" s="11">
        <v>96749</v>
      </c>
      <c r="K706" s="11" t="s">
        <v>3943</v>
      </c>
      <c r="L706" s="11" t="s">
        <v>3944</v>
      </c>
      <c r="M706" s="11" t="s">
        <v>27</v>
      </c>
      <c r="N706" s="11" t="s">
        <v>27331</v>
      </c>
      <c r="O706" s="11" t="s">
        <v>400</v>
      </c>
      <c r="P706" s="11" t="s">
        <v>401</v>
      </c>
      <c r="Q706" s="60" t="s">
        <v>27332</v>
      </c>
      <c r="R706" s="11" t="s">
        <v>100</v>
      </c>
      <c r="S706" s="44" t="s">
        <v>379</v>
      </c>
      <c r="T706" s="68" t="s">
        <v>379</v>
      </c>
      <c r="U706" s="68" t="s">
        <v>29436</v>
      </c>
      <c r="V706" s="68" t="s">
        <v>29439</v>
      </c>
      <c r="W706" s="68" t="s">
        <v>100</v>
      </c>
      <c r="X706" s="68">
        <v>2115</v>
      </c>
      <c r="Y706" s="11"/>
      <c r="Z706" s="11"/>
      <c r="AA706" s="11"/>
      <c r="AB706" s="11"/>
      <c r="AC706" s="11"/>
      <c r="AD706" s="11"/>
      <c r="AE706" s="11"/>
      <c r="AF706" s="11"/>
      <c r="AG706" s="11"/>
      <c r="AH706" s="11"/>
      <c r="AI706" s="11"/>
      <c r="AJ706" s="11"/>
      <c r="AK706" s="11"/>
      <c r="AL706" s="11"/>
      <c r="AU706" s="11"/>
      <c r="AV706" s="11"/>
      <c r="AX706" s="1"/>
      <c r="AY706" s="1"/>
      <c r="AZ706" s="11"/>
      <c r="BA706" s="11"/>
      <c r="BB706" s="11"/>
      <c r="BC706" s="1"/>
      <c r="BD706" s="1"/>
      <c r="BE706" s="1"/>
      <c r="BF706" s="1"/>
      <c r="BG706" s="1"/>
      <c r="BH706" s="1"/>
      <c r="BI706" s="1"/>
      <c r="BJ706" s="1"/>
      <c r="BK706" s="11"/>
    </row>
    <row r="707" spans="1:63" s="44" customFormat="1" ht="12" customHeight="1" x14ac:dyDescent="0.15">
      <c r="A707" s="11" t="s">
        <v>27339</v>
      </c>
      <c r="B707" s="11">
        <v>44</v>
      </c>
      <c r="C707" s="11" t="s">
        <v>20</v>
      </c>
      <c r="D707" s="11" t="s">
        <v>37</v>
      </c>
      <c r="E707" s="60" t="s">
        <v>27340</v>
      </c>
      <c r="F707" s="72">
        <v>42713</v>
      </c>
      <c r="G707" s="11" t="s">
        <v>27341</v>
      </c>
      <c r="H707" s="11" t="s">
        <v>9021</v>
      </c>
      <c r="I707" s="11" t="s">
        <v>319</v>
      </c>
      <c r="J707" s="11">
        <v>37354</v>
      </c>
      <c r="K707" s="11" t="s">
        <v>1104</v>
      </c>
      <c r="L707" s="11" t="s">
        <v>5167</v>
      </c>
      <c r="M707" s="11" t="s">
        <v>27</v>
      </c>
      <c r="N707" s="11" t="s">
        <v>27342</v>
      </c>
      <c r="O707" s="11" t="s">
        <v>400</v>
      </c>
      <c r="P707" s="11" t="s">
        <v>401</v>
      </c>
      <c r="Q707" s="60" t="s">
        <v>27343</v>
      </c>
      <c r="R707" s="11" t="s">
        <v>100</v>
      </c>
      <c r="S707" s="11" t="s">
        <v>379</v>
      </c>
      <c r="T707" s="68"/>
      <c r="U707" s="68"/>
      <c r="V707" s="68"/>
      <c r="W707" s="68"/>
      <c r="X707" s="68"/>
      <c r="Y707" s="11"/>
      <c r="Z707" s="11"/>
      <c r="AA707" s="11"/>
      <c r="AB707" s="11"/>
      <c r="AC707" s="11"/>
      <c r="AD707" s="11"/>
      <c r="AE707" s="11"/>
      <c r="AF707" s="11"/>
      <c r="AG707" s="11"/>
      <c r="AH707" s="11"/>
      <c r="AI707" s="11"/>
      <c r="AJ707" s="11"/>
      <c r="AK707" s="11"/>
      <c r="AL707" s="11"/>
      <c r="AU707" s="11"/>
      <c r="AV707" s="11"/>
      <c r="AW707" s="1"/>
      <c r="AX707" s="1"/>
      <c r="AY707" s="1"/>
      <c r="AZ707" s="1"/>
      <c r="BA707" s="1"/>
      <c r="BB707" s="1"/>
      <c r="BC707" s="1"/>
      <c r="BD707" s="1"/>
      <c r="BE707" s="1"/>
      <c r="BF707" s="1"/>
      <c r="BG707" s="1"/>
      <c r="BH707" s="1"/>
      <c r="BI707" s="1"/>
      <c r="BJ707" s="1"/>
      <c r="BK707" s="11"/>
    </row>
    <row r="708" spans="1:63" s="44" customFormat="1" ht="12" customHeight="1" x14ac:dyDescent="0.2">
      <c r="A708" s="11" t="s">
        <v>27333</v>
      </c>
      <c r="B708" s="68">
        <v>35</v>
      </c>
      <c r="C708" s="11" t="s">
        <v>20</v>
      </c>
      <c r="D708" s="11" t="s">
        <v>37</v>
      </c>
      <c r="E708" s="60" t="s">
        <v>27334</v>
      </c>
      <c r="F708" s="69">
        <v>42713</v>
      </c>
      <c r="G708" s="11" t="s">
        <v>27335</v>
      </c>
      <c r="H708" s="11" t="s">
        <v>6512</v>
      </c>
      <c r="I708" s="11" t="s">
        <v>404</v>
      </c>
      <c r="J708" s="11">
        <v>18040</v>
      </c>
      <c r="K708" s="11" t="s">
        <v>6514</v>
      </c>
      <c r="L708" s="11" t="s">
        <v>27336</v>
      </c>
      <c r="M708" s="11" t="s">
        <v>27</v>
      </c>
      <c r="N708" s="11" t="s">
        <v>27337</v>
      </c>
      <c r="O708" s="11" t="s">
        <v>400</v>
      </c>
      <c r="P708" s="11" t="s">
        <v>401</v>
      </c>
      <c r="Q708" s="60" t="s">
        <v>27338</v>
      </c>
      <c r="R708" s="11" t="s">
        <v>555</v>
      </c>
      <c r="S708" s="44" t="s">
        <v>28</v>
      </c>
      <c r="T708" s="68" t="s">
        <v>29488</v>
      </c>
      <c r="U708" s="68" t="s">
        <v>29436</v>
      </c>
      <c r="V708" s="68" t="s">
        <v>29439</v>
      </c>
      <c r="W708" s="68" t="s">
        <v>100</v>
      </c>
      <c r="X708" s="68">
        <v>2122</v>
      </c>
      <c r="Y708" s="11"/>
      <c r="Z708" s="11"/>
      <c r="AA708" s="11"/>
      <c r="AB708" s="11"/>
      <c r="AC708" s="11"/>
      <c r="AD708" s="11"/>
      <c r="AE708" s="11"/>
      <c r="AF708" s="11"/>
      <c r="AG708" s="11"/>
      <c r="AH708" s="11"/>
      <c r="AI708" s="11"/>
      <c r="AJ708" s="11"/>
      <c r="AK708" s="11"/>
      <c r="AL708" s="11"/>
      <c r="AU708" s="11"/>
      <c r="AV708" s="11"/>
      <c r="AW708" s="11"/>
      <c r="AX708" s="1"/>
      <c r="AY708" s="1"/>
      <c r="AZ708" s="11"/>
      <c r="BB708" s="11"/>
      <c r="BC708" s="1"/>
      <c r="BD708" s="1"/>
      <c r="BE708" s="1"/>
      <c r="BF708" s="1"/>
      <c r="BG708" s="1"/>
      <c r="BH708" s="1"/>
      <c r="BI708" s="1"/>
      <c r="BJ708" s="1"/>
      <c r="BK708" s="70"/>
    </row>
    <row r="709" spans="1:63" s="44" customFormat="1" ht="12" customHeight="1" x14ac:dyDescent="0.2">
      <c r="A709" s="11" t="s">
        <v>3252</v>
      </c>
      <c r="B709" s="11" t="s">
        <v>29</v>
      </c>
      <c r="C709" s="11" t="s">
        <v>20</v>
      </c>
      <c r="D709" s="11" t="s">
        <v>37</v>
      </c>
      <c r="E709" s="11"/>
      <c r="F709" s="69">
        <v>42712</v>
      </c>
      <c r="G709" s="11" t="s">
        <v>27653</v>
      </c>
      <c r="H709" s="11" t="s">
        <v>1803</v>
      </c>
      <c r="I709" s="11" t="s">
        <v>73</v>
      </c>
      <c r="J709" s="11">
        <v>75002</v>
      </c>
      <c r="K709" s="11" t="s">
        <v>19851</v>
      </c>
      <c r="L709" s="11" t="s">
        <v>27350</v>
      </c>
      <c r="M709" s="11" t="s">
        <v>27</v>
      </c>
      <c r="N709" s="11" t="s">
        <v>27351</v>
      </c>
      <c r="O709" s="11" t="s">
        <v>400</v>
      </c>
      <c r="P709" s="11" t="s">
        <v>401</v>
      </c>
      <c r="Q709" s="60" t="s">
        <v>27352</v>
      </c>
      <c r="R709" s="11" t="s">
        <v>100</v>
      </c>
      <c r="S709" s="44" t="s">
        <v>28</v>
      </c>
      <c r="T709" s="68" t="s">
        <v>27756</v>
      </c>
      <c r="U709" s="68" t="s">
        <v>29438</v>
      </c>
      <c r="V709" s="68" t="s">
        <v>29439</v>
      </c>
      <c r="W709" s="68" t="s">
        <v>100</v>
      </c>
      <c r="X709" s="68">
        <v>2110</v>
      </c>
      <c r="Y709" s="11"/>
      <c r="Z709" s="11"/>
      <c r="AA709" s="11"/>
      <c r="AB709" s="11"/>
      <c r="AC709" s="11"/>
      <c r="AD709" s="11"/>
      <c r="AE709" s="11"/>
      <c r="AF709" s="11"/>
      <c r="AG709" s="11"/>
      <c r="AH709" s="11"/>
      <c r="AI709" s="11"/>
      <c r="AJ709" s="11"/>
      <c r="AK709" s="11"/>
      <c r="AL709" s="11"/>
      <c r="AU709" s="11"/>
      <c r="AV709" s="11"/>
      <c r="AW709" s="1"/>
      <c r="AX709" s="1"/>
      <c r="AY709" s="1"/>
      <c r="AZ709" s="11"/>
      <c r="BA709" s="11"/>
      <c r="BB709" s="11"/>
      <c r="BC709" s="1"/>
      <c r="BD709" s="1"/>
      <c r="BE709" s="1"/>
      <c r="BF709" s="1"/>
      <c r="BG709" s="1"/>
      <c r="BH709" s="1"/>
      <c r="BI709" s="1"/>
      <c r="BJ709" s="1"/>
      <c r="BK709" s="70"/>
    </row>
    <row r="710" spans="1:63" s="44" customFormat="1" ht="12" customHeight="1" x14ac:dyDescent="0.2">
      <c r="A710" s="11" t="s">
        <v>27357</v>
      </c>
      <c r="B710" s="68">
        <v>37</v>
      </c>
      <c r="C710" s="11" t="s">
        <v>20</v>
      </c>
      <c r="D710" s="11" t="s">
        <v>85</v>
      </c>
      <c r="E710" s="11"/>
      <c r="F710" s="69">
        <v>42711</v>
      </c>
      <c r="G710" s="11" t="s">
        <v>27358</v>
      </c>
      <c r="H710" s="11" t="s">
        <v>723</v>
      </c>
      <c r="I710" s="11" t="s">
        <v>73</v>
      </c>
      <c r="J710" s="11">
        <v>77060</v>
      </c>
      <c r="K710" s="11" t="s">
        <v>558</v>
      </c>
      <c r="L710" s="11" t="s">
        <v>724</v>
      </c>
      <c r="M710" s="11" t="s">
        <v>27</v>
      </c>
      <c r="N710" s="11" t="s">
        <v>27359</v>
      </c>
      <c r="O710" s="11" t="s">
        <v>400</v>
      </c>
      <c r="P710" s="11" t="s">
        <v>401</v>
      </c>
      <c r="Q710" s="60" t="s">
        <v>27360</v>
      </c>
      <c r="R710" s="11" t="s">
        <v>100</v>
      </c>
      <c r="S710" s="44" t="s">
        <v>28</v>
      </c>
      <c r="T710" s="68" t="s">
        <v>27756</v>
      </c>
      <c r="U710" s="68" t="s">
        <v>29438</v>
      </c>
      <c r="V710" s="68" t="s">
        <v>29439</v>
      </c>
      <c r="W710" s="68" t="s">
        <v>100</v>
      </c>
      <c r="X710" s="68">
        <v>2109</v>
      </c>
      <c r="Y710" s="11"/>
      <c r="Z710" s="11"/>
      <c r="AA710" s="11"/>
      <c r="AB710" s="11"/>
      <c r="AC710" s="11"/>
      <c r="AD710" s="11"/>
      <c r="AE710" s="11"/>
      <c r="AF710" s="11"/>
      <c r="AG710" s="11"/>
      <c r="AH710" s="11"/>
      <c r="AI710" s="11"/>
      <c r="AJ710" s="11"/>
      <c r="AK710" s="11"/>
      <c r="AL710" s="11"/>
      <c r="AU710" s="11"/>
      <c r="AV710" s="11"/>
      <c r="AZ710" s="11"/>
      <c r="BA710" s="11"/>
      <c r="BB710" s="11"/>
      <c r="BK710" s="70"/>
    </row>
    <row r="711" spans="1:63" s="44" customFormat="1" ht="12" customHeight="1" x14ac:dyDescent="0.15">
      <c r="A711" s="11" t="s">
        <v>3252</v>
      </c>
      <c r="B711" s="11" t="s">
        <v>29</v>
      </c>
      <c r="C711" s="11" t="s">
        <v>20</v>
      </c>
      <c r="D711" s="11" t="s">
        <v>85</v>
      </c>
      <c r="E711" s="11"/>
      <c r="F711" s="72">
        <v>42711</v>
      </c>
      <c r="G711" s="11" t="s">
        <v>27376</v>
      </c>
      <c r="H711" s="11" t="s">
        <v>6266</v>
      </c>
      <c r="I711" s="11" t="s">
        <v>57</v>
      </c>
      <c r="J711" s="11">
        <v>48203</v>
      </c>
      <c r="K711" s="11" t="s">
        <v>1128</v>
      </c>
      <c r="L711" s="11" t="s">
        <v>2177</v>
      </c>
      <c r="M711" s="11" t="s">
        <v>379</v>
      </c>
      <c r="N711" s="11" t="s">
        <v>27377</v>
      </c>
      <c r="O711" s="11" t="s">
        <v>400</v>
      </c>
      <c r="P711" s="11" t="s">
        <v>401</v>
      </c>
      <c r="Q711" s="60" t="s">
        <v>27378</v>
      </c>
      <c r="R711" s="11" t="s">
        <v>100</v>
      </c>
      <c r="S711" s="11" t="s">
        <v>18</v>
      </c>
      <c r="T711" s="11"/>
      <c r="U711" s="11"/>
      <c r="V711" s="11"/>
      <c r="W711" s="11"/>
      <c r="X711" s="11"/>
      <c r="Y711" s="11"/>
      <c r="Z711" s="11"/>
      <c r="AA711" s="11"/>
      <c r="AB711" s="11"/>
      <c r="AC711" s="11"/>
      <c r="AD711" s="11"/>
      <c r="AE711" s="11"/>
      <c r="AF711" s="11"/>
      <c r="AG711" s="11"/>
      <c r="AH711" s="11"/>
      <c r="AI711" s="11"/>
      <c r="AJ711" s="11"/>
      <c r="AK711" s="11"/>
      <c r="AL711" s="11"/>
      <c r="AZ711" s="1"/>
      <c r="BA711" s="1"/>
      <c r="BB711" s="1"/>
      <c r="BK711" s="1"/>
    </row>
    <row r="712" spans="1:63" s="44" customFormat="1" ht="12" customHeight="1" x14ac:dyDescent="0.15">
      <c r="A712" s="11" t="s">
        <v>27372</v>
      </c>
      <c r="B712" s="68">
        <v>36</v>
      </c>
      <c r="C712" s="11" t="s">
        <v>20</v>
      </c>
      <c r="D712" s="11" t="s">
        <v>37</v>
      </c>
      <c r="E712" s="11"/>
      <c r="F712" s="69">
        <v>42711</v>
      </c>
      <c r="G712" s="11" t="s">
        <v>27373</v>
      </c>
      <c r="H712" s="11" t="s">
        <v>11845</v>
      </c>
      <c r="I712" s="11" t="s">
        <v>370</v>
      </c>
      <c r="J712" s="11">
        <v>51103</v>
      </c>
      <c r="K712" s="11" t="s">
        <v>11847</v>
      </c>
      <c r="L712" s="11" t="s">
        <v>11848</v>
      </c>
      <c r="M712" s="11" t="s">
        <v>27</v>
      </c>
      <c r="N712" s="11" t="s">
        <v>27374</v>
      </c>
      <c r="O712" s="11" t="s">
        <v>400</v>
      </c>
      <c r="P712" s="11" t="s">
        <v>401</v>
      </c>
      <c r="Q712" s="60" t="s">
        <v>27375</v>
      </c>
      <c r="R712" s="11" t="s">
        <v>100</v>
      </c>
      <c r="S712" s="44" t="s">
        <v>35</v>
      </c>
      <c r="T712" s="66" t="s">
        <v>29441</v>
      </c>
      <c r="U712" s="68" t="s">
        <v>29436</v>
      </c>
      <c r="V712" s="68" t="s">
        <v>29439</v>
      </c>
      <c r="W712" s="68" t="s">
        <v>100</v>
      </c>
      <c r="X712" s="68">
        <v>2111</v>
      </c>
      <c r="Y712" s="11"/>
      <c r="Z712" s="11"/>
      <c r="AA712" s="11"/>
      <c r="AB712" s="11"/>
      <c r="AC712" s="11"/>
      <c r="AD712" s="11"/>
      <c r="AE712" s="11"/>
      <c r="AF712" s="11"/>
      <c r="AG712" s="11"/>
      <c r="AH712" s="11"/>
      <c r="AI712" s="11"/>
      <c r="AJ712" s="11"/>
      <c r="AK712" s="11"/>
      <c r="AL712" s="11"/>
      <c r="AU712" s="11"/>
      <c r="AV712" s="11"/>
      <c r="AW712" s="11"/>
      <c r="AX712" s="1"/>
      <c r="AY712" s="1"/>
      <c r="AZ712" s="11"/>
      <c r="BA712" s="11"/>
      <c r="BB712" s="11"/>
      <c r="BC712" s="1"/>
      <c r="BD712" s="1"/>
      <c r="BE712" s="1"/>
      <c r="BF712" s="1"/>
      <c r="BG712" s="1"/>
      <c r="BH712" s="1"/>
      <c r="BI712" s="1"/>
      <c r="BJ712" s="1"/>
      <c r="BK712" s="1"/>
    </row>
    <row r="713" spans="1:63" s="44" customFormat="1" ht="12" customHeight="1" x14ac:dyDescent="0.15">
      <c r="A713" s="11" t="s">
        <v>27367</v>
      </c>
      <c r="B713" s="68">
        <v>37</v>
      </c>
      <c r="C713" s="11" t="s">
        <v>20</v>
      </c>
      <c r="D713" s="11" t="s">
        <v>37</v>
      </c>
      <c r="E713" s="60" t="s">
        <v>27368</v>
      </c>
      <c r="F713" s="69">
        <v>42711</v>
      </c>
      <c r="G713" s="11" t="s">
        <v>27654</v>
      </c>
      <c r="H713" s="11" t="s">
        <v>285</v>
      </c>
      <c r="I713" s="11" t="s">
        <v>73</v>
      </c>
      <c r="J713" s="11">
        <v>75201</v>
      </c>
      <c r="K713" s="11" t="s">
        <v>285</v>
      </c>
      <c r="L713" s="11" t="s">
        <v>27369</v>
      </c>
      <c r="M713" s="11" t="s">
        <v>27</v>
      </c>
      <c r="N713" s="11" t="s">
        <v>27370</v>
      </c>
      <c r="O713" s="11" t="s">
        <v>400</v>
      </c>
      <c r="P713" s="11" t="s">
        <v>401</v>
      </c>
      <c r="Q713" s="60" t="s">
        <v>27371</v>
      </c>
      <c r="R713" s="11" t="s">
        <v>100</v>
      </c>
      <c r="S713" s="44" t="s">
        <v>35</v>
      </c>
      <c r="T713" s="66" t="s">
        <v>29441</v>
      </c>
      <c r="U713" s="68" t="s">
        <v>29441</v>
      </c>
      <c r="V713" s="68"/>
      <c r="W713" s="68" t="s">
        <v>100</v>
      </c>
      <c r="X713" s="68">
        <v>2108</v>
      </c>
      <c r="Y713" s="11"/>
      <c r="Z713" s="11"/>
      <c r="AA713" s="11"/>
      <c r="AB713" s="11"/>
      <c r="AC713" s="11"/>
      <c r="AD713" s="11"/>
      <c r="AE713" s="11"/>
      <c r="AF713" s="11"/>
      <c r="AG713" s="11"/>
      <c r="AH713" s="11"/>
      <c r="AI713" s="11"/>
      <c r="AJ713" s="11"/>
      <c r="AK713" s="11"/>
      <c r="AL713" s="11"/>
      <c r="AU713" s="11"/>
      <c r="AV713" s="11"/>
      <c r="AX713" s="1"/>
      <c r="AY713" s="1"/>
      <c r="AZ713" s="11"/>
      <c r="BA713" s="11"/>
      <c r="BB713" s="11"/>
      <c r="BC713" s="1"/>
      <c r="BD713" s="1"/>
      <c r="BE713" s="1"/>
      <c r="BF713" s="1"/>
      <c r="BG713" s="1"/>
      <c r="BH713" s="1"/>
      <c r="BI713" s="1"/>
      <c r="BJ713" s="1"/>
      <c r="BK713" s="1"/>
    </row>
    <row r="714" spans="1:63" s="44" customFormat="1" ht="12" customHeight="1" x14ac:dyDescent="0.2">
      <c r="A714" s="11" t="s">
        <v>27353</v>
      </c>
      <c r="B714" s="68">
        <v>31</v>
      </c>
      <c r="C714" s="11" t="s">
        <v>20</v>
      </c>
      <c r="D714" s="11" t="s">
        <v>85</v>
      </c>
      <c r="E714" s="60" t="s">
        <v>27354</v>
      </c>
      <c r="F714" s="69">
        <v>42711</v>
      </c>
      <c r="G714" s="11" t="s">
        <v>27655</v>
      </c>
      <c r="H714" s="11" t="s">
        <v>5949</v>
      </c>
      <c r="I714" s="11" t="s">
        <v>366</v>
      </c>
      <c r="J714" s="11">
        <v>28303</v>
      </c>
      <c r="K714" s="11" t="s">
        <v>3152</v>
      </c>
      <c r="L714" s="11" t="s">
        <v>5951</v>
      </c>
      <c r="M714" s="68" t="s">
        <v>5411</v>
      </c>
      <c r="N714" s="11" t="s">
        <v>27355</v>
      </c>
      <c r="O714" s="11" t="s">
        <v>400</v>
      </c>
      <c r="P714" s="11" t="s">
        <v>401</v>
      </c>
      <c r="Q714" s="60" t="s">
        <v>27356</v>
      </c>
      <c r="R714" s="11" t="s">
        <v>29</v>
      </c>
      <c r="S714" s="44" t="s">
        <v>28</v>
      </c>
      <c r="T714" s="68" t="s">
        <v>29493</v>
      </c>
      <c r="U714" s="68" t="s">
        <v>29436</v>
      </c>
      <c r="V714" s="68" t="s">
        <v>29439</v>
      </c>
      <c r="W714" s="68" t="s">
        <v>555</v>
      </c>
      <c r="X714" s="68">
        <v>2107</v>
      </c>
      <c r="Y714" s="11"/>
      <c r="Z714" s="11"/>
      <c r="AA714" s="11"/>
      <c r="AB714" s="11"/>
      <c r="AC714" s="11"/>
      <c r="AD714" s="11"/>
      <c r="AE714" s="11"/>
      <c r="AF714" s="11"/>
      <c r="AG714" s="11"/>
      <c r="AH714" s="11"/>
      <c r="AI714" s="11"/>
      <c r="AJ714" s="11"/>
      <c r="AK714" s="11"/>
      <c r="AL714" s="11"/>
      <c r="AU714" s="11"/>
      <c r="AV714" s="11"/>
      <c r="AW714" s="11"/>
      <c r="AX714" s="11"/>
      <c r="AY714" s="11"/>
      <c r="AZ714" s="11"/>
      <c r="BA714" s="1"/>
      <c r="BB714" s="70"/>
      <c r="BK714" s="1"/>
    </row>
    <row r="715" spans="1:63" s="44" customFormat="1" ht="12" customHeight="1" x14ac:dyDescent="0.2">
      <c r="A715" s="11" t="s">
        <v>27361</v>
      </c>
      <c r="B715" s="68">
        <v>20</v>
      </c>
      <c r="C715" s="11" t="s">
        <v>20</v>
      </c>
      <c r="D715" s="11" t="s">
        <v>37</v>
      </c>
      <c r="E715" s="60" t="s">
        <v>27362</v>
      </c>
      <c r="F715" s="69">
        <v>42711</v>
      </c>
      <c r="G715" s="11" t="s">
        <v>27363</v>
      </c>
      <c r="H715" s="11" t="s">
        <v>27364</v>
      </c>
      <c r="I715" s="11" t="s">
        <v>404</v>
      </c>
      <c r="J715" s="11">
        <v>15312</v>
      </c>
      <c r="K715" s="11" t="s">
        <v>118</v>
      </c>
      <c r="L715" s="11" t="s">
        <v>511</v>
      </c>
      <c r="M715" s="11" t="s">
        <v>27</v>
      </c>
      <c r="N715" s="11" t="s">
        <v>27365</v>
      </c>
      <c r="O715" s="11" t="s">
        <v>400</v>
      </c>
      <c r="P715" s="11" t="s">
        <v>401</v>
      </c>
      <c r="Q715" s="60" t="s">
        <v>27366</v>
      </c>
      <c r="R715" s="68" t="s">
        <v>555</v>
      </c>
      <c r="S715" s="11" t="s">
        <v>28</v>
      </c>
      <c r="T715" s="68" t="s">
        <v>29493</v>
      </c>
      <c r="U715" s="68" t="s">
        <v>29438</v>
      </c>
      <c r="V715" s="68" t="s">
        <v>29439</v>
      </c>
      <c r="W715" s="68" t="s">
        <v>100</v>
      </c>
      <c r="X715" s="68">
        <v>2129</v>
      </c>
      <c r="Y715" s="11"/>
      <c r="Z715" s="11"/>
      <c r="AA715" s="11"/>
      <c r="AB715" s="11"/>
      <c r="AC715" s="11"/>
      <c r="AD715" s="11"/>
      <c r="AE715" s="11"/>
      <c r="AF715" s="11"/>
      <c r="AG715" s="11"/>
      <c r="AH715" s="11"/>
      <c r="AI715" s="11"/>
      <c r="AJ715" s="11"/>
      <c r="AK715" s="11"/>
      <c r="AL715" s="11"/>
      <c r="AU715" s="11"/>
      <c r="AV715" s="11"/>
      <c r="AW715" s="70"/>
      <c r="AX715" s="1"/>
      <c r="AY715" s="1"/>
      <c r="AZ715" s="11"/>
      <c r="BA715" s="70"/>
      <c r="BC715" s="1"/>
      <c r="BD715" s="1"/>
      <c r="BE715" s="1"/>
      <c r="BF715" s="1"/>
      <c r="BG715" s="1"/>
      <c r="BH715" s="1"/>
      <c r="BI715" s="1"/>
      <c r="BJ715" s="1"/>
      <c r="BK715" s="70"/>
    </row>
    <row r="716" spans="1:63" s="44" customFormat="1" ht="12" customHeight="1" x14ac:dyDescent="0.2">
      <c r="A716" s="11" t="s">
        <v>27389</v>
      </c>
      <c r="B716" s="68">
        <v>52</v>
      </c>
      <c r="C716" s="11" t="s">
        <v>20</v>
      </c>
      <c r="D716" s="11" t="s">
        <v>37</v>
      </c>
      <c r="E716" s="60" t="s">
        <v>27390</v>
      </c>
      <c r="F716" s="69">
        <v>42710</v>
      </c>
      <c r="G716" s="11" t="s">
        <v>27391</v>
      </c>
      <c r="H716" s="11" t="s">
        <v>1561</v>
      </c>
      <c r="I716" s="11" t="s">
        <v>117</v>
      </c>
      <c r="J716" s="11">
        <v>97230</v>
      </c>
      <c r="K716" s="11" t="s">
        <v>1563</v>
      </c>
      <c r="L716" s="11" t="s">
        <v>17750</v>
      </c>
      <c r="M716" s="11" t="s">
        <v>27</v>
      </c>
      <c r="N716" s="11" t="s">
        <v>27392</v>
      </c>
      <c r="O716" s="11" t="s">
        <v>400</v>
      </c>
      <c r="P716" s="11" t="s">
        <v>401</v>
      </c>
      <c r="Q716" s="60" t="s">
        <v>27393</v>
      </c>
      <c r="R716" s="11" t="s">
        <v>100</v>
      </c>
      <c r="S716" s="44" t="s">
        <v>28</v>
      </c>
      <c r="T716" s="68" t="s">
        <v>27756</v>
      </c>
      <c r="U716" s="68" t="s">
        <v>29438</v>
      </c>
      <c r="V716" s="68" t="s">
        <v>29439</v>
      </c>
      <c r="W716" s="68" t="s">
        <v>100</v>
      </c>
      <c r="X716" s="68">
        <v>2105</v>
      </c>
      <c r="Y716" s="11"/>
      <c r="Z716" s="11"/>
      <c r="AA716" s="11"/>
      <c r="AB716" s="11"/>
      <c r="AC716" s="11"/>
      <c r="AD716" s="11"/>
      <c r="AE716" s="11"/>
      <c r="AF716" s="11"/>
      <c r="AG716" s="11"/>
      <c r="AH716" s="11"/>
      <c r="AI716" s="11"/>
      <c r="AJ716" s="11"/>
      <c r="AK716" s="11"/>
      <c r="AL716" s="11"/>
      <c r="AU716" s="11"/>
      <c r="AV716" s="11"/>
      <c r="AW716" s="1"/>
      <c r="AX716" s="1"/>
      <c r="AY716" s="1"/>
      <c r="AZ716" s="11"/>
      <c r="BA716" s="11"/>
      <c r="BB716" s="11"/>
      <c r="BC716" s="1"/>
      <c r="BD716" s="1"/>
      <c r="BE716" s="1"/>
      <c r="BF716" s="1"/>
      <c r="BG716" s="1"/>
      <c r="BH716" s="1"/>
      <c r="BI716" s="1"/>
      <c r="BJ716" s="1"/>
      <c r="BK716" s="70"/>
    </row>
    <row r="717" spans="1:63" s="44" customFormat="1" ht="12" customHeight="1" x14ac:dyDescent="0.2">
      <c r="A717" s="11" t="s">
        <v>27384</v>
      </c>
      <c r="B717" s="68">
        <v>47</v>
      </c>
      <c r="C717" s="11" t="s">
        <v>20</v>
      </c>
      <c r="D717" s="11" t="s">
        <v>37</v>
      </c>
      <c r="E717" s="11"/>
      <c r="F717" s="69">
        <v>42710</v>
      </c>
      <c r="G717" s="11" t="s">
        <v>27657</v>
      </c>
      <c r="H717" s="11" t="s">
        <v>27385</v>
      </c>
      <c r="I717" s="11" t="s">
        <v>62</v>
      </c>
      <c r="J717" s="11">
        <v>32763</v>
      </c>
      <c r="K717" s="11" t="s">
        <v>3891</v>
      </c>
      <c r="L717" s="11" t="s">
        <v>27386</v>
      </c>
      <c r="M717" s="11" t="s">
        <v>27</v>
      </c>
      <c r="N717" s="11" t="s">
        <v>27387</v>
      </c>
      <c r="O717" s="11" t="s">
        <v>400</v>
      </c>
      <c r="P717" s="11" t="s">
        <v>401</v>
      </c>
      <c r="Q717" s="60" t="s">
        <v>27388</v>
      </c>
      <c r="R717" s="11" t="s">
        <v>29</v>
      </c>
      <c r="S717" s="44" t="s">
        <v>28</v>
      </c>
      <c r="T717" s="68" t="s">
        <v>27756</v>
      </c>
      <c r="U717" s="68" t="s">
        <v>29438</v>
      </c>
      <c r="V717" s="68" t="s">
        <v>29439</v>
      </c>
      <c r="W717" s="68" t="s">
        <v>100</v>
      </c>
      <c r="X717" s="68">
        <v>2104</v>
      </c>
      <c r="Y717" s="11"/>
      <c r="Z717" s="11"/>
      <c r="AA717" s="11"/>
      <c r="AB717" s="11"/>
      <c r="AC717" s="11"/>
      <c r="AD717" s="11"/>
      <c r="AE717" s="11"/>
      <c r="AF717" s="11"/>
      <c r="AG717" s="11"/>
      <c r="AH717" s="11"/>
      <c r="AI717" s="11"/>
      <c r="AJ717" s="11"/>
      <c r="AK717" s="11"/>
      <c r="AL717" s="11"/>
      <c r="AU717" s="11"/>
      <c r="AV717" s="11"/>
      <c r="AW717" s="1"/>
      <c r="AX717" s="1"/>
      <c r="AY717" s="1"/>
      <c r="AZ717" s="11"/>
      <c r="BA717" s="1"/>
      <c r="BB717" s="1"/>
      <c r="BC717" s="1"/>
      <c r="BD717" s="1"/>
      <c r="BE717" s="1"/>
      <c r="BF717" s="1"/>
      <c r="BG717" s="1"/>
      <c r="BH717" s="1"/>
      <c r="BI717" s="1"/>
      <c r="BJ717" s="1"/>
      <c r="BK717" s="70"/>
    </row>
    <row r="718" spans="1:63" s="44" customFormat="1" ht="12" customHeight="1" x14ac:dyDescent="0.2">
      <c r="A718" s="11" t="s">
        <v>27394</v>
      </c>
      <c r="B718" s="68">
        <v>55</v>
      </c>
      <c r="C718" s="11" t="s">
        <v>20</v>
      </c>
      <c r="D718" s="11" t="s">
        <v>37</v>
      </c>
      <c r="E718" s="11"/>
      <c r="F718" s="69">
        <v>42710</v>
      </c>
      <c r="G718" s="11" t="s">
        <v>27395</v>
      </c>
      <c r="H718" s="11" t="s">
        <v>1609</v>
      </c>
      <c r="I718" s="11" t="s">
        <v>363</v>
      </c>
      <c r="J718" s="11">
        <v>67502</v>
      </c>
      <c r="K718" s="11" t="s">
        <v>1611</v>
      </c>
      <c r="L718" s="11" t="s">
        <v>1612</v>
      </c>
      <c r="M718" s="11" t="s">
        <v>27</v>
      </c>
      <c r="N718" s="11" t="s">
        <v>27396</v>
      </c>
      <c r="O718" s="11" t="s">
        <v>400</v>
      </c>
      <c r="P718" s="11" t="s">
        <v>401</v>
      </c>
      <c r="Q718" s="60" t="s">
        <v>27397</v>
      </c>
      <c r="R718" s="11" t="s">
        <v>29</v>
      </c>
      <c r="S718" s="44" t="s">
        <v>28</v>
      </c>
      <c r="T718" s="68" t="s">
        <v>27756</v>
      </c>
      <c r="U718" s="68" t="s">
        <v>29438</v>
      </c>
      <c r="V718" s="68" t="s">
        <v>29439</v>
      </c>
      <c r="W718" s="68" t="s">
        <v>100</v>
      </c>
      <c r="X718" s="68">
        <v>2103</v>
      </c>
      <c r="Y718" s="11"/>
      <c r="Z718" s="11"/>
      <c r="AA718" s="11"/>
      <c r="AB718" s="11"/>
      <c r="AC718" s="11"/>
      <c r="AD718" s="11"/>
      <c r="AE718" s="11"/>
      <c r="AF718" s="11"/>
      <c r="AG718" s="11"/>
      <c r="AH718" s="11"/>
      <c r="AI718" s="11"/>
      <c r="AJ718" s="11"/>
      <c r="AK718" s="11"/>
      <c r="AL718" s="11"/>
      <c r="AU718" s="11"/>
      <c r="AV718" s="11"/>
      <c r="AW718" s="1"/>
      <c r="AX718" s="1"/>
      <c r="AY718" s="1"/>
      <c r="AZ718" s="11"/>
      <c r="BA718" s="1"/>
      <c r="BB718" s="1"/>
      <c r="BC718" s="1"/>
      <c r="BD718" s="1"/>
      <c r="BE718" s="1"/>
      <c r="BF718" s="1"/>
      <c r="BG718" s="1"/>
      <c r="BH718" s="1"/>
      <c r="BI718" s="1"/>
      <c r="BJ718" s="1"/>
      <c r="BK718" s="70"/>
    </row>
    <row r="719" spans="1:63" s="44" customFormat="1" ht="12" customHeight="1" x14ac:dyDescent="0.2">
      <c r="A719" s="11" t="s">
        <v>27379</v>
      </c>
      <c r="B719" s="68">
        <v>49</v>
      </c>
      <c r="C719" s="11" t="s">
        <v>20</v>
      </c>
      <c r="D719" s="11" t="s">
        <v>37</v>
      </c>
      <c r="E719" s="60" t="s">
        <v>27380</v>
      </c>
      <c r="F719" s="69">
        <v>42710</v>
      </c>
      <c r="G719" s="11" t="s">
        <v>27656</v>
      </c>
      <c r="H719" s="11" t="s">
        <v>27381</v>
      </c>
      <c r="I719" s="11" t="s">
        <v>62</v>
      </c>
      <c r="J719" s="11">
        <v>34731</v>
      </c>
      <c r="K719" s="11" t="s">
        <v>1256</v>
      </c>
      <c r="L719" s="11" t="s">
        <v>1257</v>
      </c>
      <c r="M719" s="68" t="s">
        <v>5411</v>
      </c>
      <c r="N719" s="11" t="s">
        <v>27382</v>
      </c>
      <c r="O719" s="11" t="s">
        <v>400</v>
      </c>
      <c r="P719" s="11" t="s">
        <v>401</v>
      </c>
      <c r="Q719" s="60" t="s">
        <v>27383</v>
      </c>
      <c r="R719" s="11" t="s">
        <v>29</v>
      </c>
      <c r="S719" s="44" t="s">
        <v>35</v>
      </c>
      <c r="T719" s="68" t="s">
        <v>29454</v>
      </c>
      <c r="U719" s="68" t="s">
        <v>29438</v>
      </c>
      <c r="V719" s="68" t="s">
        <v>21212</v>
      </c>
      <c r="W719" s="68" t="s">
        <v>100</v>
      </c>
      <c r="X719" s="68">
        <v>2106</v>
      </c>
      <c r="Y719" s="11"/>
      <c r="Z719" s="11"/>
      <c r="AA719" s="11"/>
      <c r="AB719" s="11"/>
      <c r="AC719" s="11"/>
      <c r="AD719" s="11"/>
      <c r="AE719" s="11"/>
      <c r="AF719" s="11"/>
      <c r="AG719" s="11"/>
      <c r="AH719" s="11"/>
      <c r="AI719" s="11"/>
      <c r="AJ719" s="11"/>
      <c r="AK719" s="11"/>
      <c r="AL719" s="11"/>
      <c r="AU719" s="11"/>
      <c r="AV719" s="11"/>
      <c r="AW719" s="1"/>
      <c r="AX719" s="1"/>
      <c r="AY719" s="1"/>
      <c r="AZ719" s="11"/>
      <c r="BA719" s="1"/>
      <c r="BB719" s="70"/>
      <c r="BC719" s="1"/>
      <c r="BD719" s="1"/>
      <c r="BE719" s="1"/>
      <c r="BF719" s="1"/>
      <c r="BG719" s="1"/>
      <c r="BH719" s="1"/>
      <c r="BI719" s="1"/>
      <c r="BJ719" s="1"/>
      <c r="BK719" s="11"/>
    </row>
    <row r="720" spans="1:63" s="44" customFormat="1" ht="12" customHeight="1" x14ac:dyDescent="0.2">
      <c r="A720" s="11" t="s">
        <v>27398</v>
      </c>
      <c r="B720" s="68">
        <v>29</v>
      </c>
      <c r="C720" s="11" t="s">
        <v>20</v>
      </c>
      <c r="D720" s="11" t="s">
        <v>85</v>
      </c>
      <c r="E720" s="11"/>
      <c r="F720" s="69">
        <v>42708</v>
      </c>
      <c r="G720" s="11" t="s">
        <v>27658</v>
      </c>
      <c r="H720" s="11" t="s">
        <v>7082</v>
      </c>
      <c r="I720" s="11" t="s">
        <v>217</v>
      </c>
      <c r="J720" s="11">
        <v>46516</v>
      </c>
      <c r="K720" s="11" t="s">
        <v>7082</v>
      </c>
      <c r="L720" s="11" t="s">
        <v>7084</v>
      </c>
      <c r="M720" s="11" t="s">
        <v>27</v>
      </c>
      <c r="N720" s="11" t="s">
        <v>27399</v>
      </c>
      <c r="O720" s="11" t="s">
        <v>400</v>
      </c>
      <c r="P720" s="11" t="s">
        <v>401</v>
      </c>
      <c r="Q720" s="60" t="s">
        <v>27400</v>
      </c>
      <c r="R720" s="11" t="s">
        <v>100</v>
      </c>
      <c r="S720" s="2" t="s">
        <v>28</v>
      </c>
      <c r="T720" s="68" t="s">
        <v>27756</v>
      </c>
      <c r="U720" s="68" t="s">
        <v>29438</v>
      </c>
      <c r="V720" s="68" t="s">
        <v>29437</v>
      </c>
      <c r="W720" s="68" t="s">
        <v>100</v>
      </c>
      <c r="X720" s="68">
        <v>2101</v>
      </c>
      <c r="Y720" s="11"/>
      <c r="Z720" s="11"/>
      <c r="AA720" s="11"/>
      <c r="AB720" s="11"/>
      <c r="AC720" s="11"/>
      <c r="AD720" s="11"/>
      <c r="AE720" s="11"/>
      <c r="AF720" s="11"/>
      <c r="AG720" s="11"/>
      <c r="AH720" s="11"/>
      <c r="AI720" s="11"/>
      <c r="AJ720" s="11"/>
      <c r="AK720" s="11"/>
      <c r="AL720" s="11"/>
      <c r="AU720" s="11"/>
      <c r="AV720" s="11"/>
      <c r="AX720" s="11"/>
      <c r="AY720" s="11"/>
      <c r="AZ720" s="11"/>
      <c r="BA720" s="11"/>
      <c r="BB720" s="11"/>
      <c r="BK720" s="70"/>
    </row>
    <row r="721" spans="1:63" s="44" customFormat="1" ht="12" customHeight="1" x14ac:dyDescent="0.2">
      <c r="A721" s="11" t="s">
        <v>27401</v>
      </c>
      <c r="B721" s="11">
        <v>33</v>
      </c>
      <c r="C721" s="11" t="s">
        <v>20</v>
      </c>
      <c r="D721" s="11" t="s">
        <v>37</v>
      </c>
      <c r="E721" s="60" t="s">
        <v>27402</v>
      </c>
      <c r="F721" s="72">
        <v>42708</v>
      </c>
      <c r="G721" s="11" t="s">
        <v>27403</v>
      </c>
      <c r="H721" s="11" t="s">
        <v>27404</v>
      </c>
      <c r="I721" s="11" t="s">
        <v>240</v>
      </c>
      <c r="J721" s="11">
        <v>84003</v>
      </c>
      <c r="K721" s="11" t="s">
        <v>590</v>
      </c>
      <c r="L721" s="11" t="s">
        <v>27405</v>
      </c>
      <c r="M721" s="11" t="s">
        <v>27</v>
      </c>
      <c r="N721" s="11" t="s">
        <v>27406</v>
      </c>
      <c r="O721" s="11" t="s">
        <v>400</v>
      </c>
      <c r="P721" s="11" t="s">
        <v>401</v>
      </c>
      <c r="Q721" s="60" t="s">
        <v>27407</v>
      </c>
      <c r="R721" s="11" t="s">
        <v>100</v>
      </c>
      <c r="S721" s="11" t="s">
        <v>28</v>
      </c>
      <c r="T721" s="68"/>
      <c r="U721" s="68"/>
      <c r="V721" s="68"/>
      <c r="W721" s="68"/>
      <c r="X721" s="68"/>
      <c r="Y721" s="11"/>
      <c r="Z721" s="11"/>
      <c r="AA721" s="11"/>
      <c r="AB721" s="11"/>
      <c r="AC721" s="11"/>
      <c r="AD721" s="11"/>
      <c r="AE721" s="11"/>
      <c r="AF721" s="11"/>
      <c r="AG721" s="11"/>
      <c r="AH721" s="11"/>
      <c r="AI721" s="11"/>
      <c r="AJ721" s="11"/>
      <c r="AK721" s="11"/>
      <c r="AL721" s="11"/>
      <c r="AU721" s="11"/>
      <c r="AV721" s="11"/>
      <c r="AW721" s="1"/>
      <c r="AX721" s="1"/>
      <c r="AY721" s="1"/>
      <c r="AZ721" s="1"/>
      <c r="BA721" s="1"/>
      <c r="BB721" s="1"/>
      <c r="BC721" s="1"/>
      <c r="BD721" s="1"/>
      <c r="BE721" s="1"/>
      <c r="BF721" s="1"/>
      <c r="BG721" s="1"/>
      <c r="BH721" s="1"/>
      <c r="BI721" s="1"/>
      <c r="BJ721" s="1"/>
      <c r="BK721" s="70"/>
    </row>
    <row r="722" spans="1:63" s="44" customFormat="1" ht="12" customHeight="1" x14ac:dyDescent="0.15">
      <c r="A722" s="11" t="s">
        <v>27408</v>
      </c>
      <c r="B722" s="11">
        <v>26</v>
      </c>
      <c r="C722" s="11" t="s">
        <v>114</v>
      </c>
      <c r="D722" s="11" t="s">
        <v>37</v>
      </c>
      <c r="E722" s="60" t="s">
        <v>27409</v>
      </c>
      <c r="F722" s="72">
        <v>42708</v>
      </c>
      <c r="G722" s="11" t="s">
        <v>27410</v>
      </c>
      <c r="H722" s="11" t="s">
        <v>27411</v>
      </c>
      <c r="I722" s="11" t="s">
        <v>41</v>
      </c>
      <c r="J722" s="11">
        <v>6810</v>
      </c>
      <c r="K722" s="11"/>
      <c r="L722" s="11" t="s">
        <v>27412</v>
      </c>
      <c r="M722" s="11" t="s">
        <v>379</v>
      </c>
      <c r="N722" s="11" t="s">
        <v>27413</v>
      </c>
      <c r="O722" s="11" t="s">
        <v>400</v>
      </c>
      <c r="P722" s="11" t="s">
        <v>401</v>
      </c>
      <c r="Q722" s="60" t="s">
        <v>27414</v>
      </c>
      <c r="R722" s="11" t="s">
        <v>100</v>
      </c>
      <c r="S722" s="66" t="s">
        <v>379</v>
      </c>
      <c r="T722" s="66" t="s">
        <v>30738</v>
      </c>
      <c r="U722" s="1"/>
      <c r="V722" s="11"/>
      <c r="W722" s="11"/>
      <c r="X722" s="11"/>
      <c r="Y722" s="11"/>
      <c r="Z722" s="11"/>
      <c r="AA722" s="11"/>
      <c r="AB722" s="11"/>
      <c r="AC722" s="11"/>
      <c r="AD722" s="11"/>
      <c r="AE722" s="11"/>
      <c r="AF722" s="11"/>
      <c r="AG722" s="11"/>
      <c r="AH722" s="11"/>
      <c r="AI722" s="11"/>
      <c r="AJ722" s="11"/>
      <c r="AK722" s="11"/>
      <c r="AL722" s="11"/>
      <c r="AX722" s="1"/>
      <c r="AY722" s="1"/>
      <c r="AZ722" s="1"/>
      <c r="BA722" s="1"/>
      <c r="BB722" s="1"/>
      <c r="BC722" s="1"/>
      <c r="BD722" s="1"/>
      <c r="BE722" s="1"/>
      <c r="BF722" s="1"/>
      <c r="BG722" s="1"/>
      <c r="BH722" s="1"/>
      <c r="BI722" s="1"/>
      <c r="BJ722" s="1"/>
      <c r="BK722" s="1"/>
    </row>
    <row r="723" spans="1:63" s="44" customFormat="1" ht="12" customHeight="1" x14ac:dyDescent="0.2">
      <c r="A723" s="11" t="s">
        <v>27415</v>
      </c>
      <c r="B723" s="68">
        <v>26</v>
      </c>
      <c r="C723" s="11" t="s">
        <v>20</v>
      </c>
      <c r="D723" s="11" t="s">
        <v>21</v>
      </c>
      <c r="E723" s="11"/>
      <c r="F723" s="69">
        <v>42708</v>
      </c>
      <c r="G723" s="11" t="s">
        <v>27659</v>
      </c>
      <c r="H723" s="11" t="s">
        <v>2476</v>
      </c>
      <c r="I723" s="11" t="s">
        <v>69</v>
      </c>
      <c r="J723" s="11">
        <v>44236</v>
      </c>
      <c r="K723" s="11" t="s">
        <v>3466</v>
      </c>
      <c r="L723" s="11" t="s">
        <v>27416</v>
      </c>
      <c r="M723" s="11" t="s">
        <v>27</v>
      </c>
      <c r="N723" s="11" t="s">
        <v>27417</v>
      </c>
      <c r="O723" s="11" t="s">
        <v>400</v>
      </c>
      <c r="P723" s="11" t="s">
        <v>401</v>
      </c>
      <c r="Q723" s="60" t="s">
        <v>27418</v>
      </c>
      <c r="R723" s="11" t="s">
        <v>29</v>
      </c>
      <c r="S723" s="11" t="s">
        <v>35</v>
      </c>
      <c r="T723" s="66" t="s">
        <v>29441</v>
      </c>
      <c r="U723" s="68" t="s">
        <v>29436</v>
      </c>
      <c r="V723" s="68" t="s">
        <v>29440</v>
      </c>
      <c r="W723" s="68" t="s">
        <v>100</v>
      </c>
      <c r="X723" s="68">
        <v>2098</v>
      </c>
      <c r="Y723" s="11"/>
      <c r="Z723" s="11"/>
      <c r="AA723" s="11"/>
      <c r="AB723" s="11"/>
      <c r="AC723" s="11"/>
      <c r="AD723" s="11"/>
      <c r="AE723" s="11"/>
      <c r="AF723" s="11"/>
      <c r="AG723" s="11"/>
      <c r="AH723" s="11"/>
      <c r="AI723" s="11"/>
      <c r="AJ723" s="11"/>
      <c r="AK723" s="11"/>
      <c r="AL723" s="11"/>
      <c r="AU723" s="11"/>
      <c r="AV723" s="11"/>
      <c r="AX723" s="70"/>
      <c r="AY723" s="70"/>
      <c r="AZ723" s="11"/>
      <c r="BA723" s="1"/>
      <c r="BB723" s="1"/>
      <c r="BC723" s="70"/>
      <c r="BD723" s="70"/>
      <c r="BE723" s="70"/>
      <c r="BF723" s="70"/>
      <c r="BG723" s="70"/>
      <c r="BH723" s="70"/>
      <c r="BI723" s="70"/>
      <c r="BJ723" s="70"/>
      <c r="BK723" s="1"/>
    </row>
    <row r="724" spans="1:63" s="44" customFormat="1" ht="12" customHeight="1" x14ac:dyDescent="0.2">
      <c r="A724" s="11" t="s">
        <v>27419</v>
      </c>
      <c r="B724" s="68">
        <v>38</v>
      </c>
      <c r="C724" s="11" t="s">
        <v>20</v>
      </c>
      <c r="D724" s="11" t="s">
        <v>48</v>
      </c>
      <c r="E724" s="11"/>
      <c r="F724" s="69">
        <v>42707</v>
      </c>
      <c r="G724" s="11" t="s">
        <v>27420</v>
      </c>
      <c r="H724" s="11" t="s">
        <v>9816</v>
      </c>
      <c r="I724" s="11" t="s">
        <v>25</v>
      </c>
      <c r="J724" s="11">
        <v>70001</v>
      </c>
      <c r="K724" s="11" t="s">
        <v>1778</v>
      </c>
      <c r="L724" s="11" t="s">
        <v>2425</v>
      </c>
      <c r="M724" s="11" t="s">
        <v>27</v>
      </c>
      <c r="N724" s="11" t="s">
        <v>27421</v>
      </c>
      <c r="O724" s="11" t="s">
        <v>400</v>
      </c>
      <c r="P724" s="11" t="s">
        <v>401</v>
      </c>
      <c r="Q724" s="60" t="s">
        <v>27422</v>
      </c>
      <c r="R724" s="11" t="s">
        <v>100</v>
      </c>
      <c r="S724" s="44" t="s">
        <v>28</v>
      </c>
      <c r="T724" s="68" t="s">
        <v>27756</v>
      </c>
      <c r="U724" s="68" t="s">
        <v>29438</v>
      </c>
      <c r="V724" s="68" t="s">
        <v>29440</v>
      </c>
      <c r="W724" s="68" t="s">
        <v>100</v>
      </c>
      <c r="X724" s="68">
        <v>2100</v>
      </c>
      <c r="Y724" s="11"/>
      <c r="Z724" s="11"/>
      <c r="AA724" s="11"/>
      <c r="AB724" s="11"/>
      <c r="AC724" s="11"/>
      <c r="AD724" s="11"/>
      <c r="AE724" s="11"/>
      <c r="AF724" s="11"/>
      <c r="AG724" s="11"/>
      <c r="AH724" s="11"/>
      <c r="AI724" s="11"/>
      <c r="AJ724" s="11"/>
      <c r="AK724" s="11"/>
      <c r="AL724" s="11"/>
      <c r="AU724" s="11"/>
      <c r="AV724" s="11"/>
      <c r="AX724" s="1"/>
      <c r="AY724" s="1"/>
      <c r="AZ724" s="11"/>
      <c r="BA724" s="11"/>
      <c r="BB724" s="11"/>
      <c r="BC724" s="1"/>
      <c r="BD724" s="1"/>
      <c r="BE724" s="1"/>
      <c r="BF724" s="1"/>
      <c r="BG724" s="1"/>
      <c r="BH724" s="1"/>
      <c r="BI724" s="1"/>
      <c r="BJ724" s="1"/>
      <c r="BK724" s="70"/>
    </row>
    <row r="725" spans="1:63" s="44" customFormat="1" ht="12" customHeight="1" x14ac:dyDescent="0.2">
      <c r="A725" s="11" t="s">
        <v>27439</v>
      </c>
      <c r="B725" s="68">
        <v>33</v>
      </c>
      <c r="C725" s="11" t="s">
        <v>20</v>
      </c>
      <c r="D725" s="11" t="s">
        <v>37</v>
      </c>
      <c r="E725" s="60" t="s">
        <v>27440</v>
      </c>
      <c r="F725" s="69">
        <v>42706</v>
      </c>
      <c r="G725" s="11" t="s">
        <v>27441</v>
      </c>
      <c r="H725" s="11" t="s">
        <v>27442</v>
      </c>
      <c r="I725" s="11" t="s">
        <v>94</v>
      </c>
      <c r="J725" s="11">
        <v>35616</v>
      </c>
      <c r="K725" s="11" t="s">
        <v>95</v>
      </c>
      <c r="L725" s="11" t="s">
        <v>27443</v>
      </c>
      <c r="M725" s="11" t="s">
        <v>27</v>
      </c>
      <c r="N725" s="11" t="s">
        <v>27444</v>
      </c>
      <c r="O725" s="11" t="s">
        <v>400</v>
      </c>
      <c r="P725" s="11" t="s">
        <v>401</v>
      </c>
      <c r="Q725" s="60" t="s">
        <v>27445</v>
      </c>
      <c r="R725" s="11" t="s">
        <v>964</v>
      </c>
      <c r="S725" s="44" t="s">
        <v>28</v>
      </c>
      <c r="T725" s="68" t="s">
        <v>27756</v>
      </c>
      <c r="U725" s="68" t="s">
        <v>29438</v>
      </c>
      <c r="V725" s="68" t="s">
        <v>29439</v>
      </c>
      <c r="W725" s="68" t="s">
        <v>100</v>
      </c>
      <c r="X725" s="68">
        <v>2097</v>
      </c>
      <c r="Y725" s="11"/>
      <c r="Z725" s="11"/>
      <c r="AA725" s="11"/>
      <c r="AB725" s="11"/>
      <c r="AC725" s="11"/>
      <c r="AD725" s="11"/>
      <c r="AE725" s="11"/>
      <c r="AF725" s="11"/>
      <c r="AG725" s="11"/>
      <c r="AH725" s="11"/>
      <c r="AI725" s="11"/>
      <c r="AJ725" s="11"/>
      <c r="AK725" s="11"/>
      <c r="AL725" s="11"/>
      <c r="AU725" s="11"/>
      <c r="AV725" s="11"/>
      <c r="AW725" s="11"/>
      <c r="AX725" s="1"/>
      <c r="AY725" s="1"/>
      <c r="AZ725" s="11"/>
      <c r="BC725" s="1"/>
      <c r="BD725" s="1"/>
      <c r="BE725" s="1"/>
      <c r="BF725" s="1"/>
      <c r="BG725" s="1"/>
      <c r="BH725" s="1"/>
      <c r="BI725" s="1"/>
      <c r="BJ725" s="1"/>
      <c r="BK725" s="70"/>
    </row>
    <row r="726" spans="1:63" s="44" customFormat="1" ht="12" customHeight="1" x14ac:dyDescent="0.2">
      <c r="A726" s="11" t="s">
        <v>27423</v>
      </c>
      <c r="B726" s="11">
        <v>58</v>
      </c>
      <c r="C726" s="11" t="s">
        <v>20</v>
      </c>
      <c r="D726" s="11" t="s">
        <v>37</v>
      </c>
      <c r="E726" s="60" t="s">
        <v>27424</v>
      </c>
      <c r="F726" s="72">
        <v>42706</v>
      </c>
      <c r="G726" s="11" t="s">
        <v>27425</v>
      </c>
      <c r="H726" s="11" t="s">
        <v>2508</v>
      </c>
      <c r="I726" s="11" t="s">
        <v>978</v>
      </c>
      <c r="J726" s="11">
        <v>72015</v>
      </c>
      <c r="K726" s="11" t="s">
        <v>5087</v>
      </c>
      <c r="L726" s="11" t="s">
        <v>15052</v>
      </c>
      <c r="M726" s="11" t="s">
        <v>27</v>
      </c>
      <c r="N726" s="11" t="s">
        <v>27426</v>
      </c>
      <c r="O726" s="11" t="s">
        <v>400</v>
      </c>
      <c r="P726" s="11" t="s">
        <v>401</v>
      </c>
      <c r="Q726" s="60" t="s">
        <v>27427</v>
      </c>
      <c r="R726" s="11" t="s">
        <v>100</v>
      </c>
      <c r="S726" s="44" t="s">
        <v>28</v>
      </c>
      <c r="T726" s="68"/>
      <c r="U726" s="68"/>
      <c r="V726" s="68"/>
      <c r="W726" s="68"/>
      <c r="X726" s="68"/>
      <c r="Y726" s="11"/>
      <c r="Z726" s="11"/>
      <c r="AA726" s="11"/>
      <c r="AB726" s="11"/>
      <c r="AC726" s="11"/>
      <c r="AD726" s="11"/>
      <c r="AE726" s="11"/>
      <c r="AF726" s="11"/>
      <c r="AG726" s="11"/>
      <c r="AH726" s="11"/>
      <c r="AI726" s="11"/>
      <c r="AJ726" s="11"/>
      <c r="AK726" s="11"/>
      <c r="AL726" s="11"/>
      <c r="AU726" s="11"/>
      <c r="AV726" s="11"/>
      <c r="AW726" s="1"/>
      <c r="AX726" s="1"/>
      <c r="AY726" s="1"/>
      <c r="AZ726" s="1"/>
      <c r="BA726" s="1"/>
      <c r="BB726" s="1"/>
      <c r="BC726" s="1"/>
      <c r="BD726" s="1"/>
      <c r="BE726" s="1"/>
      <c r="BF726" s="1"/>
      <c r="BG726" s="1"/>
      <c r="BH726" s="1"/>
      <c r="BI726" s="1"/>
      <c r="BJ726" s="1"/>
      <c r="BK726" s="70"/>
    </row>
    <row r="727" spans="1:63" s="44" customFormat="1" ht="12" customHeight="1" x14ac:dyDescent="0.2">
      <c r="A727" s="11" t="s">
        <v>27433</v>
      </c>
      <c r="B727" s="68">
        <v>22</v>
      </c>
      <c r="C727" s="11" t="s">
        <v>20</v>
      </c>
      <c r="D727" s="11" t="s">
        <v>37</v>
      </c>
      <c r="E727" s="60" t="s">
        <v>27434</v>
      </c>
      <c r="F727" s="69">
        <v>42706</v>
      </c>
      <c r="G727" s="11" t="s">
        <v>27435</v>
      </c>
      <c r="H727" s="11" t="s">
        <v>27436</v>
      </c>
      <c r="I727" s="11" t="s">
        <v>315</v>
      </c>
      <c r="J727" s="11">
        <v>40067</v>
      </c>
      <c r="K727" s="11" t="s">
        <v>1193</v>
      </c>
      <c r="L727" s="11" t="s">
        <v>24786</v>
      </c>
      <c r="M727" s="11" t="s">
        <v>27</v>
      </c>
      <c r="N727" s="11" t="s">
        <v>27437</v>
      </c>
      <c r="O727" s="11" t="s">
        <v>400</v>
      </c>
      <c r="P727" s="11" t="s">
        <v>401</v>
      </c>
      <c r="Q727" s="60" t="s">
        <v>27438</v>
      </c>
      <c r="R727" s="11" t="s">
        <v>100</v>
      </c>
      <c r="S727" s="44" t="s">
        <v>28</v>
      </c>
      <c r="T727" s="68" t="s">
        <v>29455</v>
      </c>
      <c r="U727" s="68" t="s">
        <v>29436</v>
      </c>
      <c r="V727" s="68" t="s">
        <v>29439</v>
      </c>
      <c r="W727" s="68" t="s">
        <v>100</v>
      </c>
      <c r="X727" s="68">
        <v>2096</v>
      </c>
      <c r="Y727" s="11"/>
      <c r="Z727" s="11"/>
      <c r="AA727" s="11"/>
      <c r="AB727" s="11"/>
      <c r="AC727" s="11"/>
      <c r="AD727" s="11"/>
      <c r="AE727" s="11"/>
      <c r="AF727" s="11"/>
      <c r="AG727" s="11"/>
      <c r="AH727" s="11"/>
      <c r="AI727" s="11"/>
      <c r="AJ727" s="11"/>
      <c r="AK727" s="11"/>
      <c r="AL727" s="11"/>
      <c r="AU727" s="11"/>
      <c r="AV727" s="11"/>
      <c r="AX727" s="1"/>
      <c r="AY727" s="1"/>
      <c r="AZ727" s="11"/>
      <c r="BA727" s="11"/>
      <c r="BB727" s="11"/>
      <c r="BC727" s="1"/>
      <c r="BD727" s="1"/>
      <c r="BE727" s="1"/>
      <c r="BF727" s="1"/>
      <c r="BG727" s="1"/>
      <c r="BH727" s="1"/>
      <c r="BI727" s="1"/>
      <c r="BJ727" s="1"/>
      <c r="BK727" s="70"/>
    </row>
    <row r="728" spans="1:63" s="44" customFormat="1" ht="12" customHeight="1" x14ac:dyDescent="0.2">
      <c r="A728" s="11" t="s">
        <v>27446</v>
      </c>
      <c r="B728" s="11">
        <v>28</v>
      </c>
      <c r="C728" s="11" t="s">
        <v>20</v>
      </c>
      <c r="D728" s="11" t="s">
        <v>85</v>
      </c>
      <c r="E728" s="11" t="s">
        <v>27746</v>
      </c>
      <c r="F728" s="72">
        <v>42706</v>
      </c>
      <c r="G728" s="11" t="s">
        <v>27447</v>
      </c>
      <c r="H728" s="11" t="s">
        <v>10181</v>
      </c>
      <c r="I728" s="11" t="s">
        <v>62</v>
      </c>
      <c r="J728" s="11">
        <v>33511</v>
      </c>
      <c r="K728" s="11" t="s">
        <v>638</v>
      </c>
      <c r="L728" s="11" t="s">
        <v>639</v>
      </c>
      <c r="M728" s="11" t="s">
        <v>27</v>
      </c>
      <c r="N728" s="11" t="s">
        <v>27448</v>
      </c>
      <c r="O728" s="11" t="s">
        <v>400</v>
      </c>
      <c r="P728" s="11" t="s">
        <v>401</v>
      </c>
      <c r="Q728" s="60" t="s">
        <v>27449</v>
      </c>
      <c r="R728" s="11" t="s">
        <v>555</v>
      </c>
      <c r="S728" s="11" t="s">
        <v>28</v>
      </c>
      <c r="T728" s="68"/>
      <c r="U728" s="68"/>
      <c r="V728" s="68"/>
      <c r="W728" s="68"/>
      <c r="X728" s="68"/>
      <c r="Y728" s="11"/>
      <c r="Z728" s="11"/>
      <c r="AA728" s="11"/>
      <c r="AB728" s="11"/>
      <c r="AC728" s="11"/>
      <c r="AD728" s="11"/>
      <c r="AE728" s="11"/>
      <c r="AF728" s="11"/>
      <c r="AG728" s="11"/>
      <c r="AH728" s="11"/>
      <c r="AI728" s="11"/>
      <c r="AJ728" s="11"/>
      <c r="AK728" s="11"/>
      <c r="AL728" s="11"/>
      <c r="AU728" s="11"/>
      <c r="AV728" s="11"/>
      <c r="AW728" s="1"/>
      <c r="AZ728" s="1"/>
      <c r="BA728" s="1"/>
      <c r="BB728" s="1"/>
      <c r="BK728" s="70"/>
    </row>
    <row r="729" spans="1:63" s="44" customFormat="1" ht="12" customHeight="1" x14ac:dyDescent="0.15">
      <c r="A729" s="11" t="s">
        <v>27428</v>
      </c>
      <c r="B729" s="68">
        <v>36</v>
      </c>
      <c r="C729" s="11" t="s">
        <v>20</v>
      </c>
      <c r="D729" s="11" t="s">
        <v>37</v>
      </c>
      <c r="E729" s="60" t="s">
        <v>27429</v>
      </c>
      <c r="F729" s="69">
        <v>42706</v>
      </c>
      <c r="G729" s="11" t="s">
        <v>27430</v>
      </c>
      <c r="H729" s="11" t="s">
        <v>971</v>
      </c>
      <c r="I729" s="11" t="s">
        <v>195</v>
      </c>
      <c r="J729" s="11">
        <v>88001</v>
      </c>
      <c r="K729" s="11" t="s">
        <v>972</v>
      </c>
      <c r="L729" s="11" t="s">
        <v>7134</v>
      </c>
      <c r="M729" s="11" t="s">
        <v>27</v>
      </c>
      <c r="N729" s="11" t="s">
        <v>27431</v>
      </c>
      <c r="O729" s="11" t="s">
        <v>400</v>
      </c>
      <c r="P729" s="11" t="s">
        <v>401</v>
      </c>
      <c r="Q729" s="60" t="s">
        <v>27432</v>
      </c>
      <c r="R729" s="11" t="s">
        <v>555</v>
      </c>
      <c r="S729" s="44" t="s">
        <v>35</v>
      </c>
      <c r="T729" s="66" t="s">
        <v>29441</v>
      </c>
      <c r="U729" s="68" t="s">
        <v>29441</v>
      </c>
      <c r="V729" s="68" t="s">
        <v>29439</v>
      </c>
      <c r="W729" s="68" t="s">
        <v>100</v>
      </c>
      <c r="X729" s="68">
        <v>2099</v>
      </c>
      <c r="Y729" s="11"/>
      <c r="Z729" s="11"/>
      <c r="AA729" s="11"/>
      <c r="AB729" s="11"/>
      <c r="AC729" s="11"/>
      <c r="AD729" s="11"/>
      <c r="AE729" s="11"/>
      <c r="AF729" s="11"/>
      <c r="AG729" s="11"/>
      <c r="AH729" s="11"/>
      <c r="AI729" s="11"/>
      <c r="AJ729" s="11"/>
      <c r="AK729" s="11"/>
      <c r="AL729" s="11"/>
      <c r="AU729" s="11"/>
      <c r="AV729" s="11"/>
      <c r="AW729" s="11"/>
      <c r="AX729" s="1"/>
      <c r="AY729" s="1"/>
      <c r="AZ729" s="11"/>
      <c r="BB729" s="11"/>
      <c r="BC729" s="1"/>
      <c r="BD729" s="1"/>
      <c r="BE729" s="1"/>
      <c r="BF729" s="1"/>
      <c r="BG729" s="1"/>
      <c r="BH729" s="1"/>
      <c r="BI729" s="1"/>
      <c r="BJ729" s="1"/>
      <c r="BK729" s="1"/>
    </row>
    <row r="730" spans="1:63" s="44" customFormat="1" ht="12" customHeight="1" x14ac:dyDescent="0.2">
      <c r="A730" s="11" t="s">
        <v>27450</v>
      </c>
      <c r="B730" s="68">
        <v>38</v>
      </c>
      <c r="C730" s="11" t="s">
        <v>20</v>
      </c>
      <c r="D730" s="11" t="s">
        <v>85</v>
      </c>
      <c r="E730" s="60" t="s">
        <v>27451</v>
      </c>
      <c r="F730" s="69">
        <v>42705</v>
      </c>
      <c r="G730" s="11" t="s">
        <v>27452</v>
      </c>
      <c r="H730" s="11" t="s">
        <v>882</v>
      </c>
      <c r="I730" s="11" t="s">
        <v>303</v>
      </c>
      <c r="J730" s="11">
        <v>98404</v>
      </c>
      <c r="K730" s="11" t="s">
        <v>883</v>
      </c>
      <c r="L730" s="11" t="s">
        <v>10938</v>
      </c>
      <c r="M730" s="11" t="s">
        <v>27</v>
      </c>
      <c r="N730" s="11" t="s">
        <v>27453</v>
      </c>
      <c r="O730" s="11" t="s">
        <v>400</v>
      </c>
      <c r="P730" s="11" t="s">
        <v>401</v>
      </c>
      <c r="Q730" s="60" t="s">
        <v>27454</v>
      </c>
      <c r="R730" s="11" t="s">
        <v>100</v>
      </c>
      <c r="S730" s="2" t="s">
        <v>28</v>
      </c>
      <c r="T730" s="68" t="s">
        <v>27756</v>
      </c>
      <c r="U730" s="68" t="s">
        <v>29438</v>
      </c>
      <c r="V730" s="68" t="s">
        <v>29439</v>
      </c>
      <c r="W730" s="68" t="s">
        <v>100</v>
      </c>
      <c r="X730" s="68">
        <v>2091</v>
      </c>
      <c r="Y730" s="11"/>
      <c r="Z730" s="11"/>
      <c r="AA730" s="11"/>
      <c r="AB730" s="11"/>
      <c r="AC730" s="11"/>
      <c r="AD730" s="11"/>
      <c r="AE730" s="11"/>
      <c r="AF730" s="11"/>
      <c r="AG730" s="11"/>
      <c r="AH730" s="11"/>
      <c r="AI730" s="11"/>
      <c r="AJ730" s="11"/>
      <c r="AK730" s="11"/>
      <c r="AL730" s="11"/>
      <c r="AU730" s="11"/>
      <c r="AV730" s="11"/>
      <c r="AZ730" s="11"/>
      <c r="BA730" s="11"/>
      <c r="BB730" s="11"/>
      <c r="BK730" s="70"/>
    </row>
    <row r="731" spans="1:63" s="44" customFormat="1" ht="12" customHeight="1" x14ac:dyDescent="0.2">
      <c r="A731" s="11" t="s">
        <v>27460</v>
      </c>
      <c r="B731" s="11">
        <v>27</v>
      </c>
      <c r="C731" s="11" t="s">
        <v>20</v>
      </c>
      <c r="D731" s="11" t="s">
        <v>48</v>
      </c>
      <c r="E731" s="60" t="s">
        <v>27461</v>
      </c>
      <c r="F731" s="69">
        <v>42705</v>
      </c>
      <c r="G731" s="11" t="s">
        <v>27462</v>
      </c>
      <c r="H731" s="11" t="s">
        <v>561</v>
      </c>
      <c r="I731" s="11" t="s">
        <v>123</v>
      </c>
      <c r="J731" s="11">
        <v>85714</v>
      </c>
      <c r="K731" s="11" t="s">
        <v>562</v>
      </c>
      <c r="L731" s="11" t="s">
        <v>563</v>
      </c>
      <c r="M731" s="11" t="s">
        <v>27</v>
      </c>
      <c r="N731" s="11" t="s">
        <v>27463</v>
      </c>
      <c r="O731" s="11" t="s">
        <v>400</v>
      </c>
      <c r="P731" s="11" t="s">
        <v>401</v>
      </c>
      <c r="Q731" s="60" t="s">
        <v>27464</v>
      </c>
      <c r="R731" s="11" t="s">
        <v>100</v>
      </c>
      <c r="S731" s="44" t="s">
        <v>28</v>
      </c>
      <c r="T731" s="68" t="s">
        <v>27756</v>
      </c>
      <c r="U731" s="68" t="s">
        <v>29438</v>
      </c>
      <c r="V731" s="68"/>
      <c r="W731" s="68" t="s">
        <v>100</v>
      </c>
      <c r="X731" s="68">
        <v>2093</v>
      </c>
      <c r="Y731" s="11"/>
      <c r="Z731" s="11"/>
      <c r="AA731" s="11"/>
      <c r="AB731" s="11"/>
      <c r="AC731" s="11"/>
      <c r="AD731" s="11"/>
      <c r="AE731" s="11"/>
      <c r="AF731" s="11"/>
      <c r="AG731" s="11"/>
      <c r="AH731" s="11"/>
      <c r="AI731" s="11"/>
      <c r="AJ731" s="11"/>
      <c r="AK731" s="11"/>
      <c r="AL731" s="11"/>
      <c r="AU731" s="11"/>
      <c r="AV731" s="11"/>
      <c r="AW731" s="1"/>
      <c r="AX731" s="1"/>
      <c r="AY731" s="1"/>
      <c r="AZ731" s="11"/>
      <c r="BA731" s="11"/>
      <c r="BB731" s="11"/>
      <c r="BC731" s="1"/>
      <c r="BD731" s="1"/>
      <c r="BE731" s="1"/>
      <c r="BF731" s="1"/>
      <c r="BG731" s="1"/>
      <c r="BH731" s="1"/>
      <c r="BI731" s="1"/>
      <c r="BJ731" s="1"/>
      <c r="BK731" s="70"/>
    </row>
    <row r="732" spans="1:63" s="44" customFormat="1" ht="12" customHeight="1" x14ac:dyDescent="0.2">
      <c r="A732" s="11" t="s">
        <v>27455</v>
      </c>
      <c r="B732" s="68">
        <v>83</v>
      </c>
      <c r="C732" s="11" t="s">
        <v>20</v>
      </c>
      <c r="D732" s="11" t="s">
        <v>37</v>
      </c>
      <c r="E732" s="60" t="s">
        <v>27456</v>
      </c>
      <c r="F732" s="69">
        <v>42705</v>
      </c>
      <c r="G732" s="11" t="s">
        <v>27660</v>
      </c>
      <c r="H732" s="11" t="s">
        <v>5367</v>
      </c>
      <c r="I732" s="11" t="s">
        <v>978</v>
      </c>
      <c r="J732" s="11">
        <v>72837</v>
      </c>
      <c r="K732" s="11" t="s">
        <v>6482</v>
      </c>
      <c r="L732" s="11" t="s">
        <v>27457</v>
      </c>
      <c r="M732" s="11" t="s">
        <v>27</v>
      </c>
      <c r="N732" s="11" t="s">
        <v>27458</v>
      </c>
      <c r="O732" s="11" t="s">
        <v>400</v>
      </c>
      <c r="P732" s="11" t="s">
        <v>401</v>
      </c>
      <c r="Q732" s="60" t="s">
        <v>27459</v>
      </c>
      <c r="R732" s="11" t="s">
        <v>100</v>
      </c>
      <c r="S732" s="44" t="s">
        <v>28</v>
      </c>
      <c r="T732" s="68" t="s">
        <v>27756</v>
      </c>
      <c r="U732" s="68" t="s">
        <v>29438</v>
      </c>
      <c r="V732" s="68" t="s">
        <v>29439</v>
      </c>
      <c r="W732" s="68" t="s">
        <v>100</v>
      </c>
      <c r="X732" s="68">
        <v>2095</v>
      </c>
      <c r="Y732" s="11"/>
      <c r="Z732" s="11"/>
      <c r="AA732" s="11"/>
      <c r="AB732" s="11"/>
      <c r="AC732" s="11"/>
      <c r="AD732" s="11"/>
      <c r="AE732" s="11"/>
      <c r="AF732" s="11"/>
      <c r="AG732" s="11"/>
      <c r="AH732" s="11"/>
      <c r="AI732" s="11"/>
      <c r="AJ732" s="11"/>
      <c r="AK732" s="11"/>
      <c r="AL732" s="11"/>
      <c r="AU732" s="11"/>
      <c r="AV732" s="11"/>
      <c r="AW732" s="1"/>
      <c r="AX732" s="1"/>
      <c r="AY732" s="1"/>
      <c r="AZ732" s="11"/>
      <c r="BA732" s="11"/>
      <c r="BB732" s="11"/>
      <c r="BC732" s="1"/>
      <c r="BD732" s="1"/>
      <c r="BE732" s="1"/>
      <c r="BF732" s="1"/>
      <c r="BG732" s="1"/>
      <c r="BH732" s="1"/>
      <c r="BI732" s="1"/>
      <c r="BJ732" s="1"/>
      <c r="BK732" s="70"/>
    </row>
    <row r="733" spans="1:63" s="44" customFormat="1" ht="12" customHeight="1" x14ac:dyDescent="0.2">
      <c r="A733" s="11" t="s">
        <v>27465</v>
      </c>
      <c r="B733" s="68">
        <v>25</v>
      </c>
      <c r="C733" s="11" t="s">
        <v>20</v>
      </c>
      <c r="D733" s="11" t="s">
        <v>85</v>
      </c>
      <c r="E733" s="60" t="s">
        <v>27466</v>
      </c>
      <c r="F733" s="69">
        <v>42704</v>
      </c>
      <c r="G733" s="11" t="s">
        <v>27467</v>
      </c>
      <c r="H733" s="11" t="s">
        <v>430</v>
      </c>
      <c r="I733" s="11" t="s">
        <v>431</v>
      </c>
      <c r="J733" s="11">
        <v>64124</v>
      </c>
      <c r="K733" s="11" t="s">
        <v>433</v>
      </c>
      <c r="L733" s="11" t="s">
        <v>434</v>
      </c>
      <c r="M733" s="11" t="s">
        <v>27</v>
      </c>
      <c r="N733" s="11" t="s">
        <v>27468</v>
      </c>
      <c r="O733" s="11" t="s">
        <v>400</v>
      </c>
      <c r="P733" s="11" t="s">
        <v>401</v>
      </c>
      <c r="Q733" s="60" t="s">
        <v>27469</v>
      </c>
      <c r="R733" s="11" t="s">
        <v>100</v>
      </c>
      <c r="S733" s="44" t="s">
        <v>28</v>
      </c>
      <c r="T733" s="68" t="s">
        <v>27756</v>
      </c>
      <c r="U733" s="68" t="s">
        <v>29436</v>
      </c>
      <c r="V733" s="68" t="s">
        <v>29439</v>
      </c>
      <c r="W733" s="68" t="s">
        <v>100</v>
      </c>
      <c r="X733" s="68">
        <v>2092</v>
      </c>
      <c r="Y733" s="11"/>
      <c r="Z733" s="11"/>
      <c r="AA733" s="11"/>
      <c r="AB733" s="11"/>
      <c r="AC733" s="11"/>
      <c r="AD733" s="11"/>
      <c r="AE733" s="11"/>
      <c r="AF733" s="11"/>
      <c r="AG733" s="11"/>
      <c r="AH733" s="11"/>
      <c r="AI733" s="11"/>
      <c r="AJ733" s="11"/>
      <c r="AK733" s="11"/>
      <c r="AL733" s="11"/>
      <c r="AU733" s="11"/>
      <c r="AV733" s="11"/>
      <c r="AW733" s="11"/>
      <c r="AZ733" s="11"/>
      <c r="BA733" s="11"/>
      <c r="BB733" s="11"/>
      <c r="BK733" s="70"/>
    </row>
    <row r="734" spans="1:63" s="44" customFormat="1" ht="12" customHeight="1" x14ac:dyDescent="0.15">
      <c r="A734" s="11" t="s">
        <v>27470</v>
      </c>
      <c r="B734" s="11">
        <v>74</v>
      </c>
      <c r="C734" s="11" t="s">
        <v>20</v>
      </c>
      <c r="D734" s="11" t="s">
        <v>37</v>
      </c>
      <c r="E734" s="60" t="s">
        <v>27471</v>
      </c>
      <c r="F734" s="72">
        <v>42704</v>
      </c>
      <c r="G734" s="11" t="s">
        <v>27661</v>
      </c>
      <c r="H734" s="11" t="s">
        <v>6179</v>
      </c>
      <c r="I734" s="11" t="s">
        <v>404</v>
      </c>
      <c r="J734" s="11">
        <v>17345</v>
      </c>
      <c r="K734" s="11" t="s">
        <v>1604</v>
      </c>
      <c r="L734" s="11" t="s">
        <v>27472</v>
      </c>
      <c r="M734" s="11" t="s">
        <v>379</v>
      </c>
      <c r="N734" s="11" t="s">
        <v>27473</v>
      </c>
      <c r="O734" s="11" t="s">
        <v>400</v>
      </c>
      <c r="P734" s="11" t="s">
        <v>401</v>
      </c>
      <c r="Q734" s="60" t="s">
        <v>27474</v>
      </c>
      <c r="R734" s="11" t="s">
        <v>100</v>
      </c>
      <c r="S734" s="11" t="s">
        <v>18</v>
      </c>
      <c r="T734" s="11"/>
      <c r="U734" s="11"/>
      <c r="V734" s="11"/>
      <c r="W734" s="11"/>
      <c r="X734" s="11"/>
      <c r="Y734" s="11"/>
      <c r="Z734" s="11"/>
      <c r="AA734" s="11"/>
      <c r="AB734" s="11"/>
      <c r="AC734" s="11"/>
      <c r="AD734" s="11"/>
      <c r="AE734" s="11"/>
      <c r="AF734" s="11"/>
      <c r="AG734" s="11"/>
      <c r="AH734" s="11"/>
      <c r="AI734" s="11"/>
      <c r="AJ734" s="11"/>
      <c r="AK734" s="11"/>
      <c r="AL734" s="11"/>
      <c r="AX734" s="1"/>
      <c r="AY734" s="1"/>
      <c r="AZ734" s="1"/>
      <c r="BA734" s="1"/>
      <c r="BB734" s="1"/>
      <c r="BC734" s="1"/>
      <c r="BD734" s="1"/>
      <c r="BE734" s="1"/>
      <c r="BF734" s="1"/>
      <c r="BG734" s="1"/>
      <c r="BH734" s="1"/>
      <c r="BI734" s="1"/>
      <c r="BJ734" s="1"/>
      <c r="BK734" s="1"/>
    </row>
    <row r="735" spans="1:63" s="44" customFormat="1" ht="12" customHeight="1" x14ac:dyDescent="0.15">
      <c r="A735" s="11" t="s">
        <v>27475</v>
      </c>
      <c r="B735" s="11">
        <v>41</v>
      </c>
      <c r="C735" s="11" t="s">
        <v>20</v>
      </c>
      <c r="D735" s="11" t="s">
        <v>48</v>
      </c>
      <c r="E735" s="60" t="s">
        <v>27476</v>
      </c>
      <c r="F735" s="72">
        <v>42704</v>
      </c>
      <c r="G735" s="11" t="s">
        <v>27477</v>
      </c>
      <c r="H735" s="11" t="s">
        <v>2572</v>
      </c>
      <c r="I735" s="11" t="s">
        <v>45</v>
      </c>
      <c r="J735" s="11">
        <v>95758</v>
      </c>
      <c r="K735" s="11" t="s">
        <v>1642</v>
      </c>
      <c r="L735" s="11" t="s">
        <v>27478</v>
      </c>
      <c r="M735" s="1" t="s">
        <v>391</v>
      </c>
      <c r="N735" s="11" t="s">
        <v>27479</v>
      </c>
      <c r="O735" s="11" t="s">
        <v>400</v>
      </c>
      <c r="P735" s="11" t="s">
        <v>401</v>
      </c>
      <c r="Q735" s="60" t="s">
        <v>27480</v>
      </c>
      <c r="R735" s="11" t="s">
        <v>29</v>
      </c>
      <c r="S735" s="44" t="s">
        <v>18</v>
      </c>
      <c r="T735" s="11"/>
      <c r="U735" s="11"/>
      <c r="V735" s="11"/>
      <c r="W735" s="11"/>
      <c r="X735" s="11"/>
      <c r="Y735" s="11"/>
      <c r="Z735" s="11"/>
      <c r="AA735" s="11"/>
      <c r="AB735" s="11"/>
      <c r="AC735" s="11"/>
      <c r="AD735" s="11"/>
      <c r="AE735" s="11"/>
      <c r="AF735" s="11"/>
      <c r="AG735" s="11"/>
      <c r="AH735" s="11"/>
      <c r="AI735" s="11"/>
      <c r="AJ735" s="11"/>
      <c r="AK735" s="11"/>
      <c r="AL735" s="11"/>
      <c r="AU735" s="11"/>
      <c r="AV735" s="11"/>
      <c r="AW735" s="11"/>
      <c r="AX735" s="1"/>
      <c r="AY735" s="1"/>
      <c r="AZ735" s="1"/>
      <c r="BA735" s="1"/>
      <c r="BB735" s="1"/>
      <c r="BC735" s="1"/>
      <c r="BD735" s="1"/>
      <c r="BE735" s="1"/>
      <c r="BF735" s="1"/>
      <c r="BG735" s="1"/>
      <c r="BH735" s="1"/>
      <c r="BI735" s="1"/>
      <c r="BJ735" s="1"/>
      <c r="BK735" s="1"/>
    </row>
    <row r="736" spans="1:63" s="44" customFormat="1" ht="12" customHeight="1" x14ac:dyDescent="0.15">
      <c r="A736" s="11" t="s">
        <v>27498</v>
      </c>
      <c r="B736" s="68">
        <v>41</v>
      </c>
      <c r="C736" s="11" t="s">
        <v>20</v>
      </c>
      <c r="D736" s="11" t="s">
        <v>37</v>
      </c>
      <c r="E736" s="11"/>
      <c r="F736" s="69">
        <v>42703</v>
      </c>
      <c r="G736" s="11" t="s">
        <v>27499</v>
      </c>
      <c r="H736" s="11" t="s">
        <v>1272</v>
      </c>
      <c r="I736" s="11" t="s">
        <v>46</v>
      </c>
      <c r="J736" s="18">
        <v>1905</v>
      </c>
      <c r="K736" s="18" t="s">
        <v>528</v>
      </c>
      <c r="L736" s="18" t="s">
        <v>1273</v>
      </c>
      <c r="M736" s="11" t="s">
        <v>27</v>
      </c>
      <c r="N736" s="11" t="s">
        <v>29613</v>
      </c>
      <c r="O736" s="11" t="s">
        <v>400</v>
      </c>
      <c r="P736" s="11" t="s">
        <v>401</v>
      </c>
      <c r="Q736" s="60" t="s">
        <v>27500</v>
      </c>
      <c r="R736" s="11" t="s">
        <v>100</v>
      </c>
      <c r="S736" s="2" t="s">
        <v>35</v>
      </c>
      <c r="T736" s="68" t="s">
        <v>27756</v>
      </c>
      <c r="U736" s="68" t="s">
        <v>29436</v>
      </c>
      <c r="V736" s="68" t="s">
        <v>29439</v>
      </c>
      <c r="W736" s="68" t="s">
        <v>100</v>
      </c>
      <c r="X736" s="68">
        <v>2084</v>
      </c>
      <c r="Y736" s="11"/>
      <c r="Z736" s="11"/>
      <c r="AA736" s="11"/>
      <c r="AB736" s="11"/>
      <c r="AC736" s="11"/>
      <c r="AD736" s="11"/>
      <c r="AE736" s="11"/>
      <c r="AF736" s="11"/>
      <c r="AG736" s="11"/>
      <c r="AH736" s="11"/>
      <c r="AI736" s="11"/>
      <c r="AJ736" s="11"/>
      <c r="AK736" s="11"/>
      <c r="AL736" s="11"/>
      <c r="AU736" s="11"/>
      <c r="AV736" s="11"/>
      <c r="AW736" s="1"/>
      <c r="AX736" s="1"/>
      <c r="AY736" s="1"/>
      <c r="AZ736" s="11"/>
      <c r="BA736" s="11"/>
      <c r="BB736" s="11"/>
      <c r="BC736" s="1"/>
      <c r="BD736" s="1"/>
      <c r="BE736" s="1"/>
      <c r="BF736" s="1"/>
      <c r="BG736" s="1"/>
      <c r="BH736" s="1"/>
      <c r="BI736" s="1"/>
      <c r="BJ736" s="1"/>
      <c r="BK736" s="1"/>
    </row>
    <row r="737" spans="1:63" s="44" customFormat="1" ht="12" customHeight="1" x14ac:dyDescent="0.15">
      <c r="A737" s="11" t="s">
        <v>27492</v>
      </c>
      <c r="B737" s="68">
        <v>31</v>
      </c>
      <c r="C737" s="11" t="s">
        <v>20</v>
      </c>
      <c r="D737" s="11" t="s">
        <v>37</v>
      </c>
      <c r="E737" s="60" t="s">
        <v>27493</v>
      </c>
      <c r="F737" s="69">
        <v>42703</v>
      </c>
      <c r="G737" s="11" t="s">
        <v>27494</v>
      </c>
      <c r="H737" s="11" t="s">
        <v>27495</v>
      </c>
      <c r="I737" s="11" t="s">
        <v>32</v>
      </c>
      <c r="J737" s="11">
        <v>29655</v>
      </c>
      <c r="K737" s="11" t="s">
        <v>252</v>
      </c>
      <c r="L737" s="11" t="s">
        <v>5700</v>
      </c>
      <c r="M737" s="11" t="s">
        <v>27</v>
      </c>
      <c r="N737" s="11" t="s">
        <v>27496</v>
      </c>
      <c r="O737" s="11" t="s">
        <v>400</v>
      </c>
      <c r="P737" s="11" t="s">
        <v>401</v>
      </c>
      <c r="Q737" s="60" t="s">
        <v>27497</v>
      </c>
      <c r="R737" s="11" t="s">
        <v>100</v>
      </c>
      <c r="S737" s="44" t="s">
        <v>35</v>
      </c>
      <c r="T737" s="66" t="s">
        <v>29441</v>
      </c>
      <c r="U737" s="68" t="s">
        <v>29436</v>
      </c>
      <c r="V737" s="68" t="s">
        <v>29440</v>
      </c>
      <c r="W737" s="68" t="s">
        <v>100</v>
      </c>
      <c r="X737" s="68">
        <v>2090</v>
      </c>
      <c r="Y737" s="11"/>
      <c r="Z737" s="11"/>
      <c r="AA737" s="11"/>
      <c r="AB737" s="11"/>
      <c r="AC737" s="11"/>
      <c r="AD737" s="11"/>
      <c r="AE737" s="11"/>
      <c r="AF737" s="11"/>
      <c r="AG737" s="11"/>
      <c r="AH737" s="11"/>
      <c r="AI737" s="11"/>
      <c r="AJ737" s="11"/>
      <c r="AK737" s="11"/>
      <c r="AL737" s="11"/>
      <c r="AU737" s="11"/>
      <c r="AV737" s="11"/>
      <c r="AW737" s="11"/>
      <c r="AX737" s="1"/>
      <c r="AY737" s="1"/>
      <c r="AZ737" s="11"/>
      <c r="BA737" s="11"/>
      <c r="BB737" s="11"/>
      <c r="BC737" s="1"/>
      <c r="BD737" s="1"/>
      <c r="BE737" s="1"/>
      <c r="BF737" s="1"/>
      <c r="BG737" s="1"/>
      <c r="BH737" s="1"/>
      <c r="BI737" s="1"/>
      <c r="BJ737" s="1"/>
      <c r="BK737" s="1"/>
    </row>
    <row r="738" spans="1:63" s="44" customFormat="1" ht="12" customHeight="1" x14ac:dyDescent="0.15">
      <c r="A738" s="11" t="s">
        <v>27487</v>
      </c>
      <c r="B738" s="68">
        <v>55</v>
      </c>
      <c r="C738" s="11" t="s">
        <v>20</v>
      </c>
      <c r="D738" s="11" t="s">
        <v>37</v>
      </c>
      <c r="E738" s="60" t="s">
        <v>27488</v>
      </c>
      <c r="F738" s="69">
        <v>42703</v>
      </c>
      <c r="G738" s="11" t="s">
        <v>27662</v>
      </c>
      <c r="H738" s="11" t="s">
        <v>6931</v>
      </c>
      <c r="I738" s="11" t="s">
        <v>73</v>
      </c>
      <c r="J738" s="11">
        <v>77546</v>
      </c>
      <c r="K738" s="11" t="s">
        <v>5282</v>
      </c>
      <c r="L738" s="11" t="s">
        <v>27489</v>
      </c>
      <c r="M738" s="11" t="s">
        <v>27</v>
      </c>
      <c r="N738" s="11" t="s">
        <v>27490</v>
      </c>
      <c r="O738" s="11" t="s">
        <v>400</v>
      </c>
      <c r="P738" s="11" t="s">
        <v>401</v>
      </c>
      <c r="Q738" s="60" t="s">
        <v>27491</v>
      </c>
      <c r="R738" s="11" t="s">
        <v>100</v>
      </c>
      <c r="S738" s="2" t="s">
        <v>35</v>
      </c>
      <c r="T738" s="68" t="s">
        <v>29456</v>
      </c>
      <c r="U738" s="68" t="s">
        <v>29436</v>
      </c>
      <c r="V738" s="68" t="s">
        <v>29437</v>
      </c>
      <c r="W738" s="68" t="s">
        <v>555</v>
      </c>
      <c r="X738" s="68">
        <v>2088</v>
      </c>
      <c r="Y738" s="11"/>
      <c r="Z738" s="11"/>
      <c r="AA738" s="11"/>
      <c r="AB738" s="11"/>
      <c r="AC738" s="11"/>
      <c r="AD738" s="11"/>
      <c r="AE738" s="11"/>
      <c r="AF738" s="11"/>
      <c r="AG738" s="11"/>
      <c r="AH738" s="11"/>
      <c r="AI738" s="11"/>
      <c r="AJ738" s="11"/>
      <c r="AK738" s="11"/>
      <c r="AL738" s="11"/>
      <c r="AU738" s="11"/>
      <c r="AV738" s="11"/>
      <c r="AW738" s="1"/>
      <c r="AX738" s="1"/>
      <c r="AY738" s="1"/>
      <c r="AZ738" s="11"/>
      <c r="BA738" s="11"/>
      <c r="BB738" s="11"/>
      <c r="BC738" s="1"/>
      <c r="BD738" s="1"/>
      <c r="BE738" s="1"/>
      <c r="BF738" s="1"/>
      <c r="BG738" s="1"/>
      <c r="BH738" s="1"/>
      <c r="BI738" s="1"/>
      <c r="BJ738" s="1"/>
      <c r="BK738" s="1"/>
    </row>
    <row r="739" spans="1:63" s="44" customFormat="1" ht="12" customHeight="1" x14ac:dyDescent="0.2">
      <c r="A739" s="11" t="s">
        <v>27481</v>
      </c>
      <c r="B739" s="68">
        <v>29</v>
      </c>
      <c r="C739" s="11" t="s">
        <v>20</v>
      </c>
      <c r="D739" s="11" t="s">
        <v>37</v>
      </c>
      <c r="E739" s="60" t="s">
        <v>27482</v>
      </c>
      <c r="F739" s="69">
        <v>42703</v>
      </c>
      <c r="G739" s="11" t="s">
        <v>27663</v>
      </c>
      <c r="H739" s="11" t="s">
        <v>27483</v>
      </c>
      <c r="I739" s="11" t="s">
        <v>217</v>
      </c>
      <c r="J739" s="11">
        <v>46123</v>
      </c>
      <c r="K739" s="11" t="s">
        <v>14026</v>
      </c>
      <c r="L739" s="11" t="s">
        <v>27484</v>
      </c>
      <c r="M739" s="11" t="s">
        <v>27</v>
      </c>
      <c r="N739" s="11" t="s">
        <v>27485</v>
      </c>
      <c r="O739" s="11" t="s">
        <v>400</v>
      </c>
      <c r="P739" s="11" t="s">
        <v>401</v>
      </c>
      <c r="Q739" s="60" t="s">
        <v>27486</v>
      </c>
      <c r="R739" s="11" t="s">
        <v>555</v>
      </c>
      <c r="S739" s="44" t="s">
        <v>28</v>
      </c>
      <c r="T739" s="68" t="s">
        <v>29493</v>
      </c>
      <c r="U739" s="68" t="s">
        <v>29436</v>
      </c>
      <c r="V739" s="68" t="s">
        <v>29439</v>
      </c>
      <c r="W739" s="68" t="s">
        <v>100</v>
      </c>
      <c r="X739" s="68">
        <v>2089</v>
      </c>
      <c r="Y739" s="11"/>
      <c r="Z739" s="11"/>
      <c r="AA739" s="11"/>
      <c r="AB739" s="11"/>
      <c r="AC739" s="11"/>
      <c r="AD739" s="11"/>
      <c r="AE739" s="11"/>
      <c r="AF739" s="11"/>
      <c r="AG739" s="11"/>
      <c r="AH739" s="11"/>
      <c r="AI739" s="11"/>
      <c r="AJ739" s="11"/>
      <c r="AK739" s="11"/>
      <c r="AL739" s="11"/>
      <c r="AU739" s="11"/>
      <c r="AV739" s="11"/>
      <c r="AX739" s="1"/>
      <c r="AY739" s="1"/>
      <c r="AZ739" s="11"/>
      <c r="BB739" s="11"/>
      <c r="BC739" s="1"/>
      <c r="BD739" s="1"/>
      <c r="BE739" s="1"/>
      <c r="BF739" s="1"/>
      <c r="BG739" s="1"/>
      <c r="BH739" s="1"/>
      <c r="BI739" s="1"/>
      <c r="BJ739" s="1"/>
      <c r="BK739" s="70"/>
    </row>
    <row r="740" spans="1:63" s="44" customFormat="1" ht="12" customHeight="1" x14ac:dyDescent="0.2">
      <c r="A740" s="11" t="s">
        <v>27511</v>
      </c>
      <c r="B740" s="68">
        <v>18</v>
      </c>
      <c r="C740" s="11" t="s">
        <v>20</v>
      </c>
      <c r="D740" s="11" t="s">
        <v>85</v>
      </c>
      <c r="E740" s="60" t="s">
        <v>27512</v>
      </c>
      <c r="F740" s="69">
        <v>42702</v>
      </c>
      <c r="G740" s="11" t="s">
        <v>27513</v>
      </c>
      <c r="H740" s="11" t="s">
        <v>1287</v>
      </c>
      <c r="I740" s="11" t="s">
        <v>69</v>
      </c>
      <c r="J740" s="11">
        <v>43210</v>
      </c>
      <c r="K740" s="11" t="s">
        <v>1288</v>
      </c>
      <c r="L740" s="11" t="s">
        <v>27514</v>
      </c>
      <c r="M740" s="11" t="s">
        <v>27</v>
      </c>
      <c r="N740" s="11" t="s">
        <v>27515</v>
      </c>
      <c r="O740" s="11" t="s">
        <v>400</v>
      </c>
      <c r="P740" s="11" t="s">
        <v>401</v>
      </c>
      <c r="Q740" s="60" t="s">
        <v>27516</v>
      </c>
      <c r="R740" s="11" t="s">
        <v>100</v>
      </c>
      <c r="S740" s="44" t="s">
        <v>28</v>
      </c>
      <c r="T740" s="68" t="s">
        <v>29493</v>
      </c>
      <c r="U740" s="68" t="s">
        <v>29438</v>
      </c>
      <c r="V740" s="68" t="s">
        <v>29439</v>
      </c>
      <c r="W740" s="68" t="s">
        <v>100</v>
      </c>
      <c r="X740" s="68">
        <v>2083</v>
      </c>
      <c r="Y740" s="11"/>
      <c r="Z740" s="11"/>
      <c r="AA740" s="11"/>
      <c r="AB740" s="11"/>
      <c r="AC740" s="11"/>
      <c r="AD740" s="11"/>
      <c r="AE740" s="11"/>
      <c r="AF740" s="11"/>
      <c r="AG740" s="11"/>
      <c r="AH740" s="11"/>
      <c r="AI740" s="11"/>
      <c r="AJ740" s="11"/>
      <c r="AK740" s="11"/>
      <c r="AL740" s="11"/>
      <c r="AU740" s="11"/>
      <c r="AV740" s="11"/>
      <c r="AW740" s="70"/>
      <c r="AZ740" s="11"/>
      <c r="BA740" s="11"/>
      <c r="BB740" s="11"/>
      <c r="BK740" s="70"/>
    </row>
    <row r="741" spans="1:63" s="44" customFormat="1" ht="12" customHeight="1" x14ac:dyDescent="0.2">
      <c r="A741" s="11" t="s">
        <v>27521</v>
      </c>
      <c r="B741" s="68">
        <v>23</v>
      </c>
      <c r="C741" s="11" t="s">
        <v>20</v>
      </c>
      <c r="D741" s="11" t="s">
        <v>48</v>
      </c>
      <c r="E741" s="60" t="s">
        <v>27522</v>
      </c>
      <c r="F741" s="69">
        <v>42702</v>
      </c>
      <c r="G741" s="11" t="s">
        <v>27523</v>
      </c>
      <c r="H741" s="11" t="s">
        <v>98</v>
      </c>
      <c r="I741" s="11" t="s">
        <v>45</v>
      </c>
      <c r="J741" s="11">
        <v>90011</v>
      </c>
      <c r="K741" s="11" t="s">
        <v>98</v>
      </c>
      <c r="L741" s="11" t="s">
        <v>99</v>
      </c>
      <c r="M741" s="11" t="s">
        <v>27</v>
      </c>
      <c r="N741" s="11" t="s">
        <v>27524</v>
      </c>
      <c r="O741" s="11" t="s">
        <v>400</v>
      </c>
      <c r="P741" s="11" t="s">
        <v>401</v>
      </c>
      <c r="Q741" s="60" t="s">
        <v>27525</v>
      </c>
      <c r="R741" s="11" t="s">
        <v>100</v>
      </c>
      <c r="S741" s="2" t="s">
        <v>28</v>
      </c>
      <c r="T741" s="68" t="s">
        <v>27756</v>
      </c>
      <c r="U741" s="68" t="s">
        <v>29441</v>
      </c>
      <c r="V741" s="68" t="s">
        <v>29440</v>
      </c>
      <c r="W741" s="68" t="s">
        <v>100</v>
      </c>
      <c r="X741" s="68">
        <v>2085</v>
      </c>
      <c r="Y741" s="11"/>
      <c r="Z741" s="11"/>
      <c r="AA741" s="11"/>
      <c r="AB741" s="11"/>
      <c r="AC741" s="11"/>
      <c r="AD741" s="11"/>
      <c r="AE741" s="11"/>
      <c r="AF741" s="11"/>
      <c r="AG741" s="11"/>
      <c r="AH741" s="11"/>
      <c r="AI741" s="11"/>
      <c r="AJ741" s="11"/>
      <c r="AK741" s="11"/>
      <c r="AL741" s="11"/>
      <c r="AU741" s="11"/>
      <c r="AV741" s="11"/>
      <c r="AX741" s="1"/>
      <c r="AY741" s="1"/>
      <c r="AZ741" s="11"/>
      <c r="BA741" s="11"/>
      <c r="BB741" s="11"/>
      <c r="BC741" s="1"/>
      <c r="BD741" s="1"/>
      <c r="BE741" s="1"/>
      <c r="BF741" s="1"/>
      <c r="BG741" s="1"/>
      <c r="BH741" s="1"/>
      <c r="BI741" s="1"/>
      <c r="BJ741" s="1"/>
      <c r="BK741" s="70"/>
    </row>
    <row r="742" spans="1:63" s="44" customFormat="1" ht="12" customHeight="1" x14ac:dyDescent="0.15">
      <c r="A742" s="11" t="s">
        <v>27501</v>
      </c>
      <c r="B742" s="11">
        <v>35</v>
      </c>
      <c r="C742" s="11" t="s">
        <v>20</v>
      </c>
      <c r="D742" s="11" t="s">
        <v>85</v>
      </c>
      <c r="E742" s="60" t="s">
        <v>27502</v>
      </c>
      <c r="F742" s="72">
        <v>42702</v>
      </c>
      <c r="G742" s="11" t="s">
        <v>27503</v>
      </c>
      <c r="H742" s="11" t="s">
        <v>27504</v>
      </c>
      <c r="I742" s="11" t="s">
        <v>44</v>
      </c>
      <c r="J742" s="11">
        <v>62206</v>
      </c>
      <c r="K742" s="11" t="s">
        <v>22231</v>
      </c>
      <c r="L742" s="11" t="s">
        <v>25968</v>
      </c>
      <c r="M742" s="11" t="s">
        <v>27</v>
      </c>
      <c r="N742" s="11" t="s">
        <v>27505</v>
      </c>
      <c r="O742" s="11" t="s">
        <v>400</v>
      </c>
      <c r="P742" s="11" t="s">
        <v>401</v>
      </c>
      <c r="Q742" s="60" t="s">
        <v>27506</v>
      </c>
      <c r="R742" s="11" t="s">
        <v>100</v>
      </c>
      <c r="S742" s="44" t="s">
        <v>379</v>
      </c>
      <c r="T742" s="68"/>
      <c r="U742" s="68"/>
      <c r="V742" s="68"/>
      <c r="W742" s="68"/>
      <c r="X742" s="68"/>
      <c r="Y742" s="11"/>
      <c r="Z742" s="11"/>
      <c r="AA742" s="11"/>
      <c r="AB742" s="11"/>
      <c r="AC742" s="11"/>
      <c r="AD742" s="11"/>
      <c r="AE742" s="11"/>
      <c r="AF742" s="11"/>
      <c r="AG742" s="11"/>
      <c r="AH742" s="11"/>
      <c r="AI742" s="11"/>
      <c r="AJ742" s="11"/>
      <c r="AK742" s="11"/>
      <c r="AL742" s="11"/>
      <c r="AU742" s="11"/>
      <c r="AV742" s="11"/>
      <c r="AW742" s="1"/>
      <c r="AZ742" s="1"/>
      <c r="BA742" s="1"/>
      <c r="BB742" s="1"/>
      <c r="BK742" s="11"/>
    </row>
    <row r="743" spans="1:63" s="44" customFormat="1" ht="12" customHeight="1" x14ac:dyDescent="0.15">
      <c r="A743" s="11" t="s">
        <v>27517</v>
      </c>
      <c r="B743" s="68">
        <v>41</v>
      </c>
      <c r="C743" s="11" t="s">
        <v>20</v>
      </c>
      <c r="D743" s="11" t="s">
        <v>85</v>
      </c>
      <c r="E743" s="11"/>
      <c r="F743" s="69">
        <v>42702</v>
      </c>
      <c r="G743" s="11" t="s">
        <v>27664</v>
      </c>
      <c r="H743" s="11" t="s">
        <v>9439</v>
      </c>
      <c r="I743" s="11" t="s">
        <v>366</v>
      </c>
      <c r="J743" s="11">
        <v>28601</v>
      </c>
      <c r="K743" s="11" t="s">
        <v>9441</v>
      </c>
      <c r="L743" s="11" t="s">
        <v>27518</v>
      </c>
      <c r="M743" s="11" t="s">
        <v>27</v>
      </c>
      <c r="N743" s="11" t="s">
        <v>27519</v>
      </c>
      <c r="O743" s="11" t="s">
        <v>400</v>
      </c>
      <c r="P743" s="11" t="s">
        <v>401</v>
      </c>
      <c r="Q743" s="60" t="s">
        <v>27520</v>
      </c>
      <c r="R743" s="11" t="s">
        <v>100</v>
      </c>
      <c r="S743" s="68" t="s">
        <v>379</v>
      </c>
      <c r="T743" s="68" t="s">
        <v>379</v>
      </c>
      <c r="U743" s="68" t="s">
        <v>29436</v>
      </c>
      <c r="V743" s="68" t="s">
        <v>29437</v>
      </c>
      <c r="W743" s="68" t="s">
        <v>100</v>
      </c>
      <c r="X743" s="68">
        <v>2086</v>
      </c>
      <c r="Y743" s="11"/>
      <c r="Z743" s="11"/>
      <c r="AA743" s="11"/>
      <c r="AB743" s="11"/>
      <c r="AC743" s="11"/>
      <c r="AD743" s="11"/>
      <c r="AE743" s="11"/>
      <c r="AF743" s="11"/>
      <c r="AG743" s="11"/>
      <c r="AH743" s="11"/>
      <c r="AI743" s="11"/>
      <c r="AJ743" s="11"/>
      <c r="AK743" s="11"/>
      <c r="AL743" s="11"/>
      <c r="AU743" s="11"/>
      <c r="AV743" s="11"/>
      <c r="AW743" s="1"/>
      <c r="AZ743" s="11"/>
      <c r="BA743" s="11"/>
      <c r="BB743" s="11"/>
      <c r="BK743" s="11"/>
    </row>
    <row r="744" spans="1:63" s="44" customFormat="1" ht="12" customHeight="1" x14ac:dyDescent="0.2">
      <c r="A744" s="11" t="s">
        <v>27507</v>
      </c>
      <c r="B744" s="68">
        <v>33</v>
      </c>
      <c r="C744" s="11" t="s">
        <v>20</v>
      </c>
      <c r="D744" s="11" t="s">
        <v>85</v>
      </c>
      <c r="E744" s="60" t="s">
        <v>27508</v>
      </c>
      <c r="F744" s="69">
        <v>42701</v>
      </c>
      <c r="G744" s="11" t="s">
        <v>27665</v>
      </c>
      <c r="H744" s="11" t="s">
        <v>87</v>
      </c>
      <c r="I744" s="11" t="s">
        <v>44</v>
      </c>
      <c r="J744" s="11">
        <v>60624</v>
      </c>
      <c r="K744" s="11" t="s">
        <v>88</v>
      </c>
      <c r="L744" s="11" t="s">
        <v>89</v>
      </c>
      <c r="M744" s="11" t="s">
        <v>27</v>
      </c>
      <c r="N744" s="11" t="s">
        <v>27509</v>
      </c>
      <c r="O744" s="11" t="s">
        <v>400</v>
      </c>
      <c r="P744" s="11" t="s">
        <v>401</v>
      </c>
      <c r="Q744" s="60" t="s">
        <v>27510</v>
      </c>
      <c r="R744" s="11" t="s">
        <v>100</v>
      </c>
      <c r="S744" s="44" t="s">
        <v>28</v>
      </c>
      <c r="T744" s="68" t="s">
        <v>27756</v>
      </c>
      <c r="U744" s="68" t="s">
        <v>29438</v>
      </c>
      <c r="V744" s="68" t="s">
        <v>29440</v>
      </c>
      <c r="W744" s="68" t="s">
        <v>100</v>
      </c>
      <c r="X744" s="68">
        <v>2081</v>
      </c>
      <c r="Y744" s="11"/>
      <c r="Z744" s="11"/>
      <c r="AA744" s="11"/>
      <c r="AB744" s="11"/>
      <c r="AC744" s="11"/>
      <c r="AD744" s="11"/>
      <c r="AE744" s="11"/>
      <c r="AF744" s="11"/>
      <c r="AG744" s="11"/>
      <c r="AH744" s="11"/>
      <c r="AI744" s="11"/>
      <c r="AJ744" s="11"/>
      <c r="AK744" s="11"/>
      <c r="AL744" s="11"/>
      <c r="AU744" s="11"/>
      <c r="AV744" s="11"/>
      <c r="AW744" s="11"/>
      <c r="AX744" s="11"/>
      <c r="AY744" s="11"/>
      <c r="AZ744" s="11"/>
      <c r="BA744" s="11"/>
      <c r="BB744" s="11"/>
      <c r="BK744" s="70"/>
    </row>
    <row r="745" spans="1:63" s="44" customFormat="1" ht="12" customHeight="1" x14ac:dyDescent="0.2">
      <c r="A745" s="11" t="s">
        <v>27531</v>
      </c>
      <c r="B745" s="68">
        <v>48</v>
      </c>
      <c r="C745" s="11" t="s">
        <v>20</v>
      </c>
      <c r="D745" s="11" t="s">
        <v>85</v>
      </c>
      <c r="E745" s="11"/>
      <c r="F745" s="69">
        <v>42701</v>
      </c>
      <c r="G745" s="11" t="s">
        <v>27532</v>
      </c>
      <c r="H745" s="11" t="s">
        <v>189</v>
      </c>
      <c r="I745" s="11" t="s">
        <v>25</v>
      </c>
      <c r="J745" s="11">
        <v>70809</v>
      </c>
      <c r="K745" s="11" t="s">
        <v>3743</v>
      </c>
      <c r="L745" s="11" t="s">
        <v>21603</v>
      </c>
      <c r="M745" s="11" t="s">
        <v>27</v>
      </c>
      <c r="N745" s="11" t="s">
        <v>27533</v>
      </c>
      <c r="O745" s="11" t="s">
        <v>400</v>
      </c>
      <c r="P745" s="11" t="s">
        <v>401</v>
      </c>
      <c r="Q745" s="60" t="s">
        <v>27534</v>
      </c>
      <c r="R745" s="11" t="s">
        <v>100</v>
      </c>
      <c r="S745" s="44" t="s">
        <v>28</v>
      </c>
      <c r="T745" s="68" t="s">
        <v>27756</v>
      </c>
      <c r="U745" s="68" t="s">
        <v>29438</v>
      </c>
      <c r="V745" s="68" t="s">
        <v>29439</v>
      </c>
      <c r="W745" s="68" t="s">
        <v>100</v>
      </c>
      <c r="X745" s="68">
        <v>2082</v>
      </c>
      <c r="Y745" s="11"/>
      <c r="Z745" s="11"/>
      <c r="AA745" s="11"/>
      <c r="AB745" s="11"/>
      <c r="AC745" s="11"/>
      <c r="AD745" s="11"/>
      <c r="AE745" s="11"/>
      <c r="AF745" s="11"/>
      <c r="AG745" s="11"/>
      <c r="AH745" s="11"/>
      <c r="AI745" s="11"/>
      <c r="AJ745" s="11"/>
      <c r="AK745" s="11"/>
      <c r="AL745" s="11"/>
      <c r="AU745" s="11"/>
      <c r="AV745" s="11"/>
      <c r="AW745" s="1"/>
      <c r="AZ745" s="11"/>
      <c r="BA745" s="11"/>
      <c r="BB745" s="11"/>
      <c r="BK745" s="70"/>
    </row>
    <row r="746" spans="1:63" s="44" customFormat="1" ht="12" customHeight="1" x14ac:dyDescent="0.2">
      <c r="A746" s="11" t="s">
        <v>27526</v>
      </c>
      <c r="B746" s="68">
        <v>59</v>
      </c>
      <c r="C746" s="11" t="s">
        <v>20</v>
      </c>
      <c r="D746" s="11" t="s">
        <v>37</v>
      </c>
      <c r="E746" s="60" t="s">
        <v>27527</v>
      </c>
      <c r="F746" s="69">
        <v>42701</v>
      </c>
      <c r="G746" s="11" t="s">
        <v>27528</v>
      </c>
      <c r="H746" s="11" t="s">
        <v>18904</v>
      </c>
      <c r="I746" s="11" t="s">
        <v>4371</v>
      </c>
      <c r="J746" s="11">
        <v>4055</v>
      </c>
      <c r="K746" s="11" t="s">
        <v>3152</v>
      </c>
      <c r="L746" s="11" t="s">
        <v>6495</v>
      </c>
      <c r="M746" s="11" t="s">
        <v>27</v>
      </c>
      <c r="N746" s="11" t="s">
        <v>27529</v>
      </c>
      <c r="O746" s="11" t="s">
        <v>400</v>
      </c>
      <c r="P746" s="11" t="s">
        <v>401</v>
      </c>
      <c r="Q746" s="60" t="s">
        <v>27530</v>
      </c>
      <c r="R746" s="11" t="s">
        <v>100</v>
      </c>
      <c r="S746" s="44" t="s">
        <v>28</v>
      </c>
      <c r="T746" s="68" t="s">
        <v>27756</v>
      </c>
      <c r="U746" s="68" t="s">
        <v>29438</v>
      </c>
      <c r="V746" s="68" t="s">
        <v>29439</v>
      </c>
      <c r="W746" s="68" t="s">
        <v>100</v>
      </c>
      <c r="X746" s="68">
        <v>2080</v>
      </c>
      <c r="Y746" s="11"/>
      <c r="Z746" s="11"/>
      <c r="AA746" s="11"/>
      <c r="AB746" s="11"/>
      <c r="AC746" s="11"/>
      <c r="AD746" s="11"/>
      <c r="AE746" s="11"/>
      <c r="AF746" s="11"/>
      <c r="AG746" s="11"/>
      <c r="AH746" s="11"/>
      <c r="AI746" s="11"/>
      <c r="AJ746" s="11"/>
      <c r="AK746" s="11"/>
      <c r="AL746" s="11"/>
      <c r="AU746" s="11"/>
      <c r="AV746" s="11"/>
      <c r="AW746" s="1"/>
      <c r="AX746" s="1"/>
      <c r="AY746" s="1"/>
      <c r="AZ746" s="11"/>
      <c r="BA746" s="11"/>
      <c r="BB746" s="11"/>
      <c r="BC746" s="1"/>
      <c r="BD746" s="1"/>
      <c r="BE746" s="1"/>
      <c r="BF746" s="1"/>
      <c r="BG746" s="1"/>
      <c r="BH746" s="1"/>
      <c r="BI746" s="1"/>
      <c r="BJ746" s="1"/>
      <c r="BK746" s="70"/>
    </row>
    <row r="747" spans="1:63" s="44" customFormat="1" ht="12" customHeight="1" x14ac:dyDescent="0.2">
      <c r="A747" s="11" t="s">
        <v>27535</v>
      </c>
      <c r="B747" s="68">
        <v>50</v>
      </c>
      <c r="C747" s="11" t="s">
        <v>20</v>
      </c>
      <c r="D747" s="11" t="s">
        <v>37</v>
      </c>
      <c r="E747" s="11"/>
      <c r="F747" s="69">
        <v>42701</v>
      </c>
      <c r="G747" s="11" t="s">
        <v>27536</v>
      </c>
      <c r="H747" s="11" t="s">
        <v>18320</v>
      </c>
      <c r="I747" s="11" t="s">
        <v>363</v>
      </c>
      <c r="J747" s="11">
        <v>66061</v>
      </c>
      <c r="K747" s="11" t="s">
        <v>3288</v>
      </c>
      <c r="L747" s="11" t="s">
        <v>18322</v>
      </c>
      <c r="M747" s="68" t="s">
        <v>5411</v>
      </c>
      <c r="N747" s="11" t="s">
        <v>27537</v>
      </c>
      <c r="O747" s="11" t="s">
        <v>400</v>
      </c>
      <c r="P747" s="11" t="s">
        <v>401</v>
      </c>
      <c r="Q747" s="60" t="s">
        <v>27538</v>
      </c>
      <c r="R747" s="11" t="s">
        <v>29</v>
      </c>
      <c r="S747" s="44" t="s">
        <v>35</v>
      </c>
      <c r="T747" s="68" t="s">
        <v>29457</v>
      </c>
      <c r="U747" s="68" t="s">
        <v>29438</v>
      </c>
      <c r="V747" s="68" t="s">
        <v>29439</v>
      </c>
      <c r="W747" s="68" t="s">
        <v>100</v>
      </c>
      <c r="X747" s="68">
        <v>2075</v>
      </c>
      <c r="Y747" s="11"/>
      <c r="Z747" s="11"/>
      <c r="AA747" s="11"/>
      <c r="AB747" s="11"/>
      <c r="AC747" s="11"/>
      <c r="AD747" s="11"/>
      <c r="AE747" s="11"/>
      <c r="AF747" s="11"/>
      <c r="AG747" s="11"/>
      <c r="AH747" s="11"/>
      <c r="AI747" s="11"/>
      <c r="AJ747" s="11"/>
      <c r="AK747" s="11"/>
      <c r="AL747" s="11"/>
      <c r="AU747" s="11"/>
      <c r="AV747" s="11"/>
      <c r="AW747" s="1"/>
      <c r="AX747" s="1"/>
      <c r="AY747" s="1"/>
      <c r="AZ747" s="11"/>
      <c r="BA747" s="1"/>
      <c r="BB747" s="70"/>
      <c r="BC747" s="1"/>
      <c r="BD747" s="1"/>
      <c r="BE747" s="1"/>
      <c r="BF747" s="1"/>
      <c r="BG747" s="1"/>
      <c r="BH747" s="1"/>
      <c r="BI747" s="1"/>
      <c r="BJ747" s="1"/>
      <c r="BK747" s="11"/>
    </row>
    <row r="748" spans="1:63" s="44" customFormat="1" ht="12" customHeight="1" x14ac:dyDescent="0.2">
      <c r="A748" s="11" t="s">
        <v>27539</v>
      </c>
      <c r="B748" s="68">
        <v>20</v>
      </c>
      <c r="C748" s="11" t="s">
        <v>20</v>
      </c>
      <c r="D748" s="11" t="s">
        <v>48</v>
      </c>
      <c r="E748" s="60" t="s">
        <v>27540</v>
      </c>
      <c r="F748" s="69">
        <v>42700</v>
      </c>
      <c r="G748" s="11" t="s">
        <v>27541</v>
      </c>
      <c r="H748" s="11" t="s">
        <v>18630</v>
      </c>
      <c r="I748" s="11" t="s">
        <v>123</v>
      </c>
      <c r="J748" s="11">
        <v>85388</v>
      </c>
      <c r="K748" s="11" t="s">
        <v>633</v>
      </c>
      <c r="L748" s="11" t="s">
        <v>18632</v>
      </c>
      <c r="M748" s="11" t="s">
        <v>27</v>
      </c>
      <c r="N748" s="11" t="s">
        <v>27542</v>
      </c>
      <c r="O748" s="11" t="s">
        <v>400</v>
      </c>
      <c r="P748" s="11" t="s">
        <v>401</v>
      </c>
      <c r="Q748" s="60" t="s">
        <v>27543</v>
      </c>
      <c r="R748" s="11" t="s">
        <v>100</v>
      </c>
      <c r="S748" s="44" t="s">
        <v>35</v>
      </c>
      <c r="T748" s="66" t="s">
        <v>29441</v>
      </c>
      <c r="U748" s="68" t="s">
        <v>29438</v>
      </c>
      <c r="V748" s="68" t="s">
        <v>29437</v>
      </c>
      <c r="W748" s="68" t="s">
        <v>100</v>
      </c>
      <c r="X748" s="68">
        <v>2077</v>
      </c>
      <c r="Y748" s="11"/>
      <c r="Z748" s="11"/>
      <c r="AA748" s="11"/>
      <c r="AB748" s="11"/>
      <c r="AC748" s="11"/>
      <c r="AD748" s="11"/>
      <c r="AE748" s="11"/>
      <c r="AF748" s="11"/>
      <c r="AG748" s="11"/>
      <c r="AH748" s="11"/>
      <c r="AI748" s="11"/>
      <c r="AJ748" s="11"/>
      <c r="AK748" s="11"/>
      <c r="AL748" s="11"/>
      <c r="AU748" s="11"/>
      <c r="AV748" s="11"/>
      <c r="AW748" s="70"/>
      <c r="AX748" s="1"/>
      <c r="AY748" s="1"/>
      <c r="AZ748" s="11"/>
      <c r="BA748" s="11"/>
      <c r="BB748" s="11"/>
      <c r="BC748" s="1"/>
      <c r="BD748" s="1"/>
      <c r="BE748" s="1"/>
      <c r="BF748" s="1"/>
      <c r="BG748" s="1"/>
      <c r="BH748" s="1"/>
      <c r="BI748" s="1"/>
      <c r="BJ748" s="1"/>
      <c r="BK748" s="1"/>
    </row>
    <row r="749" spans="1:63" s="44" customFormat="1" ht="12" customHeight="1" x14ac:dyDescent="0.2">
      <c r="A749" s="11" t="s">
        <v>27544</v>
      </c>
      <c r="B749" s="68">
        <v>37</v>
      </c>
      <c r="C749" s="11" t="s">
        <v>20</v>
      </c>
      <c r="D749" s="11" t="s">
        <v>85</v>
      </c>
      <c r="E749" s="60" t="s">
        <v>27545</v>
      </c>
      <c r="F749" s="69">
        <v>42699</v>
      </c>
      <c r="G749" s="11" t="s">
        <v>27546</v>
      </c>
      <c r="H749" s="11" t="s">
        <v>87</v>
      </c>
      <c r="I749" s="11" t="s">
        <v>44</v>
      </c>
      <c r="J749" s="11">
        <v>60624</v>
      </c>
      <c r="K749" s="11" t="s">
        <v>88</v>
      </c>
      <c r="L749" s="11" t="s">
        <v>89</v>
      </c>
      <c r="M749" s="11" t="s">
        <v>27</v>
      </c>
      <c r="N749" s="11" t="s">
        <v>27547</v>
      </c>
      <c r="O749" s="11" t="s">
        <v>400</v>
      </c>
      <c r="P749" s="11" t="s">
        <v>401</v>
      </c>
      <c r="Q749" s="60" t="s">
        <v>27548</v>
      </c>
      <c r="R749" s="11" t="s">
        <v>100</v>
      </c>
      <c r="S749" s="44" t="s">
        <v>28</v>
      </c>
      <c r="T749" s="68" t="s">
        <v>27756</v>
      </c>
      <c r="U749" s="68" t="s">
        <v>29438</v>
      </c>
      <c r="V749" s="68"/>
      <c r="W749" s="68" t="s">
        <v>100</v>
      </c>
      <c r="X749" s="68">
        <v>2071</v>
      </c>
      <c r="Y749" s="11"/>
      <c r="Z749" s="11"/>
      <c r="AA749" s="11"/>
      <c r="AB749" s="11"/>
      <c r="AC749" s="11"/>
      <c r="AD749" s="11"/>
      <c r="AE749" s="11"/>
      <c r="AF749" s="11"/>
      <c r="AG749" s="11"/>
      <c r="AH749" s="11"/>
      <c r="AI749" s="11"/>
      <c r="AJ749" s="11"/>
      <c r="AK749" s="11"/>
      <c r="AL749" s="11"/>
      <c r="AU749" s="11"/>
      <c r="AV749" s="11"/>
      <c r="AZ749" s="11"/>
      <c r="BA749" s="11"/>
      <c r="BB749" s="11"/>
      <c r="BK749" s="70"/>
    </row>
    <row r="750" spans="1:63" s="11" customFormat="1" ht="12" customHeight="1" x14ac:dyDescent="0.2">
      <c r="A750" s="11" t="s">
        <v>27549</v>
      </c>
      <c r="B750" s="68">
        <v>23</v>
      </c>
      <c r="C750" s="11" t="s">
        <v>20</v>
      </c>
      <c r="D750" s="11" t="s">
        <v>85</v>
      </c>
      <c r="F750" s="69">
        <v>42699</v>
      </c>
      <c r="G750" s="11" t="s">
        <v>27550</v>
      </c>
      <c r="H750" s="11" t="s">
        <v>7486</v>
      </c>
      <c r="I750" s="11" t="s">
        <v>669</v>
      </c>
      <c r="J750" s="11">
        <v>39401</v>
      </c>
      <c r="K750" s="11" t="s">
        <v>27551</v>
      </c>
      <c r="L750" s="11" t="s">
        <v>27552</v>
      </c>
      <c r="M750" s="11" t="s">
        <v>27</v>
      </c>
      <c r="N750" s="11" t="s">
        <v>27553</v>
      </c>
      <c r="O750" s="11" t="s">
        <v>400</v>
      </c>
      <c r="P750" s="11" t="s">
        <v>401</v>
      </c>
      <c r="Q750" s="60" t="s">
        <v>27554</v>
      </c>
      <c r="R750" s="11" t="s">
        <v>100</v>
      </c>
      <c r="S750" s="44" t="s">
        <v>28</v>
      </c>
      <c r="T750" s="68" t="s">
        <v>27756</v>
      </c>
      <c r="U750" s="68" t="s">
        <v>29438</v>
      </c>
      <c r="V750" s="68" t="s">
        <v>21212</v>
      </c>
      <c r="W750" s="68" t="s">
        <v>100</v>
      </c>
      <c r="X750" s="68">
        <v>2078</v>
      </c>
      <c r="AM750" s="44"/>
      <c r="AN750" s="44"/>
      <c r="AO750" s="44"/>
      <c r="AP750" s="44"/>
      <c r="AQ750" s="44"/>
      <c r="AR750" s="44"/>
      <c r="AS750" s="44"/>
      <c r="AT750" s="44"/>
      <c r="AW750" s="44"/>
      <c r="AX750" s="44"/>
      <c r="AY750" s="44"/>
      <c r="BC750" s="44"/>
      <c r="BD750" s="44"/>
      <c r="BE750" s="44"/>
      <c r="BF750" s="44"/>
      <c r="BG750" s="44"/>
      <c r="BH750" s="44"/>
      <c r="BI750" s="44"/>
      <c r="BJ750" s="44"/>
      <c r="BK750" s="70"/>
    </row>
    <row r="751" spans="1:63" s="11" customFormat="1" ht="12" customHeight="1" x14ac:dyDescent="0.15">
      <c r="A751" s="11" t="s">
        <v>27555</v>
      </c>
      <c r="B751" s="68">
        <v>26</v>
      </c>
      <c r="C751" s="11" t="s">
        <v>20</v>
      </c>
      <c r="D751" s="11" t="s">
        <v>48</v>
      </c>
      <c r="E751" s="60" t="s">
        <v>27556</v>
      </c>
      <c r="F751" s="69">
        <v>42699</v>
      </c>
      <c r="G751" s="11" t="s">
        <v>27557</v>
      </c>
      <c r="H751" s="11" t="s">
        <v>561</v>
      </c>
      <c r="I751" s="11" t="s">
        <v>123</v>
      </c>
      <c r="J751" s="11">
        <v>85713</v>
      </c>
      <c r="K751" s="11" t="s">
        <v>562</v>
      </c>
      <c r="L751" s="11" t="s">
        <v>6767</v>
      </c>
      <c r="M751" s="11" t="s">
        <v>27</v>
      </c>
      <c r="N751" s="11" t="s">
        <v>27558</v>
      </c>
      <c r="O751" s="11" t="s">
        <v>400</v>
      </c>
      <c r="P751" s="11" t="s">
        <v>401</v>
      </c>
      <c r="Q751" s="60" t="s">
        <v>27559</v>
      </c>
      <c r="R751" s="11" t="s">
        <v>555</v>
      </c>
      <c r="S751" s="13" t="s">
        <v>18</v>
      </c>
      <c r="T751" s="68" t="s">
        <v>28345</v>
      </c>
      <c r="U751" s="68" t="s">
        <v>29436</v>
      </c>
      <c r="V751" s="68" t="s">
        <v>29439</v>
      </c>
      <c r="W751" s="68" t="s">
        <v>555</v>
      </c>
      <c r="X751" s="68">
        <v>2142</v>
      </c>
      <c r="AM751" s="44"/>
      <c r="AN751" s="44"/>
      <c r="AO751" s="44"/>
      <c r="AP751" s="44"/>
      <c r="AQ751" s="44"/>
      <c r="AR751" s="44"/>
      <c r="AS751" s="44"/>
      <c r="AT751" s="44"/>
      <c r="AW751" s="44"/>
      <c r="AX751" s="1"/>
      <c r="AY751" s="1"/>
      <c r="BA751" s="1"/>
      <c r="BB751" s="1"/>
      <c r="BC751" s="1"/>
      <c r="BD751" s="1"/>
      <c r="BE751" s="1"/>
      <c r="BF751" s="1"/>
      <c r="BG751" s="1"/>
      <c r="BH751" s="1"/>
      <c r="BI751" s="1"/>
      <c r="BJ751" s="1"/>
      <c r="BK751" s="1"/>
    </row>
    <row r="752" spans="1:63" s="11" customFormat="1" ht="12" customHeight="1" x14ac:dyDescent="0.2">
      <c r="A752" s="11" t="s">
        <v>27560</v>
      </c>
      <c r="B752" s="11">
        <v>17</v>
      </c>
      <c r="C752" s="11" t="s">
        <v>20</v>
      </c>
      <c r="D752" s="11" t="s">
        <v>30</v>
      </c>
      <c r="F752" s="72">
        <v>42698</v>
      </c>
      <c r="G752" s="11" t="s">
        <v>27561</v>
      </c>
      <c r="H752" s="11" t="s">
        <v>18752</v>
      </c>
      <c r="I752" s="11" t="s">
        <v>45</v>
      </c>
      <c r="J752" s="11">
        <v>95608</v>
      </c>
      <c r="K752" s="11" t="s">
        <v>1642</v>
      </c>
      <c r="L752" s="11" t="s">
        <v>11379</v>
      </c>
      <c r="M752" s="11" t="s">
        <v>27</v>
      </c>
      <c r="N752" s="11" t="s">
        <v>27562</v>
      </c>
      <c r="O752" s="11" t="s">
        <v>400</v>
      </c>
      <c r="P752" s="11" t="s">
        <v>401</v>
      </c>
      <c r="Q752" s="60" t="s">
        <v>27563</v>
      </c>
      <c r="R752" s="11" t="s">
        <v>29</v>
      </c>
      <c r="S752" s="11" t="s">
        <v>28</v>
      </c>
      <c r="T752" s="68"/>
      <c r="U752" s="68"/>
      <c r="V752" s="68"/>
      <c r="W752" s="68"/>
      <c r="X752" s="68"/>
      <c r="AM752" s="44"/>
      <c r="AN752" s="44"/>
      <c r="AO752" s="44"/>
      <c r="AP752" s="44"/>
      <c r="AQ752" s="44"/>
      <c r="AR752" s="44"/>
      <c r="AS752" s="44"/>
      <c r="AT752" s="44"/>
      <c r="AW752" s="1"/>
      <c r="AX752" s="1"/>
      <c r="AY752" s="1"/>
      <c r="AZ752" s="1"/>
      <c r="BA752" s="1"/>
      <c r="BB752" s="1"/>
      <c r="BC752" s="1"/>
      <c r="BD752" s="1"/>
      <c r="BE752" s="1"/>
      <c r="BF752" s="1"/>
      <c r="BG752" s="1"/>
      <c r="BH752" s="1"/>
      <c r="BI752" s="1"/>
      <c r="BJ752" s="1"/>
      <c r="BK752" s="70"/>
    </row>
    <row r="753" spans="1:63" s="11" customFormat="1" ht="12" customHeight="1" x14ac:dyDescent="0.2">
      <c r="A753" s="11" t="s">
        <v>27564</v>
      </c>
      <c r="B753" s="68">
        <v>45</v>
      </c>
      <c r="C753" s="11" t="s">
        <v>20</v>
      </c>
      <c r="D753" s="11" t="s">
        <v>30</v>
      </c>
      <c r="F753" s="69">
        <v>42698</v>
      </c>
      <c r="G753" s="11" t="s">
        <v>27565</v>
      </c>
      <c r="H753" s="11" t="s">
        <v>433</v>
      </c>
      <c r="I753" s="11" t="s">
        <v>319</v>
      </c>
      <c r="J753" s="11">
        <v>38301</v>
      </c>
      <c r="K753" s="11" t="s">
        <v>2160</v>
      </c>
      <c r="L753" s="11" t="s">
        <v>6223</v>
      </c>
      <c r="M753" s="11" t="s">
        <v>27</v>
      </c>
      <c r="N753" s="11" t="s">
        <v>27566</v>
      </c>
      <c r="O753" s="11" t="s">
        <v>400</v>
      </c>
      <c r="P753" s="11" t="s">
        <v>401</v>
      </c>
      <c r="Q753" s="60" t="s">
        <v>27567</v>
      </c>
      <c r="R753" s="68" t="s">
        <v>555</v>
      </c>
      <c r="S753" s="44" t="s">
        <v>28</v>
      </c>
      <c r="T753" s="68" t="s">
        <v>29493</v>
      </c>
      <c r="U753" s="68" t="s">
        <v>29438</v>
      </c>
      <c r="V753" s="68" t="s">
        <v>29439</v>
      </c>
      <c r="W753" s="68" t="s">
        <v>100</v>
      </c>
      <c r="X753" s="68">
        <v>2074</v>
      </c>
      <c r="AM753" s="44"/>
      <c r="AN753" s="44"/>
      <c r="AO753" s="44"/>
      <c r="AP753" s="44"/>
      <c r="AQ753" s="44"/>
      <c r="AR753" s="44"/>
      <c r="AS753" s="44"/>
      <c r="AT753" s="44"/>
      <c r="AW753" s="1"/>
      <c r="AX753" s="1"/>
      <c r="AY753" s="1"/>
      <c r="BA753" s="70"/>
      <c r="BC753" s="1"/>
      <c r="BD753" s="1"/>
      <c r="BE753" s="1"/>
      <c r="BF753" s="1"/>
      <c r="BG753" s="1"/>
      <c r="BH753" s="1"/>
      <c r="BI753" s="1"/>
      <c r="BJ753" s="1"/>
      <c r="BK753" s="70"/>
    </row>
    <row r="754" spans="1:63" s="11" customFormat="1" ht="12" customHeight="1" x14ac:dyDescent="0.2">
      <c r="A754" s="11" t="s">
        <v>27573</v>
      </c>
      <c r="B754" s="68">
        <v>43</v>
      </c>
      <c r="C754" s="11" t="s">
        <v>20</v>
      </c>
      <c r="D754" s="11" t="s">
        <v>37</v>
      </c>
      <c r="F754" s="69">
        <v>42697</v>
      </c>
      <c r="G754" s="11" t="s">
        <v>27574</v>
      </c>
      <c r="H754" s="11" t="s">
        <v>13437</v>
      </c>
      <c r="I754" s="11" t="s">
        <v>62</v>
      </c>
      <c r="J754" s="11">
        <v>33714</v>
      </c>
      <c r="K754" s="11" t="s">
        <v>2309</v>
      </c>
      <c r="L754" s="11" t="s">
        <v>9832</v>
      </c>
      <c r="M754" s="11" t="s">
        <v>27</v>
      </c>
      <c r="N754" s="11" t="s">
        <v>27575</v>
      </c>
      <c r="O754" s="11" t="s">
        <v>400</v>
      </c>
      <c r="P754" s="11" t="s">
        <v>401</v>
      </c>
      <c r="Q754" s="60" t="s">
        <v>27576</v>
      </c>
      <c r="R754" s="11" t="s">
        <v>964</v>
      </c>
      <c r="S754" s="44" t="s">
        <v>28</v>
      </c>
      <c r="T754" s="68" t="s">
        <v>29493</v>
      </c>
      <c r="U754" s="68" t="s">
        <v>29436</v>
      </c>
      <c r="V754" s="68" t="s">
        <v>29439</v>
      </c>
      <c r="W754" s="68" t="s">
        <v>100</v>
      </c>
      <c r="X754" s="68">
        <v>2069</v>
      </c>
      <c r="AM754" s="44"/>
      <c r="AN754" s="44"/>
      <c r="AO754" s="44"/>
      <c r="AP754" s="44"/>
      <c r="AQ754" s="44"/>
      <c r="AR754" s="44"/>
      <c r="AS754" s="44"/>
      <c r="AT754" s="44"/>
      <c r="AW754" s="1"/>
      <c r="AX754" s="1"/>
      <c r="AY754" s="1"/>
      <c r="BA754" s="44"/>
      <c r="BB754" s="44"/>
      <c r="BC754" s="1"/>
      <c r="BD754" s="1"/>
      <c r="BE754" s="1"/>
      <c r="BF754" s="1"/>
      <c r="BG754" s="1"/>
      <c r="BH754" s="1"/>
      <c r="BI754" s="1"/>
      <c r="BJ754" s="1"/>
      <c r="BK754" s="70"/>
    </row>
    <row r="755" spans="1:63" s="11" customFormat="1" ht="12" customHeight="1" x14ac:dyDescent="0.2">
      <c r="A755" s="11" t="s">
        <v>27577</v>
      </c>
      <c r="B755" s="68">
        <v>43</v>
      </c>
      <c r="C755" s="11" t="s">
        <v>20</v>
      </c>
      <c r="D755" s="11" t="s">
        <v>37</v>
      </c>
      <c r="F755" s="69">
        <v>42697</v>
      </c>
      <c r="G755" s="11" t="s">
        <v>27578</v>
      </c>
      <c r="H755" s="11" t="s">
        <v>17246</v>
      </c>
      <c r="I755" s="11" t="s">
        <v>57</v>
      </c>
      <c r="J755" s="11">
        <v>49424</v>
      </c>
      <c r="K755" s="11" t="s">
        <v>7694</v>
      </c>
      <c r="L755" s="11" t="s">
        <v>27579</v>
      </c>
      <c r="M755" s="11" t="s">
        <v>27</v>
      </c>
      <c r="N755" s="11" t="s">
        <v>27580</v>
      </c>
      <c r="O755" s="11" t="s">
        <v>400</v>
      </c>
      <c r="P755" s="11" t="s">
        <v>401</v>
      </c>
      <c r="Q755" s="60" t="s">
        <v>27581</v>
      </c>
      <c r="R755" s="11" t="s">
        <v>100</v>
      </c>
      <c r="S755" s="44" t="s">
        <v>28</v>
      </c>
      <c r="T755" s="68" t="s">
        <v>29493</v>
      </c>
      <c r="U755" s="68" t="s">
        <v>29436</v>
      </c>
      <c r="V755" s="68" t="s">
        <v>29439</v>
      </c>
      <c r="W755" s="68" t="s">
        <v>100</v>
      </c>
      <c r="X755" s="68">
        <v>2070</v>
      </c>
      <c r="AM755" s="44"/>
      <c r="AN755" s="44"/>
      <c r="AO755" s="44"/>
      <c r="AP755" s="44"/>
      <c r="AQ755" s="44"/>
      <c r="AR755" s="44"/>
      <c r="AS755" s="44"/>
      <c r="AT755" s="44"/>
      <c r="AW755" s="1"/>
      <c r="AX755" s="1"/>
      <c r="AY755" s="1"/>
      <c r="BC755" s="1"/>
      <c r="BD755" s="1"/>
      <c r="BE755" s="1"/>
      <c r="BF755" s="1"/>
      <c r="BG755" s="1"/>
      <c r="BH755" s="1"/>
      <c r="BI755" s="1"/>
      <c r="BJ755" s="1"/>
      <c r="BK755" s="70"/>
    </row>
    <row r="756" spans="1:63" s="11" customFormat="1" ht="12" customHeight="1" x14ac:dyDescent="0.2">
      <c r="A756" s="11" t="s">
        <v>27568</v>
      </c>
      <c r="B756" s="68">
        <v>19</v>
      </c>
      <c r="C756" s="11" t="s">
        <v>20</v>
      </c>
      <c r="D756" s="11" t="s">
        <v>85</v>
      </c>
      <c r="E756" s="60" t="s">
        <v>27569</v>
      </c>
      <c r="F756" s="69">
        <v>42697</v>
      </c>
      <c r="G756" s="11" t="s">
        <v>27570</v>
      </c>
      <c r="H756" s="11" t="s">
        <v>87</v>
      </c>
      <c r="I756" s="11" t="s">
        <v>44</v>
      </c>
      <c r="J756" s="11">
        <v>60636</v>
      </c>
      <c r="K756" s="11" t="s">
        <v>88</v>
      </c>
      <c r="L756" s="11" t="s">
        <v>89</v>
      </c>
      <c r="M756" s="11" t="s">
        <v>27</v>
      </c>
      <c r="N756" s="11" t="s">
        <v>27571</v>
      </c>
      <c r="O756" s="11" t="s">
        <v>400</v>
      </c>
      <c r="P756" s="11" t="s">
        <v>401</v>
      </c>
      <c r="Q756" s="60" t="s">
        <v>27572</v>
      </c>
      <c r="R756" s="11" t="s">
        <v>100</v>
      </c>
      <c r="S756" s="11" t="s">
        <v>35</v>
      </c>
      <c r="T756" s="66" t="s">
        <v>29441</v>
      </c>
      <c r="U756" s="68" t="s">
        <v>29441</v>
      </c>
      <c r="V756" s="68" t="s">
        <v>29440</v>
      </c>
      <c r="W756" s="68" t="s">
        <v>100</v>
      </c>
      <c r="X756" s="68">
        <v>2073</v>
      </c>
      <c r="AM756" s="44"/>
      <c r="AN756" s="44"/>
      <c r="AO756" s="44"/>
      <c r="AP756" s="44"/>
      <c r="AQ756" s="44"/>
      <c r="AR756" s="44"/>
      <c r="AS756" s="44"/>
      <c r="AT756" s="44"/>
      <c r="AW756" s="70"/>
      <c r="AX756" s="70"/>
      <c r="AY756" s="70"/>
      <c r="BC756" s="44"/>
      <c r="BD756" s="44"/>
      <c r="BE756" s="44"/>
      <c r="BF756" s="44"/>
      <c r="BG756" s="44"/>
      <c r="BH756" s="44"/>
      <c r="BI756" s="44"/>
      <c r="BJ756" s="44"/>
      <c r="BK756" s="1"/>
    </row>
    <row r="757" spans="1:63" s="11" customFormat="1" ht="12" customHeight="1" x14ac:dyDescent="0.2">
      <c r="A757" s="11" t="s">
        <v>27587</v>
      </c>
      <c r="B757" s="68">
        <v>23</v>
      </c>
      <c r="C757" s="11" t="s">
        <v>20</v>
      </c>
      <c r="D757" s="11" t="s">
        <v>85</v>
      </c>
      <c r="F757" s="69">
        <v>42696</v>
      </c>
      <c r="G757" s="11" t="s">
        <v>27588</v>
      </c>
      <c r="H757" s="11" t="s">
        <v>526</v>
      </c>
      <c r="I757" s="11" t="s">
        <v>81</v>
      </c>
      <c r="J757" s="11">
        <v>7106</v>
      </c>
      <c r="K757" s="11" t="s">
        <v>528</v>
      </c>
      <c r="L757" s="11" t="s">
        <v>529</v>
      </c>
      <c r="M757" s="11" t="s">
        <v>27</v>
      </c>
      <c r="N757" s="11" t="s">
        <v>27589</v>
      </c>
      <c r="O757" s="11" t="s">
        <v>400</v>
      </c>
      <c r="P757" s="11" t="s">
        <v>401</v>
      </c>
      <c r="Q757" s="60" t="s">
        <v>27590</v>
      </c>
      <c r="R757" s="11" t="s">
        <v>100</v>
      </c>
      <c r="S757" s="44" t="s">
        <v>28</v>
      </c>
      <c r="T757" s="68" t="s">
        <v>27756</v>
      </c>
      <c r="U757" s="68" t="s">
        <v>29438</v>
      </c>
      <c r="V757" s="68" t="s">
        <v>29439</v>
      </c>
      <c r="W757" s="68" t="s">
        <v>100</v>
      </c>
      <c r="X757" s="68">
        <v>2068</v>
      </c>
      <c r="AM757" s="44"/>
      <c r="AN757" s="44"/>
      <c r="AO757" s="44"/>
      <c r="AP757" s="44"/>
      <c r="AQ757" s="44"/>
      <c r="AR757" s="44"/>
      <c r="AS757" s="44"/>
      <c r="AT757" s="44"/>
      <c r="AW757" s="44"/>
      <c r="AX757" s="44"/>
      <c r="AY757" s="44"/>
      <c r="BC757" s="44"/>
      <c r="BD757" s="44"/>
      <c r="BE757" s="44"/>
      <c r="BF757" s="44"/>
      <c r="BG757" s="44"/>
      <c r="BH757" s="44"/>
      <c r="BI757" s="44"/>
      <c r="BJ757" s="44"/>
      <c r="BK757" s="70"/>
    </row>
    <row r="758" spans="1:63" s="11" customFormat="1" ht="12" customHeight="1" x14ac:dyDescent="0.2">
      <c r="A758" s="11" t="s">
        <v>27582</v>
      </c>
      <c r="B758" s="68">
        <v>36</v>
      </c>
      <c r="C758" s="11" t="s">
        <v>20</v>
      </c>
      <c r="D758" s="11" t="s">
        <v>85</v>
      </c>
      <c r="E758" s="60" t="s">
        <v>27583</v>
      </c>
      <c r="F758" s="69">
        <v>42696</v>
      </c>
      <c r="G758" s="11" t="s">
        <v>27584</v>
      </c>
      <c r="H758" s="11" t="s">
        <v>3160</v>
      </c>
      <c r="I758" s="11" t="s">
        <v>73</v>
      </c>
      <c r="J758" s="11">
        <v>77521</v>
      </c>
      <c r="K758" s="11" t="s">
        <v>558</v>
      </c>
      <c r="L758" s="11" t="s">
        <v>1689</v>
      </c>
      <c r="M758" s="11" t="s">
        <v>27</v>
      </c>
      <c r="N758" s="11" t="s">
        <v>27585</v>
      </c>
      <c r="O758" s="11" t="s">
        <v>400</v>
      </c>
      <c r="P758" s="11" t="s">
        <v>401</v>
      </c>
      <c r="Q758" s="60" t="s">
        <v>27586</v>
      </c>
      <c r="R758" s="11" t="s">
        <v>100</v>
      </c>
      <c r="S758" s="44" t="s">
        <v>28</v>
      </c>
      <c r="T758" s="68" t="s">
        <v>27756</v>
      </c>
      <c r="U758" s="68" t="s">
        <v>29436</v>
      </c>
      <c r="V758" s="68" t="s">
        <v>29437</v>
      </c>
      <c r="W758" s="68" t="s">
        <v>100</v>
      </c>
      <c r="X758" s="68">
        <v>2066</v>
      </c>
      <c r="AM758" s="44"/>
      <c r="AN758" s="44"/>
      <c r="AO758" s="44"/>
      <c r="AP758" s="44"/>
      <c r="AQ758" s="44"/>
      <c r="AR758" s="44"/>
      <c r="AS758" s="44"/>
      <c r="AT758" s="44"/>
      <c r="BC758" s="44"/>
      <c r="BD758" s="44"/>
      <c r="BE758" s="44"/>
      <c r="BF758" s="44"/>
      <c r="BG758" s="44"/>
      <c r="BH758" s="44"/>
      <c r="BI758" s="44"/>
      <c r="BJ758" s="44"/>
      <c r="BK758" s="70"/>
    </row>
    <row r="759" spans="1:63" s="11" customFormat="1" ht="12" customHeight="1" x14ac:dyDescent="0.2">
      <c r="A759" s="11" t="s">
        <v>27606</v>
      </c>
      <c r="B759" s="11">
        <v>17</v>
      </c>
      <c r="C759" s="11" t="s">
        <v>20</v>
      </c>
      <c r="D759" s="11" t="s">
        <v>85</v>
      </c>
      <c r="F759" s="72">
        <v>42696</v>
      </c>
      <c r="G759" s="11" t="s">
        <v>27607</v>
      </c>
      <c r="H759" s="11" t="s">
        <v>27608</v>
      </c>
      <c r="I759" s="11" t="s">
        <v>73</v>
      </c>
      <c r="J759" s="11">
        <v>77380</v>
      </c>
      <c r="K759" s="11" t="s">
        <v>1056</v>
      </c>
      <c r="L759" s="11" t="s">
        <v>20458</v>
      </c>
      <c r="M759" s="11" t="s">
        <v>27</v>
      </c>
      <c r="N759" s="11" t="s">
        <v>27609</v>
      </c>
      <c r="O759" s="11" t="s">
        <v>400</v>
      </c>
      <c r="P759" s="11" t="s">
        <v>401</v>
      </c>
      <c r="Q759" s="60" t="s">
        <v>27610</v>
      </c>
      <c r="R759" s="11" t="s">
        <v>100</v>
      </c>
      <c r="S759" s="44" t="s">
        <v>28</v>
      </c>
      <c r="T759" s="68"/>
      <c r="U759" s="68"/>
      <c r="V759" s="68"/>
      <c r="W759" s="68"/>
      <c r="X759" s="68"/>
      <c r="AM759" s="44"/>
      <c r="AN759" s="44"/>
      <c r="AO759" s="44"/>
      <c r="AP759" s="44"/>
      <c r="AQ759" s="44"/>
      <c r="AR759" s="44"/>
      <c r="AS759" s="44"/>
      <c r="AT759" s="44"/>
      <c r="AW759" s="1"/>
      <c r="AX759" s="44"/>
      <c r="AY759" s="44"/>
      <c r="AZ759" s="1"/>
      <c r="BA759" s="1"/>
      <c r="BB759" s="1"/>
      <c r="BC759" s="44"/>
      <c r="BD759" s="44"/>
      <c r="BE759" s="44"/>
      <c r="BF759" s="44"/>
      <c r="BG759" s="44"/>
      <c r="BH759" s="44"/>
      <c r="BI759" s="44"/>
      <c r="BJ759" s="44"/>
      <c r="BK759" s="70"/>
    </row>
    <row r="760" spans="1:63" s="11" customFormat="1" ht="12" customHeight="1" x14ac:dyDescent="0.2">
      <c r="A760" s="11" t="s">
        <v>27595</v>
      </c>
      <c r="B760" s="68">
        <v>45</v>
      </c>
      <c r="C760" s="11" t="s">
        <v>20</v>
      </c>
      <c r="D760" s="11" t="s">
        <v>48</v>
      </c>
      <c r="F760" s="69">
        <v>42696</v>
      </c>
      <c r="G760" s="11" t="s">
        <v>27596</v>
      </c>
      <c r="H760" s="11" t="s">
        <v>27597</v>
      </c>
      <c r="I760" s="11" t="s">
        <v>45</v>
      </c>
      <c r="J760" s="11">
        <v>90638</v>
      </c>
      <c r="K760" s="11" t="s">
        <v>98</v>
      </c>
      <c r="L760" s="11" t="s">
        <v>414</v>
      </c>
      <c r="M760" s="11" t="s">
        <v>27</v>
      </c>
      <c r="N760" s="11" t="s">
        <v>27598</v>
      </c>
      <c r="O760" s="11" t="s">
        <v>400</v>
      </c>
      <c r="P760" s="11" t="s">
        <v>401</v>
      </c>
      <c r="Q760" s="60" t="s">
        <v>27599</v>
      </c>
      <c r="R760" s="11" t="s">
        <v>100</v>
      </c>
      <c r="S760" s="44" t="s">
        <v>28</v>
      </c>
      <c r="T760" s="68" t="s">
        <v>27756</v>
      </c>
      <c r="U760" s="68" t="s">
        <v>29438</v>
      </c>
      <c r="V760" s="68" t="s">
        <v>29439</v>
      </c>
      <c r="W760" s="68" t="s">
        <v>100</v>
      </c>
      <c r="X760" s="68">
        <v>2065</v>
      </c>
      <c r="AM760" s="44"/>
      <c r="AN760" s="44"/>
      <c r="AO760" s="44"/>
      <c r="AP760" s="44"/>
      <c r="AQ760" s="44"/>
      <c r="AR760" s="44"/>
      <c r="AS760" s="44"/>
      <c r="AT760" s="44"/>
      <c r="AW760" s="1"/>
      <c r="AX760" s="1"/>
      <c r="AY760" s="1"/>
      <c r="BC760" s="1"/>
      <c r="BD760" s="1"/>
      <c r="BE760" s="1"/>
      <c r="BF760" s="1"/>
      <c r="BG760" s="1"/>
      <c r="BH760" s="1"/>
      <c r="BI760" s="1"/>
      <c r="BJ760" s="1"/>
      <c r="BK760" s="70"/>
    </row>
    <row r="761" spans="1:63" s="11" customFormat="1" ht="12" customHeight="1" x14ac:dyDescent="0.15">
      <c r="A761" s="11" t="s">
        <v>3252</v>
      </c>
      <c r="B761" s="11">
        <v>18</v>
      </c>
      <c r="C761" s="11" t="s">
        <v>20</v>
      </c>
      <c r="D761" s="11" t="s">
        <v>30</v>
      </c>
      <c r="F761" s="72">
        <v>42696</v>
      </c>
      <c r="G761" s="11" t="s">
        <v>27037</v>
      </c>
      <c r="H761" s="11" t="s">
        <v>771</v>
      </c>
      <c r="I761" s="11" t="s">
        <v>45</v>
      </c>
      <c r="J761" s="11">
        <v>94087</v>
      </c>
      <c r="K761" s="11" t="s">
        <v>607</v>
      </c>
      <c r="L761" s="11" t="s">
        <v>957</v>
      </c>
      <c r="M761" s="11" t="s">
        <v>379</v>
      </c>
      <c r="N761" s="11" t="s">
        <v>27038</v>
      </c>
      <c r="O761" s="11" t="s">
        <v>400</v>
      </c>
      <c r="P761" s="11" t="s">
        <v>401</v>
      </c>
      <c r="Q761" s="11" t="s">
        <v>27039</v>
      </c>
      <c r="R761" s="11" t="s">
        <v>100</v>
      </c>
      <c r="S761" s="11" t="s">
        <v>28</v>
      </c>
      <c r="AU761" s="44"/>
      <c r="AV761" s="44"/>
      <c r="AW761" s="44"/>
      <c r="AX761" s="1"/>
      <c r="AY761" s="1"/>
      <c r="AZ761" s="1"/>
      <c r="BA761" s="1"/>
      <c r="BB761" s="1"/>
      <c r="BC761" s="1"/>
      <c r="BD761" s="1"/>
      <c r="BE761" s="1"/>
      <c r="BF761" s="1"/>
      <c r="BG761" s="1"/>
      <c r="BH761" s="1"/>
      <c r="BI761" s="1"/>
      <c r="BJ761" s="1"/>
      <c r="BK761" s="1"/>
    </row>
    <row r="762" spans="1:63" s="11" customFormat="1" ht="12" customHeight="1" x14ac:dyDescent="0.15">
      <c r="A762" s="11" t="s">
        <v>27591</v>
      </c>
      <c r="B762" s="11">
        <v>22</v>
      </c>
      <c r="C762" s="11" t="s">
        <v>114</v>
      </c>
      <c r="D762" s="11" t="s">
        <v>37</v>
      </c>
      <c r="E762" s="60" t="s">
        <v>27592</v>
      </c>
      <c r="F762" s="72">
        <v>42696</v>
      </c>
      <c r="G762" s="11" t="s">
        <v>27666</v>
      </c>
      <c r="H762" s="11" t="s">
        <v>489</v>
      </c>
      <c r="I762" s="11" t="s">
        <v>45</v>
      </c>
      <c r="J762" s="11">
        <v>90804</v>
      </c>
      <c r="K762" s="11" t="s">
        <v>98</v>
      </c>
      <c r="L762" s="11" t="s">
        <v>3699</v>
      </c>
      <c r="M762" s="11" t="s">
        <v>27</v>
      </c>
      <c r="N762" s="11" t="s">
        <v>27593</v>
      </c>
      <c r="O762" s="11" t="s">
        <v>400</v>
      </c>
      <c r="P762" s="11" t="s">
        <v>401</v>
      </c>
      <c r="Q762" s="60" t="s">
        <v>27594</v>
      </c>
      <c r="R762" s="11" t="s">
        <v>100</v>
      </c>
      <c r="S762" s="44" t="s">
        <v>18</v>
      </c>
      <c r="T762" s="68"/>
      <c r="U762" s="68"/>
      <c r="V762" s="68"/>
      <c r="W762" s="68"/>
      <c r="X762" s="68"/>
      <c r="AM762" s="44"/>
      <c r="AN762" s="44"/>
      <c r="AO762" s="44"/>
      <c r="AP762" s="44"/>
      <c r="AQ762" s="44"/>
      <c r="AR762" s="44"/>
      <c r="AS762" s="44"/>
      <c r="AT762" s="44"/>
      <c r="AW762" s="1"/>
      <c r="AX762" s="1"/>
      <c r="AY762" s="1"/>
      <c r="AZ762" s="1"/>
      <c r="BA762" s="1"/>
      <c r="BB762" s="1"/>
      <c r="BC762" s="1"/>
      <c r="BD762" s="1"/>
      <c r="BE762" s="1"/>
      <c r="BF762" s="1"/>
      <c r="BG762" s="1"/>
      <c r="BH762" s="1"/>
      <c r="BI762" s="1"/>
      <c r="BJ762" s="1"/>
      <c r="BK762" s="1"/>
    </row>
    <row r="763" spans="1:63" s="11" customFormat="1" ht="12" customHeight="1" x14ac:dyDescent="0.15">
      <c r="A763" s="11" t="s">
        <v>27074</v>
      </c>
      <c r="B763" s="68">
        <v>34</v>
      </c>
      <c r="C763" s="11" t="s">
        <v>20</v>
      </c>
      <c r="D763" s="11" t="s">
        <v>85</v>
      </c>
      <c r="F763" s="69">
        <v>42696</v>
      </c>
      <c r="G763" s="11" t="s">
        <v>27075</v>
      </c>
      <c r="H763" s="11" t="s">
        <v>493</v>
      </c>
      <c r="I763" s="11" t="s">
        <v>366</v>
      </c>
      <c r="J763" s="11">
        <v>27701</v>
      </c>
      <c r="K763" s="11" t="s">
        <v>493</v>
      </c>
      <c r="L763" s="11" t="s">
        <v>495</v>
      </c>
      <c r="M763" s="11" t="s">
        <v>27</v>
      </c>
      <c r="N763" s="11" t="s">
        <v>27076</v>
      </c>
      <c r="O763" s="11" t="s">
        <v>400</v>
      </c>
      <c r="P763" s="11" t="s">
        <v>401</v>
      </c>
      <c r="Q763" s="11" t="s">
        <v>27077</v>
      </c>
      <c r="R763" s="11" t="s">
        <v>100</v>
      </c>
      <c r="S763" s="11" t="s">
        <v>35</v>
      </c>
      <c r="T763" s="66" t="s">
        <v>29441</v>
      </c>
      <c r="U763" s="68" t="s">
        <v>29441</v>
      </c>
      <c r="V763" s="68" t="s">
        <v>29439</v>
      </c>
      <c r="W763" s="68" t="s">
        <v>100</v>
      </c>
      <c r="X763" s="68">
        <v>2067</v>
      </c>
      <c r="BC763" s="44"/>
      <c r="BD763" s="44"/>
      <c r="BE763" s="44"/>
      <c r="BF763" s="44"/>
      <c r="BG763" s="44"/>
      <c r="BH763" s="44"/>
      <c r="BI763" s="44"/>
      <c r="BJ763" s="44"/>
      <c r="BK763" s="1"/>
    </row>
    <row r="764" spans="1:63" s="11" customFormat="1" ht="12" customHeight="1" x14ac:dyDescent="0.2">
      <c r="A764" s="11" t="s">
        <v>27033</v>
      </c>
      <c r="B764" s="68">
        <v>19</v>
      </c>
      <c r="C764" s="11" t="s">
        <v>20</v>
      </c>
      <c r="D764" s="11" t="s">
        <v>85</v>
      </c>
      <c r="F764" s="69">
        <v>42695</v>
      </c>
      <c r="G764" s="11" t="s">
        <v>27034</v>
      </c>
      <c r="H764" s="11" t="s">
        <v>709</v>
      </c>
      <c r="I764" s="11" t="s">
        <v>431</v>
      </c>
      <c r="J764" s="11">
        <v>63139</v>
      </c>
      <c r="K764" s="11" t="s">
        <v>20282</v>
      </c>
      <c r="L764" s="11" t="s">
        <v>4516</v>
      </c>
      <c r="M764" s="11" t="s">
        <v>27</v>
      </c>
      <c r="N764" s="11" t="s">
        <v>27035</v>
      </c>
      <c r="O764" s="11" t="s">
        <v>400</v>
      </c>
      <c r="P764" s="11" t="s">
        <v>401</v>
      </c>
      <c r="Q764" s="11" t="s">
        <v>27036</v>
      </c>
      <c r="R764" s="11" t="s">
        <v>100</v>
      </c>
      <c r="S764" s="11" t="s">
        <v>28</v>
      </c>
      <c r="T764" s="68" t="s">
        <v>27756</v>
      </c>
      <c r="U764" s="68" t="s">
        <v>29438</v>
      </c>
      <c r="V764" s="68" t="s">
        <v>29440</v>
      </c>
      <c r="W764" s="68" t="s">
        <v>100</v>
      </c>
      <c r="X764" s="68">
        <v>2060</v>
      </c>
      <c r="AW764" s="70"/>
      <c r="AX764" s="70"/>
      <c r="AY764" s="70"/>
      <c r="BC764" s="44"/>
      <c r="BD764" s="44"/>
      <c r="BE764" s="44"/>
      <c r="BF764" s="44"/>
      <c r="BG764" s="44"/>
      <c r="BH764" s="44"/>
      <c r="BI764" s="44"/>
      <c r="BJ764" s="44"/>
      <c r="BK764" s="70"/>
    </row>
    <row r="765" spans="1:63" s="11" customFormat="1" ht="12" customHeight="1" x14ac:dyDescent="0.2">
      <c r="A765" s="11" t="s">
        <v>27028</v>
      </c>
      <c r="B765" s="68">
        <v>27</v>
      </c>
      <c r="C765" s="11" t="s">
        <v>20</v>
      </c>
      <c r="D765" s="11" t="s">
        <v>37</v>
      </c>
      <c r="F765" s="69">
        <v>42695</v>
      </c>
      <c r="G765" s="11" t="s">
        <v>27073</v>
      </c>
      <c r="H765" s="11" t="s">
        <v>27029</v>
      </c>
      <c r="I765" s="11" t="s">
        <v>45</v>
      </c>
      <c r="J765" s="11">
        <v>93436</v>
      </c>
      <c r="K765" s="11" t="s">
        <v>1953</v>
      </c>
      <c r="L765" s="11" t="s">
        <v>27030</v>
      </c>
      <c r="M765" s="11" t="s">
        <v>27</v>
      </c>
      <c r="N765" s="11" t="s">
        <v>27031</v>
      </c>
      <c r="O765" s="11" t="s">
        <v>400</v>
      </c>
      <c r="P765" s="11" t="s">
        <v>401</v>
      </c>
      <c r="Q765" s="11" t="s">
        <v>27032</v>
      </c>
      <c r="R765" s="68" t="s">
        <v>555</v>
      </c>
      <c r="S765" s="11" t="s">
        <v>28</v>
      </c>
      <c r="T765" s="68" t="s">
        <v>29493</v>
      </c>
      <c r="U765" s="68" t="s">
        <v>29436</v>
      </c>
      <c r="V765" s="68" t="s">
        <v>29440</v>
      </c>
      <c r="W765" s="68" t="s">
        <v>100</v>
      </c>
      <c r="X765" s="68">
        <v>2064</v>
      </c>
      <c r="AW765" s="44"/>
      <c r="AX765" s="1"/>
      <c r="AY765" s="1"/>
      <c r="BA765" s="70"/>
      <c r="BB765" s="70"/>
      <c r="BC765" s="1"/>
      <c r="BD765" s="1"/>
      <c r="BE765" s="1"/>
      <c r="BF765" s="1"/>
      <c r="BG765" s="1"/>
      <c r="BH765" s="1"/>
      <c r="BI765" s="1"/>
      <c r="BJ765" s="1"/>
      <c r="BK765" s="70"/>
    </row>
    <row r="766" spans="1:63" s="11" customFormat="1" ht="12" customHeight="1" x14ac:dyDescent="0.15">
      <c r="A766" s="11" t="s">
        <v>27600</v>
      </c>
      <c r="B766" s="11">
        <v>35</v>
      </c>
      <c r="C766" s="11" t="s">
        <v>114</v>
      </c>
      <c r="D766" s="11" t="s">
        <v>37</v>
      </c>
      <c r="F766" s="72">
        <v>42695</v>
      </c>
      <c r="G766" s="11" t="s">
        <v>27667</v>
      </c>
      <c r="H766" s="11" t="s">
        <v>27601</v>
      </c>
      <c r="I766" s="11" t="s">
        <v>303</v>
      </c>
      <c r="J766" s="11">
        <v>98550</v>
      </c>
      <c r="K766" s="11" t="s">
        <v>27602</v>
      </c>
      <c r="L766" s="11" t="s">
        <v>27603</v>
      </c>
      <c r="M766" s="1" t="s">
        <v>391</v>
      </c>
      <c r="N766" s="11" t="s">
        <v>27604</v>
      </c>
      <c r="O766" s="11" t="s">
        <v>400</v>
      </c>
      <c r="P766" s="11" t="s">
        <v>401</v>
      </c>
      <c r="Q766" s="60" t="s">
        <v>27605</v>
      </c>
      <c r="R766" s="11" t="s">
        <v>555</v>
      </c>
      <c r="S766" s="44" t="s">
        <v>18</v>
      </c>
      <c r="AM766" s="44"/>
      <c r="AN766" s="44"/>
      <c r="AO766" s="44"/>
      <c r="AP766" s="44"/>
      <c r="AQ766" s="44"/>
      <c r="AR766" s="44"/>
      <c r="AS766" s="44"/>
      <c r="AT766" s="44"/>
      <c r="AX766" s="1"/>
      <c r="AY766" s="1"/>
      <c r="AZ766" s="1"/>
      <c r="BA766" s="1"/>
      <c r="BB766" s="1"/>
      <c r="BC766" s="1"/>
      <c r="BD766" s="1"/>
      <c r="BE766" s="1"/>
      <c r="BF766" s="1"/>
      <c r="BG766" s="1"/>
      <c r="BH766" s="1"/>
      <c r="BI766" s="1"/>
      <c r="BJ766" s="1"/>
      <c r="BK766" s="1"/>
    </row>
    <row r="767" spans="1:63" s="11" customFormat="1" ht="12" customHeight="1" x14ac:dyDescent="0.2">
      <c r="A767" s="11" t="s">
        <v>27091</v>
      </c>
      <c r="B767" s="68">
        <v>24</v>
      </c>
      <c r="C767" s="11" t="s">
        <v>20</v>
      </c>
      <c r="D767" s="11" t="s">
        <v>48</v>
      </c>
      <c r="F767" s="69">
        <v>42694</v>
      </c>
      <c r="G767" s="11" t="s">
        <v>27072</v>
      </c>
      <c r="H767" s="11" t="s">
        <v>575</v>
      </c>
      <c r="I767" s="11" t="s">
        <v>73</v>
      </c>
      <c r="J767" s="11">
        <v>78240</v>
      </c>
      <c r="K767" s="11" t="s">
        <v>576</v>
      </c>
      <c r="L767" s="11" t="s">
        <v>577</v>
      </c>
      <c r="M767" s="11" t="s">
        <v>27</v>
      </c>
      <c r="N767" s="11" t="s">
        <v>27026</v>
      </c>
      <c r="O767" s="11" t="s">
        <v>400</v>
      </c>
      <c r="P767" s="11" t="s">
        <v>401</v>
      </c>
      <c r="Q767" s="11" t="s">
        <v>27027</v>
      </c>
      <c r="R767" s="11" t="s">
        <v>100</v>
      </c>
      <c r="S767" s="11" t="s">
        <v>28</v>
      </c>
      <c r="T767" s="68" t="s">
        <v>27756</v>
      </c>
      <c r="U767" s="68" t="s">
        <v>29438</v>
      </c>
      <c r="V767" s="68" t="s">
        <v>29439</v>
      </c>
      <c r="W767" s="68" t="s">
        <v>100</v>
      </c>
      <c r="X767" s="68">
        <v>2061</v>
      </c>
      <c r="AX767" s="1"/>
      <c r="AY767" s="1"/>
      <c r="BC767" s="1"/>
      <c r="BD767" s="1"/>
      <c r="BE767" s="1"/>
      <c r="BF767" s="1"/>
      <c r="BG767" s="1"/>
      <c r="BH767" s="1"/>
      <c r="BI767" s="1"/>
      <c r="BJ767" s="1"/>
      <c r="BK767" s="70"/>
    </row>
    <row r="768" spans="1:63" s="11" customFormat="1" ht="12" customHeight="1" x14ac:dyDescent="0.2">
      <c r="A768" s="11" t="s">
        <v>27021</v>
      </c>
      <c r="B768" s="68">
        <v>18</v>
      </c>
      <c r="C768" s="11" t="s">
        <v>20</v>
      </c>
      <c r="D768" s="11" t="s">
        <v>37</v>
      </c>
      <c r="F768" s="69">
        <v>42694</v>
      </c>
      <c r="G768" s="11" t="s">
        <v>27022</v>
      </c>
      <c r="H768" s="11" t="s">
        <v>430</v>
      </c>
      <c r="I768" s="11" t="s">
        <v>431</v>
      </c>
      <c r="J768" s="11">
        <v>64116</v>
      </c>
      <c r="K768" s="11" t="s">
        <v>3395</v>
      </c>
      <c r="L768" s="11" t="s">
        <v>27023</v>
      </c>
      <c r="M768" s="11" t="s">
        <v>27</v>
      </c>
      <c r="N768" s="11" t="s">
        <v>27024</v>
      </c>
      <c r="O768" s="11" t="s">
        <v>400</v>
      </c>
      <c r="P768" s="11" t="s">
        <v>401</v>
      </c>
      <c r="Q768" s="11" t="s">
        <v>27025</v>
      </c>
      <c r="R768" s="11" t="s">
        <v>100</v>
      </c>
      <c r="S768" s="11" t="s">
        <v>28</v>
      </c>
      <c r="T768" s="68" t="s">
        <v>27756</v>
      </c>
      <c r="U768" s="68" t="s">
        <v>29436</v>
      </c>
      <c r="V768" s="68" t="s">
        <v>29440</v>
      </c>
      <c r="W768" s="68" t="s">
        <v>100</v>
      </c>
      <c r="X768" s="68">
        <v>2063</v>
      </c>
      <c r="AW768" s="70"/>
      <c r="AX768" s="1"/>
      <c r="AY768" s="1"/>
      <c r="BC768" s="1"/>
      <c r="BD768" s="1"/>
      <c r="BE768" s="1"/>
      <c r="BF768" s="1"/>
      <c r="BG768" s="1"/>
      <c r="BH768" s="1"/>
      <c r="BI768" s="1"/>
      <c r="BJ768" s="1"/>
      <c r="BK768" s="70"/>
    </row>
    <row r="769" spans="1:63" s="11" customFormat="1" ht="12" customHeight="1" x14ac:dyDescent="0.2">
      <c r="A769" s="11" t="s">
        <v>27010</v>
      </c>
      <c r="B769" s="68">
        <v>55</v>
      </c>
      <c r="C769" s="11" t="s">
        <v>20</v>
      </c>
      <c r="D769" s="11" t="s">
        <v>30</v>
      </c>
      <c r="F769" s="69">
        <v>42693</v>
      </c>
      <c r="G769" s="11" t="s">
        <v>27011</v>
      </c>
      <c r="H769" s="11" t="s">
        <v>2566</v>
      </c>
      <c r="I769" s="11" t="s">
        <v>395</v>
      </c>
      <c r="J769" s="11">
        <v>73018</v>
      </c>
      <c r="K769" s="11" t="s">
        <v>2567</v>
      </c>
      <c r="L769" s="11" t="s">
        <v>27012</v>
      </c>
      <c r="M769" s="11" t="s">
        <v>27</v>
      </c>
      <c r="N769" s="11" t="s">
        <v>27013</v>
      </c>
      <c r="O769" s="11" t="s">
        <v>400</v>
      </c>
      <c r="P769" s="11" t="s">
        <v>401</v>
      </c>
      <c r="Q769" s="11" t="s">
        <v>27014</v>
      </c>
      <c r="R769" s="11" t="s">
        <v>100</v>
      </c>
      <c r="S769" s="11" t="s">
        <v>28</v>
      </c>
      <c r="T769" s="68" t="s">
        <v>27756</v>
      </c>
      <c r="U769" s="68" t="s">
        <v>29438</v>
      </c>
      <c r="V769" s="68" t="s">
        <v>29439</v>
      </c>
      <c r="W769" s="68" t="s">
        <v>100</v>
      </c>
      <c r="X769" s="68">
        <v>2055</v>
      </c>
      <c r="AW769" s="1"/>
      <c r="AX769" s="1"/>
      <c r="AY769" s="1"/>
      <c r="BC769" s="1"/>
      <c r="BD769" s="1"/>
      <c r="BE769" s="1"/>
      <c r="BF769" s="1"/>
      <c r="BG769" s="1"/>
      <c r="BH769" s="1"/>
      <c r="BI769" s="1"/>
      <c r="BJ769" s="1"/>
      <c r="BK769" s="70"/>
    </row>
    <row r="770" spans="1:63" s="11" customFormat="1" ht="12" customHeight="1" x14ac:dyDescent="0.15">
      <c r="A770" s="11" t="s">
        <v>26997</v>
      </c>
      <c r="B770" s="68">
        <v>29</v>
      </c>
      <c r="C770" s="11" t="s">
        <v>20</v>
      </c>
      <c r="D770" s="11" t="s">
        <v>48</v>
      </c>
      <c r="E770" s="11" t="s">
        <v>26998</v>
      </c>
      <c r="F770" s="69">
        <v>42693</v>
      </c>
      <c r="G770" s="11" t="s">
        <v>27070</v>
      </c>
      <c r="H770" s="11" t="s">
        <v>1879</v>
      </c>
      <c r="I770" s="11" t="s">
        <v>45</v>
      </c>
      <c r="J770" s="11">
        <v>92805</v>
      </c>
      <c r="K770" s="11" t="s">
        <v>1061</v>
      </c>
      <c r="L770" s="11" t="s">
        <v>1881</v>
      </c>
      <c r="M770" s="11" t="s">
        <v>27</v>
      </c>
      <c r="N770" s="11" t="s">
        <v>26999</v>
      </c>
      <c r="O770" s="11" t="s">
        <v>400</v>
      </c>
      <c r="P770" s="11" t="s">
        <v>401</v>
      </c>
      <c r="Q770" s="11" t="s">
        <v>27000</v>
      </c>
      <c r="R770" s="11" t="s">
        <v>100</v>
      </c>
      <c r="S770" s="68" t="s">
        <v>379</v>
      </c>
      <c r="T770" s="68" t="s">
        <v>379</v>
      </c>
      <c r="U770" s="68" t="s">
        <v>29438</v>
      </c>
      <c r="V770" s="68" t="s">
        <v>29440</v>
      </c>
      <c r="W770" s="68" t="s">
        <v>555</v>
      </c>
      <c r="X770" s="68">
        <v>2053</v>
      </c>
      <c r="AW770" s="44"/>
      <c r="AX770" s="1"/>
      <c r="AY770" s="1"/>
      <c r="BC770" s="1"/>
      <c r="BD770" s="1"/>
      <c r="BE770" s="1"/>
      <c r="BF770" s="1"/>
      <c r="BG770" s="1"/>
      <c r="BH770" s="1"/>
      <c r="BI770" s="1"/>
      <c r="BJ770" s="1"/>
    </row>
    <row r="771" spans="1:63" s="11" customFormat="1" ht="12" customHeight="1" x14ac:dyDescent="0.2">
      <c r="A771" s="11" t="s">
        <v>27015</v>
      </c>
      <c r="B771" s="68">
        <v>15</v>
      </c>
      <c r="C771" s="11" t="s">
        <v>20</v>
      </c>
      <c r="D771" s="11" t="s">
        <v>942</v>
      </c>
      <c r="E771" s="11" t="s">
        <v>27016</v>
      </c>
      <c r="F771" s="69">
        <v>42693</v>
      </c>
      <c r="G771" s="11" t="s">
        <v>27017</v>
      </c>
      <c r="H771" s="11" t="s">
        <v>27018</v>
      </c>
      <c r="I771" s="11" t="s">
        <v>45</v>
      </c>
      <c r="J771" s="11">
        <v>95076</v>
      </c>
      <c r="K771" s="11" t="s">
        <v>1359</v>
      </c>
      <c r="L771" s="11" t="s">
        <v>1360</v>
      </c>
      <c r="M771" s="68" t="s">
        <v>5411</v>
      </c>
      <c r="N771" s="11" t="s">
        <v>27019</v>
      </c>
      <c r="O771" s="11" t="s">
        <v>400</v>
      </c>
      <c r="P771" s="11" t="s">
        <v>401</v>
      </c>
      <c r="Q771" s="11" t="s">
        <v>27020</v>
      </c>
      <c r="R771" s="11" t="s">
        <v>29</v>
      </c>
      <c r="S771" s="11" t="s">
        <v>28</v>
      </c>
      <c r="T771" s="68" t="s">
        <v>29493</v>
      </c>
      <c r="U771" s="68" t="s">
        <v>29436</v>
      </c>
      <c r="V771" s="68" t="s">
        <v>29440</v>
      </c>
      <c r="W771" s="68" t="s">
        <v>555</v>
      </c>
      <c r="X771" s="68">
        <v>2054</v>
      </c>
      <c r="AW771" s="70"/>
      <c r="AX771" s="1"/>
      <c r="AY771" s="1"/>
      <c r="BA771" s="1"/>
      <c r="BB771" s="70"/>
      <c r="BC771" s="1"/>
      <c r="BD771" s="1"/>
      <c r="BE771" s="1"/>
      <c r="BF771" s="1"/>
      <c r="BG771" s="1"/>
      <c r="BH771" s="1"/>
      <c r="BI771" s="1"/>
      <c r="BJ771" s="1"/>
      <c r="BK771" s="1"/>
    </row>
    <row r="772" spans="1:63" s="11" customFormat="1" ht="12" customHeight="1" x14ac:dyDescent="0.2">
      <c r="A772" s="11" t="s">
        <v>27001</v>
      </c>
      <c r="B772" s="68">
        <v>21</v>
      </c>
      <c r="C772" s="11" t="s">
        <v>20</v>
      </c>
      <c r="D772" s="11" t="s">
        <v>85</v>
      </c>
      <c r="E772" s="11" t="s">
        <v>27002</v>
      </c>
      <c r="F772" s="69">
        <v>42693</v>
      </c>
      <c r="G772" s="11" t="s">
        <v>27003</v>
      </c>
      <c r="H772" s="11" t="s">
        <v>1710</v>
      </c>
      <c r="I772" s="11" t="s">
        <v>423</v>
      </c>
      <c r="J772" s="11">
        <v>11212</v>
      </c>
      <c r="K772" s="11" t="s">
        <v>1712</v>
      </c>
      <c r="L772" s="11" t="s">
        <v>582</v>
      </c>
      <c r="M772" s="11" t="s">
        <v>27</v>
      </c>
      <c r="N772" s="11" t="s">
        <v>27004</v>
      </c>
      <c r="O772" s="11" t="s">
        <v>400</v>
      </c>
      <c r="P772" s="11" t="s">
        <v>401</v>
      </c>
      <c r="Q772" s="11" t="s">
        <v>27005</v>
      </c>
      <c r="R772" s="68" t="s">
        <v>555</v>
      </c>
      <c r="S772" s="11" t="s">
        <v>28</v>
      </c>
      <c r="T772" s="68" t="s">
        <v>29458</v>
      </c>
      <c r="U772" s="68" t="s">
        <v>29438</v>
      </c>
      <c r="V772" s="68" t="s">
        <v>29439</v>
      </c>
      <c r="W772" s="68" t="s">
        <v>100</v>
      </c>
      <c r="X772" s="68">
        <v>2062</v>
      </c>
      <c r="AW772" s="70"/>
      <c r="AX772" s="70"/>
      <c r="AY772" s="70"/>
      <c r="BA772" s="70"/>
      <c r="BB772" s="44"/>
      <c r="BC772" s="44"/>
      <c r="BD772" s="44"/>
      <c r="BE772" s="44"/>
      <c r="BF772" s="44"/>
      <c r="BG772" s="44"/>
      <c r="BH772" s="44"/>
      <c r="BI772" s="44"/>
      <c r="BJ772" s="44"/>
      <c r="BK772" s="70"/>
    </row>
    <row r="773" spans="1:63" s="11" customFormat="1" ht="12" customHeight="1" x14ac:dyDescent="0.2">
      <c r="A773" s="11" t="s">
        <v>26987</v>
      </c>
      <c r="B773" s="68">
        <v>25</v>
      </c>
      <c r="C773" s="11" t="s">
        <v>20</v>
      </c>
      <c r="D773" s="11" t="s">
        <v>85</v>
      </c>
      <c r="E773" s="11" t="s">
        <v>26988</v>
      </c>
      <c r="F773" s="69">
        <v>42692</v>
      </c>
      <c r="G773" s="11" t="s">
        <v>27068</v>
      </c>
      <c r="H773" s="11" t="s">
        <v>26989</v>
      </c>
      <c r="I773" s="11" t="s">
        <v>173</v>
      </c>
      <c r="J773" s="11">
        <v>31316</v>
      </c>
      <c r="K773" s="11" t="s">
        <v>26990</v>
      </c>
      <c r="L773" s="11" t="s">
        <v>5634</v>
      </c>
      <c r="M773" s="11" t="s">
        <v>27</v>
      </c>
      <c r="N773" s="11" t="s">
        <v>26991</v>
      </c>
      <c r="O773" s="11" t="s">
        <v>400</v>
      </c>
      <c r="P773" s="11" t="s">
        <v>401</v>
      </c>
      <c r="Q773" s="11" t="s">
        <v>26992</v>
      </c>
      <c r="R773" s="11" t="s">
        <v>100</v>
      </c>
      <c r="S773" s="11" t="s">
        <v>28</v>
      </c>
      <c r="T773" s="68" t="s">
        <v>27756</v>
      </c>
      <c r="U773" s="68" t="s">
        <v>29438</v>
      </c>
      <c r="V773" s="68" t="s">
        <v>29439</v>
      </c>
      <c r="W773" s="68" t="s">
        <v>100</v>
      </c>
      <c r="X773" s="68">
        <v>2057</v>
      </c>
      <c r="AX773" s="44"/>
      <c r="AY773" s="44"/>
      <c r="BC773" s="44"/>
      <c r="BD773" s="44"/>
      <c r="BE773" s="44"/>
      <c r="BF773" s="44"/>
      <c r="BG773" s="44"/>
      <c r="BH773" s="44"/>
      <c r="BI773" s="44"/>
      <c r="BJ773" s="44"/>
      <c r="BK773" s="70"/>
    </row>
    <row r="774" spans="1:63" s="11" customFormat="1" ht="12" customHeight="1" x14ac:dyDescent="0.2">
      <c r="A774" s="11" t="s">
        <v>27006</v>
      </c>
      <c r="B774" s="68">
        <v>26</v>
      </c>
      <c r="C774" s="11" t="s">
        <v>20</v>
      </c>
      <c r="D774" s="11" t="s">
        <v>85</v>
      </c>
      <c r="E774" s="11" t="s">
        <v>27007</v>
      </c>
      <c r="F774" s="69">
        <v>42692</v>
      </c>
      <c r="G774" s="11" t="s">
        <v>27071</v>
      </c>
      <c r="H774" s="11" t="s">
        <v>87</v>
      </c>
      <c r="I774" s="11" t="s">
        <v>44</v>
      </c>
      <c r="J774" s="11">
        <v>60636</v>
      </c>
      <c r="K774" s="11" t="s">
        <v>88</v>
      </c>
      <c r="L774" s="11" t="s">
        <v>89</v>
      </c>
      <c r="M774" s="11" t="s">
        <v>27</v>
      </c>
      <c r="N774" s="11" t="s">
        <v>27008</v>
      </c>
      <c r="O774" s="11" t="s">
        <v>400</v>
      </c>
      <c r="P774" s="11" t="s">
        <v>401</v>
      </c>
      <c r="Q774" s="11" t="s">
        <v>27009</v>
      </c>
      <c r="R774" s="11" t="s">
        <v>100</v>
      </c>
      <c r="S774" s="11" t="s">
        <v>28</v>
      </c>
      <c r="T774" s="68" t="s">
        <v>27756</v>
      </c>
      <c r="U774" s="68" t="s">
        <v>29438</v>
      </c>
      <c r="V774" s="68" t="s">
        <v>29439</v>
      </c>
      <c r="W774" s="68" t="s">
        <v>100</v>
      </c>
      <c r="X774" s="68">
        <v>2059</v>
      </c>
      <c r="AW774" s="44"/>
      <c r="AX774" s="44"/>
      <c r="AY774" s="44"/>
      <c r="BC774" s="44"/>
      <c r="BD774" s="44"/>
      <c r="BE774" s="44"/>
      <c r="BF774" s="44"/>
      <c r="BG774" s="44"/>
      <c r="BH774" s="44"/>
      <c r="BI774" s="44"/>
      <c r="BJ774" s="44"/>
      <c r="BK774" s="70"/>
    </row>
    <row r="775" spans="1:63" s="11" customFormat="1" ht="12" customHeight="1" x14ac:dyDescent="0.2">
      <c r="A775" s="11" t="s">
        <v>26975</v>
      </c>
      <c r="B775" s="68">
        <v>48</v>
      </c>
      <c r="C775" s="11" t="s">
        <v>20</v>
      </c>
      <c r="D775" s="11" t="s">
        <v>85</v>
      </c>
      <c r="E775" s="11" t="s">
        <v>26976</v>
      </c>
      <c r="F775" s="69">
        <v>42692</v>
      </c>
      <c r="G775" s="11" t="s">
        <v>26977</v>
      </c>
      <c r="H775" s="11" t="s">
        <v>26978</v>
      </c>
      <c r="I775" s="11" t="s">
        <v>123</v>
      </c>
      <c r="J775" s="11">
        <v>85122</v>
      </c>
      <c r="K775" s="11" t="s">
        <v>2390</v>
      </c>
      <c r="L775" s="11" t="s">
        <v>26979</v>
      </c>
      <c r="M775" s="68" t="s">
        <v>5411</v>
      </c>
      <c r="N775" s="11" t="s">
        <v>26980</v>
      </c>
      <c r="O775" s="11" t="s">
        <v>400</v>
      </c>
      <c r="P775" s="11" t="s">
        <v>401</v>
      </c>
      <c r="Q775" s="11" t="s">
        <v>26981</v>
      </c>
      <c r="R775" s="11" t="s">
        <v>555</v>
      </c>
      <c r="S775" s="11" t="s">
        <v>28</v>
      </c>
      <c r="T775" s="68" t="s">
        <v>29459</v>
      </c>
      <c r="U775" s="68" t="s">
        <v>29436</v>
      </c>
      <c r="V775" s="68" t="s">
        <v>29439</v>
      </c>
      <c r="W775" s="68" t="s">
        <v>100</v>
      </c>
      <c r="X775" s="68">
        <v>2058</v>
      </c>
      <c r="AW775" s="1"/>
      <c r="AX775" s="44"/>
      <c r="AY775" s="44"/>
      <c r="BA775" s="44"/>
      <c r="BB775" s="70"/>
      <c r="BC775" s="44"/>
      <c r="BD775" s="44"/>
      <c r="BE775" s="44"/>
      <c r="BF775" s="44"/>
      <c r="BG775" s="44"/>
      <c r="BH775" s="44"/>
      <c r="BI775" s="44"/>
      <c r="BJ775" s="44"/>
      <c r="BK775" s="1"/>
    </row>
    <row r="776" spans="1:63" s="11" customFormat="1" ht="12" customHeight="1" x14ac:dyDescent="0.2">
      <c r="A776" s="11" t="s">
        <v>26993</v>
      </c>
      <c r="B776" s="68">
        <v>25</v>
      </c>
      <c r="C776" s="11" t="s">
        <v>20</v>
      </c>
      <c r="D776" s="11" t="s">
        <v>85</v>
      </c>
      <c r="E776" s="11" t="s">
        <v>26994</v>
      </c>
      <c r="F776" s="69">
        <v>42692</v>
      </c>
      <c r="G776" s="11" t="s">
        <v>27069</v>
      </c>
      <c r="H776" s="11" t="s">
        <v>23743</v>
      </c>
      <c r="I776" s="11" t="s">
        <v>62</v>
      </c>
      <c r="J776" s="11">
        <v>34983</v>
      </c>
      <c r="K776" s="11" t="s">
        <v>3243</v>
      </c>
      <c r="L776" s="11" t="s">
        <v>23744</v>
      </c>
      <c r="M776" s="68" t="s">
        <v>5411</v>
      </c>
      <c r="N776" s="11" t="s">
        <v>26995</v>
      </c>
      <c r="O776" s="11" t="s">
        <v>400</v>
      </c>
      <c r="P776" s="11" t="s">
        <v>401</v>
      </c>
      <c r="Q776" s="11" t="s">
        <v>26996</v>
      </c>
      <c r="R776" s="68" t="s">
        <v>555</v>
      </c>
      <c r="S776" s="11" t="s">
        <v>28</v>
      </c>
      <c r="T776" s="68" t="s">
        <v>29459</v>
      </c>
      <c r="U776" s="68" t="s">
        <v>29436</v>
      </c>
      <c r="V776" s="68" t="s">
        <v>29439</v>
      </c>
      <c r="W776" s="68" t="s">
        <v>100</v>
      </c>
      <c r="X776" s="68">
        <v>2056</v>
      </c>
      <c r="AX776" s="44"/>
      <c r="AY776" s="44"/>
      <c r="BA776" s="70"/>
      <c r="BB776" s="70"/>
      <c r="BC776" s="44"/>
      <c r="BD776" s="44"/>
      <c r="BE776" s="44"/>
      <c r="BF776" s="44"/>
      <c r="BG776" s="44"/>
      <c r="BH776" s="44"/>
      <c r="BI776" s="44"/>
      <c r="BJ776" s="44"/>
      <c r="BK776" s="1"/>
    </row>
    <row r="777" spans="1:63" s="11" customFormat="1" ht="12" customHeight="1" x14ac:dyDescent="0.2">
      <c r="A777" s="11" t="s">
        <v>26982</v>
      </c>
      <c r="B777" s="68">
        <v>35</v>
      </c>
      <c r="C777" s="11" t="s">
        <v>20</v>
      </c>
      <c r="D777" s="11" t="s">
        <v>37</v>
      </c>
      <c r="E777" s="11" t="s">
        <v>26983</v>
      </c>
      <c r="F777" s="69">
        <v>42692</v>
      </c>
      <c r="G777" s="11" t="s">
        <v>26984</v>
      </c>
      <c r="H777" s="11" t="s">
        <v>24339</v>
      </c>
      <c r="I777" s="11" t="s">
        <v>62</v>
      </c>
      <c r="J777" s="11">
        <v>32548</v>
      </c>
      <c r="K777" s="11" t="s">
        <v>12251</v>
      </c>
      <c r="L777" s="11" t="s">
        <v>266</v>
      </c>
      <c r="M777" s="68" t="s">
        <v>5411</v>
      </c>
      <c r="N777" s="11" t="s">
        <v>26985</v>
      </c>
      <c r="O777" s="11" t="s">
        <v>400</v>
      </c>
      <c r="P777" s="11" t="s">
        <v>401</v>
      </c>
      <c r="Q777" s="11" t="s">
        <v>26986</v>
      </c>
      <c r="R777" s="68" t="s">
        <v>555</v>
      </c>
      <c r="S777" s="11" t="s">
        <v>28</v>
      </c>
      <c r="T777" s="68" t="s">
        <v>27756</v>
      </c>
      <c r="U777" s="68" t="s">
        <v>29436</v>
      </c>
      <c r="V777" s="68" t="s">
        <v>29439</v>
      </c>
      <c r="W777" s="68" t="s">
        <v>100</v>
      </c>
      <c r="X777" s="68">
        <v>2052</v>
      </c>
      <c r="AX777" s="1"/>
      <c r="AY777" s="1"/>
      <c r="BA777" s="70"/>
      <c r="BB777" s="70"/>
      <c r="BC777" s="1"/>
      <c r="BD777" s="1"/>
      <c r="BE777" s="1"/>
      <c r="BF777" s="1"/>
      <c r="BG777" s="1"/>
      <c r="BH777" s="1"/>
      <c r="BI777" s="1"/>
      <c r="BJ777" s="1"/>
      <c r="BK777" s="1"/>
    </row>
    <row r="778" spans="1:63" s="11" customFormat="1" ht="12" customHeight="1" x14ac:dyDescent="0.15">
      <c r="A778" s="11" t="s">
        <v>26968</v>
      </c>
      <c r="B778" s="11">
        <v>53</v>
      </c>
      <c r="C778" s="11" t="s">
        <v>20</v>
      </c>
      <c r="D778" s="11" t="s">
        <v>30</v>
      </c>
      <c r="F778" s="72">
        <v>42691</v>
      </c>
      <c r="G778" s="11" t="s">
        <v>26969</v>
      </c>
      <c r="H778" s="11" t="s">
        <v>26970</v>
      </c>
      <c r="I778" s="11" t="s">
        <v>395</v>
      </c>
      <c r="J778" s="11">
        <v>73075</v>
      </c>
      <c r="K778" s="11" t="s">
        <v>26971</v>
      </c>
      <c r="L778" s="11" t="s">
        <v>26972</v>
      </c>
      <c r="M778" s="11" t="s">
        <v>379</v>
      </c>
      <c r="N778" s="11" t="s">
        <v>26973</v>
      </c>
      <c r="O778" s="11" t="s">
        <v>400</v>
      </c>
      <c r="P778" s="11" t="s">
        <v>401</v>
      </c>
      <c r="Q778" s="11" t="s">
        <v>26974</v>
      </c>
      <c r="R778" s="11" t="s">
        <v>100</v>
      </c>
      <c r="S778" s="11" t="s">
        <v>18</v>
      </c>
      <c r="AU778" s="44"/>
      <c r="AV778" s="44"/>
      <c r="AW778" s="44"/>
      <c r="AX778" s="1"/>
      <c r="AY778" s="1"/>
      <c r="AZ778" s="1"/>
      <c r="BA778" s="1"/>
      <c r="BB778" s="1"/>
      <c r="BC778" s="1"/>
      <c r="BD778" s="1"/>
      <c r="BE778" s="1"/>
      <c r="BF778" s="1"/>
      <c r="BG778" s="1"/>
      <c r="BH778" s="1"/>
      <c r="BI778" s="1"/>
      <c r="BJ778" s="1"/>
      <c r="BK778" s="1"/>
    </row>
    <row r="779" spans="1:63" s="11" customFormat="1" ht="12" customHeight="1" x14ac:dyDescent="0.2">
      <c r="A779" s="11" t="s">
        <v>26963</v>
      </c>
      <c r="B779" s="68">
        <v>37</v>
      </c>
      <c r="C779" s="11" t="s">
        <v>20</v>
      </c>
      <c r="D779" s="11" t="s">
        <v>48</v>
      </c>
      <c r="F779" s="69">
        <v>42690</v>
      </c>
      <c r="G779" s="11" t="s">
        <v>26964</v>
      </c>
      <c r="H779" s="11" t="s">
        <v>967</v>
      </c>
      <c r="I779" s="11" t="s">
        <v>45</v>
      </c>
      <c r="J779" s="11">
        <v>90602</v>
      </c>
      <c r="K779" s="11" t="s">
        <v>98</v>
      </c>
      <c r="L779" s="11" t="s">
        <v>26965</v>
      </c>
      <c r="M779" s="11" t="s">
        <v>27</v>
      </c>
      <c r="N779" s="11" t="s">
        <v>26966</v>
      </c>
      <c r="O779" s="11" t="s">
        <v>400</v>
      </c>
      <c r="P779" s="11" t="s">
        <v>401</v>
      </c>
      <c r="Q779" s="11" t="s">
        <v>26967</v>
      </c>
      <c r="R779" s="11" t="s">
        <v>29</v>
      </c>
      <c r="S779" s="11" t="s">
        <v>28</v>
      </c>
      <c r="T779" s="68" t="s">
        <v>29459</v>
      </c>
      <c r="U779" s="68" t="s">
        <v>29436</v>
      </c>
      <c r="V779" s="68" t="s">
        <v>29439</v>
      </c>
      <c r="W779" s="68" t="s">
        <v>100</v>
      </c>
      <c r="X779" s="68">
        <v>2050</v>
      </c>
      <c r="AW779" s="44"/>
      <c r="AX779" s="1"/>
      <c r="AY779" s="1"/>
      <c r="BA779" s="1"/>
      <c r="BB779" s="1"/>
      <c r="BC779" s="1"/>
      <c r="BD779" s="1"/>
      <c r="BE779" s="1"/>
      <c r="BF779" s="1"/>
      <c r="BG779" s="1"/>
      <c r="BH779" s="1"/>
      <c r="BI779" s="1"/>
      <c r="BJ779" s="1"/>
      <c r="BK779" s="70"/>
    </row>
    <row r="780" spans="1:63" s="11" customFormat="1" ht="12" customHeight="1" x14ac:dyDescent="0.2">
      <c r="A780" s="11" t="s">
        <v>26953</v>
      </c>
      <c r="B780" s="68">
        <v>56</v>
      </c>
      <c r="C780" s="11" t="s">
        <v>20</v>
      </c>
      <c r="D780" s="11" t="s">
        <v>37</v>
      </c>
      <c r="F780" s="69">
        <v>42690</v>
      </c>
      <c r="G780" s="11" t="s">
        <v>26954</v>
      </c>
      <c r="H780" s="11" t="s">
        <v>7540</v>
      </c>
      <c r="I780" s="11" t="s">
        <v>45</v>
      </c>
      <c r="J780" s="11">
        <v>96002</v>
      </c>
      <c r="K780" s="11" t="s">
        <v>7542</v>
      </c>
      <c r="L780" s="11" t="s">
        <v>7543</v>
      </c>
      <c r="M780" s="11" t="s">
        <v>27</v>
      </c>
      <c r="N780" s="11" t="s">
        <v>26955</v>
      </c>
      <c r="O780" s="11" t="s">
        <v>400</v>
      </c>
      <c r="P780" s="11" t="s">
        <v>401</v>
      </c>
      <c r="Q780" s="11" t="s">
        <v>26956</v>
      </c>
      <c r="R780" s="11" t="s">
        <v>29</v>
      </c>
      <c r="S780" s="11" t="s">
        <v>28</v>
      </c>
      <c r="T780" s="68" t="s">
        <v>27756</v>
      </c>
      <c r="U780" s="68" t="s">
        <v>29436</v>
      </c>
      <c r="V780" s="68" t="s">
        <v>29439</v>
      </c>
      <c r="W780" s="68" t="s">
        <v>100</v>
      </c>
      <c r="X780" s="68">
        <v>2051</v>
      </c>
      <c r="AW780" s="1"/>
      <c r="AX780" s="1"/>
      <c r="AY780" s="1"/>
      <c r="BA780" s="1"/>
      <c r="BB780" s="1"/>
      <c r="BC780" s="1"/>
      <c r="BD780" s="1"/>
      <c r="BE780" s="1"/>
      <c r="BF780" s="1"/>
      <c r="BG780" s="1"/>
      <c r="BH780" s="1"/>
      <c r="BI780" s="1"/>
      <c r="BJ780" s="1"/>
      <c r="BK780" s="70"/>
    </row>
    <row r="781" spans="1:63" s="11" customFormat="1" ht="12" customHeight="1" x14ac:dyDescent="0.15">
      <c r="A781" s="11" t="s">
        <v>26957</v>
      </c>
      <c r="B781" s="11">
        <v>39</v>
      </c>
      <c r="C781" s="11" t="s">
        <v>20</v>
      </c>
      <c r="D781" s="11" t="s">
        <v>37</v>
      </c>
      <c r="E781" s="11" t="s">
        <v>26958</v>
      </c>
      <c r="F781" s="72">
        <v>42690</v>
      </c>
      <c r="G781" s="11" t="s">
        <v>26959</v>
      </c>
      <c r="H781" s="11" t="s">
        <v>11152</v>
      </c>
      <c r="I781" s="11" t="s">
        <v>431</v>
      </c>
      <c r="J781" s="11">
        <v>64503</v>
      </c>
      <c r="K781" s="11" t="s">
        <v>11154</v>
      </c>
      <c r="L781" s="11" t="s">
        <v>26960</v>
      </c>
      <c r="M781" s="1" t="s">
        <v>391</v>
      </c>
      <c r="N781" s="11" t="s">
        <v>26961</v>
      </c>
      <c r="O781" s="11" t="s">
        <v>400</v>
      </c>
      <c r="P781" s="11" t="s">
        <v>401</v>
      </c>
      <c r="Q781" s="11" t="s">
        <v>26962</v>
      </c>
      <c r="R781" s="11" t="s">
        <v>29</v>
      </c>
      <c r="S781" s="11" t="s">
        <v>28</v>
      </c>
      <c r="AX781" s="1"/>
      <c r="AY781" s="1"/>
      <c r="AZ781" s="1"/>
      <c r="BA781" s="1"/>
      <c r="BB781" s="1"/>
      <c r="BC781" s="1"/>
      <c r="BD781" s="1"/>
      <c r="BE781" s="1"/>
      <c r="BF781" s="1"/>
      <c r="BG781" s="1"/>
      <c r="BH781" s="1"/>
      <c r="BI781" s="1"/>
      <c r="BJ781" s="1"/>
      <c r="BK781" s="1"/>
    </row>
    <row r="782" spans="1:63" s="11" customFormat="1" ht="12" customHeight="1" x14ac:dyDescent="0.2">
      <c r="A782" s="11" t="s">
        <v>26941</v>
      </c>
      <c r="B782" s="68">
        <v>48</v>
      </c>
      <c r="C782" s="11" t="s">
        <v>20</v>
      </c>
      <c r="D782" s="11" t="s">
        <v>30</v>
      </c>
      <c r="F782" s="69">
        <v>42689</v>
      </c>
      <c r="G782" s="11" t="s">
        <v>26942</v>
      </c>
      <c r="H782" s="11" t="s">
        <v>18037</v>
      </c>
      <c r="I782" s="11" t="s">
        <v>45</v>
      </c>
      <c r="J782" s="11">
        <v>92591</v>
      </c>
      <c r="K782" s="11" t="s">
        <v>783</v>
      </c>
      <c r="L782" s="11" t="s">
        <v>4452</v>
      </c>
      <c r="M782" s="11" t="s">
        <v>27</v>
      </c>
      <c r="N782" s="11" t="s">
        <v>26943</v>
      </c>
      <c r="O782" s="11" t="s">
        <v>400</v>
      </c>
      <c r="P782" s="11" t="s">
        <v>401</v>
      </c>
      <c r="Q782" s="11" t="s">
        <v>26944</v>
      </c>
      <c r="R782" s="11" t="s">
        <v>100</v>
      </c>
      <c r="S782" s="11" t="s">
        <v>28</v>
      </c>
      <c r="T782" s="68" t="s">
        <v>29493</v>
      </c>
      <c r="U782" s="68" t="s">
        <v>29436</v>
      </c>
      <c r="V782" s="68" t="s">
        <v>29439</v>
      </c>
      <c r="W782" s="68" t="s">
        <v>100</v>
      </c>
      <c r="X782" s="68">
        <v>2047</v>
      </c>
      <c r="AW782" s="1"/>
      <c r="AX782" s="1"/>
      <c r="AY782" s="1"/>
      <c r="BC782" s="1"/>
      <c r="BD782" s="1"/>
      <c r="BE782" s="1"/>
      <c r="BF782" s="1"/>
      <c r="BG782" s="1"/>
      <c r="BH782" s="1"/>
      <c r="BI782" s="1"/>
      <c r="BJ782" s="1"/>
      <c r="BK782" s="70"/>
    </row>
    <row r="783" spans="1:63" s="11" customFormat="1" ht="12" customHeight="1" x14ac:dyDescent="0.2">
      <c r="A783" s="11" t="s">
        <v>26945</v>
      </c>
      <c r="B783" s="68">
        <v>37</v>
      </c>
      <c r="C783" s="11" t="s">
        <v>20</v>
      </c>
      <c r="D783" s="11" t="s">
        <v>37</v>
      </c>
      <c r="F783" s="69">
        <v>42689</v>
      </c>
      <c r="G783" s="11" t="s">
        <v>26946</v>
      </c>
      <c r="H783" s="11" t="s">
        <v>3261</v>
      </c>
      <c r="I783" s="11" t="s">
        <v>73</v>
      </c>
      <c r="J783" s="11">
        <v>77598</v>
      </c>
      <c r="K783" s="11" t="s">
        <v>558</v>
      </c>
      <c r="L783" s="11" t="s">
        <v>3263</v>
      </c>
      <c r="M783" s="11" t="s">
        <v>27</v>
      </c>
      <c r="N783" s="11" t="s">
        <v>26947</v>
      </c>
      <c r="O783" s="11" t="s">
        <v>400</v>
      </c>
      <c r="P783" s="11" t="s">
        <v>401</v>
      </c>
      <c r="Q783" s="11" t="s">
        <v>26948</v>
      </c>
      <c r="R783" s="11" t="s">
        <v>100</v>
      </c>
      <c r="S783" s="11" t="s">
        <v>28</v>
      </c>
      <c r="T783" s="68" t="s">
        <v>27756</v>
      </c>
      <c r="U783" s="68" t="s">
        <v>29438</v>
      </c>
      <c r="V783" s="68" t="s">
        <v>29439</v>
      </c>
      <c r="W783" s="68" t="s">
        <v>100</v>
      </c>
      <c r="X783" s="68">
        <v>2049</v>
      </c>
      <c r="AW783" s="44"/>
      <c r="AX783" s="1"/>
      <c r="AY783" s="1"/>
      <c r="BC783" s="1"/>
      <c r="BD783" s="1"/>
      <c r="BE783" s="1"/>
      <c r="BF783" s="1"/>
      <c r="BG783" s="1"/>
      <c r="BH783" s="1"/>
      <c r="BI783" s="1"/>
      <c r="BJ783" s="1"/>
      <c r="BK783" s="70"/>
    </row>
    <row r="784" spans="1:63" s="11" customFormat="1" ht="12" customHeight="1" x14ac:dyDescent="0.15">
      <c r="A784" s="11" t="s">
        <v>26949</v>
      </c>
      <c r="B784" s="68">
        <v>25</v>
      </c>
      <c r="C784" s="11" t="s">
        <v>20</v>
      </c>
      <c r="D784" s="11" t="s">
        <v>85</v>
      </c>
      <c r="F784" s="69">
        <v>42689</v>
      </c>
      <c r="G784" s="11" t="s">
        <v>26950</v>
      </c>
      <c r="H784" s="11" t="s">
        <v>1604</v>
      </c>
      <c r="I784" s="11" t="s">
        <v>404</v>
      </c>
      <c r="J784" s="11">
        <v>17406</v>
      </c>
      <c r="K784" s="11" t="s">
        <v>1604</v>
      </c>
      <c r="L784" s="11" t="s">
        <v>511</v>
      </c>
      <c r="M784" s="11" t="s">
        <v>27</v>
      </c>
      <c r="N784" s="11" t="s">
        <v>26951</v>
      </c>
      <c r="O784" s="11" t="s">
        <v>400</v>
      </c>
      <c r="P784" s="11" t="s">
        <v>401</v>
      </c>
      <c r="Q784" s="11" t="s">
        <v>26952</v>
      </c>
      <c r="R784" s="11" t="s">
        <v>100</v>
      </c>
      <c r="S784" s="11" t="s">
        <v>379</v>
      </c>
      <c r="T784" s="68" t="s">
        <v>379</v>
      </c>
      <c r="U784" s="68" t="s">
        <v>29436</v>
      </c>
      <c r="V784" s="68" t="s">
        <v>29437</v>
      </c>
      <c r="W784" s="68" t="s">
        <v>100</v>
      </c>
      <c r="X784" s="68">
        <v>2048</v>
      </c>
      <c r="AX784" s="44"/>
      <c r="AY784" s="44"/>
      <c r="BC784" s="44"/>
      <c r="BD784" s="44"/>
      <c r="BE784" s="44"/>
      <c r="BF784" s="44"/>
      <c r="BG784" s="44"/>
      <c r="BH784" s="44"/>
      <c r="BI784" s="44"/>
      <c r="BJ784" s="44"/>
    </row>
    <row r="785" spans="1:63" s="11" customFormat="1" ht="12" customHeight="1" x14ac:dyDescent="0.15">
      <c r="A785" s="11" t="s">
        <v>26939</v>
      </c>
      <c r="B785" s="11">
        <v>87</v>
      </c>
      <c r="C785" s="11" t="s">
        <v>114</v>
      </c>
      <c r="D785" s="11" t="s">
        <v>37</v>
      </c>
      <c r="E785" s="11" t="s">
        <v>26940</v>
      </c>
      <c r="F785" s="72">
        <v>42688</v>
      </c>
      <c r="G785" s="11" t="s">
        <v>26935</v>
      </c>
      <c r="H785" s="11" t="s">
        <v>216</v>
      </c>
      <c r="I785" s="11" t="s">
        <v>217</v>
      </c>
      <c r="J785" s="11">
        <v>46236</v>
      </c>
      <c r="K785" s="11" t="s">
        <v>420</v>
      </c>
      <c r="L785" s="11" t="s">
        <v>26936</v>
      </c>
      <c r="M785" s="11" t="s">
        <v>379</v>
      </c>
      <c r="N785" s="11" t="s">
        <v>26937</v>
      </c>
      <c r="O785" s="11" t="s">
        <v>400</v>
      </c>
      <c r="P785" s="11" t="s">
        <v>401</v>
      </c>
      <c r="Q785" s="11" t="s">
        <v>26938</v>
      </c>
      <c r="R785" s="11" t="s">
        <v>100</v>
      </c>
      <c r="S785" s="66" t="s">
        <v>379</v>
      </c>
      <c r="T785" s="66" t="s">
        <v>30738</v>
      </c>
      <c r="U785" s="1"/>
      <c r="AU785" s="44"/>
      <c r="AV785" s="44"/>
      <c r="AW785" s="44"/>
      <c r="AX785" s="1"/>
      <c r="AY785" s="1"/>
      <c r="AZ785" s="1"/>
      <c r="BA785" s="1"/>
      <c r="BB785" s="1"/>
      <c r="BC785" s="1"/>
      <c r="BD785" s="1"/>
      <c r="BE785" s="1"/>
      <c r="BF785" s="1"/>
      <c r="BG785" s="1"/>
      <c r="BH785" s="1"/>
      <c r="BI785" s="1"/>
      <c r="BJ785" s="1"/>
      <c r="BK785" s="1"/>
    </row>
    <row r="786" spans="1:63" s="11" customFormat="1" ht="12" customHeight="1" x14ac:dyDescent="0.15">
      <c r="A786" s="11" t="s">
        <v>26933</v>
      </c>
      <c r="B786" s="11">
        <v>86</v>
      </c>
      <c r="C786" s="11" t="s">
        <v>20</v>
      </c>
      <c r="D786" s="11" t="s">
        <v>37</v>
      </c>
      <c r="E786" s="11" t="s">
        <v>26934</v>
      </c>
      <c r="F786" s="72">
        <v>42688</v>
      </c>
      <c r="G786" s="11" t="s">
        <v>26935</v>
      </c>
      <c r="H786" s="11" t="s">
        <v>216</v>
      </c>
      <c r="I786" s="11" t="s">
        <v>217</v>
      </c>
      <c r="J786" s="11">
        <v>46236</v>
      </c>
      <c r="K786" s="11" t="s">
        <v>420</v>
      </c>
      <c r="L786" s="11" t="s">
        <v>26936</v>
      </c>
      <c r="M786" s="11" t="s">
        <v>379</v>
      </c>
      <c r="N786" s="11" t="s">
        <v>26937</v>
      </c>
      <c r="O786" s="11" t="s">
        <v>400</v>
      </c>
      <c r="P786" s="11" t="s">
        <v>401</v>
      </c>
      <c r="Q786" s="11" t="s">
        <v>26938</v>
      </c>
      <c r="R786" s="11" t="s">
        <v>100</v>
      </c>
      <c r="S786" s="11" t="s">
        <v>379</v>
      </c>
      <c r="AU786" s="44"/>
      <c r="AV786" s="44"/>
      <c r="AW786" s="44"/>
      <c r="AX786" s="1"/>
      <c r="AY786" s="1"/>
      <c r="AZ786" s="1"/>
      <c r="BA786" s="1"/>
      <c r="BB786" s="1"/>
      <c r="BC786" s="1"/>
      <c r="BD786" s="1"/>
      <c r="BE786" s="1"/>
      <c r="BF786" s="1"/>
      <c r="BG786" s="1"/>
      <c r="BH786" s="1"/>
      <c r="BI786" s="1"/>
      <c r="BJ786" s="1"/>
      <c r="BK786" s="1"/>
    </row>
    <row r="787" spans="1:63" s="11" customFormat="1" ht="12" customHeight="1" x14ac:dyDescent="0.2">
      <c r="A787" s="11" t="s">
        <v>26930</v>
      </c>
      <c r="B787" s="68">
        <v>22</v>
      </c>
      <c r="C787" s="11" t="s">
        <v>20</v>
      </c>
      <c r="D787" s="11" t="s">
        <v>48</v>
      </c>
      <c r="F787" s="69">
        <v>42687</v>
      </c>
      <c r="G787" s="11" t="s">
        <v>27067</v>
      </c>
      <c r="H787" s="11" t="s">
        <v>156</v>
      </c>
      <c r="I787" s="11" t="s">
        <v>45</v>
      </c>
      <c r="J787" s="11">
        <v>92105</v>
      </c>
      <c r="K787" s="11" t="s">
        <v>156</v>
      </c>
      <c r="L787" s="11" t="s">
        <v>157</v>
      </c>
      <c r="M787" s="11" t="s">
        <v>27</v>
      </c>
      <c r="N787" s="11" t="s">
        <v>26931</v>
      </c>
      <c r="O787" s="11" t="s">
        <v>400</v>
      </c>
      <c r="P787" s="11" t="s">
        <v>401</v>
      </c>
      <c r="Q787" s="11" t="s">
        <v>26932</v>
      </c>
      <c r="R787" s="11" t="s">
        <v>100</v>
      </c>
      <c r="S787" s="11" t="s">
        <v>28</v>
      </c>
      <c r="T787" s="68" t="s">
        <v>27756</v>
      </c>
      <c r="U787" s="68" t="s">
        <v>29438</v>
      </c>
      <c r="V787" s="68" t="s">
        <v>29439</v>
      </c>
      <c r="W787" s="68" t="s">
        <v>555</v>
      </c>
      <c r="X787" s="68">
        <v>2040</v>
      </c>
      <c r="AW787" s="44"/>
      <c r="AX787" s="1"/>
      <c r="AY787" s="1"/>
      <c r="BC787" s="1"/>
      <c r="BD787" s="1"/>
      <c r="BE787" s="1"/>
      <c r="BF787" s="1"/>
      <c r="BG787" s="1"/>
      <c r="BH787" s="1"/>
      <c r="BI787" s="1"/>
      <c r="BJ787" s="1"/>
      <c r="BK787" s="70"/>
    </row>
    <row r="788" spans="1:63" s="11" customFormat="1" ht="12" customHeight="1" x14ac:dyDescent="0.2">
      <c r="A788" s="11" t="s">
        <v>26925</v>
      </c>
      <c r="B788" s="68">
        <v>21</v>
      </c>
      <c r="C788" s="11" t="s">
        <v>20</v>
      </c>
      <c r="D788" s="11" t="s">
        <v>48</v>
      </c>
      <c r="E788" s="11" t="s">
        <v>26926</v>
      </c>
      <c r="F788" s="69">
        <v>42687</v>
      </c>
      <c r="G788" s="11" t="s">
        <v>26927</v>
      </c>
      <c r="H788" s="11" t="s">
        <v>1094</v>
      </c>
      <c r="I788" s="11" t="s">
        <v>395</v>
      </c>
      <c r="J788" s="11">
        <v>73139</v>
      </c>
      <c r="K788" s="11" t="s">
        <v>1095</v>
      </c>
      <c r="L788" s="11" t="s">
        <v>1096</v>
      </c>
      <c r="M788" s="11" t="s">
        <v>27</v>
      </c>
      <c r="N788" s="11" t="s">
        <v>26928</v>
      </c>
      <c r="O788" s="11" t="s">
        <v>400</v>
      </c>
      <c r="P788" s="11" t="s">
        <v>401</v>
      </c>
      <c r="Q788" s="11" t="s">
        <v>26929</v>
      </c>
      <c r="R788" s="11" t="s">
        <v>100</v>
      </c>
      <c r="S788" s="11" t="s">
        <v>28</v>
      </c>
      <c r="T788" s="68" t="s">
        <v>27756</v>
      </c>
      <c r="U788" s="68" t="s">
        <v>29438</v>
      </c>
      <c r="V788" s="68" t="s">
        <v>29439</v>
      </c>
      <c r="W788" s="68" t="s">
        <v>100</v>
      </c>
      <c r="X788" s="68">
        <v>2041</v>
      </c>
      <c r="AW788" s="70"/>
      <c r="AX788" s="1"/>
      <c r="AY788" s="1"/>
      <c r="BC788" s="1"/>
      <c r="BD788" s="1"/>
      <c r="BE788" s="1"/>
      <c r="BF788" s="1"/>
      <c r="BG788" s="1"/>
      <c r="BH788" s="1"/>
      <c r="BI788" s="1"/>
      <c r="BJ788" s="1"/>
      <c r="BK788" s="70"/>
    </row>
    <row r="789" spans="1:63" s="11" customFormat="1" ht="12" customHeight="1" x14ac:dyDescent="0.15">
      <c r="A789" s="11" t="s">
        <v>26920</v>
      </c>
      <c r="B789" s="11">
        <v>31</v>
      </c>
      <c r="C789" s="11" t="s">
        <v>20</v>
      </c>
      <c r="D789" s="11" t="s">
        <v>37</v>
      </c>
      <c r="F789" s="72">
        <v>42687</v>
      </c>
      <c r="G789" s="11" t="s">
        <v>26921</v>
      </c>
      <c r="H789" s="11" t="s">
        <v>26922</v>
      </c>
      <c r="I789" s="11" t="s">
        <v>32</v>
      </c>
      <c r="J789" s="11">
        <v>29456</v>
      </c>
      <c r="K789" s="11" t="s">
        <v>822</v>
      </c>
      <c r="L789" s="11" t="s">
        <v>7352</v>
      </c>
      <c r="M789" s="1" t="s">
        <v>391</v>
      </c>
      <c r="N789" s="11" t="s">
        <v>26923</v>
      </c>
      <c r="O789" s="11" t="s">
        <v>400</v>
      </c>
      <c r="P789" s="11" t="s">
        <v>401</v>
      </c>
      <c r="Q789" s="11" t="s">
        <v>26924</v>
      </c>
      <c r="R789" s="11" t="s">
        <v>29</v>
      </c>
      <c r="S789" s="11" t="s">
        <v>28</v>
      </c>
      <c r="AX789" s="1"/>
      <c r="AY789" s="1"/>
      <c r="AZ789" s="1"/>
      <c r="BA789" s="1"/>
      <c r="BB789" s="1"/>
      <c r="BC789" s="1"/>
      <c r="BD789" s="1"/>
      <c r="BE789" s="1"/>
      <c r="BF789" s="1"/>
      <c r="BG789" s="1"/>
      <c r="BH789" s="1"/>
      <c r="BI789" s="1"/>
      <c r="BJ789" s="1"/>
      <c r="BK789" s="1"/>
    </row>
    <row r="790" spans="1:63" s="11" customFormat="1" ht="12" customHeight="1" x14ac:dyDescent="0.15">
      <c r="A790" s="66" t="s">
        <v>29604</v>
      </c>
      <c r="B790" s="66">
        <v>38</v>
      </c>
      <c r="C790" s="66" t="s">
        <v>20</v>
      </c>
      <c r="D790" s="66" t="s">
        <v>30</v>
      </c>
      <c r="E790" s="66"/>
      <c r="F790" s="67">
        <v>42687</v>
      </c>
      <c r="G790" s="67"/>
      <c r="H790" s="66" t="s">
        <v>29603</v>
      </c>
      <c r="I790" s="66" t="s">
        <v>404</v>
      </c>
      <c r="J790" s="66"/>
      <c r="K790" s="66"/>
      <c r="L790" s="66"/>
      <c r="M790" s="66" t="s">
        <v>5411</v>
      </c>
      <c r="N790" s="66"/>
      <c r="O790" s="66" t="s">
        <v>400</v>
      </c>
      <c r="P790" s="66" t="s">
        <v>401</v>
      </c>
      <c r="Q790" s="66"/>
      <c r="R790" s="66" t="s">
        <v>555</v>
      </c>
      <c r="S790" s="66" t="s">
        <v>28</v>
      </c>
      <c r="T790" s="66" t="s">
        <v>29446</v>
      </c>
      <c r="U790" s="66" t="s">
        <v>29438</v>
      </c>
      <c r="V790" s="66" t="s">
        <v>29439</v>
      </c>
      <c r="W790" s="66" t="s">
        <v>100</v>
      </c>
      <c r="X790" s="66">
        <v>2124</v>
      </c>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1"/>
      <c r="BD790" s="1"/>
      <c r="BE790" s="1"/>
      <c r="BF790" s="1"/>
      <c r="BG790" s="1"/>
      <c r="BH790" s="1"/>
      <c r="BI790" s="1"/>
      <c r="BJ790" s="1"/>
      <c r="BK790" s="1"/>
    </row>
    <row r="791" spans="1:63" s="11" customFormat="1" ht="12" customHeight="1" x14ac:dyDescent="0.2">
      <c r="A791" s="11" t="s">
        <v>26914</v>
      </c>
      <c r="B791" s="68">
        <v>29</v>
      </c>
      <c r="C791" s="11" t="s">
        <v>20</v>
      </c>
      <c r="D791" s="11" t="s">
        <v>48</v>
      </c>
      <c r="E791" s="11" t="s">
        <v>26915</v>
      </c>
      <c r="F791" s="69">
        <v>42686</v>
      </c>
      <c r="G791" s="11" t="s">
        <v>27066</v>
      </c>
      <c r="H791" s="11" t="s">
        <v>26916</v>
      </c>
      <c r="I791" s="11" t="s">
        <v>123</v>
      </c>
      <c r="J791" s="11">
        <v>85629</v>
      </c>
      <c r="K791" s="11" t="s">
        <v>562</v>
      </c>
      <c r="L791" s="11" t="s">
        <v>26917</v>
      </c>
      <c r="M791" s="11" t="s">
        <v>27</v>
      </c>
      <c r="N791" s="11" t="s">
        <v>26918</v>
      </c>
      <c r="O791" s="11" t="s">
        <v>400</v>
      </c>
      <c r="P791" s="11" t="s">
        <v>401</v>
      </c>
      <c r="Q791" s="11" t="s">
        <v>26919</v>
      </c>
      <c r="R791" s="11" t="s">
        <v>100</v>
      </c>
      <c r="S791" s="11" t="s">
        <v>28</v>
      </c>
      <c r="T791" s="68" t="s">
        <v>27756</v>
      </c>
      <c r="U791" s="68" t="s">
        <v>29438</v>
      </c>
      <c r="V791" s="68" t="s">
        <v>29437</v>
      </c>
      <c r="W791" s="68" t="s">
        <v>100</v>
      </c>
      <c r="X791" s="68">
        <v>2045</v>
      </c>
      <c r="AW791" s="44"/>
      <c r="AX791" s="1"/>
      <c r="AY791" s="1"/>
      <c r="BC791" s="1"/>
      <c r="BD791" s="1"/>
      <c r="BE791" s="1"/>
      <c r="BF791" s="1"/>
      <c r="BG791" s="1"/>
      <c r="BH791" s="1"/>
      <c r="BI791" s="1"/>
      <c r="BJ791" s="1"/>
      <c r="BK791" s="70"/>
    </row>
    <row r="792" spans="1:63" s="11" customFormat="1" ht="12" customHeight="1" x14ac:dyDescent="0.2">
      <c r="A792" s="11" t="s">
        <v>26910</v>
      </c>
      <c r="B792" s="68">
        <v>40</v>
      </c>
      <c r="C792" s="11" t="s">
        <v>20</v>
      </c>
      <c r="D792" s="11" t="s">
        <v>37</v>
      </c>
      <c r="F792" s="69">
        <v>42686</v>
      </c>
      <c r="G792" s="11" t="s">
        <v>26911</v>
      </c>
      <c r="H792" s="11" t="s">
        <v>4417</v>
      </c>
      <c r="I792" s="11" t="s">
        <v>330</v>
      </c>
      <c r="J792" s="11">
        <v>99501</v>
      </c>
      <c r="K792" s="11" t="s">
        <v>4417</v>
      </c>
      <c r="L792" s="11" t="s">
        <v>4419</v>
      </c>
      <c r="M792" s="11" t="s">
        <v>27</v>
      </c>
      <c r="N792" s="11" t="s">
        <v>26912</v>
      </c>
      <c r="O792" s="11" t="s">
        <v>400</v>
      </c>
      <c r="P792" s="11" t="s">
        <v>401</v>
      </c>
      <c r="Q792" s="11" t="s">
        <v>26913</v>
      </c>
      <c r="R792" s="11" t="s">
        <v>100</v>
      </c>
      <c r="S792" s="11" t="s">
        <v>28</v>
      </c>
      <c r="T792" s="68" t="s">
        <v>27756</v>
      </c>
      <c r="U792" s="68" t="s">
        <v>29438</v>
      </c>
      <c r="V792" s="68" t="s">
        <v>29439</v>
      </c>
      <c r="W792" s="68" t="s">
        <v>100</v>
      </c>
      <c r="X792" s="68">
        <v>2042</v>
      </c>
      <c r="AW792" s="44"/>
      <c r="AX792" s="1"/>
      <c r="AY792" s="1"/>
      <c r="BC792" s="1"/>
      <c r="BD792" s="1"/>
      <c r="BE792" s="1"/>
      <c r="BF792" s="1"/>
      <c r="BG792" s="1"/>
      <c r="BH792" s="1"/>
      <c r="BI792" s="1"/>
      <c r="BJ792" s="1"/>
      <c r="BK792" s="70"/>
    </row>
    <row r="793" spans="1:63" s="11" customFormat="1" ht="12" customHeight="1" x14ac:dyDescent="0.2">
      <c r="A793" s="11" t="s">
        <v>26886</v>
      </c>
      <c r="B793" s="11">
        <v>33</v>
      </c>
      <c r="C793" s="11" t="s">
        <v>20</v>
      </c>
      <c r="D793" s="11" t="s">
        <v>48</v>
      </c>
      <c r="E793" s="11" t="s">
        <v>26887</v>
      </c>
      <c r="F793" s="69">
        <v>42685</v>
      </c>
      <c r="G793" s="11" t="s">
        <v>26888</v>
      </c>
      <c r="H793" s="11" t="s">
        <v>4238</v>
      </c>
      <c r="I793" s="11" t="s">
        <v>790</v>
      </c>
      <c r="J793" s="11">
        <v>83706</v>
      </c>
      <c r="K793" s="11" t="s">
        <v>4240</v>
      </c>
      <c r="L793" s="11" t="s">
        <v>4241</v>
      </c>
      <c r="M793" s="11" t="s">
        <v>27</v>
      </c>
      <c r="N793" s="11" t="s">
        <v>26889</v>
      </c>
      <c r="O793" s="11" t="s">
        <v>400</v>
      </c>
      <c r="P793" s="11" t="s">
        <v>401</v>
      </c>
      <c r="Q793" s="11" t="s">
        <v>26890</v>
      </c>
      <c r="R793" s="11" t="s">
        <v>100</v>
      </c>
      <c r="S793" s="11" t="s">
        <v>28</v>
      </c>
      <c r="T793" s="68" t="s">
        <v>27756</v>
      </c>
      <c r="U793" s="68" t="s">
        <v>29438</v>
      </c>
      <c r="V793" s="68" t="s">
        <v>21212</v>
      </c>
      <c r="W793" s="68" t="s">
        <v>100</v>
      </c>
      <c r="X793" s="68">
        <v>2043</v>
      </c>
      <c r="AW793" s="1"/>
      <c r="AX793" s="1"/>
      <c r="AY793" s="1"/>
      <c r="BC793" s="1"/>
      <c r="BD793" s="1"/>
      <c r="BE793" s="1"/>
      <c r="BF793" s="1"/>
      <c r="BG793" s="1"/>
      <c r="BH793" s="1"/>
      <c r="BI793" s="1"/>
      <c r="BJ793" s="1"/>
      <c r="BK793" s="70"/>
    </row>
    <row r="794" spans="1:63" s="11" customFormat="1" ht="12" customHeight="1" x14ac:dyDescent="0.15">
      <c r="A794" s="11" t="s">
        <v>26894</v>
      </c>
      <c r="B794" s="11">
        <v>30</v>
      </c>
      <c r="C794" s="11" t="s">
        <v>114</v>
      </c>
      <c r="D794" s="11" t="s">
        <v>37</v>
      </c>
      <c r="E794" s="11" t="s">
        <v>26895</v>
      </c>
      <c r="F794" s="72">
        <v>42685</v>
      </c>
      <c r="G794" s="11" t="s">
        <v>27065</v>
      </c>
      <c r="H794" s="11" t="s">
        <v>26896</v>
      </c>
      <c r="I794" s="11" t="s">
        <v>366</v>
      </c>
      <c r="J794" s="11">
        <v>27526</v>
      </c>
      <c r="K794" s="11" t="s">
        <v>690</v>
      </c>
      <c r="L794" s="11" t="s">
        <v>26897</v>
      </c>
      <c r="M794" s="11" t="s">
        <v>27</v>
      </c>
      <c r="N794" s="11" t="s">
        <v>26898</v>
      </c>
      <c r="O794" s="11" t="s">
        <v>25470</v>
      </c>
      <c r="P794" s="11" t="s">
        <v>401</v>
      </c>
      <c r="Q794" s="11" t="s">
        <v>26899</v>
      </c>
      <c r="R794" s="11" t="s">
        <v>100</v>
      </c>
      <c r="S794" s="11" t="s">
        <v>18</v>
      </c>
      <c r="T794" s="68"/>
      <c r="U794" s="68"/>
      <c r="V794" s="68"/>
      <c r="W794" s="68"/>
      <c r="X794" s="68"/>
      <c r="AW794" s="1"/>
      <c r="AX794" s="1"/>
      <c r="AY794" s="1"/>
      <c r="AZ794" s="1"/>
      <c r="BA794" s="1"/>
      <c r="BB794" s="1"/>
      <c r="BC794" s="1"/>
      <c r="BD794" s="1"/>
      <c r="BE794" s="1"/>
      <c r="BF794" s="1"/>
      <c r="BG794" s="1"/>
      <c r="BH794" s="1"/>
      <c r="BI794" s="1"/>
      <c r="BJ794" s="1"/>
      <c r="BK794" s="1"/>
    </row>
    <row r="795" spans="1:63" s="11" customFormat="1" ht="12" customHeight="1" x14ac:dyDescent="0.2">
      <c r="A795" s="11" t="s">
        <v>27741</v>
      </c>
      <c r="B795" s="11" t="s">
        <v>29</v>
      </c>
      <c r="C795" s="11" t="s">
        <v>20</v>
      </c>
      <c r="D795" s="11" t="s">
        <v>85</v>
      </c>
      <c r="F795" s="69">
        <v>42685</v>
      </c>
      <c r="G795" s="11" t="s">
        <v>26891</v>
      </c>
      <c r="H795" s="11" t="s">
        <v>8224</v>
      </c>
      <c r="I795" s="11" t="s">
        <v>173</v>
      </c>
      <c r="J795" s="11">
        <v>30337</v>
      </c>
      <c r="K795" s="11" t="s">
        <v>1556</v>
      </c>
      <c r="L795" s="11" t="s">
        <v>10557</v>
      </c>
      <c r="M795" s="68" t="s">
        <v>5411</v>
      </c>
      <c r="N795" s="11" t="s">
        <v>26892</v>
      </c>
      <c r="O795" s="11" t="s">
        <v>400</v>
      </c>
      <c r="P795" s="11" t="s">
        <v>401</v>
      </c>
      <c r="Q795" s="11" t="s">
        <v>26893</v>
      </c>
      <c r="R795" s="11" t="s">
        <v>100</v>
      </c>
      <c r="S795" s="11" t="s">
        <v>35</v>
      </c>
      <c r="T795" s="68"/>
      <c r="U795" s="68" t="s">
        <v>29441</v>
      </c>
      <c r="V795" s="68"/>
      <c r="W795" s="68" t="s">
        <v>100</v>
      </c>
      <c r="X795" s="68">
        <v>2037</v>
      </c>
      <c r="AW795" s="1"/>
      <c r="AX795" s="44"/>
      <c r="AY795" s="44"/>
      <c r="BB795" s="70"/>
      <c r="BC795" s="44"/>
      <c r="BD795" s="44"/>
      <c r="BE795" s="44"/>
      <c r="BF795" s="44"/>
      <c r="BG795" s="44"/>
      <c r="BH795" s="44"/>
      <c r="BI795" s="44"/>
      <c r="BJ795" s="44"/>
    </row>
    <row r="796" spans="1:63" s="11" customFormat="1" ht="12" customHeight="1" x14ac:dyDescent="0.15">
      <c r="A796" s="11" t="s">
        <v>26900</v>
      </c>
      <c r="B796" s="68">
        <v>24</v>
      </c>
      <c r="C796" s="11" t="s">
        <v>20</v>
      </c>
      <c r="D796" s="11" t="s">
        <v>37</v>
      </c>
      <c r="E796" s="11" t="s">
        <v>26901</v>
      </c>
      <c r="F796" s="69">
        <v>42685</v>
      </c>
      <c r="G796" s="11" t="s">
        <v>26902</v>
      </c>
      <c r="H796" s="11" t="s">
        <v>2282</v>
      </c>
      <c r="I796" s="11" t="s">
        <v>209</v>
      </c>
      <c r="J796" s="11">
        <v>81501</v>
      </c>
      <c r="K796" s="11" t="s">
        <v>1428</v>
      </c>
      <c r="L796" s="11" t="s">
        <v>2284</v>
      </c>
      <c r="M796" s="11" t="s">
        <v>27</v>
      </c>
      <c r="N796" s="11" t="s">
        <v>26903</v>
      </c>
      <c r="O796" s="11" t="s">
        <v>400</v>
      </c>
      <c r="P796" s="11" t="s">
        <v>401</v>
      </c>
      <c r="Q796" s="11" t="s">
        <v>26904</v>
      </c>
      <c r="R796" s="11" t="s">
        <v>100</v>
      </c>
      <c r="S796" s="68" t="s">
        <v>379</v>
      </c>
      <c r="T796" s="68" t="s">
        <v>379</v>
      </c>
      <c r="U796" s="68" t="s">
        <v>29438</v>
      </c>
      <c r="V796" s="68" t="s">
        <v>29437</v>
      </c>
      <c r="W796" s="68" t="s">
        <v>100</v>
      </c>
      <c r="X796" s="68">
        <v>2039</v>
      </c>
      <c r="AX796" s="1"/>
      <c r="AY796" s="1"/>
      <c r="BC796" s="1"/>
      <c r="BD796" s="1"/>
      <c r="BE796" s="1"/>
      <c r="BF796" s="1"/>
      <c r="BG796" s="1"/>
      <c r="BH796" s="1"/>
      <c r="BI796" s="1"/>
      <c r="BJ796" s="1"/>
    </row>
    <row r="797" spans="1:63" s="11" customFormat="1" ht="12" customHeight="1" x14ac:dyDescent="0.2">
      <c r="A797" s="11" t="s">
        <v>26905</v>
      </c>
      <c r="B797" s="68">
        <v>47</v>
      </c>
      <c r="C797" s="11" t="s">
        <v>20</v>
      </c>
      <c r="D797" s="11" t="s">
        <v>37</v>
      </c>
      <c r="E797" s="11" t="s">
        <v>26906</v>
      </c>
      <c r="F797" s="69">
        <v>42685</v>
      </c>
      <c r="I797" s="11" t="s">
        <v>209</v>
      </c>
      <c r="K797" s="11" t="s">
        <v>27078</v>
      </c>
      <c r="L797" s="11" t="s">
        <v>26907</v>
      </c>
      <c r="M797" s="11" t="s">
        <v>27</v>
      </c>
      <c r="N797" s="11" t="s">
        <v>26908</v>
      </c>
      <c r="O797" s="11" t="s">
        <v>400</v>
      </c>
      <c r="P797" s="11" t="s">
        <v>401</v>
      </c>
      <c r="Q797" s="11" t="s">
        <v>26909</v>
      </c>
      <c r="R797" s="11" t="s">
        <v>29</v>
      </c>
      <c r="S797" s="2" t="s">
        <v>28</v>
      </c>
      <c r="T797" s="68" t="s">
        <v>27756</v>
      </c>
      <c r="U797" s="68" t="s">
        <v>29438</v>
      </c>
      <c r="V797" s="68" t="s">
        <v>29439</v>
      </c>
      <c r="W797" s="68" t="s">
        <v>100</v>
      </c>
      <c r="X797" s="68">
        <v>2046</v>
      </c>
      <c r="AW797" s="1"/>
      <c r="AX797" s="1"/>
      <c r="AY797" s="1"/>
      <c r="BA797" s="1"/>
      <c r="BB797" s="1"/>
      <c r="BC797" s="1"/>
      <c r="BD797" s="1"/>
      <c r="BE797" s="1"/>
      <c r="BF797" s="1"/>
      <c r="BG797" s="1"/>
      <c r="BH797" s="1"/>
      <c r="BI797" s="1"/>
      <c r="BJ797" s="1"/>
      <c r="BK797" s="70"/>
    </row>
    <row r="798" spans="1:63" s="11" customFormat="1" ht="12" customHeight="1" x14ac:dyDescent="0.2">
      <c r="A798" s="11" t="s">
        <v>26881</v>
      </c>
      <c r="B798" s="68">
        <v>41</v>
      </c>
      <c r="C798" s="11" t="s">
        <v>20</v>
      </c>
      <c r="D798" s="11" t="s">
        <v>48</v>
      </c>
      <c r="E798" s="11" t="s">
        <v>26882</v>
      </c>
      <c r="F798" s="69">
        <v>42684</v>
      </c>
      <c r="G798" s="11" t="s">
        <v>26883</v>
      </c>
      <c r="H798" s="11" t="s">
        <v>7299</v>
      </c>
      <c r="I798" s="11" t="s">
        <v>73</v>
      </c>
      <c r="J798" s="11">
        <v>76903</v>
      </c>
      <c r="K798" s="11" t="s">
        <v>7301</v>
      </c>
      <c r="L798" s="11" t="s">
        <v>7302</v>
      </c>
      <c r="M798" s="11" t="s">
        <v>27</v>
      </c>
      <c r="N798" s="11" t="s">
        <v>26884</v>
      </c>
      <c r="O798" s="11" t="s">
        <v>400</v>
      </c>
      <c r="P798" s="11" t="s">
        <v>401</v>
      </c>
      <c r="Q798" s="11" t="s">
        <v>26885</v>
      </c>
      <c r="R798" s="11" t="s">
        <v>100</v>
      </c>
      <c r="S798" s="11" t="s">
        <v>28</v>
      </c>
      <c r="T798" s="68" t="s">
        <v>27756</v>
      </c>
      <c r="U798" s="68" t="s">
        <v>29441</v>
      </c>
      <c r="V798" s="68"/>
      <c r="W798" s="68" t="s">
        <v>100</v>
      </c>
      <c r="X798" s="68">
        <v>2036</v>
      </c>
      <c r="AW798" s="1"/>
      <c r="AX798" s="1"/>
      <c r="AY798" s="1"/>
      <c r="BC798" s="1"/>
      <c r="BD798" s="1"/>
      <c r="BE798" s="1"/>
      <c r="BF798" s="1"/>
      <c r="BG798" s="1"/>
      <c r="BH798" s="1"/>
      <c r="BI798" s="1"/>
      <c r="BJ798" s="1"/>
      <c r="BK798" s="70"/>
    </row>
    <row r="799" spans="1:63" s="11" customFormat="1" ht="12" customHeight="1" x14ac:dyDescent="0.2">
      <c r="A799" s="11" t="s">
        <v>26877</v>
      </c>
      <c r="B799" s="68">
        <v>53</v>
      </c>
      <c r="C799" s="11" t="s">
        <v>20</v>
      </c>
      <c r="D799" s="11" t="s">
        <v>37</v>
      </c>
      <c r="F799" s="69">
        <v>42684</v>
      </c>
      <c r="G799" s="11" t="s">
        <v>26878</v>
      </c>
      <c r="H799" s="11" t="s">
        <v>4020</v>
      </c>
      <c r="I799" s="11" t="s">
        <v>62</v>
      </c>
      <c r="J799" s="11">
        <v>33805</v>
      </c>
      <c r="K799" s="11" t="s">
        <v>1864</v>
      </c>
      <c r="L799" s="11" t="s">
        <v>257</v>
      </c>
      <c r="M799" s="11" t="s">
        <v>27</v>
      </c>
      <c r="N799" s="11" t="s">
        <v>26879</v>
      </c>
      <c r="O799" s="11" t="s">
        <v>400</v>
      </c>
      <c r="P799" s="11" t="s">
        <v>401</v>
      </c>
      <c r="Q799" s="11" t="s">
        <v>26880</v>
      </c>
      <c r="R799" s="11" t="s">
        <v>100</v>
      </c>
      <c r="S799" s="11" t="s">
        <v>28</v>
      </c>
      <c r="T799" s="68" t="s">
        <v>27756</v>
      </c>
      <c r="U799" s="68" t="s">
        <v>29438</v>
      </c>
      <c r="V799" s="68" t="s">
        <v>29439</v>
      </c>
      <c r="W799" s="68" t="s">
        <v>100</v>
      </c>
      <c r="X799" s="68">
        <v>2038</v>
      </c>
      <c r="AW799" s="1"/>
      <c r="AX799" s="1"/>
      <c r="AY799" s="1"/>
      <c r="BC799" s="1"/>
      <c r="BD799" s="1"/>
      <c r="BE799" s="1"/>
      <c r="BF799" s="1"/>
      <c r="BG799" s="1"/>
      <c r="BH799" s="1"/>
      <c r="BI799" s="1"/>
      <c r="BJ799" s="1"/>
      <c r="BK799" s="70"/>
    </row>
    <row r="800" spans="1:63" s="11" customFormat="1" ht="12" customHeight="1" x14ac:dyDescent="0.2">
      <c r="A800" s="11" t="s">
        <v>26871</v>
      </c>
      <c r="B800" s="68">
        <v>36</v>
      </c>
      <c r="C800" s="11" t="s">
        <v>20</v>
      </c>
      <c r="D800" s="11" t="s">
        <v>37</v>
      </c>
      <c r="E800" s="11" t="s">
        <v>26872</v>
      </c>
      <c r="F800" s="69">
        <v>42683</v>
      </c>
      <c r="G800" s="11" t="s">
        <v>26873</v>
      </c>
      <c r="H800" s="11" t="s">
        <v>26874</v>
      </c>
      <c r="I800" s="11" t="s">
        <v>123</v>
      </c>
      <c r="J800" s="11">
        <v>85929</v>
      </c>
      <c r="K800" s="11" t="s">
        <v>8213</v>
      </c>
      <c r="L800" s="11" t="s">
        <v>11142</v>
      </c>
      <c r="M800" s="11" t="s">
        <v>27</v>
      </c>
      <c r="N800" s="11" t="s">
        <v>26875</v>
      </c>
      <c r="O800" s="11" t="s">
        <v>400</v>
      </c>
      <c r="P800" s="11" t="s">
        <v>401</v>
      </c>
      <c r="Q800" s="11" t="s">
        <v>26876</v>
      </c>
      <c r="R800" s="11" t="s">
        <v>100</v>
      </c>
      <c r="S800" s="11" t="s">
        <v>28</v>
      </c>
      <c r="T800" s="68" t="s">
        <v>27756</v>
      </c>
      <c r="U800" s="68" t="s">
        <v>29438</v>
      </c>
      <c r="V800" s="68" t="s">
        <v>29439</v>
      </c>
      <c r="W800" s="68" t="s">
        <v>100</v>
      </c>
      <c r="X800" s="68">
        <v>2034</v>
      </c>
      <c r="AX800" s="1"/>
      <c r="AY800" s="1"/>
      <c r="BC800" s="1"/>
      <c r="BD800" s="1"/>
      <c r="BE800" s="1"/>
      <c r="BF800" s="1"/>
      <c r="BG800" s="1"/>
      <c r="BH800" s="1"/>
      <c r="BI800" s="1"/>
      <c r="BJ800" s="1"/>
      <c r="BK800" s="70"/>
    </row>
    <row r="801" spans="1:63" s="11" customFormat="1" ht="12" customHeight="1" x14ac:dyDescent="0.2">
      <c r="A801" s="11" t="s">
        <v>26852</v>
      </c>
      <c r="B801" s="68">
        <v>45</v>
      </c>
      <c r="C801" s="11" t="s">
        <v>20</v>
      </c>
      <c r="D801" s="11" t="s">
        <v>48</v>
      </c>
      <c r="E801" s="11" t="s">
        <v>26853</v>
      </c>
      <c r="F801" s="69">
        <v>42682</v>
      </c>
      <c r="G801" s="11" t="s">
        <v>27063</v>
      </c>
      <c r="H801" s="11" t="s">
        <v>1667</v>
      </c>
      <c r="I801" s="11" t="s">
        <v>45</v>
      </c>
      <c r="J801" s="11">
        <v>91702</v>
      </c>
      <c r="K801" s="11" t="s">
        <v>98</v>
      </c>
      <c r="L801" s="11" t="s">
        <v>26854</v>
      </c>
      <c r="M801" s="11" t="s">
        <v>27</v>
      </c>
      <c r="N801" s="11" t="s">
        <v>26855</v>
      </c>
      <c r="O801" s="11" t="s">
        <v>400</v>
      </c>
      <c r="P801" s="11" t="s">
        <v>401</v>
      </c>
      <c r="Q801" s="11" t="s">
        <v>26856</v>
      </c>
      <c r="R801" s="11" t="s">
        <v>964</v>
      </c>
      <c r="S801" s="11" t="s">
        <v>28</v>
      </c>
      <c r="T801" s="68" t="s">
        <v>27756</v>
      </c>
      <c r="U801" s="68" t="s">
        <v>29438</v>
      </c>
      <c r="V801" s="68" t="s">
        <v>29439</v>
      </c>
      <c r="W801" s="68" t="s">
        <v>100</v>
      </c>
      <c r="X801" s="68">
        <v>2033</v>
      </c>
      <c r="AW801" s="1"/>
      <c r="AX801" s="1"/>
      <c r="AY801" s="1"/>
      <c r="BA801" s="44"/>
      <c r="BB801" s="44"/>
      <c r="BC801" s="1"/>
      <c r="BD801" s="1"/>
      <c r="BE801" s="1"/>
      <c r="BF801" s="1"/>
      <c r="BG801" s="1"/>
      <c r="BH801" s="1"/>
      <c r="BI801" s="1"/>
      <c r="BJ801" s="1"/>
      <c r="BK801" s="70"/>
    </row>
    <row r="802" spans="1:63" s="11" customFormat="1" ht="12" customHeight="1" x14ac:dyDescent="0.2">
      <c r="A802" s="11" t="s">
        <v>27084</v>
      </c>
      <c r="B802" s="68">
        <v>23</v>
      </c>
      <c r="C802" s="11" t="s">
        <v>20</v>
      </c>
      <c r="D802" s="11" t="s">
        <v>48</v>
      </c>
      <c r="F802" s="69">
        <v>42682</v>
      </c>
      <c r="G802" s="11" t="s">
        <v>27064</v>
      </c>
      <c r="H802" s="11" t="s">
        <v>1298</v>
      </c>
      <c r="I802" s="11" t="s">
        <v>209</v>
      </c>
      <c r="J802" s="11">
        <v>80249</v>
      </c>
      <c r="K802" s="11" t="s">
        <v>1298</v>
      </c>
      <c r="L802" s="11" t="s">
        <v>3826</v>
      </c>
      <c r="M802" s="11" t="s">
        <v>27</v>
      </c>
      <c r="N802" s="11" t="s">
        <v>26857</v>
      </c>
      <c r="O802" s="11" t="s">
        <v>400</v>
      </c>
      <c r="P802" s="11" t="s">
        <v>401</v>
      </c>
      <c r="Q802" s="11" t="s">
        <v>26858</v>
      </c>
      <c r="R802" s="11" t="s">
        <v>100</v>
      </c>
      <c r="S802" s="11" t="s">
        <v>28</v>
      </c>
      <c r="T802" s="68" t="s">
        <v>27756</v>
      </c>
      <c r="U802" s="68" t="s">
        <v>29438</v>
      </c>
      <c r="V802" s="68" t="s">
        <v>21212</v>
      </c>
      <c r="W802" s="68" t="s">
        <v>100</v>
      </c>
      <c r="X802" s="68">
        <v>2031</v>
      </c>
      <c r="AW802" s="44"/>
      <c r="AX802" s="1"/>
      <c r="AY802" s="1"/>
      <c r="BC802" s="1"/>
      <c r="BD802" s="1"/>
      <c r="BE802" s="1"/>
      <c r="BF802" s="1"/>
      <c r="BG802" s="1"/>
      <c r="BH802" s="1"/>
      <c r="BI802" s="1"/>
      <c r="BJ802" s="1"/>
      <c r="BK802" s="70"/>
    </row>
    <row r="803" spans="1:63" s="11" customFormat="1" ht="12" customHeight="1" x14ac:dyDescent="0.2">
      <c r="A803" s="11" t="s">
        <v>26864</v>
      </c>
      <c r="B803" s="68">
        <v>19</v>
      </c>
      <c r="C803" s="11" t="s">
        <v>20</v>
      </c>
      <c r="D803" s="11" t="s">
        <v>37</v>
      </c>
      <c r="E803" s="11" t="s">
        <v>26865</v>
      </c>
      <c r="F803" s="69">
        <v>42682</v>
      </c>
      <c r="G803" s="11" t="s">
        <v>26866</v>
      </c>
      <c r="H803" s="11" t="s">
        <v>26867</v>
      </c>
      <c r="I803" s="11" t="s">
        <v>363</v>
      </c>
      <c r="J803" s="11">
        <v>67601</v>
      </c>
      <c r="K803" s="11" t="s">
        <v>1979</v>
      </c>
      <c r="L803" s="11" t="s">
        <v>26868</v>
      </c>
      <c r="M803" s="68" t="s">
        <v>5411</v>
      </c>
      <c r="N803" s="11" t="s">
        <v>26869</v>
      </c>
      <c r="O803" s="11" t="s">
        <v>400</v>
      </c>
      <c r="P803" s="11" t="s">
        <v>401</v>
      </c>
      <c r="Q803" s="11" t="s">
        <v>26870</v>
      </c>
      <c r="R803" s="11" t="s">
        <v>100</v>
      </c>
      <c r="S803" s="11" t="s">
        <v>18</v>
      </c>
      <c r="T803" s="68" t="s">
        <v>28345</v>
      </c>
      <c r="U803" s="68" t="s">
        <v>29438</v>
      </c>
      <c r="V803" s="68" t="s">
        <v>29437</v>
      </c>
      <c r="W803" s="68" t="s">
        <v>100</v>
      </c>
      <c r="X803" s="68">
        <v>2028</v>
      </c>
      <c r="AW803" s="70"/>
      <c r="AX803" s="1"/>
      <c r="AY803" s="1"/>
      <c r="BB803" s="70"/>
      <c r="BC803" s="1"/>
      <c r="BD803" s="1"/>
      <c r="BE803" s="1"/>
      <c r="BF803" s="1"/>
      <c r="BG803" s="1"/>
      <c r="BH803" s="1"/>
      <c r="BI803" s="1"/>
      <c r="BJ803" s="1"/>
      <c r="BK803" s="1"/>
    </row>
    <row r="804" spans="1:63" s="11" customFormat="1" ht="12" customHeight="1" x14ac:dyDescent="0.15">
      <c r="A804" s="11" t="s">
        <v>26847</v>
      </c>
      <c r="B804" s="68">
        <v>26</v>
      </c>
      <c r="C804" s="11" t="s">
        <v>20</v>
      </c>
      <c r="D804" s="11" t="s">
        <v>37</v>
      </c>
      <c r="F804" s="69">
        <v>42682</v>
      </c>
      <c r="G804" s="11" t="s">
        <v>26848</v>
      </c>
      <c r="H804" s="11" t="s">
        <v>25402</v>
      </c>
      <c r="I804" s="11" t="s">
        <v>69</v>
      </c>
      <c r="J804" s="11">
        <v>44004</v>
      </c>
      <c r="K804" s="11" t="s">
        <v>25402</v>
      </c>
      <c r="L804" s="11" t="s">
        <v>26849</v>
      </c>
      <c r="M804" s="11" t="s">
        <v>27</v>
      </c>
      <c r="N804" s="11" t="s">
        <v>26850</v>
      </c>
      <c r="O804" s="11" t="s">
        <v>400</v>
      </c>
      <c r="P804" s="11" t="s">
        <v>401</v>
      </c>
      <c r="Q804" s="11" t="s">
        <v>26851</v>
      </c>
      <c r="R804" s="11" t="s">
        <v>100</v>
      </c>
      <c r="S804" s="11" t="s">
        <v>379</v>
      </c>
      <c r="T804" s="68" t="s">
        <v>379</v>
      </c>
      <c r="U804" s="68" t="s">
        <v>29438</v>
      </c>
      <c r="V804" s="68" t="s">
        <v>29437</v>
      </c>
      <c r="W804" s="68" t="s">
        <v>100</v>
      </c>
      <c r="X804" s="68">
        <v>2032</v>
      </c>
      <c r="AW804" s="44"/>
      <c r="AX804" s="1"/>
      <c r="AY804" s="1"/>
      <c r="BC804" s="1"/>
      <c r="BD804" s="1"/>
      <c r="BE804" s="1"/>
      <c r="BF804" s="1"/>
      <c r="BG804" s="1"/>
      <c r="BH804" s="1"/>
      <c r="BI804" s="1"/>
      <c r="BJ804" s="1"/>
    </row>
    <row r="805" spans="1:63" s="11" customFormat="1" ht="12" customHeight="1" x14ac:dyDescent="0.15">
      <c r="A805" s="11" t="s">
        <v>26859</v>
      </c>
      <c r="B805" s="11">
        <v>62</v>
      </c>
      <c r="C805" s="11" t="s">
        <v>20</v>
      </c>
      <c r="D805" s="11" t="s">
        <v>85</v>
      </c>
      <c r="F805" s="72">
        <v>42682</v>
      </c>
      <c r="G805" s="11" t="s">
        <v>26860</v>
      </c>
      <c r="H805" s="11" t="s">
        <v>619</v>
      </c>
      <c r="I805" s="11" t="s">
        <v>366</v>
      </c>
      <c r="J805" s="11">
        <v>28792</v>
      </c>
      <c r="K805" s="11" t="s">
        <v>1277</v>
      </c>
      <c r="L805" s="11" t="s">
        <v>26861</v>
      </c>
      <c r="M805" s="1" t="s">
        <v>391</v>
      </c>
      <c r="N805" s="11" t="s">
        <v>26862</v>
      </c>
      <c r="O805" s="11" t="s">
        <v>400</v>
      </c>
      <c r="P805" s="11" t="s">
        <v>401</v>
      </c>
      <c r="Q805" s="11" t="s">
        <v>26863</v>
      </c>
      <c r="R805" s="11" t="s">
        <v>555</v>
      </c>
      <c r="S805" s="11" t="s">
        <v>18</v>
      </c>
      <c r="AX805" s="44"/>
      <c r="AY805" s="44"/>
      <c r="AZ805" s="1"/>
      <c r="BA805" s="1"/>
      <c r="BB805" s="1"/>
      <c r="BC805" s="44"/>
      <c r="BD805" s="44"/>
      <c r="BE805" s="44"/>
      <c r="BF805" s="44"/>
      <c r="BG805" s="44"/>
      <c r="BH805" s="44"/>
      <c r="BI805" s="44"/>
      <c r="BJ805" s="44"/>
      <c r="BK805" s="1"/>
    </row>
    <row r="806" spans="1:63" s="11" customFormat="1" ht="12" customHeight="1" x14ac:dyDescent="0.2">
      <c r="A806" s="11" t="s">
        <v>26843</v>
      </c>
      <c r="B806" s="68">
        <v>31</v>
      </c>
      <c r="C806" s="11" t="s">
        <v>20</v>
      </c>
      <c r="D806" s="11" t="s">
        <v>85</v>
      </c>
      <c r="E806" s="11" t="s">
        <v>26844</v>
      </c>
      <c r="F806" s="69">
        <v>42681</v>
      </c>
      <c r="G806" s="11" t="s">
        <v>27062</v>
      </c>
      <c r="H806" s="11" t="s">
        <v>1100</v>
      </c>
      <c r="I806" s="11" t="s">
        <v>404</v>
      </c>
      <c r="J806" s="11">
        <v>19133</v>
      </c>
      <c r="K806" s="11" t="s">
        <v>1100</v>
      </c>
      <c r="L806" s="11" t="s">
        <v>1101</v>
      </c>
      <c r="M806" s="11" t="s">
        <v>27</v>
      </c>
      <c r="N806" s="11" t="s">
        <v>26845</v>
      </c>
      <c r="O806" s="11" t="s">
        <v>400</v>
      </c>
      <c r="P806" s="11" t="s">
        <v>401</v>
      </c>
      <c r="Q806" s="11" t="s">
        <v>26846</v>
      </c>
      <c r="R806" s="11" t="s">
        <v>100</v>
      </c>
      <c r="S806" s="11" t="s">
        <v>28</v>
      </c>
      <c r="T806" s="68" t="s">
        <v>27756</v>
      </c>
      <c r="U806" s="68" t="s">
        <v>29438</v>
      </c>
      <c r="V806" s="68" t="s">
        <v>21212</v>
      </c>
      <c r="W806" s="68" t="s">
        <v>100</v>
      </c>
      <c r="X806" s="68">
        <v>2026</v>
      </c>
      <c r="BC806" s="44"/>
      <c r="BD806" s="44"/>
      <c r="BE806" s="44"/>
      <c r="BF806" s="44"/>
      <c r="BG806" s="44"/>
      <c r="BH806" s="44"/>
      <c r="BI806" s="44"/>
      <c r="BJ806" s="44"/>
      <c r="BK806" s="70"/>
    </row>
    <row r="807" spans="1:63" s="11" customFormat="1" ht="12" customHeight="1" x14ac:dyDescent="0.2">
      <c r="A807" s="11" t="s">
        <v>26827</v>
      </c>
      <c r="B807" s="68">
        <v>31</v>
      </c>
      <c r="C807" s="11" t="s">
        <v>20</v>
      </c>
      <c r="D807" s="11" t="s">
        <v>37</v>
      </c>
      <c r="E807" s="11" t="s">
        <v>26828</v>
      </c>
      <c r="F807" s="69">
        <v>42680</v>
      </c>
      <c r="G807" s="11" t="s">
        <v>27061</v>
      </c>
      <c r="H807" s="11" t="s">
        <v>12142</v>
      </c>
      <c r="I807" s="11" t="s">
        <v>81</v>
      </c>
      <c r="J807" s="11">
        <v>8327</v>
      </c>
      <c r="K807" s="11" t="s">
        <v>3152</v>
      </c>
      <c r="L807" s="11" t="s">
        <v>2477</v>
      </c>
      <c r="M807" s="11" t="s">
        <v>27</v>
      </c>
      <c r="N807" s="11" t="s">
        <v>26829</v>
      </c>
      <c r="O807" s="11" t="s">
        <v>400</v>
      </c>
      <c r="P807" s="11" t="s">
        <v>401</v>
      </c>
      <c r="Q807" s="11" t="s">
        <v>26830</v>
      </c>
      <c r="R807" s="11" t="s">
        <v>100</v>
      </c>
      <c r="S807" s="11" t="s">
        <v>28</v>
      </c>
      <c r="T807" s="68" t="s">
        <v>29450</v>
      </c>
      <c r="U807" s="68" t="s">
        <v>29436</v>
      </c>
      <c r="V807" s="68" t="s">
        <v>29440</v>
      </c>
      <c r="W807" s="68" t="s">
        <v>100</v>
      </c>
      <c r="X807" s="68">
        <v>2024</v>
      </c>
      <c r="AX807" s="1"/>
      <c r="AY807" s="1"/>
      <c r="BC807" s="1"/>
      <c r="BD807" s="1"/>
      <c r="BE807" s="1"/>
      <c r="BF807" s="1"/>
      <c r="BG807" s="1"/>
      <c r="BH807" s="1"/>
      <c r="BI807" s="1"/>
      <c r="BJ807" s="1"/>
      <c r="BK807" s="70"/>
    </row>
    <row r="808" spans="1:63" s="11" customFormat="1" ht="12" customHeight="1" x14ac:dyDescent="0.2">
      <c r="A808" s="11" t="s">
        <v>26839</v>
      </c>
      <c r="B808" s="68">
        <v>33</v>
      </c>
      <c r="C808" s="11" t="s">
        <v>20</v>
      </c>
      <c r="D808" s="11" t="s">
        <v>48</v>
      </c>
      <c r="F808" s="69">
        <v>42680</v>
      </c>
      <c r="G808" s="11" t="s">
        <v>26840</v>
      </c>
      <c r="H808" s="11" t="s">
        <v>3690</v>
      </c>
      <c r="I808" s="11" t="s">
        <v>45</v>
      </c>
      <c r="J808" s="11">
        <v>92704</v>
      </c>
      <c r="K808" s="11" t="s">
        <v>1061</v>
      </c>
      <c r="L808" s="11" t="s">
        <v>3692</v>
      </c>
      <c r="M808" s="68" t="s">
        <v>5411</v>
      </c>
      <c r="N808" s="11" t="s">
        <v>26841</v>
      </c>
      <c r="O808" s="11" t="s">
        <v>400</v>
      </c>
      <c r="P808" s="11" t="s">
        <v>401</v>
      </c>
      <c r="Q808" s="11" t="s">
        <v>26842</v>
      </c>
      <c r="R808" s="11" t="s">
        <v>100</v>
      </c>
      <c r="S808" s="11" t="s">
        <v>35</v>
      </c>
      <c r="T808" s="66" t="s">
        <v>29441</v>
      </c>
      <c r="U808" s="68" t="s">
        <v>29441</v>
      </c>
      <c r="V808" s="68" t="s">
        <v>29439</v>
      </c>
      <c r="W808" s="68" t="s">
        <v>100</v>
      </c>
      <c r="X808" s="68">
        <v>2014</v>
      </c>
      <c r="AX808" s="1"/>
      <c r="AY808" s="1"/>
      <c r="BB808" s="70"/>
      <c r="BC808" s="1"/>
      <c r="BD808" s="1"/>
      <c r="BE808" s="1"/>
      <c r="BF808" s="1"/>
      <c r="BG808" s="1"/>
      <c r="BH808" s="1"/>
      <c r="BI808" s="1"/>
      <c r="BJ808" s="1"/>
    </row>
    <row r="809" spans="1:63" s="11" customFormat="1" ht="12" customHeight="1" x14ac:dyDescent="0.2">
      <c r="A809" s="11" t="s">
        <v>26835</v>
      </c>
      <c r="B809" s="68">
        <v>17</v>
      </c>
      <c r="C809" s="11" t="s">
        <v>20</v>
      </c>
      <c r="D809" s="11" t="s">
        <v>37</v>
      </c>
      <c r="F809" s="69">
        <v>42680</v>
      </c>
      <c r="G809" s="11" t="s">
        <v>26836</v>
      </c>
      <c r="H809" s="11" t="s">
        <v>12464</v>
      </c>
      <c r="I809" s="11" t="s">
        <v>94</v>
      </c>
      <c r="J809" s="11">
        <v>36867</v>
      </c>
      <c r="K809" s="11" t="s">
        <v>12466</v>
      </c>
      <c r="L809" s="11" t="s">
        <v>3402</v>
      </c>
      <c r="M809" s="11" t="s">
        <v>27</v>
      </c>
      <c r="N809" s="11" t="s">
        <v>26837</v>
      </c>
      <c r="O809" s="11" t="s">
        <v>400</v>
      </c>
      <c r="P809" s="11" t="s">
        <v>401</v>
      </c>
      <c r="Q809" s="11" t="s">
        <v>26838</v>
      </c>
      <c r="R809" s="11" t="s">
        <v>100</v>
      </c>
      <c r="S809" s="68" t="s">
        <v>379</v>
      </c>
      <c r="T809" s="68" t="s">
        <v>379</v>
      </c>
      <c r="U809" s="68" t="s">
        <v>29436</v>
      </c>
      <c r="V809" s="68" t="s">
        <v>29437</v>
      </c>
      <c r="W809" s="68" t="s">
        <v>100</v>
      </c>
      <c r="X809" s="68">
        <v>2025</v>
      </c>
      <c r="AW809" s="70"/>
      <c r="AX809" s="1"/>
      <c r="AY809" s="1"/>
      <c r="BC809" s="1"/>
      <c r="BD809" s="1"/>
      <c r="BE809" s="1"/>
      <c r="BF809" s="1"/>
      <c r="BG809" s="1"/>
      <c r="BH809" s="1"/>
      <c r="BI809" s="1"/>
      <c r="BJ809" s="1"/>
    </row>
    <row r="810" spans="1:63" s="11" customFormat="1" ht="12" customHeight="1" x14ac:dyDescent="0.2">
      <c r="A810" s="11" t="s">
        <v>26831</v>
      </c>
      <c r="B810" s="68">
        <v>43</v>
      </c>
      <c r="C810" s="11" t="s">
        <v>20</v>
      </c>
      <c r="D810" s="11" t="s">
        <v>37</v>
      </c>
      <c r="F810" s="69">
        <v>42680</v>
      </c>
      <c r="G810" s="11" t="s">
        <v>26832</v>
      </c>
      <c r="H810" s="11" t="s">
        <v>1934</v>
      </c>
      <c r="I810" s="11" t="s">
        <v>315</v>
      </c>
      <c r="J810" s="11">
        <v>42261</v>
      </c>
      <c r="K810" s="11" t="s">
        <v>5515</v>
      </c>
      <c r="L810" s="11" t="s">
        <v>9654</v>
      </c>
      <c r="M810" s="68" t="s">
        <v>5411</v>
      </c>
      <c r="N810" s="11" t="s">
        <v>26833</v>
      </c>
      <c r="O810" s="11" t="s">
        <v>400</v>
      </c>
      <c r="P810" s="11" t="s">
        <v>401</v>
      </c>
      <c r="Q810" s="11" t="s">
        <v>26834</v>
      </c>
      <c r="R810" s="11" t="s">
        <v>100</v>
      </c>
      <c r="S810" s="68" t="s">
        <v>379</v>
      </c>
      <c r="T810" s="68" t="s">
        <v>379</v>
      </c>
      <c r="U810" s="68" t="s">
        <v>29441</v>
      </c>
      <c r="V810" s="68" t="s">
        <v>29437</v>
      </c>
      <c r="W810" s="68" t="s">
        <v>100</v>
      </c>
      <c r="X810" s="68">
        <v>2019</v>
      </c>
      <c r="AW810" s="1"/>
      <c r="AX810" s="1"/>
      <c r="AY810" s="1"/>
      <c r="BB810" s="70"/>
      <c r="BC810" s="1"/>
      <c r="BD810" s="1"/>
      <c r="BE810" s="1"/>
      <c r="BF810" s="1"/>
      <c r="BG810" s="1"/>
      <c r="BH810" s="1"/>
      <c r="BI810" s="1"/>
      <c r="BJ810" s="1"/>
      <c r="BK810" s="1"/>
    </row>
    <row r="811" spans="1:63" s="11" customFormat="1" ht="12" customHeight="1" x14ac:dyDescent="0.2">
      <c r="A811" s="11" t="s">
        <v>26816</v>
      </c>
      <c r="B811" s="68">
        <v>43</v>
      </c>
      <c r="C811" s="11" t="s">
        <v>20</v>
      </c>
      <c r="D811" s="11" t="s">
        <v>37</v>
      </c>
      <c r="E811" s="11" t="s">
        <v>26817</v>
      </c>
      <c r="F811" s="69">
        <v>42680</v>
      </c>
      <c r="G811" s="11" t="s">
        <v>26818</v>
      </c>
      <c r="H811" s="11" t="s">
        <v>26819</v>
      </c>
      <c r="I811" s="11" t="s">
        <v>32</v>
      </c>
      <c r="J811" s="11">
        <v>29842</v>
      </c>
      <c r="K811" s="11" t="s">
        <v>1784</v>
      </c>
      <c r="L811" s="11" t="s">
        <v>1785</v>
      </c>
      <c r="M811" s="11" t="s">
        <v>27</v>
      </c>
      <c r="N811" s="11" t="s">
        <v>26820</v>
      </c>
      <c r="O811" s="11" t="s">
        <v>400</v>
      </c>
      <c r="P811" s="11" t="s">
        <v>401</v>
      </c>
      <c r="Q811" s="11" t="s">
        <v>26821</v>
      </c>
      <c r="R811" s="68" t="s">
        <v>555</v>
      </c>
      <c r="S811" s="11" t="s">
        <v>28</v>
      </c>
      <c r="T811" s="68" t="s">
        <v>27756</v>
      </c>
      <c r="U811" s="68" t="s">
        <v>29438</v>
      </c>
      <c r="V811" s="68" t="s">
        <v>29439</v>
      </c>
      <c r="W811" s="68" t="s">
        <v>100</v>
      </c>
      <c r="X811" s="68">
        <v>2018</v>
      </c>
      <c r="AW811" s="1"/>
      <c r="AX811" s="1"/>
      <c r="AY811" s="1"/>
      <c r="BA811" s="70"/>
      <c r="BC811" s="1"/>
      <c r="BD811" s="1"/>
      <c r="BE811" s="1"/>
      <c r="BF811" s="1"/>
      <c r="BG811" s="1"/>
      <c r="BH811" s="1"/>
      <c r="BI811" s="1"/>
      <c r="BJ811" s="1"/>
      <c r="BK811" s="70"/>
    </row>
    <row r="812" spans="1:63" s="11" customFormat="1" ht="12" customHeight="1" x14ac:dyDescent="0.2">
      <c r="A812" s="11" t="s">
        <v>26822</v>
      </c>
      <c r="B812" s="68">
        <v>32</v>
      </c>
      <c r="C812" s="11" t="s">
        <v>20</v>
      </c>
      <c r="D812" s="11" t="s">
        <v>37</v>
      </c>
      <c r="F812" s="69">
        <v>42680</v>
      </c>
      <c r="H812" s="11" t="s">
        <v>26823</v>
      </c>
      <c r="I812" s="11" t="s">
        <v>150</v>
      </c>
      <c r="J812" s="11">
        <v>24828</v>
      </c>
      <c r="K812" s="11" t="s">
        <v>26824</v>
      </c>
      <c r="L812" s="11" t="s">
        <v>152</v>
      </c>
      <c r="M812" s="11" t="s">
        <v>27</v>
      </c>
      <c r="N812" s="11" t="s">
        <v>26825</v>
      </c>
      <c r="O812" s="11" t="s">
        <v>400</v>
      </c>
      <c r="P812" s="11" t="s">
        <v>401</v>
      </c>
      <c r="Q812" s="11" t="s">
        <v>26826</v>
      </c>
      <c r="R812" s="11" t="s">
        <v>555</v>
      </c>
      <c r="S812" s="11" t="s">
        <v>28</v>
      </c>
      <c r="T812" s="68" t="s">
        <v>29460</v>
      </c>
      <c r="U812" s="68" t="s">
        <v>29436</v>
      </c>
      <c r="V812" s="68" t="s">
        <v>29439</v>
      </c>
      <c r="W812" s="68" t="s">
        <v>100</v>
      </c>
      <c r="X812" s="68">
        <v>2027</v>
      </c>
      <c r="AX812" s="1"/>
      <c r="AY812" s="1"/>
      <c r="BA812" s="44"/>
      <c r="BC812" s="1"/>
      <c r="BD812" s="1"/>
      <c r="BE812" s="1"/>
      <c r="BF812" s="1"/>
      <c r="BG812" s="1"/>
      <c r="BH812" s="1"/>
      <c r="BI812" s="1"/>
      <c r="BJ812" s="1"/>
      <c r="BK812" s="70"/>
    </row>
    <row r="813" spans="1:63" s="11" customFormat="1" ht="12" customHeight="1" x14ac:dyDescent="0.2">
      <c r="A813" s="11" t="s">
        <v>26792</v>
      </c>
      <c r="B813" s="11">
        <v>25</v>
      </c>
      <c r="C813" s="11" t="s">
        <v>20</v>
      </c>
      <c r="D813" s="11" t="s">
        <v>85</v>
      </c>
      <c r="E813" s="11" t="s">
        <v>26793</v>
      </c>
      <c r="F813" s="72">
        <v>42679</v>
      </c>
      <c r="G813" s="11" t="s">
        <v>26794</v>
      </c>
      <c r="H813" s="11" t="s">
        <v>87</v>
      </c>
      <c r="I813" s="11" t="s">
        <v>44</v>
      </c>
      <c r="J813" s="11">
        <v>60655</v>
      </c>
      <c r="K813" s="11" t="s">
        <v>88</v>
      </c>
      <c r="L813" s="11" t="s">
        <v>89</v>
      </c>
      <c r="M813" s="11" t="s">
        <v>27</v>
      </c>
      <c r="N813" s="11" t="s">
        <v>26795</v>
      </c>
      <c r="O813" s="11" t="s">
        <v>400</v>
      </c>
      <c r="P813" s="11" t="s">
        <v>401</v>
      </c>
      <c r="Q813" s="11" t="s">
        <v>26796</v>
      </c>
      <c r="R813" s="11" t="s">
        <v>100</v>
      </c>
      <c r="S813" s="11" t="s">
        <v>28</v>
      </c>
      <c r="T813" s="68"/>
      <c r="U813" s="68"/>
      <c r="V813" s="68"/>
      <c r="W813" s="68"/>
      <c r="X813" s="68"/>
      <c r="AW813" s="1"/>
      <c r="AX813" s="44"/>
      <c r="AY813" s="44"/>
      <c r="AZ813" s="1"/>
      <c r="BA813" s="1"/>
      <c r="BB813" s="1"/>
      <c r="BC813" s="44"/>
      <c r="BD813" s="44"/>
      <c r="BE813" s="44"/>
      <c r="BF813" s="44"/>
      <c r="BG813" s="44"/>
      <c r="BH813" s="44"/>
      <c r="BI813" s="44"/>
      <c r="BJ813" s="44"/>
      <c r="BK813" s="70"/>
    </row>
    <row r="814" spans="1:63" s="11" customFormat="1" ht="12" customHeight="1" x14ac:dyDescent="0.2">
      <c r="A814" s="11" t="s">
        <v>26802</v>
      </c>
      <c r="B814" s="68">
        <v>34</v>
      </c>
      <c r="C814" s="11" t="s">
        <v>20</v>
      </c>
      <c r="D814" s="11" t="s">
        <v>37</v>
      </c>
      <c r="F814" s="69">
        <v>42679</v>
      </c>
      <c r="G814" s="11" t="s">
        <v>27060</v>
      </c>
      <c r="H814" s="11" t="s">
        <v>26803</v>
      </c>
      <c r="I814" s="11" t="s">
        <v>73</v>
      </c>
      <c r="J814" s="11">
        <v>75647</v>
      </c>
      <c r="K814" s="11" t="s">
        <v>594</v>
      </c>
      <c r="L814" s="11" t="s">
        <v>26804</v>
      </c>
      <c r="M814" s="11" t="s">
        <v>27</v>
      </c>
      <c r="N814" s="11" t="s">
        <v>26805</v>
      </c>
      <c r="O814" s="11" t="s">
        <v>400</v>
      </c>
      <c r="P814" s="11" t="s">
        <v>401</v>
      </c>
      <c r="Q814" s="11" t="s">
        <v>26806</v>
      </c>
      <c r="R814" s="11" t="s">
        <v>100</v>
      </c>
      <c r="S814" s="2" t="s">
        <v>28</v>
      </c>
      <c r="T814" s="68" t="s">
        <v>27756</v>
      </c>
      <c r="U814" s="68" t="s">
        <v>29436</v>
      </c>
      <c r="V814" s="68" t="s">
        <v>21212</v>
      </c>
      <c r="W814" s="68" t="s">
        <v>555</v>
      </c>
      <c r="X814" s="68">
        <v>2023</v>
      </c>
      <c r="AX814" s="1"/>
      <c r="AY814" s="1"/>
      <c r="BC814" s="1"/>
      <c r="BD814" s="1"/>
      <c r="BE814" s="1"/>
      <c r="BF814" s="1"/>
      <c r="BG814" s="1"/>
      <c r="BH814" s="1"/>
      <c r="BI814" s="1"/>
      <c r="BJ814" s="1"/>
      <c r="BK814" s="70"/>
    </row>
    <row r="815" spans="1:63" s="11" customFormat="1" ht="12" customHeight="1" x14ac:dyDescent="0.15">
      <c r="A815" s="11" t="s">
        <v>26807</v>
      </c>
      <c r="B815" s="68">
        <v>36</v>
      </c>
      <c r="C815" s="11" t="s">
        <v>20</v>
      </c>
      <c r="D815" s="11" t="s">
        <v>37</v>
      </c>
      <c r="E815" s="11" t="s">
        <v>26808</v>
      </c>
      <c r="F815" s="69">
        <v>42679</v>
      </c>
      <c r="H815" s="11" t="s">
        <v>26809</v>
      </c>
      <c r="I815" s="11" t="s">
        <v>395</v>
      </c>
      <c r="J815" s="11">
        <v>74859</v>
      </c>
      <c r="K815" s="11" t="s">
        <v>16111</v>
      </c>
      <c r="L815" s="11" t="s">
        <v>16112</v>
      </c>
      <c r="M815" s="11" t="s">
        <v>27</v>
      </c>
      <c r="N815" s="11" t="s">
        <v>26810</v>
      </c>
      <c r="O815" s="11" t="s">
        <v>400</v>
      </c>
      <c r="P815" s="11" t="s">
        <v>401</v>
      </c>
      <c r="Q815" s="11" t="s">
        <v>26811</v>
      </c>
      <c r="R815" s="11" t="s">
        <v>100</v>
      </c>
      <c r="S815" s="11" t="s">
        <v>379</v>
      </c>
      <c r="T815" s="68" t="s">
        <v>379</v>
      </c>
      <c r="U815" s="68" t="s">
        <v>29436</v>
      </c>
      <c r="V815" s="68" t="s">
        <v>29437</v>
      </c>
      <c r="W815" s="68" t="s">
        <v>100</v>
      </c>
      <c r="X815" s="68">
        <v>2020</v>
      </c>
      <c r="AX815" s="1"/>
      <c r="AY815" s="1"/>
      <c r="BC815" s="1"/>
      <c r="BD815" s="1"/>
      <c r="BE815" s="1"/>
      <c r="BF815" s="1"/>
      <c r="BG815" s="1"/>
      <c r="BH815" s="1"/>
      <c r="BI815" s="1"/>
      <c r="BJ815" s="1"/>
    </row>
    <row r="816" spans="1:63" s="11" customFormat="1" ht="12" customHeight="1" x14ac:dyDescent="0.2">
      <c r="A816" s="11" t="s">
        <v>26797</v>
      </c>
      <c r="B816" s="68">
        <v>56</v>
      </c>
      <c r="C816" s="11" t="s">
        <v>20</v>
      </c>
      <c r="D816" s="11" t="s">
        <v>37</v>
      </c>
      <c r="E816" s="11" t="s">
        <v>26798</v>
      </c>
      <c r="F816" s="69">
        <v>42679</v>
      </c>
      <c r="G816" s="11" t="s">
        <v>27059</v>
      </c>
      <c r="H816" s="11" t="s">
        <v>26799</v>
      </c>
      <c r="I816" s="11" t="s">
        <v>150</v>
      </c>
      <c r="J816" s="11">
        <v>25045</v>
      </c>
      <c r="K816" s="11" t="s">
        <v>915</v>
      </c>
      <c r="L816" s="11" t="s">
        <v>18468</v>
      </c>
      <c r="M816" s="11" t="s">
        <v>27</v>
      </c>
      <c r="N816" s="11" t="s">
        <v>26800</v>
      </c>
      <c r="O816" s="11" t="s">
        <v>400</v>
      </c>
      <c r="P816" s="11" t="s">
        <v>401</v>
      </c>
      <c r="Q816" s="11" t="s">
        <v>26801</v>
      </c>
      <c r="R816" s="11" t="s">
        <v>29</v>
      </c>
      <c r="S816" s="11" t="s">
        <v>28</v>
      </c>
      <c r="T816" s="68" t="s">
        <v>27756</v>
      </c>
      <c r="U816" s="68" t="s">
        <v>29438</v>
      </c>
      <c r="V816" s="68" t="s">
        <v>29439</v>
      </c>
      <c r="W816" s="68" t="s">
        <v>100</v>
      </c>
      <c r="X816" s="68">
        <v>2021</v>
      </c>
      <c r="AW816" s="1"/>
      <c r="AX816" s="1"/>
      <c r="AY816" s="1"/>
      <c r="BA816" s="1"/>
      <c r="BB816" s="1"/>
      <c r="BC816" s="1"/>
      <c r="BD816" s="1"/>
      <c r="BE816" s="1"/>
      <c r="BF816" s="1"/>
      <c r="BG816" s="1"/>
      <c r="BH816" s="1"/>
      <c r="BI816" s="1"/>
      <c r="BJ816" s="1"/>
      <c r="BK816" s="70"/>
    </row>
    <row r="817" spans="1:63" s="11" customFormat="1" ht="12" customHeight="1" x14ac:dyDescent="0.2">
      <c r="A817" s="11" t="s">
        <v>26812</v>
      </c>
      <c r="B817" s="68">
        <v>49</v>
      </c>
      <c r="C817" s="11" t="s">
        <v>20</v>
      </c>
      <c r="D817" s="11" t="s">
        <v>37</v>
      </c>
      <c r="F817" s="69">
        <v>42679</v>
      </c>
      <c r="G817" s="11" t="s">
        <v>26813</v>
      </c>
      <c r="H817" s="11" t="s">
        <v>13437</v>
      </c>
      <c r="I817" s="11" t="s">
        <v>62</v>
      </c>
      <c r="J817" s="11">
        <v>33709</v>
      </c>
      <c r="K817" s="11" t="s">
        <v>2309</v>
      </c>
      <c r="L817" s="11" t="s">
        <v>9832</v>
      </c>
      <c r="M817" s="11" t="s">
        <v>27</v>
      </c>
      <c r="N817" s="11" t="s">
        <v>26814</v>
      </c>
      <c r="O817" s="11" t="s">
        <v>400</v>
      </c>
      <c r="P817" s="11" t="s">
        <v>401</v>
      </c>
      <c r="Q817" s="11" t="s">
        <v>26815</v>
      </c>
      <c r="R817" s="11" t="s">
        <v>555</v>
      </c>
      <c r="S817" s="11" t="s">
        <v>28</v>
      </c>
      <c r="T817" s="68" t="s">
        <v>29493</v>
      </c>
      <c r="U817" s="68" t="s">
        <v>29436</v>
      </c>
      <c r="V817" s="68" t="s">
        <v>29439</v>
      </c>
      <c r="W817" s="68" t="s">
        <v>100</v>
      </c>
      <c r="X817" s="68">
        <v>2017</v>
      </c>
      <c r="AW817" s="1"/>
      <c r="AX817" s="1"/>
      <c r="AY817" s="1"/>
      <c r="BA817" s="44"/>
      <c r="BC817" s="1"/>
      <c r="BD817" s="1"/>
      <c r="BE817" s="1"/>
      <c r="BF817" s="1"/>
      <c r="BG817" s="1"/>
      <c r="BH817" s="1"/>
      <c r="BI817" s="1"/>
      <c r="BJ817" s="1"/>
      <c r="BK817" s="70"/>
    </row>
    <row r="818" spans="1:63" s="11" customFormat="1" ht="12" customHeight="1" x14ac:dyDescent="0.2">
      <c r="A818" s="11" t="s">
        <v>26775</v>
      </c>
      <c r="B818" s="68">
        <v>59</v>
      </c>
      <c r="C818" s="11" t="s">
        <v>20</v>
      </c>
      <c r="D818" s="11" t="s">
        <v>37</v>
      </c>
      <c r="F818" s="69">
        <v>42679</v>
      </c>
      <c r="G818" s="11" t="s">
        <v>26776</v>
      </c>
      <c r="H818" s="11" t="s">
        <v>22815</v>
      </c>
      <c r="I818" s="11" t="s">
        <v>303</v>
      </c>
      <c r="J818" s="11">
        <v>98305</v>
      </c>
      <c r="K818" s="11" t="s">
        <v>26777</v>
      </c>
      <c r="L818" s="11" t="s">
        <v>26778</v>
      </c>
      <c r="M818" s="11" t="s">
        <v>27</v>
      </c>
      <c r="N818" s="11" t="s">
        <v>26779</v>
      </c>
      <c r="O818" s="11" t="s">
        <v>400</v>
      </c>
      <c r="P818" s="11" t="s">
        <v>401</v>
      </c>
      <c r="Q818" s="11" t="s">
        <v>26780</v>
      </c>
      <c r="R818" s="11" t="s">
        <v>555</v>
      </c>
      <c r="S818" s="11" t="s">
        <v>28</v>
      </c>
      <c r="T818" s="68" t="s">
        <v>27756</v>
      </c>
      <c r="U818" s="68" t="s">
        <v>29441</v>
      </c>
      <c r="V818" s="68"/>
      <c r="W818" s="68" t="s">
        <v>100</v>
      </c>
      <c r="X818" s="68">
        <v>2022</v>
      </c>
      <c r="AW818" s="1"/>
      <c r="AX818" s="1"/>
      <c r="AY818" s="1"/>
      <c r="BA818" s="1"/>
      <c r="BB818" s="1"/>
      <c r="BC818" s="1"/>
      <c r="BD818" s="1"/>
      <c r="BE818" s="1"/>
      <c r="BF818" s="1"/>
      <c r="BG818" s="1"/>
      <c r="BH818" s="1"/>
      <c r="BI818" s="1"/>
      <c r="BJ818" s="1"/>
      <c r="BK818" s="70"/>
    </row>
    <row r="819" spans="1:63" s="11" customFormat="1" ht="12" customHeight="1" x14ac:dyDescent="0.2">
      <c r="A819" s="11" t="s">
        <v>26781</v>
      </c>
      <c r="B819" s="68">
        <v>35</v>
      </c>
      <c r="C819" s="11" t="s">
        <v>20</v>
      </c>
      <c r="D819" s="11" t="s">
        <v>48</v>
      </c>
      <c r="F819" s="69">
        <v>42678</v>
      </c>
      <c r="G819" s="11" t="s">
        <v>26782</v>
      </c>
      <c r="H819" s="11" t="s">
        <v>1844</v>
      </c>
      <c r="I819" s="11" t="s">
        <v>423</v>
      </c>
      <c r="J819" s="11">
        <v>10460</v>
      </c>
      <c r="K819" s="11" t="s">
        <v>1844</v>
      </c>
      <c r="L819" s="11" t="s">
        <v>582</v>
      </c>
      <c r="M819" s="11" t="s">
        <v>27</v>
      </c>
      <c r="N819" s="11" t="s">
        <v>26783</v>
      </c>
      <c r="O819" s="11" t="s">
        <v>400</v>
      </c>
      <c r="P819" s="11" t="s">
        <v>401</v>
      </c>
      <c r="Q819" s="11" t="s">
        <v>26784</v>
      </c>
      <c r="R819" s="68" t="s">
        <v>555</v>
      </c>
      <c r="S819" s="11" t="s">
        <v>28</v>
      </c>
      <c r="T819" s="68" t="s">
        <v>27756</v>
      </c>
      <c r="U819" s="68" t="s">
        <v>29438</v>
      </c>
      <c r="V819" s="68" t="s">
        <v>21212</v>
      </c>
      <c r="W819" s="68" t="s">
        <v>100</v>
      </c>
      <c r="X819" s="68">
        <v>2016</v>
      </c>
      <c r="AX819" s="1"/>
      <c r="AY819" s="1"/>
      <c r="BA819" s="70"/>
      <c r="BB819" s="44"/>
      <c r="BC819" s="1"/>
      <c r="BD819" s="1"/>
      <c r="BE819" s="1"/>
      <c r="BF819" s="1"/>
      <c r="BG819" s="1"/>
      <c r="BH819" s="1"/>
      <c r="BI819" s="1"/>
      <c r="BJ819" s="1"/>
      <c r="BK819" s="70"/>
    </row>
    <row r="820" spans="1:63" s="11" customFormat="1" ht="12" customHeight="1" x14ac:dyDescent="0.15">
      <c r="A820" s="11" t="s">
        <v>26785</v>
      </c>
      <c r="B820" s="68">
        <v>26</v>
      </c>
      <c r="C820" s="11" t="s">
        <v>20</v>
      </c>
      <c r="D820" s="11" t="s">
        <v>48</v>
      </c>
      <c r="E820" s="11" t="s">
        <v>26786</v>
      </c>
      <c r="F820" s="69">
        <v>42678</v>
      </c>
      <c r="G820" s="11" t="s">
        <v>26787</v>
      </c>
      <c r="H820" s="11" t="s">
        <v>26788</v>
      </c>
      <c r="I820" s="11" t="s">
        <v>45</v>
      </c>
      <c r="J820" s="11">
        <v>92262</v>
      </c>
      <c r="K820" s="11" t="s">
        <v>783</v>
      </c>
      <c r="L820" s="11" t="s">
        <v>26789</v>
      </c>
      <c r="M820" s="11" t="s">
        <v>27</v>
      </c>
      <c r="N820" s="11" t="s">
        <v>26790</v>
      </c>
      <c r="O820" s="11" t="s">
        <v>400</v>
      </c>
      <c r="P820" s="11" t="s">
        <v>401</v>
      </c>
      <c r="Q820" s="11" t="s">
        <v>26791</v>
      </c>
      <c r="R820" s="11" t="s">
        <v>555</v>
      </c>
      <c r="S820" s="11" t="s">
        <v>35</v>
      </c>
      <c r="T820" s="66" t="s">
        <v>29441</v>
      </c>
      <c r="U820" s="68" t="s">
        <v>29441</v>
      </c>
      <c r="V820" s="68" t="s">
        <v>29439</v>
      </c>
      <c r="W820" s="68" t="s">
        <v>100</v>
      </c>
      <c r="X820" s="68">
        <v>2015</v>
      </c>
      <c r="AW820" s="44"/>
      <c r="AX820" s="1"/>
      <c r="AY820" s="1"/>
      <c r="BA820" s="1"/>
      <c r="BB820" s="1"/>
      <c r="BC820" s="1"/>
      <c r="BD820" s="1"/>
      <c r="BE820" s="1"/>
      <c r="BF820" s="1"/>
      <c r="BG820" s="1"/>
      <c r="BH820" s="1"/>
      <c r="BI820" s="1"/>
      <c r="BJ820" s="1"/>
      <c r="BK820" s="1"/>
    </row>
    <row r="821" spans="1:63" s="11" customFormat="1" ht="12" customHeight="1" x14ac:dyDescent="0.2">
      <c r="A821" s="11" t="s">
        <v>26771</v>
      </c>
      <c r="B821" s="68">
        <v>23</v>
      </c>
      <c r="C821" s="11" t="s">
        <v>20</v>
      </c>
      <c r="D821" s="11" t="s">
        <v>85</v>
      </c>
      <c r="E821" s="11" t="s">
        <v>26772</v>
      </c>
      <c r="F821" s="69">
        <v>42677</v>
      </c>
      <c r="G821" s="11" t="s">
        <v>27058</v>
      </c>
      <c r="H821" s="11" t="s">
        <v>3897</v>
      </c>
      <c r="I821" s="11" t="s">
        <v>366</v>
      </c>
      <c r="J821" s="11">
        <v>28144</v>
      </c>
      <c r="K821" s="11" t="s">
        <v>10886</v>
      </c>
      <c r="L821" s="11" t="s">
        <v>9843</v>
      </c>
      <c r="M821" s="11" t="s">
        <v>27</v>
      </c>
      <c r="N821" s="11" t="s">
        <v>26773</v>
      </c>
      <c r="O821" s="11" t="s">
        <v>400</v>
      </c>
      <c r="P821" s="11" t="s">
        <v>401</v>
      </c>
      <c r="Q821" s="11" t="s">
        <v>26774</v>
      </c>
      <c r="R821" s="11" t="s">
        <v>100</v>
      </c>
      <c r="S821" s="11" t="s">
        <v>28</v>
      </c>
      <c r="T821" s="68" t="s">
        <v>27756</v>
      </c>
      <c r="U821" s="68" t="s">
        <v>29438</v>
      </c>
      <c r="V821" s="68" t="s">
        <v>29439</v>
      </c>
      <c r="W821" s="68" t="s">
        <v>100</v>
      </c>
      <c r="X821" s="68">
        <v>2011</v>
      </c>
      <c r="AW821" s="44"/>
      <c r="AX821" s="44"/>
      <c r="AY821" s="44"/>
      <c r="BC821" s="44"/>
      <c r="BD821" s="44"/>
      <c r="BE821" s="44"/>
      <c r="BF821" s="44"/>
      <c r="BG821" s="44"/>
      <c r="BH821" s="44"/>
      <c r="BI821" s="44"/>
      <c r="BJ821" s="44"/>
      <c r="BK821" s="70"/>
    </row>
    <row r="822" spans="1:63" s="11" customFormat="1" ht="12" customHeight="1" x14ac:dyDescent="0.2">
      <c r="A822" s="11" t="s">
        <v>26765</v>
      </c>
      <c r="B822" s="68">
        <v>56</v>
      </c>
      <c r="C822" s="11" t="s">
        <v>114</v>
      </c>
      <c r="D822" s="11" t="s">
        <v>37</v>
      </c>
      <c r="F822" s="69">
        <v>42677</v>
      </c>
      <c r="G822" s="11" t="s">
        <v>27057</v>
      </c>
      <c r="H822" s="11" t="s">
        <v>26766</v>
      </c>
      <c r="I822" s="11" t="s">
        <v>173</v>
      </c>
      <c r="J822" s="11">
        <v>30052</v>
      </c>
      <c r="K822" s="11" t="s">
        <v>26767</v>
      </c>
      <c r="L822" s="11" t="s">
        <v>26768</v>
      </c>
      <c r="M822" s="11" t="s">
        <v>27</v>
      </c>
      <c r="N822" s="11" t="s">
        <v>26769</v>
      </c>
      <c r="O822" s="11" t="s">
        <v>400</v>
      </c>
      <c r="P822" s="11" t="s">
        <v>401</v>
      </c>
      <c r="Q822" s="11" t="s">
        <v>26770</v>
      </c>
      <c r="R822" s="11" t="s">
        <v>100</v>
      </c>
      <c r="S822" s="2" t="s">
        <v>28</v>
      </c>
      <c r="T822" s="68" t="s">
        <v>27756</v>
      </c>
      <c r="U822" s="68" t="s">
        <v>29438</v>
      </c>
      <c r="V822" s="68" t="s">
        <v>29439</v>
      </c>
      <c r="W822" s="68" t="s">
        <v>100</v>
      </c>
      <c r="X822" s="68">
        <v>2013</v>
      </c>
      <c r="AW822" s="1"/>
      <c r="AX822" s="1"/>
      <c r="AY822" s="1"/>
      <c r="BC822" s="1"/>
      <c r="BD822" s="1"/>
      <c r="BE822" s="1"/>
      <c r="BF822" s="1"/>
      <c r="BG822" s="1"/>
      <c r="BH822" s="1"/>
      <c r="BI822" s="1"/>
      <c r="BJ822" s="1"/>
      <c r="BK822" s="70"/>
    </row>
    <row r="823" spans="1:63" s="11" customFormat="1" ht="12" customHeight="1" x14ac:dyDescent="0.2">
      <c r="A823" s="11" t="s">
        <v>26760</v>
      </c>
      <c r="B823" s="68">
        <v>64</v>
      </c>
      <c r="C823" s="11" t="s">
        <v>20</v>
      </c>
      <c r="D823" s="11" t="s">
        <v>30</v>
      </c>
      <c r="F823" s="69">
        <v>42677</v>
      </c>
      <c r="G823" s="11" t="s">
        <v>26761</v>
      </c>
      <c r="H823" s="11" t="s">
        <v>4042</v>
      </c>
      <c r="I823" s="11" t="s">
        <v>404</v>
      </c>
      <c r="J823" s="11">
        <v>17201</v>
      </c>
      <c r="K823" s="11" t="s">
        <v>1288</v>
      </c>
      <c r="L823" s="11" t="s">
        <v>26762</v>
      </c>
      <c r="M823" s="11" t="s">
        <v>27</v>
      </c>
      <c r="N823" s="11" t="s">
        <v>26763</v>
      </c>
      <c r="O823" s="11" t="s">
        <v>400</v>
      </c>
      <c r="P823" s="11" t="s">
        <v>401</v>
      </c>
      <c r="Q823" s="11" t="s">
        <v>26764</v>
      </c>
      <c r="R823" s="68" t="s">
        <v>555</v>
      </c>
      <c r="S823" s="11" t="s">
        <v>28</v>
      </c>
      <c r="T823" s="68" t="s">
        <v>29493</v>
      </c>
      <c r="U823" s="68" t="s">
        <v>29438</v>
      </c>
      <c r="V823" s="68" t="s">
        <v>29439</v>
      </c>
      <c r="W823" s="68" t="s">
        <v>100</v>
      </c>
      <c r="X823" s="68">
        <v>2012</v>
      </c>
      <c r="AW823" s="1"/>
      <c r="AX823" s="1"/>
      <c r="AY823" s="1"/>
      <c r="BA823" s="70"/>
      <c r="BC823" s="1"/>
      <c r="BD823" s="1"/>
      <c r="BE823" s="1"/>
      <c r="BF823" s="1"/>
      <c r="BG823" s="1"/>
      <c r="BH823" s="1"/>
      <c r="BI823" s="1"/>
      <c r="BJ823" s="1"/>
      <c r="BK823" s="70"/>
    </row>
    <row r="824" spans="1:63" s="11" customFormat="1" ht="12" customHeight="1" x14ac:dyDescent="0.15">
      <c r="A824" s="11" t="s">
        <v>26756</v>
      </c>
      <c r="B824" s="68">
        <v>40</v>
      </c>
      <c r="C824" s="11" t="s">
        <v>20</v>
      </c>
      <c r="D824" s="11" t="s">
        <v>37</v>
      </c>
      <c r="F824" s="69">
        <v>42676</v>
      </c>
      <c r="G824" s="11" t="s">
        <v>26757</v>
      </c>
      <c r="H824" s="11" t="s">
        <v>610</v>
      </c>
      <c r="I824" s="11" t="s">
        <v>240</v>
      </c>
      <c r="J824" s="11">
        <v>84088</v>
      </c>
      <c r="K824" s="11" t="s">
        <v>611</v>
      </c>
      <c r="L824" s="11" t="s">
        <v>612</v>
      </c>
      <c r="M824" s="11" t="s">
        <v>27</v>
      </c>
      <c r="N824" s="11" t="s">
        <v>26758</v>
      </c>
      <c r="O824" s="11" t="s">
        <v>400</v>
      </c>
      <c r="P824" s="11" t="s">
        <v>401</v>
      </c>
      <c r="Q824" s="11" t="s">
        <v>26759</v>
      </c>
      <c r="R824" s="11" t="s">
        <v>100</v>
      </c>
      <c r="S824" s="11" t="s">
        <v>35</v>
      </c>
      <c r="T824" s="66" t="s">
        <v>29441</v>
      </c>
      <c r="U824" s="68" t="s">
        <v>29441</v>
      </c>
      <c r="V824" s="68" t="s">
        <v>21212</v>
      </c>
      <c r="W824" s="68" t="s">
        <v>100</v>
      </c>
      <c r="X824" s="68">
        <v>2010</v>
      </c>
      <c r="AW824" s="44"/>
      <c r="AX824" s="1"/>
      <c r="AY824" s="1"/>
      <c r="BC824" s="1"/>
      <c r="BD824" s="1"/>
      <c r="BE824" s="1"/>
      <c r="BF824" s="1"/>
      <c r="BG824" s="1"/>
      <c r="BH824" s="1"/>
      <c r="BI824" s="1"/>
      <c r="BJ824" s="1"/>
      <c r="BK824" s="1"/>
    </row>
    <row r="825" spans="1:63" s="11" customFormat="1" ht="12" customHeight="1" x14ac:dyDescent="0.15">
      <c r="A825" s="11" t="s">
        <v>26745</v>
      </c>
      <c r="B825" s="11">
        <v>49</v>
      </c>
      <c r="C825" s="11" t="s">
        <v>20</v>
      </c>
      <c r="D825" s="11" t="s">
        <v>48</v>
      </c>
      <c r="E825" s="11" t="s">
        <v>26746</v>
      </c>
      <c r="F825" s="72">
        <v>42676</v>
      </c>
      <c r="G825" s="11" t="s">
        <v>26747</v>
      </c>
      <c r="H825" s="11" t="s">
        <v>1844</v>
      </c>
      <c r="I825" s="11" t="s">
        <v>423</v>
      </c>
      <c r="J825" s="11">
        <v>10461</v>
      </c>
      <c r="K825" s="11" t="s">
        <v>1844</v>
      </c>
      <c r="L825" s="11" t="s">
        <v>582</v>
      </c>
      <c r="M825" s="1" t="s">
        <v>391</v>
      </c>
      <c r="N825" s="11" t="s">
        <v>26748</v>
      </c>
      <c r="O825" s="11" t="s">
        <v>400</v>
      </c>
      <c r="P825" s="11" t="s">
        <v>401</v>
      </c>
      <c r="Q825" s="11" t="s">
        <v>26749</v>
      </c>
      <c r="R825" s="11" t="s">
        <v>555</v>
      </c>
      <c r="S825" s="11" t="s">
        <v>28</v>
      </c>
      <c r="AX825" s="1"/>
      <c r="AY825" s="1"/>
      <c r="AZ825" s="1"/>
      <c r="BC825" s="1"/>
      <c r="BD825" s="1"/>
      <c r="BE825" s="1"/>
      <c r="BF825" s="1"/>
      <c r="BG825" s="1"/>
      <c r="BH825" s="1"/>
      <c r="BI825" s="1"/>
      <c r="BJ825" s="1"/>
      <c r="BK825" s="1"/>
    </row>
    <row r="826" spans="1:63" s="11" customFormat="1" ht="12" customHeight="1" x14ac:dyDescent="0.2">
      <c r="A826" s="11" t="s">
        <v>26750</v>
      </c>
      <c r="B826" s="68">
        <v>59</v>
      </c>
      <c r="C826" s="11" t="s">
        <v>20</v>
      </c>
      <c r="D826" s="11" t="s">
        <v>37</v>
      </c>
      <c r="E826" s="11" t="s">
        <v>26751</v>
      </c>
      <c r="F826" s="69">
        <v>42676</v>
      </c>
      <c r="G826" s="11" t="s">
        <v>26752</v>
      </c>
      <c r="H826" s="11" t="s">
        <v>1001</v>
      </c>
      <c r="I826" s="11" t="s">
        <v>25</v>
      </c>
      <c r="J826" s="11">
        <v>70364</v>
      </c>
      <c r="K826" s="11" t="s">
        <v>1002</v>
      </c>
      <c r="L826" s="11" t="s">
        <v>26753</v>
      </c>
      <c r="M826" s="11" t="s">
        <v>27</v>
      </c>
      <c r="N826" s="11" t="s">
        <v>26754</v>
      </c>
      <c r="O826" s="11" t="s">
        <v>400</v>
      </c>
      <c r="P826" s="11" t="s">
        <v>401</v>
      </c>
      <c r="Q826" s="11" t="s">
        <v>26755</v>
      </c>
      <c r="R826" s="68" t="s">
        <v>555</v>
      </c>
      <c r="S826" s="11" t="s">
        <v>28</v>
      </c>
      <c r="T826" s="68" t="s">
        <v>27756</v>
      </c>
      <c r="U826" s="68" t="s">
        <v>29438</v>
      </c>
      <c r="V826" s="68" t="s">
        <v>29439</v>
      </c>
      <c r="W826" s="68" t="s">
        <v>555</v>
      </c>
      <c r="X826" s="68">
        <v>2009</v>
      </c>
      <c r="AW826" s="1"/>
      <c r="AX826" s="1"/>
      <c r="AY826" s="1"/>
      <c r="BA826" s="70"/>
      <c r="BC826" s="1"/>
      <c r="BD826" s="1"/>
      <c r="BE826" s="1"/>
      <c r="BF826" s="1"/>
      <c r="BG826" s="1"/>
      <c r="BH826" s="1"/>
      <c r="BI826" s="1"/>
      <c r="BJ826" s="1"/>
      <c r="BK826" s="70"/>
    </row>
    <row r="827" spans="1:63" s="11" customFormat="1" ht="12" customHeight="1" x14ac:dyDescent="0.2">
      <c r="A827" s="11" t="s">
        <v>26739</v>
      </c>
      <c r="B827" s="11">
        <v>21</v>
      </c>
      <c r="C827" s="11" t="s">
        <v>20</v>
      </c>
      <c r="D827" s="11" t="s">
        <v>85</v>
      </c>
      <c r="E827" s="11" t="s">
        <v>26740</v>
      </c>
      <c r="F827" s="72">
        <v>42675</v>
      </c>
      <c r="G827" s="11" t="s">
        <v>26741</v>
      </c>
      <c r="H827" s="11" t="s">
        <v>1760</v>
      </c>
      <c r="I827" s="11" t="s">
        <v>45</v>
      </c>
      <c r="J827" s="11">
        <v>95219</v>
      </c>
      <c r="K827" s="11" t="s">
        <v>1762</v>
      </c>
      <c r="L827" s="11" t="s">
        <v>26742</v>
      </c>
      <c r="M827" s="11" t="s">
        <v>27</v>
      </c>
      <c r="N827" s="11" t="s">
        <v>26743</v>
      </c>
      <c r="O827" s="11" t="s">
        <v>400</v>
      </c>
      <c r="P827" s="11" t="s">
        <v>401</v>
      </c>
      <c r="Q827" s="11" t="s">
        <v>26744</v>
      </c>
      <c r="R827" s="11" t="s">
        <v>100</v>
      </c>
      <c r="S827" s="11" t="s">
        <v>28</v>
      </c>
      <c r="T827" s="68"/>
      <c r="U827" s="68"/>
      <c r="V827" s="68"/>
      <c r="W827" s="68"/>
      <c r="X827" s="68"/>
      <c r="AW827" s="1"/>
      <c r="AZ827" s="1"/>
      <c r="BA827" s="1"/>
      <c r="BB827" s="1"/>
      <c r="BC827" s="44"/>
      <c r="BD827" s="44"/>
      <c r="BE827" s="44"/>
      <c r="BF827" s="44"/>
      <c r="BG827" s="44"/>
      <c r="BH827" s="44"/>
      <c r="BI827" s="44"/>
      <c r="BJ827" s="44"/>
      <c r="BK827" s="70"/>
    </row>
    <row r="828" spans="1:63" s="11" customFormat="1" ht="12" customHeight="1" x14ac:dyDescent="0.15">
      <c r="A828" s="11" t="s">
        <v>26733</v>
      </c>
      <c r="B828" s="11">
        <v>39</v>
      </c>
      <c r="C828" s="11" t="s">
        <v>20</v>
      </c>
      <c r="D828" s="11" t="s">
        <v>37</v>
      </c>
      <c r="F828" s="72">
        <v>42675</v>
      </c>
      <c r="G828" s="11" t="s">
        <v>26734</v>
      </c>
      <c r="H828" s="11" t="s">
        <v>26735</v>
      </c>
      <c r="I828" s="11" t="s">
        <v>395</v>
      </c>
      <c r="J828" s="11">
        <v>73703</v>
      </c>
      <c r="K828" s="11" t="s">
        <v>4363</v>
      </c>
      <c r="L828" s="11" t="s">
        <v>26736</v>
      </c>
      <c r="M828" s="1" t="s">
        <v>29</v>
      </c>
      <c r="N828" s="11" t="s">
        <v>26737</v>
      </c>
      <c r="O828" s="11" t="s">
        <v>400</v>
      </c>
      <c r="P828" s="11" t="s">
        <v>401</v>
      </c>
      <c r="Q828" s="11" t="s">
        <v>26738</v>
      </c>
      <c r="R828" s="11" t="s">
        <v>100</v>
      </c>
      <c r="S828" s="11" t="s">
        <v>18</v>
      </c>
      <c r="AU828" s="44"/>
      <c r="AV828" s="44"/>
      <c r="AW828" s="44"/>
      <c r="AX828" s="1"/>
      <c r="AY828" s="1"/>
      <c r="AZ828" s="1"/>
      <c r="BA828" s="1"/>
      <c r="BB828" s="1"/>
      <c r="BC828" s="1"/>
      <c r="BD828" s="1"/>
      <c r="BE828" s="1"/>
      <c r="BF828" s="1"/>
      <c r="BG828" s="1"/>
      <c r="BH828" s="1"/>
      <c r="BI828" s="1"/>
      <c r="BJ828" s="1"/>
      <c r="BK828" s="1"/>
    </row>
    <row r="829" spans="1:63" s="11" customFormat="1" ht="12" customHeight="1" x14ac:dyDescent="0.2">
      <c r="A829" s="11" t="s">
        <v>26729</v>
      </c>
      <c r="B829" s="68">
        <v>76</v>
      </c>
      <c r="C829" s="11" t="s">
        <v>20</v>
      </c>
      <c r="D829" s="11" t="s">
        <v>37</v>
      </c>
      <c r="F829" s="69">
        <v>42675</v>
      </c>
      <c r="G829" s="11" t="s">
        <v>26730</v>
      </c>
      <c r="H829" s="11" t="s">
        <v>750</v>
      </c>
      <c r="I829" s="11" t="s">
        <v>269</v>
      </c>
      <c r="J829" s="11">
        <v>89701</v>
      </c>
      <c r="K829" s="11" t="s">
        <v>750</v>
      </c>
      <c r="L829" s="11" t="s">
        <v>6319</v>
      </c>
      <c r="M829" s="11" t="s">
        <v>27</v>
      </c>
      <c r="N829" s="11" t="s">
        <v>26731</v>
      </c>
      <c r="O829" s="11" t="s">
        <v>400</v>
      </c>
      <c r="P829" s="11" t="s">
        <v>401</v>
      </c>
      <c r="Q829" s="11" t="s">
        <v>26732</v>
      </c>
      <c r="R829" s="11" t="s">
        <v>29</v>
      </c>
      <c r="S829" s="11" t="s">
        <v>28</v>
      </c>
      <c r="T829" s="68" t="s">
        <v>27756</v>
      </c>
      <c r="U829" s="68" t="s">
        <v>29436</v>
      </c>
      <c r="V829" s="68" t="s">
        <v>29439</v>
      </c>
      <c r="W829" s="68" t="s">
        <v>100</v>
      </c>
      <c r="X829" s="68">
        <v>2008</v>
      </c>
      <c r="AW829" s="1"/>
      <c r="AX829" s="1"/>
      <c r="AY829" s="1"/>
      <c r="BA829" s="1"/>
      <c r="BB829" s="1"/>
      <c r="BC829" s="1"/>
      <c r="BD829" s="1"/>
      <c r="BE829" s="1"/>
      <c r="BF829" s="1"/>
      <c r="BG829" s="1"/>
      <c r="BH829" s="1"/>
      <c r="BI829" s="1"/>
      <c r="BJ829" s="1"/>
      <c r="BK829" s="70"/>
    </row>
    <row r="830" spans="1:63" s="11" customFormat="1" ht="12" customHeight="1" x14ac:dyDescent="0.2">
      <c r="A830" s="11" t="s">
        <v>26719</v>
      </c>
      <c r="B830" s="68">
        <v>55</v>
      </c>
      <c r="C830" s="11" t="s">
        <v>20</v>
      </c>
      <c r="D830" s="11" t="s">
        <v>48</v>
      </c>
      <c r="F830" s="69">
        <v>42674</v>
      </c>
      <c r="G830" s="11" t="s">
        <v>26720</v>
      </c>
      <c r="H830" s="11" t="s">
        <v>26721</v>
      </c>
      <c r="I830" s="11" t="s">
        <v>45</v>
      </c>
      <c r="J830" s="11">
        <v>91311</v>
      </c>
      <c r="K830" s="11" t="s">
        <v>98</v>
      </c>
      <c r="L830" s="11" t="s">
        <v>414</v>
      </c>
      <c r="M830" s="11" t="s">
        <v>27</v>
      </c>
      <c r="N830" s="11" t="s">
        <v>26722</v>
      </c>
      <c r="O830" s="11" t="s">
        <v>400</v>
      </c>
      <c r="P830" s="11" t="s">
        <v>401</v>
      </c>
      <c r="Q830" s="11" t="s">
        <v>26723</v>
      </c>
      <c r="R830" s="11" t="s">
        <v>100</v>
      </c>
      <c r="S830" s="11" t="s">
        <v>28</v>
      </c>
      <c r="T830" s="68" t="s">
        <v>29493</v>
      </c>
      <c r="U830" s="68" t="s">
        <v>29438</v>
      </c>
      <c r="V830" s="68" t="s">
        <v>29439</v>
      </c>
      <c r="W830" s="68" t="s">
        <v>100</v>
      </c>
      <c r="X830" s="68">
        <v>2007</v>
      </c>
      <c r="AW830" s="1"/>
      <c r="AX830" s="1"/>
      <c r="AY830" s="1"/>
      <c r="BC830" s="1"/>
      <c r="BD830" s="1"/>
      <c r="BE830" s="1"/>
      <c r="BF830" s="1"/>
      <c r="BG830" s="1"/>
      <c r="BH830" s="1"/>
      <c r="BI830" s="1"/>
      <c r="BJ830" s="1"/>
      <c r="BK830" s="70"/>
    </row>
    <row r="831" spans="1:63" s="11" customFormat="1" ht="12" customHeight="1" x14ac:dyDescent="0.2">
      <c r="A831" s="66" t="s">
        <v>29602</v>
      </c>
      <c r="B831" s="66">
        <v>31</v>
      </c>
      <c r="C831" s="66" t="s">
        <v>114</v>
      </c>
      <c r="D831" s="66" t="s">
        <v>37</v>
      </c>
      <c r="E831" s="66"/>
      <c r="F831" s="67">
        <v>42674</v>
      </c>
      <c r="G831" s="67"/>
      <c r="H831" s="66" t="s">
        <v>27892</v>
      </c>
      <c r="I831" s="66" t="s">
        <v>69</v>
      </c>
      <c r="J831" s="66"/>
      <c r="K831" s="66"/>
      <c r="L831" s="66"/>
      <c r="M831" s="66" t="s">
        <v>27</v>
      </c>
      <c r="N831" s="66"/>
      <c r="O831" s="66" t="s">
        <v>400</v>
      </c>
      <c r="P831" s="66" t="s">
        <v>401</v>
      </c>
      <c r="Q831" s="66"/>
      <c r="R831" s="66" t="s">
        <v>100</v>
      </c>
      <c r="S831" s="66" t="s">
        <v>28</v>
      </c>
      <c r="T831" s="66" t="s">
        <v>27756</v>
      </c>
      <c r="U831" s="66" t="s">
        <v>29438</v>
      </c>
      <c r="V831" s="66" t="s">
        <v>21212</v>
      </c>
      <c r="W831" s="66" t="s">
        <v>100</v>
      </c>
      <c r="X831" s="66">
        <v>2035</v>
      </c>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c r="AZ831" s="66"/>
      <c r="BA831" s="66"/>
      <c r="BB831" s="66"/>
      <c r="BC831" s="1"/>
      <c r="BD831" s="1"/>
      <c r="BE831" s="1"/>
      <c r="BF831" s="1"/>
      <c r="BG831" s="1"/>
      <c r="BH831" s="1"/>
      <c r="BI831" s="1"/>
      <c r="BJ831" s="1"/>
      <c r="BK831" s="70"/>
    </row>
    <row r="832" spans="1:63" s="11" customFormat="1" ht="12" customHeight="1" x14ac:dyDescent="0.15">
      <c r="A832" s="11" t="s">
        <v>27079</v>
      </c>
      <c r="B832" s="11">
        <v>46</v>
      </c>
      <c r="C832" s="11" t="s">
        <v>20</v>
      </c>
      <c r="D832" s="11" t="s">
        <v>37</v>
      </c>
      <c r="F832" s="72">
        <v>42674</v>
      </c>
      <c r="G832" s="11" t="s">
        <v>27083</v>
      </c>
      <c r="H832" s="11" t="s">
        <v>200</v>
      </c>
      <c r="I832" s="11" t="s">
        <v>45</v>
      </c>
      <c r="J832" s="11">
        <v>93727</v>
      </c>
      <c r="K832" s="11" t="s">
        <v>200</v>
      </c>
      <c r="L832" s="11" t="s">
        <v>1598</v>
      </c>
      <c r="M832" s="11" t="s">
        <v>27</v>
      </c>
      <c r="N832" s="11" t="s">
        <v>27080</v>
      </c>
      <c r="O832" s="11" t="s">
        <v>27081</v>
      </c>
      <c r="P832" s="11" t="s">
        <v>401</v>
      </c>
      <c r="Q832" s="11" t="s">
        <v>27082</v>
      </c>
      <c r="R832" s="11" t="s">
        <v>100</v>
      </c>
      <c r="S832" s="11" t="s">
        <v>35</v>
      </c>
      <c r="T832" s="68"/>
      <c r="U832" s="68"/>
      <c r="V832" s="68"/>
      <c r="W832" s="68"/>
      <c r="X832" s="68"/>
      <c r="AW832" s="1"/>
      <c r="AX832" s="1"/>
      <c r="AY832" s="1"/>
      <c r="AZ832" s="1"/>
      <c r="BA832" s="1"/>
      <c r="BB832" s="1"/>
      <c r="BC832" s="1"/>
      <c r="BD832" s="1"/>
      <c r="BE832" s="1"/>
      <c r="BF832" s="1"/>
      <c r="BG832" s="1"/>
      <c r="BH832" s="1"/>
      <c r="BI832" s="1"/>
      <c r="BJ832" s="1"/>
      <c r="BK832" s="1"/>
    </row>
    <row r="833" spans="1:63" s="11" customFormat="1" ht="12" customHeight="1" x14ac:dyDescent="0.2">
      <c r="A833" s="11" t="s">
        <v>26724</v>
      </c>
      <c r="B833" s="68">
        <v>39</v>
      </c>
      <c r="C833" s="11" t="s">
        <v>114</v>
      </c>
      <c r="D833" s="11" t="s">
        <v>85</v>
      </c>
      <c r="F833" s="69">
        <v>42674</v>
      </c>
      <c r="G833" s="11" t="s">
        <v>26725</v>
      </c>
      <c r="H833" s="11" t="s">
        <v>26726</v>
      </c>
      <c r="I833" s="11" t="s">
        <v>45</v>
      </c>
      <c r="J833" s="11">
        <v>90501</v>
      </c>
      <c r="K833" s="11" t="s">
        <v>98</v>
      </c>
      <c r="L833" s="11" t="s">
        <v>12389</v>
      </c>
      <c r="M833" s="11" t="s">
        <v>27</v>
      </c>
      <c r="N833" s="11" t="s">
        <v>26727</v>
      </c>
      <c r="O833" s="11" t="s">
        <v>400</v>
      </c>
      <c r="P833" s="11" t="s">
        <v>401</v>
      </c>
      <c r="Q833" s="11" t="s">
        <v>26728</v>
      </c>
      <c r="R833" s="68" t="s">
        <v>555</v>
      </c>
      <c r="S833" s="11" t="s">
        <v>379</v>
      </c>
      <c r="T833" s="68" t="s">
        <v>379</v>
      </c>
      <c r="U833" s="68" t="s">
        <v>29438</v>
      </c>
      <c r="V833" s="68" t="s">
        <v>29437</v>
      </c>
      <c r="W833" s="68" t="s">
        <v>100</v>
      </c>
      <c r="X833" s="68">
        <v>2006</v>
      </c>
      <c r="AW833" s="44"/>
      <c r="AX833" s="44"/>
      <c r="AY833" s="44"/>
      <c r="BA833" s="70"/>
      <c r="BB833" s="70"/>
      <c r="BC833" s="44"/>
      <c r="BD833" s="44"/>
      <c r="BE833" s="44"/>
      <c r="BF833" s="44"/>
      <c r="BG833" s="44"/>
      <c r="BH833" s="44"/>
      <c r="BI833" s="44"/>
      <c r="BJ833" s="44"/>
    </row>
    <row r="834" spans="1:63" s="11" customFormat="1" ht="12" customHeight="1" x14ac:dyDescent="0.2">
      <c r="A834" s="11" t="s">
        <v>26716</v>
      </c>
      <c r="B834" s="68">
        <v>23</v>
      </c>
      <c r="C834" s="11" t="s">
        <v>20</v>
      </c>
      <c r="D834" s="68" t="s">
        <v>48</v>
      </c>
      <c r="F834" s="69">
        <v>42673</v>
      </c>
      <c r="G834" s="11" t="s">
        <v>27056</v>
      </c>
      <c r="H834" s="11" t="s">
        <v>12409</v>
      </c>
      <c r="I834" s="11" t="s">
        <v>73</v>
      </c>
      <c r="J834" s="11">
        <v>78401</v>
      </c>
      <c r="K834" s="11" t="s">
        <v>12411</v>
      </c>
      <c r="L834" s="11" t="s">
        <v>12412</v>
      </c>
      <c r="M834" s="11" t="s">
        <v>27</v>
      </c>
      <c r="N834" s="11" t="s">
        <v>26717</v>
      </c>
      <c r="O834" s="11" t="s">
        <v>400</v>
      </c>
      <c r="P834" s="11" t="s">
        <v>401</v>
      </c>
      <c r="Q834" s="11" t="s">
        <v>26718</v>
      </c>
      <c r="R834" s="11" t="s">
        <v>100</v>
      </c>
      <c r="S834" s="11" t="s">
        <v>28</v>
      </c>
      <c r="T834" s="68" t="s">
        <v>27756</v>
      </c>
      <c r="U834" s="68" t="s">
        <v>29438</v>
      </c>
      <c r="V834" s="68" t="s">
        <v>29439</v>
      </c>
      <c r="W834" s="68" t="s">
        <v>100</v>
      </c>
      <c r="X834" s="68">
        <v>2004</v>
      </c>
      <c r="AW834" s="44"/>
      <c r="AX834" s="1"/>
      <c r="AY834" s="1"/>
      <c r="BC834" s="1"/>
      <c r="BD834" s="1"/>
      <c r="BE834" s="1"/>
      <c r="BF834" s="1"/>
      <c r="BG834" s="1"/>
      <c r="BH834" s="1"/>
      <c r="BI834" s="1"/>
      <c r="BJ834" s="1"/>
      <c r="BK834" s="70"/>
    </row>
    <row r="835" spans="1:63" s="11" customFormat="1" ht="12" customHeight="1" x14ac:dyDescent="0.2">
      <c r="A835" s="11" t="s">
        <v>26711</v>
      </c>
      <c r="B835" s="68">
        <v>38</v>
      </c>
      <c r="C835" s="11" t="s">
        <v>20</v>
      </c>
      <c r="D835" s="11" t="s">
        <v>139</v>
      </c>
      <c r="E835" s="11" t="s">
        <v>26712</v>
      </c>
      <c r="F835" s="69">
        <v>42673</v>
      </c>
      <c r="G835" s="11" t="s">
        <v>26713</v>
      </c>
      <c r="H835" s="11" t="s">
        <v>5515</v>
      </c>
      <c r="I835" s="11" t="s">
        <v>395</v>
      </c>
      <c r="J835" s="11">
        <v>73654</v>
      </c>
      <c r="K835" s="11" t="s">
        <v>5247</v>
      </c>
      <c r="L835" s="11" t="s">
        <v>2045</v>
      </c>
      <c r="M835" s="11" t="s">
        <v>27</v>
      </c>
      <c r="N835" s="11" t="s">
        <v>26714</v>
      </c>
      <c r="O835" s="11" t="s">
        <v>400</v>
      </c>
      <c r="P835" s="11" t="s">
        <v>401</v>
      </c>
      <c r="Q835" s="11" t="s">
        <v>26715</v>
      </c>
      <c r="R835" s="11" t="s">
        <v>100</v>
      </c>
      <c r="S835" s="11" t="s">
        <v>28</v>
      </c>
      <c r="T835" s="68" t="s">
        <v>27756</v>
      </c>
      <c r="U835" s="68" t="s">
        <v>29438</v>
      </c>
      <c r="V835" s="68" t="s">
        <v>29437</v>
      </c>
      <c r="W835" s="68" t="s">
        <v>100</v>
      </c>
      <c r="X835" s="68">
        <v>2005</v>
      </c>
      <c r="AW835" s="44"/>
      <c r="AX835" s="1"/>
      <c r="AY835" s="1"/>
      <c r="BC835" s="1"/>
      <c r="BD835" s="1"/>
      <c r="BE835" s="1"/>
      <c r="BF835" s="1"/>
      <c r="BG835" s="1"/>
      <c r="BH835" s="1"/>
      <c r="BI835" s="1"/>
      <c r="BJ835" s="1"/>
      <c r="BK835" s="70"/>
    </row>
    <row r="836" spans="1:63" s="11" customFormat="1" ht="12" customHeight="1" x14ac:dyDescent="0.15">
      <c r="A836" s="11" t="s">
        <v>26696</v>
      </c>
      <c r="B836" s="68">
        <v>34</v>
      </c>
      <c r="C836" s="11" t="s">
        <v>20</v>
      </c>
      <c r="D836" s="11" t="s">
        <v>37</v>
      </c>
      <c r="F836" s="69">
        <v>42673</v>
      </c>
      <c r="G836" s="11" t="s">
        <v>26697</v>
      </c>
      <c r="H836" s="11" t="s">
        <v>3720</v>
      </c>
      <c r="I836" s="11" t="s">
        <v>123</v>
      </c>
      <c r="J836" s="11">
        <v>86409</v>
      </c>
      <c r="K836" s="11" t="s">
        <v>5836</v>
      </c>
      <c r="L836" s="11" t="s">
        <v>14733</v>
      </c>
      <c r="M836" s="11" t="s">
        <v>27</v>
      </c>
      <c r="N836" s="11" t="s">
        <v>26698</v>
      </c>
      <c r="O836" s="11" t="s">
        <v>400</v>
      </c>
      <c r="P836" s="11" t="s">
        <v>401</v>
      </c>
      <c r="Q836" s="11" t="s">
        <v>26699</v>
      </c>
      <c r="R836" s="11" t="s">
        <v>100</v>
      </c>
      <c r="S836" s="11" t="s">
        <v>379</v>
      </c>
      <c r="T836" s="68" t="s">
        <v>379</v>
      </c>
      <c r="U836" s="68" t="s">
        <v>29436</v>
      </c>
      <c r="V836" s="68" t="s">
        <v>29437</v>
      </c>
      <c r="W836" s="68" t="s">
        <v>100</v>
      </c>
      <c r="X836" s="68">
        <v>2003</v>
      </c>
      <c r="AW836" s="44"/>
      <c r="AX836" s="1"/>
      <c r="AY836" s="1"/>
      <c r="BC836" s="1"/>
      <c r="BD836" s="1"/>
      <c r="BE836" s="1"/>
      <c r="BF836" s="1"/>
      <c r="BG836" s="1"/>
      <c r="BH836" s="1"/>
      <c r="BI836" s="1"/>
      <c r="BJ836" s="1"/>
    </row>
    <row r="837" spans="1:63" s="11" customFormat="1" ht="12" customHeight="1" x14ac:dyDescent="0.2">
      <c r="A837" s="11" t="s">
        <v>26707</v>
      </c>
      <c r="B837" s="68">
        <v>31</v>
      </c>
      <c r="C837" s="11" t="s">
        <v>20</v>
      </c>
      <c r="D837" s="11" t="s">
        <v>85</v>
      </c>
      <c r="F837" s="69">
        <v>42673</v>
      </c>
      <c r="G837" s="11" t="s">
        <v>26708</v>
      </c>
      <c r="H837" s="11" t="s">
        <v>1697</v>
      </c>
      <c r="I837" s="11" t="s">
        <v>46</v>
      </c>
      <c r="J837" s="11">
        <v>2118</v>
      </c>
      <c r="K837" s="11" t="s">
        <v>1699</v>
      </c>
      <c r="L837" s="11" t="s">
        <v>3230</v>
      </c>
      <c r="M837" s="11" t="s">
        <v>27</v>
      </c>
      <c r="N837" s="11" t="s">
        <v>26709</v>
      </c>
      <c r="O837" s="11" t="s">
        <v>400</v>
      </c>
      <c r="P837" s="11" t="s">
        <v>401</v>
      </c>
      <c r="Q837" s="11" t="s">
        <v>26710</v>
      </c>
      <c r="R837" s="11" t="s">
        <v>555</v>
      </c>
      <c r="S837" s="13" t="s">
        <v>28</v>
      </c>
      <c r="T837" s="68" t="s">
        <v>29493</v>
      </c>
      <c r="U837" s="68" t="s">
        <v>29436</v>
      </c>
      <c r="V837" s="68" t="s">
        <v>29439</v>
      </c>
      <c r="W837" s="68" t="s">
        <v>100</v>
      </c>
      <c r="X837" s="68">
        <v>1999</v>
      </c>
      <c r="BA837" s="44"/>
      <c r="BC837" s="44"/>
      <c r="BD837" s="44"/>
      <c r="BE837" s="44"/>
      <c r="BF837" s="44"/>
      <c r="BG837" s="44"/>
      <c r="BH837" s="44"/>
      <c r="BI837" s="44"/>
      <c r="BJ837" s="44"/>
      <c r="BK837" s="70"/>
    </row>
    <row r="838" spans="1:63" s="11" customFormat="1" ht="12" customHeight="1" x14ac:dyDescent="0.15">
      <c r="A838" s="11" t="s">
        <v>26700</v>
      </c>
      <c r="B838" s="11">
        <v>21</v>
      </c>
      <c r="C838" s="11" t="s">
        <v>20</v>
      </c>
      <c r="D838" s="11" t="s">
        <v>48</v>
      </c>
      <c r="F838" s="72">
        <v>42672</v>
      </c>
      <c r="G838" s="11" t="s">
        <v>26701</v>
      </c>
      <c r="H838" s="11" t="s">
        <v>26702</v>
      </c>
      <c r="I838" s="11" t="s">
        <v>73</v>
      </c>
      <c r="J838" s="11">
        <v>79855</v>
      </c>
      <c r="K838" s="11" t="s">
        <v>26703</v>
      </c>
      <c r="L838" s="11" t="s">
        <v>26704</v>
      </c>
      <c r="M838" s="11" t="s">
        <v>27</v>
      </c>
      <c r="N838" s="11" t="s">
        <v>26705</v>
      </c>
      <c r="O838" s="11" t="s">
        <v>400</v>
      </c>
      <c r="P838" s="11" t="s">
        <v>401</v>
      </c>
      <c r="Q838" s="11" t="s">
        <v>26706</v>
      </c>
      <c r="R838" s="11" t="s">
        <v>100</v>
      </c>
      <c r="S838" s="11" t="s">
        <v>28</v>
      </c>
      <c r="T838" s="68"/>
      <c r="U838" s="68"/>
      <c r="V838" s="68"/>
      <c r="W838" s="68"/>
      <c r="X838" s="68"/>
      <c r="AW838" s="1"/>
      <c r="AX838" s="1"/>
      <c r="AY838" s="1"/>
      <c r="AZ838" s="1"/>
      <c r="BA838" s="1"/>
      <c r="BB838" s="1"/>
      <c r="BC838" s="1"/>
      <c r="BD838" s="1"/>
      <c r="BE838" s="1"/>
      <c r="BF838" s="1"/>
      <c r="BG838" s="1"/>
      <c r="BH838" s="1"/>
      <c r="BI838" s="1"/>
      <c r="BJ838" s="1"/>
      <c r="BK838" s="44"/>
    </row>
    <row r="839" spans="1:63" s="11" customFormat="1" ht="12" customHeight="1" x14ac:dyDescent="0.15">
      <c r="A839" s="11" t="s">
        <v>26672</v>
      </c>
      <c r="B839" s="68">
        <v>37</v>
      </c>
      <c r="C839" s="11" t="s">
        <v>20</v>
      </c>
      <c r="D839" s="11" t="s">
        <v>37</v>
      </c>
      <c r="F839" s="69">
        <v>42671</v>
      </c>
      <c r="G839" s="11" t="s">
        <v>26673</v>
      </c>
      <c r="H839" s="11" t="s">
        <v>26674</v>
      </c>
      <c r="I839" s="11" t="s">
        <v>133</v>
      </c>
      <c r="J839" s="11">
        <v>56248</v>
      </c>
      <c r="K839" s="11" t="s">
        <v>397</v>
      </c>
      <c r="L839" s="11" t="s">
        <v>26675</v>
      </c>
      <c r="M839" s="11" t="s">
        <v>27</v>
      </c>
      <c r="N839" s="11" t="s">
        <v>26676</v>
      </c>
      <c r="O839" s="11" t="s">
        <v>400</v>
      </c>
      <c r="P839" s="11" t="s">
        <v>401</v>
      </c>
      <c r="Q839" s="11" t="s">
        <v>26677</v>
      </c>
      <c r="R839" s="11" t="s">
        <v>964</v>
      </c>
      <c r="S839" s="11" t="s">
        <v>28</v>
      </c>
      <c r="T839" s="68" t="s">
        <v>27756</v>
      </c>
      <c r="U839" s="68" t="s">
        <v>29438</v>
      </c>
      <c r="V839" s="68" t="s">
        <v>21212</v>
      </c>
      <c r="W839" s="68" t="s">
        <v>100</v>
      </c>
      <c r="X839" s="68">
        <v>2000</v>
      </c>
      <c r="AW839" s="44"/>
      <c r="AX839" s="1"/>
      <c r="AY839" s="1"/>
      <c r="BA839" s="44"/>
      <c r="BB839" s="44"/>
      <c r="BC839" s="1"/>
      <c r="BD839" s="1"/>
      <c r="BE839" s="1"/>
      <c r="BF839" s="1"/>
      <c r="BG839" s="1"/>
      <c r="BH839" s="1"/>
      <c r="BI839" s="1"/>
      <c r="BJ839" s="1"/>
      <c r="BK839" s="44"/>
    </row>
    <row r="840" spans="1:63" s="11" customFormat="1" ht="12" customHeight="1" x14ac:dyDescent="0.15">
      <c r="A840" s="11" t="s">
        <v>26690</v>
      </c>
      <c r="B840" s="11">
        <v>44</v>
      </c>
      <c r="C840" s="11" t="s">
        <v>20</v>
      </c>
      <c r="D840" s="11" t="s">
        <v>48</v>
      </c>
      <c r="E840" s="11" t="s">
        <v>26691</v>
      </c>
      <c r="F840" s="72">
        <v>42671</v>
      </c>
      <c r="G840" s="11" t="s">
        <v>26692</v>
      </c>
      <c r="H840" s="11" t="s">
        <v>575</v>
      </c>
      <c r="I840" s="11" t="s">
        <v>73</v>
      </c>
      <c r="J840" s="11">
        <v>78258</v>
      </c>
      <c r="K840" s="11" t="s">
        <v>576</v>
      </c>
      <c r="L840" s="11" t="s">
        <v>26693</v>
      </c>
      <c r="M840" s="11" t="s">
        <v>379</v>
      </c>
      <c r="N840" s="11" t="s">
        <v>26694</v>
      </c>
      <c r="O840" s="11" t="s">
        <v>400</v>
      </c>
      <c r="P840" s="11" t="s">
        <v>401</v>
      </c>
      <c r="Q840" s="11" t="s">
        <v>26695</v>
      </c>
      <c r="R840" s="11" t="s">
        <v>100</v>
      </c>
      <c r="S840" s="11" t="s">
        <v>379</v>
      </c>
      <c r="AU840" s="44"/>
      <c r="AV840" s="44"/>
      <c r="AW840" s="44"/>
      <c r="AX840" s="1"/>
      <c r="AY840" s="1"/>
      <c r="AZ840" s="1"/>
      <c r="BA840" s="1"/>
      <c r="BB840" s="1"/>
      <c r="BC840" s="1"/>
      <c r="BD840" s="1"/>
      <c r="BE840" s="1"/>
      <c r="BF840" s="1"/>
      <c r="BG840" s="1"/>
      <c r="BH840" s="1"/>
      <c r="BI840" s="1"/>
      <c r="BJ840" s="1"/>
      <c r="BK840" s="1"/>
    </row>
    <row r="841" spans="1:63" s="11" customFormat="1" ht="12" customHeight="1" x14ac:dyDescent="0.2">
      <c r="A841" s="11" t="s">
        <v>26678</v>
      </c>
      <c r="B841" s="68">
        <v>45</v>
      </c>
      <c r="C841" s="11" t="s">
        <v>20</v>
      </c>
      <c r="D841" s="11" t="s">
        <v>21</v>
      </c>
      <c r="E841" s="11" t="s">
        <v>26679</v>
      </c>
      <c r="F841" s="69">
        <v>42671</v>
      </c>
      <c r="G841" s="11" t="s">
        <v>26680</v>
      </c>
      <c r="H841" s="11" t="s">
        <v>26681</v>
      </c>
      <c r="I841" s="11" t="s">
        <v>69</v>
      </c>
      <c r="J841" s="11">
        <v>44133</v>
      </c>
      <c r="K841" s="11" t="s">
        <v>105</v>
      </c>
      <c r="L841" s="11" t="s">
        <v>26682</v>
      </c>
      <c r="M841" s="11" t="s">
        <v>27</v>
      </c>
      <c r="N841" s="11" t="s">
        <v>26683</v>
      </c>
      <c r="O841" s="11" t="s">
        <v>400</v>
      </c>
      <c r="P841" s="11" t="s">
        <v>401</v>
      </c>
      <c r="Q841" s="11" t="s">
        <v>26684</v>
      </c>
      <c r="R841" s="11" t="s">
        <v>555</v>
      </c>
      <c r="S841" s="11" t="s">
        <v>28</v>
      </c>
      <c r="T841" s="68" t="s">
        <v>29493</v>
      </c>
      <c r="U841" s="68" t="s">
        <v>29438</v>
      </c>
      <c r="V841" s="68" t="s">
        <v>29439</v>
      </c>
      <c r="W841" s="68" t="s">
        <v>100</v>
      </c>
      <c r="X841" s="68">
        <v>2002</v>
      </c>
      <c r="AW841" s="1"/>
      <c r="AX841" s="70"/>
      <c r="AY841" s="70"/>
      <c r="BA841" s="44"/>
      <c r="BC841" s="70"/>
      <c r="BD841" s="70"/>
      <c r="BE841" s="70"/>
      <c r="BF841" s="70"/>
      <c r="BG841" s="70"/>
      <c r="BH841" s="70"/>
      <c r="BI841" s="70"/>
      <c r="BJ841" s="70"/>
      <c r="BK841" s="44"/>
    </row>
    <row r="842" spans="1:63" s="11" customFormat="1" ht="12" customHeight="1" x14ac:dyDescent="0.2">
      <c r="A842" s="11" t="s">
        <v>26685</v>
      </c>
      <c r="B842" s="68">
        <v>38</v>
      </c>
      <c r="C842" s="11" t="s">
        <v>20</v>
      </c>
      <c r="D842" s="11" t="s">
        <v>85</v>
      </c>
      <c r="E842" s="11" t="s">
        <v>26686</v>
      </c>
      <c r="F842" s="69">
        <v>42671</v>
      </c>
      <c r="G842" s="11" t="s">
        <v>26687</v>
      </c>
      <c r="H842" s="11" t="s">
        <v>1642</v>
      </c>
      <c r="I842" s="11" t="s">
        <v>45</v>
      </c>
      <c r="J842" s="11">
        <v>95841</v>
      </c>
      <c r="K842" s="11" t="s">
        <v>1642</v>
      </c>
      <c r="L842" s="11" t="s">
        <v>957</v>
      </c>
      <c r="M842" s="11" t="s">
        <v>27</v>
      </c>
      <c r="N842" s="11" t="s">
        <v>26688</v>
      </c>
      <c r="O842" s="11" t="s">
        <v>400</v>
      </c>
      <c r="P842" s="11" t="s">
        <v>401</v>
      </c>
      <c r="Q842" s="11" t="s">
        <v>26689</v>
      </c>
      <c r="R842" s="68" t="s">
        <v>555</v>
      </c>
      <c r="S842" s="11" t="s">
        <v>28</v>
      </c>
      <c r="T842" s="68" t="s">
        <v>27756</v>
      </c>
      <c r="U842" s="68" t="s">
        <v>29438</v>
      </c>
      <c r="V842" s="68" t="s">
        <v>29439</v>
      </c>
      <c r="W842" s="68" t="s">
        <v>100</v>
      </c>
      <c r="X842" s="68">
        <v>2001</v>
      </c>
      <c r="AW842" s="44"/>
      <c r="AX842" s="44"/>
      <c r="AY842" s="44"/>
      <c r="BA842" s="70"/>
      <c r="BC842" s="44"/>
      <c r="BD842" s="44"/>
      <c r="BE842" s="44"/>
      <c r="BF842" s="44"/>
      <c r="BG842" s="44"/>
      <c r="BH842" s="44"/>
      <c r="BI842" s="44"/>
      <c r="BJ842" s="44"/>
      <c r="BK842" s="44"/>
    </row>
    <row r="843" spans="1:63" s="11" customFormat="1" ht="12" customHeight="1" x14ac:dyDescent="0.15">
      <c r="A843" s="11" t="s">
        <v>26657</v>
      </c>
      <c r="B843" s="68">
        <v>24</v>
      </c>
      <c r="C843" s="11" t="s">
        <v>20</v>
      </c>
      <c r="D843" s="11" t="s">
        <v>48</v>
      </c>
      <c r="E843" s="11" t="s">
        <v>26658</v>
      </c>
      <c r="F843" s="69">
        <v>42670</v>
      </c>
      <c r="G843" s="11" t="s">
        <v>26659</v>
      </c>
      <c r="H843" s="11" t="s">
        <v>26660</v>
      </c>
      <c r="I843" s="11" t="s">
        <v>173</v>
      </c>
      <c r="J843" s="11">
        <v>30634</v>
      </c>
      <c r="K843" s="11" t="s">
        <v>26661</v>
      </c>
      <c r="L843" s="11" t="s">
        <v>19821</v>
      </c>
      <c r="M843" s="11" t="s">
        <v>27</v>
      </c>
      <c r="N843" s="11" t="s">
        <v>26662</v>
      </c>
      <c r="O843" s="11" t="s">
        <v>400</v>
      </c>
      <c r="P843" s="11" t="s">
        <v>401</v>
      </c>
      <c r="Q843" s="11" t="s">
        <v>26663</v>
      </c>
      <c r="R843" s="11" t="s">
        <v>964</v>
      </c>
      <c r="S843" s="11" t="s">
        <v>35</v>
      </c>
      <c r="T843" s="66" t="s">
        <v>29441</v>
      </c>
      <c r="U843" s="68" t="s">
        <v>29438</v>
      </c>
      <c r="V843" s="68" t="s">
        <v>29440</v>
      </c>
      <c r="W843" s="68" t="s">
        <v>100</v>
      </c>
      <c r="X843" s="68">
        <v>1998</v>
      </c>
      <c r="AU843" s="44"/>
      <c r="AV843" s="44"/>
      <c r="AX843" s="1"/>
      <c r="AY843" s="1"/>
      <c r="BA843" s="44"/>
      <c r="BB843" s="44"/>
      <c r="BC843" s="1"/>
      <c r="BD843" s="1"/>
      <c r="BE843" s="1"/>
      <c r="BF843" s="1"/>
      <c r="BG843" s="1"/>
      <c r="BH843" s="1"/>
      <c r="BI843" s="1"/>
      <c r="BJ843" s="1"/>
      <c r="BK843" s="1"/>
    </row>
    <row r="844" spans="1:63" s="11" customFormat="1" ht="12" customHeight="1" x14ac:dyDescent="0.15">
      <c r="A844" s="11" t="s">
        <v>27087</v>
      </c>
      <c r="B844" s="68">
        <v>33</v>
      </c>
      <c r="C844" s="11" t="s">
        <v>20</v>
      </c>
      <c r="D844" s="11" t="s">
        <v>85</v>
      </c>
      <c r="F844" s="69">
        <v>42670</v>
      </c>
      <c r="G844" s="11" t="s">
        <v>27055</v>
      </c>
      <c r="H844" s="11" t="s">
        <v>575</v>
      </c>
      <c r="I844" s="11" t="s">
        <v>73</v>
      </c>
      <c r="J844" s="11">
        <v>78209</v>
      </c>
      <c r="K844" s="11" t="s">
        <v>576</v>
      </c>
      <c r="L844" s="11" t="s">
        <v>577</v>
      </c>
      <c r="M844" s="11" t="s">
        <v>27</v>
      </c>
      <c r="N844" s="11" t="s">
        <v>26664</v>
      </c>
      <c r="O844" s="11" t="s">
        <v>400</v>
      </c>
      <c r="P844" s="11" t="s">
        <v>401</v>
      </c>
      <c r="Q844" s="11" t="s">
        <v>26665</v>
      </c>
      <c r="R844" s="11" t="s">
        <v>100</v>
      </c>
      <c r="S844" s="11" t="s">
        <v>28</v>
      </c>
      <c r="T844" s="68" t="s">
        <v>29494</v>
      </c>
      <c r="U844" s="68" t="s">
        <v>29436</v>
      </c>
      <c r="V844" s="68" t="s">
        <v>29439</v>
      </c>
      <c r="W844" s="68" t="s">
        <v>100</v>
      </c>
      <c r="X844" s="68">
        <v>1997</v>
      </c>
      <c r="AU844" s="44"/>
      <c r="AV844" s="44"/>
      <c r="BC844" s="44"/>
      <c r="BD844" s="44"/>
      <c r="BE844" s="44"/>
      <c r="BF844" s="44"/>
      <c r="BG844" s="44"/>
      <c r="BH844" s="44"/>
      <c r="BI844" s="44"/>
      <c r="BJ844" s="44"/>
      <c r="BK844" s="44"/>
    </row>
    <row r="845" spans="1:63" s="11" customFormat="1" ht="12" customHeight="1" x14ac:dyDescent="0.15">
      <c r="A845" s="11" t="s">
        <v>26666</v>
      </c>
      <c r="B845" s="11">
        <v>32</v>
      </c>
      <c r="C845" s="11" t="s">
        <v>20</v>
      </c>
      <c r="D845" s="11" t="s">
        <v>85</v>
      </c>
      <c r="E845" s="11" t="s">
        <v>26667</v>
      </c>
      <c r="F845" s="72">
        <v>42670</v>
      </c>
      <c r="G845" s="11" t="s">
        <v>26668</v>
      </c>
      <c r="H845" s="11" t="s">
        <v>19300</v>
      </c>
      <c r="I845" s="11" t="s">
        <v>366</v>
      </c>
      <c r="J845" s="11">
        <v>28170</v>
      </c>
      <c r="K845" s="11" t="s">
        <v>4434</v>
      </c>
      <c r="L845" s="11" t="s">
        <v>26669</v>
      </c>
      <c r="M845" s="44" t="s">
        <v>2291</v>
      </c>
      <c r="N845" s="11" t="s">
        <v>26670</v>
      </c>
      <c r="O845" s="11" t="s">
        <v>400</v>
      </c>
      <c r="P845" s="11" t="s">
        <v>401</v>
      </c>
      <c r="Q845" s="11" t="s">
        <v>26671</v>
      </c>
      <c r="R845" s="11" t="s">
        <v>100</v>
      </c>
      <c r="S845" s="11" t="s">
        <v>18</v>
      </c>
      <c r="AU845" s="1"/>
      <c r="AV845" s="1"/>
      <c r="AW845" s="1"/>
      <c r="AZ845" s="1"/>
      <c r="BA845" s="1"/>
      <c r="BB845" s="1"/>
      <c r="BC845" s="44"/>
      <c r="BD845" s="44"/>
      <c r="BE845" s="44"/>
      <c r="BF845" s="44"/>
      <c r="BG845" s="44"/>
      <c r="BH845" s="44"/>
      <c r="BI845" s="44"/>
      <c r="BJ845" s="44"/>
      <c r="BK845" s="1"/>
    </row>
    <row r="846" spans="1:63" s="11" customFormat="1" ht="12" customHeight="1" x14ac:dyDescent="0.15">
      <c r="A846" s="11" t="s">
        <v>26652</v>
      </c>
      <c r="B846" s="68">
        <v>32</v>
      </c>
      <c r="C846" s="11" t="s">
        <v>20</v>
      </c>
      <c r="D846" s="11" t="s">
        <v>37</v>
      </c>
      <c r="E846" s="11" t="s">
        <v>26653</v>
      </c>
      <c r="F846" s="69">
        <v>42670</v>
      </c>
      <c r="G846" s="11" t="s">
        <v>26654</v>
      </c>
      <c r="H846" s="11" t="s">
        <v>4573</v>
      </c>
      <c r="I846" s="11" t="s">
        <v>854</v>
      </c>
      <c r="J846" s="11">
        <v>59101</v>
      </c>
      <c r="K846" s="11" t="s">
        <v>4575</v>
      </c>
      <c r="L846" s="11" t="s">
        <v>10448</v>
      </c>
      <c r="M846" s="11" t="s">
        <v>27</v>
      </c>
      <c r="N846" s="11" t="s">
        <v>26655</v>
      </c>
      <c r="O846" s="11" t="s">
        <v>400</v>
      </c>
      <c r="P846" s="11" t="s">
        <v>401</v>
      </c>
      <c r="Q846" s="11" t="s">
        <v>26656</v>
      </c>
      <c r="R846" s="11" t="s">
        <v>555</v>
      </c>
      <c r="S846" s="11" t="s">
        <v>28</v>
      </c>
      <c r="T846" s="68" t="s">
        <v>27756</v>
      </c>
      <c r="U846" s="68" t="s">
        <v>29436</v>
      </c>
      <c r="V846" s="68" t="s">
        <v>29439</v>
      </c>
      <c r="W846" s="68" t="s">
        <v>100</v>
      </c>
      <c r="X846" s="68">
        <v>1995</v>
      </c>
      <c r="AU846" s="44"/>
      <c r="AV846" s="44"/>
      <c r="AX846" s="1"/>
      <c r="AY846" s="1"/>
      <c r="BA846" s="44"/>
      <c r="BC846" s="1"/>
      <c r="BD846" s="1"/>
      <c r="BE846" s="1"/>
      <c r="BF846" s="1"/>
      <c r="BG846" s="1"/>
      <c r="BH846" s="1"/>
      <c r="BI846" s="1"/>
      <c r="BJ846" s="1"/>
      <c r="BK846" s="44"/>
    </row>
    <row r="847" spans="1:63" s="11" customFormat="1" ht="12" customHeight="1" x14ac:dyDescent="0.15">
      <c r="A847" s="11" t="s">
        <v>26647</v>
      </c>
      <c r="B847" s="68">
        <v>25</v>
      </c>
      <c r="C847" s="11" t="s">
        <v>20</v>
      </c>
      <c r="D847" s="11" t="s">
        <v>85</v>
      </c>
      <c r="F847" s="69">
        <v>42669</v>
      </c>
      <c r="G847" s="11" t="s">
        <v>26648</v>
      </c>
      <c r="H847" s="11" t="s">
        <v>2080</v>
      </c>
      <c r="I847" s="11" t="s">
        <v>73</v>
      </c>
      <c r="J847" s="11">
        <v>75006</v>
      </c>
      <c r="K847" s="11" t="s">
        <v>285</v>
      </c>
      <c r="L847" s="11" t="s">
        <v>26649</v>
      </c>
      <c r="M847" s="11" t="s">
        <v>27</v>
      </c>
      <c r="N847" s="11" t="s">
        <v>26650</v>
      </c>
      <c r="O847" s="11" t="s">
        <v>400</v>
      </c>
      <c r="P847" s="11" t="s">
        <v>401</v>
      </c>
      <c r="Q847" s="11" t="s">
        <v>26651</v>
      </c>
      <c r="R847" s="11" t="s">
        <v>100</v>
      </c>
      <c r="S847" s="11" t="s">
        <v>28</v>
      </c>
      <c r="T847" s="68" t="s">
        <v>27756</v>
      </c>
      <c r="U847" s="68" t="s">
        <v>29436</v>
      </c>
      <c r="V847" s="68" t="s">
        <v>29439</v>
      </c>
      <c r="W847" s="68" t="s">
        <v>100</v>
      </c>
      <c r="X847" s="68">
        <v>1994</v>
      </c>
      <c r="AU847" s="44"/>
      <c r="AV847" s="44"/>
      <c r="AX847" s="44"/>
      <c r="AY847" s="44"/>
      <c r="BC847" s="44"/>
      <c r="BD847" s="44"/>
      <c r="BE847" s="44"/>
      <c r="BF847" s="44"/>
      <c r="BG847" s="44"/>
      <c r="BH847" s="44"/>
      <c r="BI847" s="44"/>
      <c r="BJ847" s="44"/>
      <c r="BK847" s="44"/>
    </row>
    <row r="848" spans="1:63" s="11" customFormat="1" ht="12" customHeight="1" x14ac:dyDescent="0.2">
      <c r="A848" s="11" t="s">
        <v>26641</v>
      </c>
      <c r="B848" s="68">
        <v>36</v>
      </c>
      <c r="C848" s="11" t="s">
        <v>20</v>
      </c>
      <c r="D848" s="11" t="s">
        <v>37</v>
      </c>
      <c r="F848" s="69">
        <v>42669</v>
      </c>
      <c r="G848" s="11" t="s">
        <v>26642</v>
      </c>
      <c r="H848" s="11" t="s">
        <v>26643</v>
      </c>
      <c r="I848" s="11" t="s">
        <v>395</v>
      </c>
      <c r="J848" s="11">
        <v>74006</v>
      </c>
      <c r="K848" s="11" t="s">
        <v>118</v>
      </c>
      <c r="L848" s="11" t="s">
        <v>26644</v>
      </c>
      <c r="M848" s="68" t="s">
        <v>5411</v>
      </c>
      <c r="N848" s="11" t="s">
        <v>26645</v>
      </c>
      <c r="O848" s="11" t="s">
        <v>400</v>
      </c>
      <c r="P848" s="11" t="s">
        <v>401</v>
      </c>
      <c r="Q848" s="11" t="s">
        <v>26646</v>
      </c>
      <c r="R848" s="11" t="s">
        <v>100</v>
      </c>
      <c r="S848" s="13" t="s">
        <v>18</v>
      </c>
      <c r="T848" s="68" t="s">
        <v>28345</v>
      </c>
      <c r="U848" s="68" t="s">
        <v>29438</v>
      </c>
      <c r="V848" s="68" t="s">
        <v>29439</v>
      </c>
      <c r="W848" s="68" t="s">
        <v>100</v>
      </c>
      <c r="X848" s="68">
        <v>1996</v>
      </c>
      <c r="AU848" s="44"/>
      <c r="AV848" s="44"/>
      <c r="AX848" s="1"/>
      <c r="AY848" s="1"/>
      <c r="BB848" s="70"/>
      <c r="BC848" s="1"/>
      <c r="BD848" s="1"/>
      <c r="BE848" s="1"/>
      <c r="BF848" s="1"/>
      <c r="BG848" s="1"/>
      <c r="BH848" s="1"/>
      <c r="BI848" s="1"/>
      <c r="BJ848" s="1"/>
      <c r="BK848" s="1"/>
    </row>
    <row r="849" spans="1:63" s="11" customFormat="1" ht="12" customHeight="1" x14ac:dyDescent="0.15">
      <c r="A849" s="11" t="s">
        <v>26638</v>
      </c>
      <c r="B849" s="68">
        <v>46</v>
      </c>
      <c r="C849" s="11" t="s">
        <v>20</v>
      </c>
      <c r="D849" s="11" t="s">
        <v>85</v>
      </c>
      <c r="F849" s="69">
        <v>42668</v>
      </c>
      <c r="G849" s="11" t="s">
        <v>27054</v>
      </c>
      <c r="H849" s="11" t="s">
        <v>9752</v>
      </c>
      <c r="I849" s="11" t="s">
        <v>978</v>
      </c>
      <c r="J849" s="11">
        <v>72202</v>
      </c>
      <c r="K849" s="11" t="s">
        <v>2495</v>
      </c>
      <c r="L849" s="11" t="s">
        <v>9754</v>
      </c>
      <c r="M849" s="11" t="s">
        <v>27</v>
      </c>
      <c r="N849" s="11" t="s">
        <v>26639</v>
      </c>
      <c r="O849" s="11" t="s">
        <v>400</v>
      </c>
      <c r="P849" s="11" t="s">
        <v>401</v>
      </c>
      <c r="Q849" s="11" t="s">
        <v>26640</v>
      </c>
      <c r="R849" s="11" t="s">
        <v>100</v>
      </c>
      <c r="S849" s="11" t="s">
        <v>18</v>
      </c>
      <c r="T849" s="68" t="s">
        <v>29612</v>
      </c>
      <c r="U849" s="68" t="s">
        <v>29436</v>
      </c>
      <c r="V849" s="68" t="s">
        <v>29439</v>
      </c>
      <c r="W849" s="68" t="s">
        <v>100</v>
      </c>
      <c r="X849" s="68">
        <v>1990</v>
      </c>
      <c r="AU849" s="44"/>
      <c r="AV849" s="44"/>
      <c r="AW849" s="1"/>
      <c r="AX849" s="44"/>
      <c r="AY849" s="44"/>
      <c r="BC849" s="44"/>
      <c r="BD849" s="44"/>
      <c r="BE849" s="44"/>
      <c r="BF849" s="44"/>
      <c r="BG849" s="44"/>
      <c r="BH849" s="44"/>
      <c r="BI849" s="44"/>
      <c r="BJ849" s="44"/>
      <c r="BK849" s="1"/>
    </row>
    <row r="850" spans="1:63" s="11" customFormat="1" ht="12" customHeight="1" x14ac:dyDescent="0.15">
      <c r="A850" s="11" t="s">
        <v>26628</v>
      </c>
      <c r="B850" s="68">
        <v>25</v>
      </c>
      <c r="C850" s="11" t="s">
        <v>114</v>
      </c>
      <c r="D850" s="11" t="s">
        <v>37</v>
      </c>
      <c r="E850" s="11" t="s">
        <v>26629</v>
      </c>
      <c r="F850" s="69">
        <v>42668</v>
      </c>
      <c r="G850" s="11" t="s">
        <v>26630</v>
      </c>
      <c r="H850" s="11" t="s">
        <v>3678</v>
      </c>
      <c r="I850" s="11" t="s">
        <v>52</v>
      </c>
      <c r="J850" s="11">
        <v>21921</v>
      </c>
      <c r="K850" s="11" t="s">
        <v>694</v>
      </c>
      <c r="L850" s="11" t="s">
        <v>695</v>
      </c>
      <c r="M850" s="11" t="s">
        <v>27</v>
      </c>
      <c r="N850" s="11" t="s">
        <v>26631</v>
      </c>
      <c r="O850" s="11" t="s">
        <v>400</v>
      </c>
      <c r="P850" s="11" t="s">
        <v>401</v>
      </c>
      <c r="Q850" s="11" t="s">
        <v>26632</v>
      </c>
      <c r="R850" s="11" t="s">
        <v>100</v>
      </c>
      <c r="S850" s="11" t="s">
        <v>18</v>
      </c>
      <c r="T850" s="68" t="s">
        <v>29612</v>
      </c>
      <c r="U850" s="68" t="s">
        <v>29438</v>
      </c>
      <c r="V850" s="68" t="s">
        <v>29439</v>
      </c>
      <c r="W850" s="68" t="s">
        <v>100</v>
      </c>
      <c r="X850" s="68">
        <v>1992</v>
      </c>
      <c r="AU850" s="44"/>
      <c r="AV850" s="44"/>
      <c r="AX850" s="1"/>
      <c r="AY850" s="1"/>
      <c r="BC850" s="1"/>
      <c r="BD850" s="1"/>
      <c r="BE850" s="1"/>
      <c r="BF850" s="1"/>
      <c r="BG850" s="1"/>
      <c r="BH850" s="1"/>
      <c r="BI850" s="1"/>
      <c r="BJ850" s="1"/>
      <c r="BK850" s="1"/>
    </row>
    <row r="851" spans="1:63" s="11" customFormat="1" ht="12" customHeight="1" x14ac:dyDescent="0.15">
      <c r="A851" s="11" t="s">
        <v>26626</v>
      </c>
      <c r="B851" s="11">
        <v>22</v>
      </c>
      <c r="C851" s="11" t="s">
        <v>114</v>
      </c>
      <c r="D851" s="11" t="s">
        <v>85</v>
      </c>
      <c r="E851" s="11" t="s">
        <v>26627</v>
      </c>
      <c r="F851" s="72">
        <v>42668</v>
      </c>
      <c r="G851" s="11" t="s">
        <v>26620</v>
      </c>
      <c r="H851" s="11" t="s">
        <v>26621</v>
      </c>
      <c r="I851" s="11" t="s">
        <v>669</v>
      </c>
      <c r="J851" s="11">
        <v>39428</v>
      </c>
      <c r="K851" s="11" t="s">
        <v>1240</v>
      </c>
      <c r="L851" s="11" t="s">
        <v>26622</v>
      </c>
      <c r="M851" s="11" t="s">
        <v>379</v>
      </c>
      <c r="N851" s="11" t="s">
        <v>26623</v>
      </c>
      <c r="O851" s="11" t="s">
        <v>1010</v>
      </c>
      <c r="P851" s="11" t="s">
        <v>401</v>
      </c>
      <c r="Q851" s="11" t="s">
        <v>26624</v>
      </c>
      <c r="R851" s="11" t="s">
        <v>100</v>
      </c>
      <c r="S851" s="66" t="s">
        <v>379</v>
      </c>
      <c r="T851" s="66" t="s">
        <v>30738</v>
      </c>
      <c r="U851" s="1"/>
      <c r="AU851" s="44"/>
      <c r="AV851" s="44"/>
      <c r="AW851" s="44"/>
      <c r="AX851" s="44"/>
      <c r="AY851" s="44"/>
      <c r="AZ851" s="1"/>
      <c r="BA851" s="1"/>
      <c r="BB851" s="1"/>
      <c r="BC851" s="44"/>
      <c r="BD851" s="44"/>
      <c r="BE851" s="44"/>
      <c r="BF851" s="44"/>
      <c r="BG851" s="44"/>
      <c r="BH851" s="44"/>
      <c r="BI851" s="44"/>
      <c r="BJ851" s="44"/>
      <c r="BK851" s="1"/>
    </row>
    <row r="852" spans="1:63" s="11" customFormat="1" ht="12" customHeight="1" x14ac:dyDescent="0.15">
      <c r="A852" s="11" t="s">
        <v>26625</v>
      </c>
      <c r="B852" s="11">
        <v>2</v>
      </c>
      <c r="C852" s="11" t="s">
        <v>20</v>
      </c>
      <c r="D852" s="11" t="s">
        <v>85</v>
      </c>
      <c r="F852" s="72">
        <v>42668</v>
      </c>
      <c r="G852" s="11" t="s">
        <v>26620</v>
      </c>
      <c r="H852" s="11" t="s">
        <v>26621</v>
      </c>
      <c r="I852" s="11" t="s">
        <v>669</v>
      </c>
      <c r="J852" s="11">
        <v>39428</v>
      </c>
      <c r="K852" s="11" t="s">
        <v>1240</v>
      </c>
      <c r="L852" s="11" t="s">
        <v>26622</v>
      </c>
      <c r="M852" s="11" t="s">
        <v>379</v>
      </c>
      <c r="N852" s="11" t="s">
        <v>26623</v>
      </c>
      <c r="O852" s="11" t="s">
        <v>1010</v>
      </c>
      <c r="P852" s="11" t="s">
        <v>401</v>
      </c>
      <c r="Q852" s="11" t="s">
        <v>26624</v>
      </c>
      <c r="R852" s="11" t="s">
        <v>100</v>
      </c>
      <c r="S852" s="66" t="s">
        <v>379</v>
      </c>
      <c r="T852" s="66" t="s">
        <v>30738</v>
      </c>
      <c r="U852" s="1"/>
      <c r="AU852" s="44"/>
      <c r="AV852" s="44"/>
      <c r="AW852" s="44"/>
      <c r="AX852" s="44"/>
      <c r="AY852" s="44"/>
      <c r="AZ852" s="1"/>
      <c r="BA852" s="1"/>
      <c r="BB852" s="1"/>
      <c r="BC852" s="44"/>
      <c r="BD852" s="44"/>
      <c r="BE852" s="44"/>
      <c r="BF852" s="44"/>
      <c r="BG852" s="44"/>
      <c r="BH852" s="44"/>
      <c r="BI852" s="44"/>
      <c r="BJ852" s="44"/>
      <c r="BK852" s="1"/>
    </row>
    <row r="853" spans="1:63" s="11" customFormat="1" ht="12" customHeight="1" x14ac:dyDescent="0.15">
      <c r="A853" s="11" t="s">
        <v>26619</v>
      </c>
      <c r="B853" s="11">
        <v>33</v>
      </c>
      <c r="C853" s="11" t="s">
        <v>114</v>
      </c>
      <c r="D853" s="11" t="s">
        <v>85</v>
      </c>
      <c r="F853" s="72">
        <v>42668</v>
      </c>
      <c r="G853" s="11" t="s">
        <v>26620</v>
      </c>
      <c r="H853" s="11" t="s">
        <v>26621</v>
      </c>
      <c r="I853" s="11" t="s">
        <v>669</v>
      </c>
      <c r="J853" s="11">
        <v>39428</v>
      </c>
      <c r="K853" s="11" t="s">
        <v>1240</v>
      </c>
      <c r="L853" s="11" t="s">
        <v>26622</v>
      </c>
      <c r="M853" s="11" t="s">
        <v>379</v>
      </c>
      <c r="N853" s="11" t="s">
        <v>26623</v>
      </c>
      <c r="O853" s="11" t="s">
        <v>1010</v>
      </c>
      <c r="P853" s="11" t="s">
        <v>401</v>
      </c>
      <c r="Q853" s="11" t="s">
        <v>26624</v>
      </c>
      <c r="R853" s="11" t="s">
        <v>100</v>
      </c>
      <c r="S853" s="66" t="s">
        <v>379</v>
      </c>
      <c r="T853" s="66" t="s">
        <v>30738</v>
      </c>
      <c r="U853" s="1"/>
      <c r="AU853" s="44"/>
      <c r="AV853" s="44"/>
      <c r="AW853" s="44"/>
      <c r="AX853" s="44"/>
      <c r="AY853" s="44"/>
      <c r="AZ853" s="1"/>
      <c r="BA853" s="1"/>
      <c r="BB853" s="1"/>
      <c r="BC853" s="44"/>
      <c r="BD853" s="44"/>
      <c r="BE853" s="44"/>
      <c r="BF853" s="44"/>
      <c r="BG853" s="44"/>
      <c r="BH853" s="44"/>
      <c r="BI853" s="44"/>
      <c r="BJ853" s="44"/>
      <c r="BK853" s="1"/>
    </row>
    <row r="854" spans="1:63" s="11" customFormat="1" ht="12" customHeight="1" x14ac:dyDescent="0.2">
      <c r="A854" s="11" t="s">
        <v>26633</v>
      </c>
      <c r="B854" s="68">
        <v>37</v>
      </c>
      <c r="C854" s="11" t="s">
        <v>20</v>
      </c>
      <c r="D854" s="11" t="s">
        <v>37</v>
      </c>
      <c r="E854" s="11" t="s">
        <v>26634</v>
      </c>
      <c r="F854" s="69">
        <v>42668</v>
      </c>
      <c r="G854" s="11" t="s">
        <v>26635</v>
      </c>
      <c r="H854" s="11" t="s">
        <v>2316</v>
      </c>
      <c r="I854" s="11" t="s">
        <v>45</v>
      </c>
      <c r="J854" s="11">
        <v>95648</v>
      </c>
      <c r="K854" s="11" t="s">
        <v>1066</v>
      </c>
      <c r="L854" s="11" t="s">
        <v>31421</v>
      </c>
      <c r="M854" s="11" t="s">
        <v>27</v>
      </c>
      <c r="N854" s="11" t="s">
        <v>26636</v>
      </c>
      <c r="O854" s="11" t="s">
        <v>400</v>
      </c>
      <c r="P854" s="11" t="s">
        <v>401</v>
      </c>
      <c r="Q854" s="11" t="s">
        <v>26637</v>
      </c>
      <c r="R854" s="68" t="s">
        <v>555</v>
      </c>
      <c r="S854" s="11" t="s">
        <v>28</v>
      </c>
      <c r="T854" s="68" t="s">
        <v>29493</v>
      </c>
      <c r="U854" s="68" t="s">
        <v>29436</v>
      </c>
      <c r="V854" s="68" t="s">
        <v>29439</v>
      </c>
      <c r="W854" s="68" t="s">
        <v>100</v>
      </c>
      <c r="X854" s="68">
        <v>1993</v>
      </c>
      <c r="AU854" s="44"/>
      <c r="AV854" s="44"/>
      <c r="AW854" s="44"/>
      <c r="AX854" s="1"/>
      <c r="AY854" s="1"/>
      <c r="BA854" s="70"/>
      <c r="BB854" s="44"/>
      <c r="BC854" s="1"/>
      <c r="BD854" s="1"/>
      <c r="BE854" s="1"/>
      <c r="BF854" s="1"/>
      <c r="BG854" s="1"/>
      <c r="BH854" s="1"/>
      <c r="BI854" s="1"/>
      <c r="BJ854" s="1"/>
      <c r="BK854" s="44"/>
    </row>
    <row r="855" spans="1:63" s="11" customFormat="1" ht="12" customHeight="1" x14ac:dyDescent="0.2">
      <c r="A855" s="11" t="s">
        <v>3449</v>
      </c>
      <c r="B855" s="68">
        <v>25</v>
      </c>
      <c r="C855" s="11" t="s">
        <v>20</v>
      </c>
      <c r="D855" s="11" t="s">
        <v>37</v>
      </c>
      <c r="F855" s="69">
        <v>42668</v>
      </c>
      <c r="G855" s="11" t="s">
        <v>26630</v>
      </c>
      <c r="H855" s="11" t="s">
        <v>3678</v>
      </c>
      <c r="I855" s="11" t="s">
        <v>52</v>
      </c>
      <c r="J855" s="11">
        <v>21921</v>
      </c>
      <c r="K855" s="11" t="s">
        <v>694</v>
      </c>
      <c r="L855" s="11" t="s">
        <v>695</v>
      </c>
      <c r="M855" s="11" t="s">
        <v>27</v>
      </c>
      <c r="N855" s="11" t="s">
        <v>26631</v>
      </c>
      <c r="O855" s="11" t="s">
        <v>400</v>
      </c>
      <c r="P855" s="11" t="s">
        <v>401</v>
      </c>
      <c r="Q855" s="11" t="s">
        <v>26632</v>
      </c>
      <c r="R855" s="68" t="s">
        <v>555</v>
      </c>
      <c r="S855" s="11" t="s">
        <v>18</v>
      </c>
      <c r="T855" s="68" t="s">
        <v>29612</v>
      </c>
      <c r="U855" s="68" t="s">
        <v>29438</v>
      </c>
      <c r="V855" s="68" t="s">
        <v>29439</v>
      </c>
      <c r="W855" s="68" t="s">
        <v>100</v>
      </c>
      <c r="X855" s="68">
        <v>1991</v>
      </c>
      <c r="AU855" s="44"/>
      <c r="AV855" s="44"/>
      <c r="AX855" s="1"/>
      <c r="AY855" s="1"/>
      <c r="BA855" s="70"/>
      <c r="BB855" s="44"/>
      <c r="BC855" s="1"/>
      <c r="BD855" s="1"/>
      <c r="BE855" s="1"/>
      <c r="BF855" s="1"/>
      <c r="BG855" s="1"/>
      <c r="BH855" s="1"/>
      <c r="BI855" s="1"/>
      <c r="BJ855" s="1"/>
      <c r="BK855" s="1"/>
    </row>
    <row r="856" spans="1:63" s="11" customFormat="1" ht="12" customHeight="1" x14ac:dyDescent="0.2">
      <c r="A856" s="11" t="s">
        <v>26616</v>
      </c>
      <c r="B856" s="68">
        <v>19</v>
      </c>
      <c r="C856" s="11" t="s">
        <v>20</v>
      </c>
      <c r="D856" s="11" t="s">
        <v>85</v>
      </c>
      <c r="F856" s="69">
        <v>42667</v>
      </c>
      <c r="G856" s="11" t="s">
        <v>27053</v>
      </c>
      <c r="H856" s="11" t="s">
        <v>709</v>
      </c>
      <c r="I856" s="11" t="s">
        <v>431</v>
      </c>
      <c r="J856" s="11">
        <v>63115</v>
      </c>
      <c r="K856" s="11" t="s">
        <v>20282</v>
      </c>
      <c r="L856" s="11" t="s">
        <v>4516</v>
      </c>
      <c r="M856" s="11" t="s">
        <v>27</v>
      </c>
      <c r="N856" s="11" t="s">
        <v>26617</v>
      </c>
      <c r="O856" s="11" t="s">
        <v>400</v>
      </c>
      <c r="P856" s="11" t="s">
        <v>401</v>
      </c>
      <c r="Q856" s="11" t="s">
        <v>26618</v>
      </c>
      <c r="R856" s="11" t="s">
        <v>100</v>
      </c>
      <c r="S856" s="11" t="s">
        <v>28</v>
      </c>
      <c r="T856" s="68" t="s">
        <v>27756</v>
      </c>
      <c r="U856" s="68" t="s">
        <v>29438</v>
      </c>
      <c r="V856" s="68" t="s">
        <v>29437</v>
      </c>
      <c r="W856" s="68" t="s">
        <v>100</v>
      </c>
      <c r="X856" s="68">
        <v>1989</v>
      </c>
      <c r="AU856" s="44"/>
      <c r="AV856" s="44"/>
      <c r="AW856" s="70"/>
      <c r="AX856" s="70"/>
      <c r="AY856" s="70"/>
      <c r="BC856" s="44"/>
      <c r="BD856" s="44"/>
      <c r="BE856" s="44"/>
      <c r="BF856" s="44"/>
      <c r="BG856" s="44"/>
      <c r="BH856" s="44"/>
      <c r="BI856" s="44"/>
      <c r="BJ856" s="44"/>
      <c r="BK856" s="44"/>
    </row>
    <row r="857" spans="1:63" s="11" customFormat="1" ht="12" customHeight="1" x14ac:dyDescent="0.15">
      <c r="A857" s="11" t="s">
        <v>26610</v>
      </c>
      <c r="B857" s="11">
        <v>45</v>
      </c>
      <c r="C857" s="11" t="s">
        <v>20</v>
      </c>
      <c r="D857" s="11" t="s">
        <v>37</v>
      </c>
      <c r="F857" s="72">
        <v>42667</v>
      </c>
      <c r="G857" s="11" t="s">
        <v>26611</v>
      </c>
      <c r="H857" s="11" t="s">
        <v>26612</v>
      </c>
      <c r="I857" s="11" t="s">
        <v>133</v>
      </c>
      <c r="J857" s="11">
        <v>55949</v>
      </c>
      <c r="K857" s="11" t="s">
        <v>26613</v>
      </c>
      <c r="L857" s="11" t="s">
        <v>27625</v>
      </c>
      <c r="M857" s="11" t="s">
        <v>27</v>
      </c>
      <c r="N857" s="11" t="s">
        <v>26614</v>
      </c>
      <c r="O857" s="11" t="s">
        <v>400</v>
      </c>
      <c r="P857" s="11" t="s">
        <v>401</v>
      </c>
      <c r="Q857" s="11" t="s">
        <v>26615</v>
      </c>
      <c r="R857" s="11" t="s">
        <v>100</v>
      </c>
      <c r="S857" s="11" t="s">
        <v>18</v>
      </c>
      <c r="T857" s="68" t="s">
        <v>29612</v>
      </c>
      <c r="U857" s="68" t="s">
        <v>29438</v>
      </c>
      <c r="V857" s="68" t="s">
        <v>29439</v>
      </c>
      <c r="W857" s="68" t="s">
        <v>100</v>
      </c>
      <c r="X857" s="68">
        <v>1984</v>
      </c>
      <c r="AU857" s="44"/>
      <c r="AV857" s="44"/>
      <c r="AW857" s="1"/>
      <c r="AX857" s="1"/>
      <c r="AY857" s="1"/>
      <c r="AZ857" s="1"/>
      <c r="BA857" s="1"/>
      <c r="BB857" s="1"/>
      <c r="BC857" s="1"/>
      <c r="BD857" s="1"/>
      <c r="BE857" s="1"/>
      <c r="BF857" s="1"/>
      <c r="BG857" s="1"/>
      <c r="BH857" s="1"/>
      <c r="BI857" s="1"/>
      <c r="BJ857" s="1"/>
      <c r="BK857" s="1"/>
    </row>
    <row r="858" spans="1:63" s="11" customFormat="1" ht="12" customHeight="1" x14ac:dyDescent="0.15">
      <c r="A858" s="11" t="s">
        <v>26598</v>
      </c>
      <c r="B858" s="68">
        <v>40</v>
      </c>
      <c r="C858" s="11" t="s">
        <v>20</v>
      </c>
      <c r="D858" s="11" t="s">
        <v>85</v>
      </c>
      <c r="E858" s="11" t="s">
        <v>26599</v>
      </c>
      <c r="F858" s="69">
        <v>42666</v>
      </c>
      <c r="G858" s="11" t="s">
        <v>26600</v>
      </c>
      <c r="H858" s="11" t="s">
        <v>20068</v>
      </c>
      <c r="I858" s="11" t="s">
        <v>209</v>
      </c>
      <c r="J858" s="11">
        <v>80909</v>
      </c>
      <c r="K858" s="11" t="s">
        <v>857</v>
      </c>
      <c r="L858" s="11" t="s">
        <v>20070</v>
      </c>
      <c r="M858" s="11" t="s">
        <v>27</v>
      </c>
      <c r="N858" s="11" t="s">
        <v>26601</v>
      </c>
      <c r="O858" s="11" t="s">
        <v>400</v>
      </c>
      <c r="P858" s="11" t="s">
        <v>401</v>
      </c>
      <c r="Q858" s="11" t="s">
        <v>26602</v>
      </c>
      <c r="R858" s="11" t="s">
        <v>100</v>
      </c>
      <c r="S858" s="11" t="s">
        <v>28</v>
      </c>
      <c r="T858" s="68" t="s">
        <v>27756</v>
      </c>
      <c r="U858" s="68" t="s">
        <v>29438</v>
      </c>
      <c r="V858" s="68" t="s">
        <v>29439</v>
      </c>
      <c r="W858" s="68" t="s">
        <v>100</v>
      </c>
      <c r="X858" s="68">
        <v>1987</v>
      </c>
      <c r="AU858" s="44"/>
      <c r="AV858" s="44"/>
      <c r="AW858" s="44"/>
      <c r="AX858" s="44"/>
      <c r="AY858" s="44"/>
      <c r="BC858" s="44"/>
      <c r="BD858" s="44"/>
      <c r="BE858" s="44"/>
      <c r="BF858" s="44"/>
      <c r="BG858" s="44"/>
      <c r="BH858" s="44"/>
      <c r="BI858" s="44"/>
      <c r="BJ858" s="44"/>
      <c r="BK858" s="44"/>
    </row>
    <row r="859" spans="1:63" s="11" customFormat="1" ht="12" customHeight="1" x14ac:dyDescent="0.15">
      <c r="A859" s="11" t="s">
        <v>26603</v>
      </c>
      <c r="B859" s="68">
        <v>38</v>
      </c>
      <c r="C859" s="11" t="s">
        <v>20</v>
      </c>
      <c r="D859" s="11" t="s">
        <v>37</v>
      </c>
      <c r="E859" s="11" t="s">
        <v>26604</v>
      </c>
      <c r="F859" s="69">
        <v>42666</v>
      </c>
      <c r="G859" s="11" t="s">
        <v>26605</v>
      </c>
      <c r="H859" s="11" t="s">
        <v>26606</v>
      </c>
      <c r="I859" s="11" t="s">
        <v>315</v>
      </c>
      <c r="J859" s="11">
        <v>42129</v>
      </c>
      <c r="K859" s="11" t="s">
        <v>26607</v>
      </c>
      <c r="L859" s="11" t="s">
        <v>20114</v>
      </c>
      <c r="M859" s="11" t="s">
        <v>27</v>
      </c>
      <c r="N859" s="11" t="s">
        <v>26608</v>
      </c>
      <c r="O859" s="11" t="s">
        <v>400</v>
      </c>
      <c r="P859" s="11" t="s">
        <v>401</v>
      </c>
      <c r="Q859" s="11" t="s">
        <v>26609</v>
      </c>
      <c r="R859" s="11" t="s">
        <v>100</v>
      </c>
      <c r="S859" s="11" t="s">
        <v>28</v>
      </c>
      <c r="T859" s="68" t="s">
        <v>27756</v>
      </c>
      <c r="U859" s="68" t="s">
        <v>29438</v>
      </c>
      <c r="V859" s="68" t="s">
        <v>29439</v>
      </c>
      <c r="W859" s="68" t="s">
        <v>100</v>
      </c>
      <c r="X859" s="68">
        <v>1985</v>
      </c>
      <c r="AU859" s="44"/>
      <c r="AV859" s="44"/>
      <c r="AW859" s="44"/>
      <c r="AX859" s="1"/>
      <c r="AY859" s="1"/>
      <c r="BC859" s="1"/>
      <c r="BD859" s="1"/>
      <c r="BE859" s="1"/>
      <c r="BF859" s="1"/>
      <c r="BG859" s="1"/>
      <c r="BH859" s="1"/>
      <c r="BI859" s="1"/>
      <c r="BJ859" s="1"/>
      <c r="BK859" s="44"/>
    </row>
    <row r="860" spans="1:63" s="11" customFormat="1" ht="12" customHeight="1" x14ac:dyDescent="0.15">
      <c r="A860" s="11" t="s">
        <v>26592</v>
      </c>
      <c r="B860" s="11">
        <v>52</v>
      </c>
      <c r="C860" s="11" t="s">
        <v>114</v>
      </c>
      <c r="D860" s="11" t="s">
        <v>37</v>
      </c>
      <c r="F860" s="72">
        <v>42665</v>
      </c>
      <c r="G860" s="11" t="s">
        <v>26593</v>
      </c>
      <c r="H860" s="11" t="s">
        <v>26594</v>
      </c>
      <c r="I860" s="11" t="s">
        <v>94</v>
      </c>
      <c r="J860" s="11">
        <v>36093</v>
      </c>
      <c r="K860" s="11" t="s">
        <v>4070</v>
      </c>
      <c r="L860" s="11" t="s">
        <v>26595</v>
      </c>
      <c r="M860" s="11" t="s">
        <v>379</v>
      </c>
      <c r="N860" s="11" t="s">
        <v>26596</v>
      </c>
      <c r="O860" s="11" t="s">
        <v>400</v>
      </c>
      <c r="P860" s="11" t="s">
        <v>401</v>
      </c>
      <c r="Q860" s="11" t="s">
        <v>26597</v>
      </c>
      <c r="R860" s="11" t="s">
        <v>100</v>
      </c>
      <c r="S860" s="11" t="s">
        <v>35</v>
      </c>
      <c r="AU860" s="44"/>
      <c r="AV860" s="44"/>
      <c r="AW860" s="44"/>
      <c r="AX860" s="1"/>
      <c r="AY860" s="1"/>
      <c r="AZ860" s="1"/>
      <c r="BA860" s="1"/>
      <c r="BB860" s="1"/>
      <c r="BC860" s="1"/>
      <c r="BD860" s="1"/>
      <c r="BE860" s="1"/>
      <c r="BF860" s="1"/>
      <c r="BG860" s="1"/>
      <c r="BH860" s="1"/>
      <c r="BI860" s="1"/>
      <c r="BJ860" s="1"/>
    </row>
    <row r="861" spans="1:63" s="11" customFormat="1" ht="12" customHeight="1" x14ac:dyDescent="0.15">
      <c r="A861" s="11" t="s">
        <v>27742</v>
      </c>
      <c r="B861" s="11">
        <v>31</v>
      </c>
      <c r="C861" s="11" t="s">
        <v>20</v>
      </c>
      <c r="D861" s="11" t="s">
        <v>942</v>
      </c>
      <c r="F861" s="72">
        <v>42665</v>
      </c>
      <c r="G861" s="11" t="s">
        <v>27051</v>
      </c>
      <c r="H861" s="11" t="s">
        <v>12021</v>
      </c>
      <c r="I861" s="11" t="s">
        <v>45</v>
      </c>
      <c r="J861" s="11">
        <v>92530</v>
      </c>
      <c r="K861" s="11" t="s">
        <v>783</v>
      </c>
      <c r="L861" s="11" t="s">
        <v>26584</v>
      </c>
      <c r="M861" s="11" t="s">
        <v>27</v>
      </c>
      <c r="N861" s="11" t="s">
        <v>26585</v>
      </c>
      <c r="O861" s="11" t="s">
        <v>400</v>
      </c>
      <c r="P861" s="11" t="s">
        <v>401</v>
      </c>
      <c r="Q861" s="11" t="s">
        <v>26586</v>
      </c>
      <c r="R861" s="11" t="s">
        <v>100</v>
      </c>
      <c r="S861" s="11" t="s">
        <v>379</v>
      </c>
      <c r="T861" s="68"/>
      <c r="U861" s="68"/>
      <c r="V861" s="68"/>
      <c r="W861" s="68"/>
      <c r="X861" s="68"/>
      <c r="AU861" s="44"/>
      <c r="AV861" s="44"/>
      <c r="AW861" s="1"/>
      <c r="AX861" s="1"/>
      <c r="AY861" s="1"/>
      <c r="AZ861" s="1"/>
      <c r="BA861" s="1"/>
      <c r="BB861" s="1"/>
      <c r="BC861" s="1"/>
      <c r="BD861" s="1"/>
      <c r="BE861" s="1"/>
      <c r="BF861" s="1"/>
      <c r="BG861" s="1"/>
      <c r="BH861" s="1"/>
      <c r="BI861" s="1"/>
      <c r="BJ861" s="1"/>
    </row>
    <row r="862" spans="1:63" s="11" customFormat="1" ht="12" customHeight="1" x14ac:dyDescent="0.2">
      <c r="A862" s="11" t="s">
        <v>26587</v>
      </c>
      <c r="B862" s="68">
        <v>21</v>
      </c>
      <c r="C862" s="11" t="s">
        <v>20</v>
      </c>
      <c r="D862" s="11" t="s">
        <v>37</v>
      </c>
      <c r="E862" s="11" t="s">
        <v>26588</v>
      </c>
      <c r="F862" s="69">
        <v>42665</v>
      </c>
      <c r="G862" s="11" t="s">
        <v>27052</v>
      </c>
      <c r="H862" s="11" t="s">
        <v>26589</v>
      </c>
      <c r="I862" s="11" t="s">
        <v>94</v>
      </c>
      <c r="J862" s="11">
        <v>35147</v>
      </c>
      <c r="K862" s="11" t="s">
        <v>1193</v>
      </c>
      <c r="L862" s="11" t="s">
        <v>24786</v>
      </c>
      <c r="M862" s="11" t="s">
        <v>27</v>
      </c>
      <c r="N862" s="11" t="s">
        <v>26590</v>
      </c>
      <c r="O862" s="11" t="s">
        <v>400</v>
      </c>
      <c r="P862" s="11" t="s">
        <v>401</v>
      </c>
      <c r="Q862" s="11" t="s">
        <v>26591</v>
      </c>
      <c r="R862" s="11" t="s">
        <v>555</v>
      </c>
      <c r="S862" s="11" t="s">
        <v>35</v>
      </c>
      <c r="T862" s="68" t="s">
        <v>29442</v>
      </c>
      <c r="U862" s="68" t="s">
        <v>29436</v>
      </c>
      <c r="V862" s="68" t="s">
        <v>29439</v>
      </c>
      <c r="W862" s="68" t="s">
        <v>100</v>
      </c>
      <c r="X862" s="68">
        <v>1986</v>
      </c>
      <c r="AU862" s="44"/>
      <c r="AV862" s="44"/>
      <c r="AW862" s="70"/>
      <c r="AX862" s="1"/>
      <c r="AY862" s="1"/>
      <c r="BA862" s="44"/>
      <c r="BC862" s="1"/>
      <c r="BD862" s="1"/>
      <c r="BE862" s="1"/>
      <c r="BF862" s="1"/>
      <c r="BG862" s="1"/>
      <c r="BH862" s="1"/>
      <c r="BI862" s="1"/>
      <c r="BJ862" s="1"/>
      <c r="BK862" s="1"/>
    </row>
    <row r="863" spans="1:63" s="11" customFormat="1" ht="12" customHeight="1" x14ac:dyDescent="0.2">
      <c r="A863" s="11" t="s">
        <v>26579</v>
      </c>
      <c r="B863" s="68">
        <v>58</v>
      </c>
      <c r="C863" s="11" t="s">
        <v>20</v>
      </c>
      <c r="D863" s="11" t="s">
        <v>37</v>
      </c>
      <c r="E863" s="11" t="s">
        <v>26580</v>
      </c>
      <c r="F863" s="69">
        <v>42664</v>
      </c>
      <c r="G863" s="11" t="s">
        <v>26581</v>
      </c>
      <c r="H863" s="11" t="s">
        <v>2487</v>
      </c>
      <c r="I863" s="11" t="s">
        <v>395</v>
      </c>
      <c r="J863" s="11">
        <v>74110</v>
      </c>
      <c r="K863" s="11" t="s">
        <v>2487</v>
      </c>
      <c r="L863" s="11" t="s">
        <v>3379</v>
      </c>
      <c r="M863" s="68" t="s">
        <v>5411</v>
      </c>
      <c r="N863" s="11" t="s">
        <v>26582</v>
      </c>
      <c r="O863" s="11" t="s">
        <v>400</v>
      </c>
      <c r="P863" s="11" t="s">
        <v>401</v>
      </c>
      <c r="Q863" s="11" t="s">
        <v>26583</v>
      </c>
      <c r="R863" s="11" t="s">
        <v>29</v>
      </c>
      <c r="S863" s="11" t="s">
        <v>28</v>
      </c>
      <c r="T863" s="68" t="s">
        <v>29493</v>
      </c>
      <c r="U863" s="68" t="s">
        <v>29436</v>
      </c>
      <c r="V863" s="68"/>
      <c r="W863" s="68" t="s">
        <v>100</v>
      </c>
      <c r="X863" s="68">
        <v>1983</v>
      </c>
      <c r="AU863" s="44"/>
      <c r="AV863" s="44"/>
      <c r="AW863" s="1"/>
      <c r="AX863" s="1"/>
      <c r="AY863" s="1"/>
      <c r="BA863" s="1"/>
      <c r="BB863" s="70"/>
      <c r="BC863" s="1"/>
      <c r="BD863" s="1"/>
      <c r="BE863" s="1"/>
      <c r="BF863" s="1"/>
      <c r="BG863" s="1"/>
      <c r="BH863" s="1"/>
      <c r="BI863" s="1"/>
      <c r="BJ863" s="1"/>
      <c r="BK863" s="1"/>
    </row>
    <row r="864" spans="1:63" s="11" customFormat="1" ht="12" customHeight="1" x14ac:dyDescent="0.15">
      <c r="A864" s="11" t="s">
        <v>26574</v>
      </c>
      <c r="B864" s="68">
        <v>23</v>
      </c>
      <c r="C864" s="11" t="s">
        <v>114</v>
      </c>
      <c r="D864" s="11" t="s">
        <v>139</v>
      </c>
      <c r="E864" s="11" t="s">
        <v>26575</v>
      </c>
      <c r="F864" s="69">
        <v>42664</v>
      </c>
      <c r="G864" s="11" t="s">
        <v>26576</v>
      </c>
      <c r="H864" s="11" t="s">
        <v>5372</v>
      </c>
      <c r="I864" s="11" t="s">
        <v>303</v>
      </c>
      <c r="J864" s="11">
        <v>98092</v>
      </c>
      <c r="K864" s="11" t="s">
        <v>1209</v>
      </c>
      <c r="L864" s="11" t="s">
        <v>2605</v>
      </c>
      <c r="M864" s="11" t="s">
        <v>27</v>
      </c>
      <c r="N864" s="11" t="s">
        <v>26577</v>
      </c>
      <c r="O864" s="11" t="s">
        <v>400</v>
      </c>
      <c r="P864" s="11" t="s">
        <v>401</v>
      </c>
      <c r="Q864" s="11" t="s">
        <v>26578</v>
      </c>
      <c r="R864" s="11" t="s">
        <v>555</v>
      </c>
      <c r="S864" s="11" t="s">
        <v>28</v>
      </c>
      <c r="T864" s="68" t="s">
        <v>27756</v>
      </c>
      <c r="U864" s="68" t="s">
        <v>29436</v>
      </c>
      <c r="V864" s="68" t="s">
        <v>29439</v>
      </c>
      <c r="W864" s="68" t="s">
        <v>100</v>
      </c>
      <c r="X864" s="68">
        <v>1988</v>
      </c>
      <c r="AU864" s="44"/>
      <c r="AV864" s="44"/>
      <c r="AW864" s="44"/>
      <c r="AX864" s="1"/>
      <c r="AY864" s="1"/>
      <c r="BA864" s="44"/>
      <c r="BC864" s="1"/>
      <c r="BD864" s="1"/>
      <c r="BE864" s="1"/>
      <c r="BF864" s="1"/>
      <c r="BG864" s="1"/>
      <c r="BH864" s="1"/>
      <c r="BI864" s="1"/>
      <c r="BJ864" s="1"/>
      <c r="BK864" s="44"/>
    </row>
    <row r="865" spans="1:63" s="11" customFormat="1" ht="12" customHeight="1" x14ac:dyDescent="0.15">
      <c r="A865" s="11" t="s">
        <v>26569</v>
      </c>
      <c r="B865" s="68">
        <v>29</v>
      </c>
      <c r="C865" s="11" t="s">
        <v>20</v>
      </c>
      <c r="D865" s="11" t="s">
        <v>37</v>
      </c>
      <c r="E865" s="11" t="s">
        <v>26570</v>
      </c>
      <c r="F865" s="69">
        <v>42663</v>
      </c>
      <c r="G865" s="11" t="s">
        <v>26571</v>
      </c>
      <c r="H865" s="11" t="s">
        <v>651</v>
      </c>
      <c r="I865" s="11" t="s">
        <v>62</v>
      </c>
      <c r="J865" s="11">
        <v>32226</v>
      </c>
      <c r="K865" s="11" t="s">
        <v>652</v>
      </c>
      <c r="L865" s="11" t="s">
        <v>653</v>
      </c>
      <c r="M865" s="11" t="s">
        <v>27</v>
      </c>
      <c r="N865" s="11" t="s">
        <v>26572</v>
      </c>
      <c r="O865" s="11" t="s">
        <v>400</v>
      </c>
      <c r="P865" s="11" t="s">
        <v>401</v>
      </c>
      <c r="Q865" s="11" t="s">
        <v>26573</v>
      </c>
      <c r="R865" s="11" t="s">
        <v>964</v>
      </c>
      <c r="S865" s="11" t="s">
        <v>28</v>
      </c>
      <c r="T865" s="68" t="s">
        <v>27756</v>
      </c>
      <c r="U865" s="68" t="s">
        <v>29438</v>
      </c>
      <c r="V865" s="68" t="s">
        <v>29439</v>
      </c>
      <c r="W865" s="68" t="s">
        <v>100</v>
      </c>
      <c r="X865" s="68">
        <v>1980</v>
      </c>
      <c r="AU865" s="44"/>
      <c r="AV865" s="44"/>
      <c r="AW865" s="44"/>
      <c r="AX865" s="1"/>
      <c r="AY865" s="1"/>
      <c r="BA865" s="44"/>
      <c r="BB865" s="44"/>
      <c r="BC865" s="1"/>
      <c r="BD865" s="1"/>
      <c r="BE865" s="1"/>
      <c r="BF865" s="1"/>
      <c r="BG865" s="1"/>
      <c r="BH865" s="1"/>
      <c r="BI865" s="1"/>
      <c r="BJ865" s="1"/>
      <c r="BK865" s="44"/>
    </row>
    <row r="866" spans="1:63" s="11" customFormat="1" ht="12" customHeight="1" x14ac:dyDescent="0.15">
      <c r="A866" s="11" t="s">
        <v>26554</v>
      </c>
      <c r="B866" s="68">
        <v>24</v>
      </c>
      <c r="C866" s="11" t="s">
        <v>20</v>
      </c>
      <c r="D866" s="11" t="s">
        <v>48</v>
      </c>
      <c r="E866" s="11" t="s">
        <v>26555</v>
      </c>
      <c r="F866" s="69">
        <v>42662</v>
      </c>
      <c r="G866" s="11" t="s">
        <v>26556</v>
      </c>
      <c r="H866" s="11" t="s">
        <v>285</v>
      </c>
      <c r="I866" s="11" t="s">
        <v>73</v>
      </c>
      <c r="J866" s="11">
        <v>75211</v>
      </c>
      <c r="K866" s="11" t="s">
        <v>285</v>
      </c>
      <c r="L866" s="11" t="s">
        <v>286</v>
      </c>
      <c r="M866" s="11" t="s">
        <v>27</v>
      </c>
      <c r="N866" s="11" t="s">
        <v>26557</v>
      </c>
      <c r="O866" s="11" t="s">
        <v>400</v>
      </c>
      <c r="P866" s="11" t="s">
        <v>401</v>
      </c>
      <c r="Q866" s="11" t="s">
        <v>26558</v>
      </c>
      <c r="R866" s="11" t="s">
        <v>100</v>
      </c>
      <c r="S866" s="11" t="s">
        <v>28</v>
      </c>
      <c r="T866" s="68" t="s">
        <v>27756</v>
      </c>
      <c r="U866" s="68" t="s">
        <v>29436</v>
      </c>
      <c r="V866" s="68" t="s">
        <v>29439</v>
      </c>
      <c r="W866" s="68" t="s">
        <v>100</v>
      </c>
      <c r="X866" s="68">
        <v>1978</v>
      </c>
      <c r="AU866" s="44"/>
      <c r="AV866" s="44"/>
      <c r="AX866" s="1"/>
      <c r="AY866" s="1"/>
      <c r="AZ866" s="44"/>
      <c r="BC866" s="1"/>
      <c r="BD866" s="1"/>
      <c r="BE866" s="1"/>
      <c r="BF866" s="1"/>
      <c r="BG866" s="1"/>
      <c r="BH866" s="1"/>
      <c r="BI866" s="1"/>
      <c r="BJ866" s="1"/>
      <c r="BK866" s="44"/>
    </row>
    <row r="867" spans="1:63" s="11" customFormat="1" ht="12" customHeight="1" x14ac:dyDescent="0.15">
      <c r="A867" s="11" t="s">
        <v>26559</v>
      </c>
      <c r="B867" s="68">
        <v>28</v>
      </c>
      <c r="C867" s="11" t="s">
        <v>20</v>
      </c>
      <c r="D867" s="11" t="s">
        <v>48</v>
      </c>
      <c r="F867" s="69">
        <v>42662</v>
      </c>
      <c r="G867" s="11" t="s">
        <v>26560</v>
      </c>
      <c r="H867" s="11" t="s">
        <v>1277</v>
      </c>
      <c r="I867" s="11" t="s">
        <v>269</v>
      </c>
      <c r="J867" s="11">
        <v>89014</v>
      </c>
      <c r="K867" s="11" t="s">
        <v>570</v>
      </c>
      <c r="L867" s="11" t="s">
        <v>6319</v>
      </c>
      <c r="M867" s="11" t="s">
        <v>27</v>
      </c>
      <c r="N867" s="11" t="s">
        <v>26561</v>
      </c>
      <c r="O867" s="11" t="s">
        <v>400</v>
      </c>
      <c r="P867" s="11" t="s">
        <v>401</v>
      </c>
      <c r="Q867" s="11" t="s">
        <v>26562</v>
      </c>
      <c r="R867" s="11" t="s">
        <v>100</v>
      </c>
      <c r="S867" s="11" t="s">
        <v>35</v>
      </c>
      <c r="T867" s="66" t="s">
        <v>29441</v>
      </c>
      <c r="U867" s="68" t="s">
        <v>29438</v>
      </c>
      <c r="V867" s="68" t="s">
        <v>29437</v>
      </c>
      <c r="W867" s="68" t="s">
        <v>100</v>
      </c>
      <c r="X867" s="68">
        <v>1982</v>
      </c>
      <c r="AU867" s="44"/>
      <c r="AV867" s="44"/>
      <c r="AW867" s="44"/>
      <c r="AX867" s="1"/>
      <c r="AY867" s="1"/>
      <c r="BC867" s="1"/>
      <c r="BD867" s="1"/>
      <c r="BE867" s="1"/>
      <c r="BF867" s="1"/>
      <c r="BG867" s="1"/>
      <c r="BH867" s="1"/>
      <c r="BI867" s="1"/>
      <c r="BJ867" s="1"/>
      <c r="BK867" s="1"/>
    </row>
    <row r="868" spans="1:63" s="11" customFormat="1" ht="12" customHeight="1" x14ac:dyDescent="0.15">
      <c r="A868" s="11" t="s">
        <v>26563</v>
      </c>
      <c r="B868" s="68">
        <v>38</v>
      </c>
      <c r="C868" s="11" t="s">
        <v>20</v>
      </c>
      <c r="D868" s="11" t="s">
        <v>37</v>
      </c>
      <c r="F868" s="69">
        <v>42662</v>
      </c>
      <c r="G868" s="11" t="s">
        <v>26564</v>
      </c>
      <c r="H868" s="11" t="s">
        <v>26565</v>
      </c>
      <c r="I868" s="11" t="s">
        <v>69</v>
      </c>
      <c r="J868" s="11">
        <v>44094</v>
      </c>
      <c r="K868" s="11" t="s">
        <v>1256</v>
      </c>
      <c r="L868" s="11" t="s">
        <v>26566</v>
      </c>
      <c r="M868" s="11" t="s">
        <v>27</v>
      </c>
      <c r="N868" s="11" t="s">
        <v>26567</v>
      </c>
      <c r="O868" s="11" t="s">
        <v>400</v>
      </c>
      <c r="P868" s="11" t="s">
        <v>401</v>
      </c>
      <c r="Q868" s="11" t="s">
        <v>26568</v>
      </c>
      <c r="R868" s="11" t="s">
        <v>100</v>
      </c>
      <c r="S868" s="68" t="s">
        <v>379</v>
      </c>
      <c r="T868" s="68" t="s">
        <v>379</v>
      </c>
      <c r="U868" s="68" t="s">
        <v>29441</v>
      </c>
      <c r="V868" s="68" t="s">
        <v>29437</v>
      </c>
      <c r="W868" s="68" t="s">
        <v>100</v>
      </c>
      <c r="X868" s="68">
        <v>1977</v>
      </c>
      <c r="AU868" s="44"/>
      <c r="AV868" s="44"/>
      <c r="AW868" s="44"/>
      <c r="AX868" s="1"/>
      <c r="AY868" s="1"/>
      <c r="AZ868" s="44"/>
      <c r="BC868" s="1"/>
      <c r="BD868" s="1"/>
      <c r="BE868" s="1"/>
      <c r="BF868" s="1"/>
      <c r="BG868" s="1"/>
      <c r="BH868" s="1"/>
      <c r="BI868" s="1"/>
      <c r="BJ868" s="1"/>
    </row>
    <row r="869" spans="1:63" s="11" customFormat="1" ht="12" customHeight="1" x14ac:dyDescent="0.15">
      <c r="A869" s="11" t="s">
        <v>26549</v>
      </c>
      <c r="B869" s="68">
        <v>42</v>
      </c>
      <c r="C869" s="11" t="s">
        <v>20</v>
      </c>
      <c r="D869" s="11" t="s">
        <v>48</v>
      </c>
      <c r="E869" s="11" t="s">
        <v>26550</v>
      </c>
      <c r="F869" s="69">
        <v>42661</v>
      </c>
      <c r="G869" s="11" t="s">
        <v>26551</v>
      </c>
      <c r="H869" s="11" t="s">
        <v>2487</v>
      </c>
      <c r="I869" s="11" t="s">
        <v>395</v>
      </c>
      <c r="J869" s="11">
        <v>74134</v>
      </c>
      <c r="K869" s="11" t="s">
        <v>2487</v>
      </c>
      <c r="L869" s="11" t="s">
        <v>3379</v>
      </c>
      <c r="M869" s="11" t="s">
        <v>27</v>
      </c>
      <c r="N869" s="11" t="s">
        <v>26552</v>
      </c>
      <c r="O869" s="11" t="s">
        <v>400</v>
      </c>
      <c r="P869" s="11" t="s">
        <v>401</v>
      </c>
      <c r="Q869" s="11" t="s">
        <v>26553</v>
      </c>
      <c r="R869" s="11" t="s">
        <v>100</v>
      </c>
      <c r="S869" s="11" t="s">
        <v>28</v>
      </c>
      <c r="T869" s="68" t="s">
        <v>27756</v>
      </c>
      <c r="U869" s="68" t="s">
        <v>29438</v>
      </c>
      <c r="V869" s="68" t="s">
        <v>29439</v>
      </c>
      <c r="W869" s="68" t="s">
        <v>100</v>
      </c>
      <c r="X869" s="68">
        <v>1976</v>
      </c>
      <c r="AU869" s="44"/>
      <c r="AV869" s="44"/>
      <c r="AW869" s="1"/>
      <c r="AX869" s="1"/>
      <c r="AY869" s="1"/>
      <c r="AZ869" s="44"/>
      <c r="BC869" s="1"/>
      <c r="BD869" s="1"/>
      <c r="BE869" s="1"/>
      <c r="BF869" s="1"/>
      <c r="BG869" s="1"/>
      <c r="BH869" s="1"/>
      <c r="BI869" s="1"/>
      <c r="BJ869" s="1"/>
      <c r="BK869" s="44"/>
    </row>
    <row r="870" spans="1:63" s="11" customFormat="1" ht="12" customHeight="1" x14ac:dyDescent="0.15">
      <c r="A870" s="11" t="s">
        <v>26543</v>
      </c>
      <c r="B870" s="68">
        <v>34</v>
      </c>
      <c r="C870" s="11" t="s">
        <v>20</v>
      </c>
      <c r="D870" s="11" t="s">
        <v>37</v>
      </c>
      <c r="E870" s="11" t="s">
        <v>26544</v>
      </c>
      <c r="F870" s="69">
        <v>42661</v>
      </c>
      <c r="G870" s="11" t="s">
        <v>26545</v>
      </c>
      <c r="H870" s="11" t="s">
        <v>280</v>
      </c>
      <c r="I870" s="11" t="s">
        <v>315</v>
      </c>
      <c r="J870" s="11">
        <v>40361</v>
      </c>
      <c r="K870" s="11" t="s">
        <v>11293</v>
      </c>
      <c r="L870" s="11" t="s">
        <v>26546</v>
      </c>
      <c r="M870" s="11" t="s">
        <v>27</v>
      </c>
      <c r="N870" s="11" t="s">
        <v>26547</v>
      </c>
      <c r="O870" s="11" t="s">
        <v>400</v>
      </c>
      <c r="P870" s="11" t="s">
        <v>401</v>
      </c>
      <c r="Q870" s="11" t="s">
        <v>26548</v>
      </c>
      <c r="R870" s="11" t="s">
        <v>100</v>
      </c>
      <c r="S870" s="11" t="s">
        <v>28</v>
      </c>
      <c r="T870" s="68" t="s">
        <v>27756</v>
      </c>
      <c r="U870" s="68" t="s">
        <v>29438</v>
      </c>
      <c r="V870" s="68" t="s">
        <v>29439</v>
      </c>
      <c r="W870" s="68" t="s">
        <v>100</v>
      </c>
      <c r="X870" s="68">
        <v>1979</v>
      </c>
      <c r="AU870" s="44"/>
      <c r="AV870" s="44"/>
      <c r="AX870" s="1"/>
      <c r="AY870" s="1"/>
      <c r="AZ870" s="44"/>
      <c r="BC870" s="1"/>
      <c r="BD870" s="1"/>
      <c r="BE870" s="1"/>
      <c r="BF870" s="1"/>
      <c r="BG870" s="1"/>
      <c r="BH870" s="1"/>
      <c r="BI870" s="1"/>
      <c r="BJ870" s="1"/>
      <c r="BK870" s="44"/>
    </row>
    <row r="871" spans="1:63" s="11" customFormat="1" ht="12" customHeight="1" x14ac:dyDescent="0.15">
      <c r="A871" s="11" t="s">
        <v>26542</v>
      </c>
      <c r="B871" s="68">
        <v>28</v>
      </c>
      <c r="C871" s="11" t="s">
        <v>20</v>
      </c>
      <c r="D871" s="11" t="s">
        <v>85</v>
      </c>
      <c r="F871" s="69">
        <v>42661</v>
      </c>
      <c r="G871" s="11" t="s">
        <v>26301</v>
      </c>
      <c r="H871" s="11" t="s">
        <v>291</v>
      </c>
      <c r="I871" s="11" t="s">
        <v>57</v>
      </c>
      <c r="J871" s="11">
        <v>49022</v>
      </c>
      <c r="K871" s="11" t="s">
        <v>1699</v>
      </c>
      <c r="L871" s="11" t="s">
        <v>26298</v>
      </c>
      <c r="M871" s="11" t="s">
        <v>27</v>
      </c>
      <c r="N871" s="11" t="s">
        <v>26299</v>
      </c>
      <c r="O871" s="11" t="s">
        <v>400</v>
      </c>
      <c r="P871" s="11" t="s">
        <v>401</v>
      </c>
      <c r="Q871" s="11" t="s">
        <v>26300</v>
      </c>
      <c r="R871" s="11" t="s">
        <v>29</v>
      </c>
      <c r="S871" s="11" t="s">
        <v>28</v>
      </c>
      <c r="T871" s="68" t="s">
        <v>27756</v>
      </c>
      <c r="U871" s="68" t="s">
        <v>29438</v>
      </c>
      <c r="V871" s="68" t="s">
        <v>29439</v>
      </c>
      <c r="W871" s="68" t="s">
        <v>555</v>
      </c>
      <c r="X871" s="68">
        <v>1972</v>
      </c>
      <c r="AU871" s="44"/>
      <c r="AV871" s="44"/>
      <c r="AW871" s="44"/>
      <c r="AZ871" s="44"/>
      <c r="BA871" s="1"/>
      <c r="BB871" s="1"/>
      <c r="BC871" s="44"/>
      <c r="BD871" s="44"/>
      <c r="BE871" s="44"/>
      <c r="BF871" s="44"/>
      <c r="BG871" s="44"/>
      <c r="BH871" s="44"/>
      <c r="BI871" s="44"/>
      <c r="BJ871" s="44"/>
      <c r="BK871" s="44"/>
    </row>
    <row r="872" spans="1:63" s="11" customFormat="1" ht="12" customHeight="1" x14ac:dyDescent="0.2">
      <c r="A872" s="11" t="s">
        <v>26302</v>
      </c>
      <c r="B872" s="68">
        <v>66</v>
      </c>
      <c r="C872" s="11" t="s">
        <v>114</v>
      </c>
      <c r="D872" s="11" t="s">
        <v>85</v>
      </c>
      <c r="F872" s="69">
        <v>42661</v>
      </c>
      <c r="G872" s="11" t="s">
        <v>26303</v>
      </c>
      <c r="H872" s="11" t="s">
        <v>754</v>
      </c>
      <c r="I872" s="11" t="s">
        <v>423</v>
      </c>
      <c r="J872" s="11">
        <v>49022</v>
      </c>
      <c r="K872" s="11" t="s">
        <v>1844</v>
      </c>
      <c r="L872" s="11" t="s">
        <v>582</v>
      </c>
      <c r="M872" s="11" t="s">
        <v>27</v>
      </c>
      <c r="N872" s="11" t="s">
        <v>26304</v>
      </c>
      <c r="O872" s="11" t="s">
        <v>21481</v>
      </c>
      <c r="P872" s="11" t="s">
        <v>1159</v>
      </c>
      <c r="Q872" s="11" t="s">
        <v>26305</v>
      </c>
      <c r="R872" s="68" t="s">
        <v>555</v>
      </c>
      <c r="S872" s="11" t="s">
        <v>28</v>
      </c>
      <c r="T872" s="68" t="s">
        <v>29446</v>
      </c>
      <c r="U872" s="68" t="s">
        <v>29438</v>
      </c>
      <c r="V872" s="68" t="s">
        <v>29439</v>
      </c>
      <c r="W872" s="68" t="s">
        <v>100</v>
      </c>
      <c r="X872" s="68">
        <v>1975</v>
      </c>
      <c r="AU872" s="44"/>
      <c r="AV872" s="44"/>
      <c r="AW872" s="1"/>
      <c r="AX872" s="44"/>
      <c r="AY872" s="44"/>
      <c r="AZ872" s="44"/>
      <c r="BA872" s="70"/>
      <c r="BC872" s="44"/>
      <c r="BD872" s="44"/>
      <c r="BE872" s="44"/>
      <c r="BF872" s="44"/>
      <c r="BG872" s="44"/>
      <c r="BH872" s="44"/>
      <c r="BI872" s="44"/>
      <c r="BJ872" s="44"/>
      <c r="BK872" s="44"/>
    </row>
    <row r="873" spans="1:63" s="11" customFormat="1" ht="12" customHeight="1" x14ac:dyDescent="0.2">
      <c r="A873" s="11" t="s">
        <v>26538</v>
      </c>
      <c r="B873" s="68">
        <v>50</v>
      </c>
      <c r="C873" s="11" t="s">
        <v>20</v>
      </c>
      <c r="D873" s="11" t="s">
        <v>48</v>
      </c>
      <c r="F873" s="69">
        <v>42660</v>
      </c>
      <c r="G873" s="11" t="s">
        <v>26539</v>
      </c>
      <c r="H873" s="11" t="s">
        <v>213</v>
      </c>
      <c r="I873" s="11" t="s">
        <v>62</v>
      </c>
      <c r="J873" s="11">
        <v>33015</v>
      </c>
      <c r="K873" s="11" t="s">
        <v>161</v>
      </c>
      <c r="L873" s="11" t="s">
        <v>162</v>
      </c>
      <c r="M873" s="11" t="s">
        <v>27</v>
      </c>
      <c r="N873" s="11" t="s">
        <v>26540</v>
      </c>
      <c r="O873" s="11" t="s">
        <v>400</v>
      </c>
      <c r="P873" s="11" t="s">
        <v>401</v>
      </c>
      <c r="Q873" s="11" t="s">
        <v>26541</v>
      </c>
      <c r="R873" s="68" t="s">
        <v>555</v>
      </c>
      <c r="S873" s="11" t="s">
        <v>28</v>
      </c>
      <c r="T873" s="68" t="s">
        <v>29505</v>
      </c>
      <c r="U873" s="68" t="s">
        <v>29436</v>
      </c>
      <c r="V873" s="68" t="s">
        <v>29439</v>
      </c>
      <c r="W873" s="68" t="s">
        <v>100</v>
      </c>
      <c r="X873" s="68">
        <v>1971</v>
      </c>
      <c r="AU873" s="44"/>
      <c r="AV873" s="44"/>
      <c r="AW873" s="1"/>
      <c r="AX873" s="1"/>
      <c r="AY873" s="1"/>
      <c r="AZ873" s="44"/>
      <c r="BA873" s="70"/>
      <c r="BB873" s="44"/>
      <c r="BC873" s="1"/>
      <c r="BD873" s="1"/>
      <c r="BE873" s="1"/>
      <c r="BF873" s="1"/>
      <c r="BG873" s="1"/>
      <c r="BH873" s="1"/>
      <c r="BI873" s="1"/>
      <c r="BJ873" s="1"/>
      <c r="BK873" s="44"/>
    </row>
    <row r="874" spans="1:63" s="11" customFormat="1" ht="12" customHeight="1" x14ac:dyDescent="0.2">
      <c r="A874" s="11" t="s">
        <v>27085</v>
      </c>
      <c r="B874" s="68">
        <v>17</v>
      </c>
      <c r="C874" s="11" t="s">
        <v>20</v>
      </c>
      <c r="D874" s="11" t="s">
        <v>37</v>
      </c>
      <c r="E874" s="11" t="s">
        <v>26535</v>
      </c>
      <c r="F874" s="69">
        <v>42660</v>
      </c>
      <c r="G874" s="11" t="s">
        <v>27050</v>
      </c>
      <c r="H874" s="11" t="s">
        <v>2508</v>
      </c>
      <c r="I874" s="11" t="s">
        <v>978</v>
      </c>
      <c r="J874" s="11">
        <v>72019</v>
      </c>
      <c r="K874" s="11" t="s">
        <v>5087</v>
      </c>
      <c r="L874" s="11" t="s">
        <v>15052</v>
      </c>
      <c r="M874" s="11" t="s">
        <v>27</v>
      </c>
      <c r="N874" s="11" t="s">
        <v>26536</v>
      </c>
      <c r="O874" s="11" t="s">
        <v>400</v>
      </c>
      <c r="P874" s="11" t="s">
        <v>401</v>
      </c>
      <c r="Q874" s="11" t="s">
        <v>26537</v>
      </c>
      <c r="R874" s="68" t="s">
        <v>555</v>
      </c>
      <c r="S874" s="11" t="s">
        <v>28</v>
      </c>
      <c r="T874" s="68" t="s">
        <v>27756</v>
      </c>
      <c r="U874" s="68" t="s">
        <v>29438</v>
      </c>
      <c r="V874" s="68" t="s">
        <v>29440</v>
      </c>
      <c r="W874" s="68" t="s">
        <v>100</v>
      </c>
      <c r="X874" s="68">
        <v>1973</v>
      </c>
      <c r="AU874" s="44"/>
      <c r="AV874" s="44"/>
      <c r="AW874" s="70"/>
      <c r="AX874" s="1"/>
      <c r="AY874" s="1"/>
      <c r="AZ874" s="44"/>
      <c r="BA874" s="70"/>
      <c r="BC874" s="1"/>
      <c r="BD874" s="1"/>
      <c r="BE874" s="1"/>
      <c r="BF874" s="1"/>
      <c r="BG874" s="1"/>
      <c r="BH874" s="1"/>
      <c r="BI874" s="1"/>
      <c r="BJ874" s="1"/>
      <c r="BK874" s="44"/>
    </row>
    <row r="875" spans="1:63" s="11" customFormat="1" ht="12" customHeight="1" x14ac:dyDescent="0.2">
      <c r="A875" s="11" t="s">
        <v>26529</v>
      </c>
      <c r="B875" s="68">
        <v>39</v>
      </c>
      <c r="C875" s="11" t="s">
        <v>20</v>
      </c>
      <c r="D875" s="11" t="s">
        <v>37</v>
      </c>
      <c r="F875" s="69">
        <v>42660</v>
      </c>
      <c r="G875" s="11" t="s">
        <v>27048</v>
      </c>
      <c r="H875" s="11" t="s">
        <v>5398</v>
      </c>
      <c r="I875" s="11" t="s">
        <v>62</v>
      </c>
      <c r="J875" s="11">
        <v>34690</v>
      </c>
      <c r="K875" s="11" t="s">
        <v>4353</v>
      </c>
      <c r="L875" s="11" t="s">
        <v>5400</v>
      </c>
      <c r="M875" s="68" t="s">
        <v>5411</v>
      </c>
      <c r="N875" s="11" t="s">
        <v>26530</v>
      </c>
      <c r="O875" s="11" t="s">
        <v>400</v>
      </c>
      <c r="P875" s="11" t="s">
        <v>401</v>
      </c>
      <c r="Q875" s="11" t="s">
        <v>26531</v>
      </c>
      <c r="R875" s="68" t="s">
        <v>555</v>
      </c>
      <c r="S875" s="11" t="s">
        <v>28</v>
      </c>
      <c r="T875" s="68" t="s">
        <v>29493</v>
      </c>
      <c r="U875" s="68" t="s">
        <v>29436</v>
      </c>
      <c r="V875" s="68" t="s">
        <v>29439</v>
      </c>
      <c r="W875" s="68" t="s">
        <v>100</v>
      </c>
      <c r="X875" s="68">
        <v>1974</v>
      </c>
      <c r="AU875" s="44"/>
      <c r="AV875" s="44"/>
      <c r="AW875" s="44"/>
      <c r="AX875" s="1"/>
      <c r="AY875" s="1"/>
      <c r="AZ875" s="44"/>
      <c r="BA875" s="70"/>
      <c r="BB875" s="70"/>
      <c r="BC875" s="1"/>
      <c r="BD875" s="1"/>
      <c r="BE875" s="1"/>
      <c r="BF875" s="1"/>
      <c r="BG875" s="1"/>
      <c r="BH875" s="1"/>
      <c r="BI875" s="1"/>
      <c r="BJ875" s="1"/>
      <c r="BK875" s="1"/>
    </row>
    <row r="876" spans="1:63" s="11" customFormat="1" ht="12" customHeight="1" x14ac:dyDescent="0.2">
      <c r="A876" s="11" t="s">
        <v>26532</v>
      </c>
      <c r="B876" s="68">
        <v>32</v>
      </c>
      <c r="C876" s="11" t="s">
        <v>20</v>
      </c>
      <c r="D876" s="11" t="s">
        <v>37</v>
      </c>
      <c r="F876" s="69">
        <v>42659</v>
      </c>
      <c r="G876" s="11" t="s">
        <v>27049</v>
      </c>
      <c r="H876" s="11" t="s">
        <v>1359</v>
      </c>
      <c r="I876" s="11" t="s">
        <v>45</v>
      </c>
      <c r="J876" s="11">
        <v>95060</v>
      </c>
      <c r="K876" s="11" t="s">
        <v>1359</v>
      </c>
      <c r="L876" s="11" t="s">
        <v>17822</v>
      </c>
      <c r="M876" s="68" t="s">
        <v>5411</v>
      </c>
      <c r="N876" s="11" t="s">
        <v>26533</v>
      </c>
      <c r="O876" s="11" t="s">
        <v>400</v>
      </c>
      <c r="P876" s="11" t="s">
        <v>401</v>
      </c>
      <c r="Q876" s="11" t="s">
        <v>26534</v>
      </c>
      <c r="R876" s="68" t="s">
        <v>555</v>
      </c>
      <c r="S876" s="11" t="s">
        <v>28</v>
      </c>
      <c r="T876" s="68" t="s">
        <v>29461</v>
      </c>
      <c r="U876" s="68" t="s">
        <v>29438</v>
      </c>
      <c r="V876" s="68" t="s">
        <v>29439</v>
      </c>
      <c r="W876" s="68" t="s">
        <v>100</v>
      </c>
      <c r="X876" s="68">
        <v>1967</v>
      </c>
      <c r="AU876" s="44"/>
      <c r="AV876" s="44"/>
      <c r="AX876" s="1"/>
      <c r="AY876" s="1"/>
      <c r="AZ876" s="44"/>
      <c r="BA876" s="44"/>
      <c r="BB876" s="70"/>
      <c r="BC876" s="1"/>
      <c r="BD876" s="1"/>
      <c r="BE876" s="1"/>
      <c r="BF876" s="1"/>
      <c r="BG876" s="1"/>
      <c r="BH876" s="1"/>
      <c r="BI876" s="1"/>
      <c r="BJ876" s="1"/>
      <c r="BK876" s="1"/>
    </row>
    <row r="877" spans="1:63" s="11" customFormat="1" ht="12" customHeight="1" x14ac:dyDescent="0.15">
      <c r="A877" s="11" t="s">
        <v>26525</v>
      </c>
      <c r="B877" s="68">
        <v>26</v>
      </c>
      <c r="C877" s="11" t="s">
        <v>114</v>
      </c>
      <c r="D877" s="11" t="s">
        <v>37</v>
      </c>
      <c r="F877" s="69">
        <v>42659</v>
      </c>
      <c r="G877" s="11" t="s">
        <v>26526</v>
      </c>
      <c r="H877" s="11" t="s">
        <v>1313</v>
      </c>
      <c r="I877" s="11" t="s">
        <v>73</v>
      </c>
      <c r="J877" s="11">
        <v>78745</v>
      </c>
      <c r="K877" s="11" t="s">
        <v>1314</v>
      </c>
      <c r="L877" s="11" t="s">
        <v>1315</v>
      </c>
      <c r="M877" s="11" t="s">
        <v>27</v>
      </c>
      <c r="N877" s="11" t="s">
        <v>26527</v>
      </c>
      <c r="O877" s="11" t="s">
        <v>400</v>
      </c>
      <c r="P877" s="11" t="s">
        <v>401</v>
      </c>
      <c r="Q877" s="11" t="s">
        <v>26528</v>
      </c>
      <c r="R877" s="11" t="s">
        <v>555</v>
      </c>
      <c r="S877" s="11" t="s">
        <v>18</v>
      </c>
      <c r="T877" s="68" t="s">
        <v>29612</v>
      </c>
      <c r="U877" s="68" t="s">
        <v>29438</v>
      </c>
      <c r="V877" s="68" t="s">
        <v>29439</v>
      </c>
      <c r="W877" s="68" t="s">
        <v>100</v>
      </c>
      <c r="X877" s="68">
        <v>1966</v>
      </c>
      <c r="AU877" s="44"/>
      <c r="AV877" s="44"/>
      <c r="AW877" s="44"/>
      <c r="AX877" s="1"/>
      <c r="AY877" s="1"/>
      <c r="AZ877" s="44"/>
      <c r="BA877" s="44"/>
      <c r="BC877" s="1"/>
      <c r="BD877" s="1"/>
      <c r="BE877" s="1"/>
      <c r="BF877" s="1"/>
      <c r="BG877" s="1"/>
      <c r="BH877" s="1"/>
      <c r="BI877" s="1"/>
      <c r="BJ877" s="1"/>
      <c r="BK877" s="1"/>
    </row>
    <row r="878" spans="1:63" s="11" customFormat="1" ht="12" customHeight="1" x14ac:dyDescent="0.15">
      <c r="A878" s="11" t="s">
        <v>26516</v>
      </c>
      <c r="B878" s="68">
        <v>38</v>
      </c>
      <c r="C878" s="11" t="s">
        <v>20</v>
      </c>
      <c r="D878" s="11" t="s">
        <v>37</v>
      </c>
      <c r="E878" s="11" t="s">
        <v>26517</v>
      </c>
      <c r="F878" s="69">
        <v>42658</v>
      </c>
      <c r="G878" s="11" t="s">
        <v>26518</v>
      </c>
      <c r="H878" s="11" t="s">
        <v>12464</v>
      </c>
      <c r="I878" s="11" t="s">
        <v>94</v>
      </c>
      <c r="J878" s="11">
        <v>36870</v>
      </c>
      <c r="K878" s="11" t="s">
        <v>5538</v>
      </c>
      <c r="L878" s="11" t="s">
        <v>7724</v>
      </c>
      <c r="M878" s="11" t="s">
        <v>27</v>
      </c>
      <c r="N878" s="11" t="s">
        <v>26519</v>
      </c>
      <c r="O878" s="11" t="s">
        <v>400</v>
      </c>
      <c r="P878" s="11" t="s">
        <v>401</v>
      </c>
      <c r="Q878" s="11" t="s">
        <v>26520</v>
      </c>
      <c r="R878" s="11" t="s">
        <v>100</v>
      </c>
      <c r="S878" s="11" t="s">
        <v>28</v>
      </c>
      <c r="T878" s="68" t="s">
        <v>27756</v>
      </c>
      <c r="U878" s="68" t="s">
        <v>29438</v>
      </c>
      <c r="V878" s="68" t="s">
        <v>29439</v>
      </c>
      <c r="W878" s="68" t="s">
        <v>100</v>
      </c>
      <c r="X878" s="68">
        <v>1968</v>
      </c>
      <c r="AU878" s="44"/>
      <c r="AV878" s="44"/>
      <c r="AW878" s="44"/>
      <c r="AX878" s="1"/>
      <c r="AY878" s="1"/>
      <c r="AZ878" s="44"/>
      <c r="BC878" s="1"/>
      <c r="BD878" s="1"/>
      <c r="BE878" s="1"/>
      <c r="BF878" s="1"/>
      <c r="BG878" s="1"/>
      <c r="BH878" s="1"/>
      <c r="BI878" s="1"/>
      <c r="BJ878" s="1"/>
      <c r="BK878" s="44"/>
    </row>
    <row r="879" spans="1:63" s="11" customFormat="1" ht="12" customHeight="1" x14ac:dyDescent="0.15">
      <c r="A879" s="11" t="s">
        <v>26521</v>
      </c>
      <c r="B879" s="11">
        <v>30</v>
      </c>
      <c r="C879" s="11" t="s">
        <v>20</v>
      </c>
      <c r="D879" s="11" t="s">
        <v>942</v>
      </c>
      <c r="E879" s="11" t="s">
        <v>26522</v>
      </c>
      <c r="F879" s="72">
        <v>42658</v>
      </c>
      <c r="G879" s="11" t="s">
        <v>27047</v>
      </c>
      <c r="H879" s="11" t="s">
        <v>13743</v>
      </c>
      <c r="I879" s="11" t="s">
        <v>269</v>
      </c>
      <c r="J879" s="11">
        <v>89434</v>
      </c>
      <c r="K879" s="11" t="s">
        <v>6245</v>
      </c>
      <c r="L879" s="11" t="s">
        <v>13745</v>
      </c>
      <c r="M879" s="1" t="s">
        <v>29</v>
      </c>
      <c r="N879" s="11" t="s">
        <v>26523</v>
      </c>
      <c r="O879" s="11" t="s">
        <v>400</v>
      </c>
      <c r="P879" s="11" t="s">
        <v>401</v>
      </c>
      <c r="Q879" s="11" t="s">
        <v>26524</v>
      </c>
      <c r="R879" s="11" t="s">
        <v>100</v>
      </c>
      <c r="S879" s="11" t="s">
        <v>18</v>
      </c>
      <c r="AU879" s="44"/>
      <c r="AV879" s="44"/>
      <c r="AW879" s="44"/>
      <c r="AX879" s="1"/>
      <c r="AY879" s="1"/>
      <c r="AZ879" s="1"/>
      <c r="BA879" s="1"/>
      <c r="BB879" s="1"/>
      <c r="BC879" s="1"/>
      <c r="BD879" s="1"/>
      <c r="BE879" s="1"/>
      <c r="BF879" s="1"/>
      <c r="BG879" s="1"/>
      <c r="BH879" s="1"/>
      <c r="BI879" s="1"/>
      <c r="BJ879" s="1"/>
      <c r="BK879" s="1"/>
    </row>
    <row r="880" spans="1:63" s="11" customFormat="1" ht="12" customHeight="1" x14ac:dyDescent="0.15">
      <c r="A880" s="11" t="s">
        <v>26508</v>
      </c>
      <c r="B880" s="68">
        <v>24</v>
      </c>
      <c r="C880" s="11" t="s">
        <v>20</v>
      </c>
      <c r="D880" s="11" t="s">
        <v>48</v>
      </c>
      <c r="F880" s="69">
        <v>42657</v>
      </c>
      <c r="G880" s="11" t="s">
        <v>26509</v>
      </c>
      <c r="H880" s="11" t="s">
        <v>285</v>
      </c>
      <c r="I880" s="11" t="s">
        <v>73</v>
      </c>
      <c r="J880" s="11">
        <v>75216</v>
      </c>
      <c r="K880" s="11" t="s">
        <v>285</v>
      </c>
      <c r="L880" s="11" t="s">
        <v>286</v>
      </c>
      <c r="M880" s="11" t="s">
        <v>27</v>
      </c>
      <c r="N880" s="11" t="s">
        <v>26510</v>
      </c>
      <c r="O880" s="11" t="s">
        <v>400</v>
      </c>
      <c r="P880" s="11" t="s">
        <v>401</v>
      </c>
      <c r="Q880" s="11" t="s">
        <v>26511</v>
      </c>
      <c r="R880" s="11" t="s">
        <v>100</v>
      </c>
      <c r="S880" s="11" t="s">
        <v>28</v>
      </c>
      <c r="T880" s="68" t="s">
        <v>27756</v>
      </c>
      <c r="U880" s="68" t="s">
        <v>29438</v>
      </c>
      <c r="V880" s="68" t="s">
        <v>29439</v>
      </c>
      <c r="W880" s="68" t="s">
        <v>100</v>
      </c>
      <c r="X880" s="68">
        <v>1969</v>
      </c>
      <c r="AU880" s="44"/>
      <c r="AV880" s="44"/>
      <c r="AX880" s="1"/>
      <c r="AY880" s="1"/>
      <c r="AZ880" s="44"/>
      <c r="BC880" s="1"/>
      <c r="BD880" s="1"/>
      <c r="BE880" s="1"/>
      <c r="BF880" s="1"/>
      <c r="BG880" s="1"/>
      <c r="BH880" s="1"/>
      <c r="BI880" s="1"/>
      <c r="BJ880" s="1"/>
      <c r="BK880" s="44"/>
    </row>
    <row r="881" spans="1:63" s="11" customFormat="1" ht="12" customHeight="1" x14ac:dyDescent="0.15">
      <c r="A881" s="11" t="s">
        <v>26503</v>
      </c>
      <c r="B881" s="68">
        <v>23</v>
      </c>
      <c r="C881" s="11" t="s">
        <v>20</v>
      </c>
      <c r="D881" s="11" t="s">
        <v>37</v>
      </c>
      <c r="E881" s="11" t="s">
        <v>26504</v>
      </c>
      <c r="F881" s="69">
        <v>42657</v>
      </c>
      <c r="G881" s="11" t="s">
        <v>26505</v>
      </c>
      <c r="H881" s="11" t="s">
        <v>8978</v>
      </c>
      <c r="I881" s="11" t="s">
        <v>73</v>
      </c>
      <c r="J881" s="11">
        <v>77706</v>
      </c>
      <c r="K881" s="11" t="s">
        <v>1778</v>
      </c>
      <c r="L881" s="11" t="s">
        <v>8980</v>
      </c>
      <c r="M881" s="11" t="s">
        <v>27</v>
      </c>
      <c r="N881" s="11" t="s">
        <v>26506</v>
      </c>
      <c r="O881" s="11" t="s">
        <v>400</v>
      </c>
      <c r="P881" s="11" t="s">
        <v>401</v>
      </c>
      <c r="Q881" s="11" t="s">
        <v>26507</v>
      </c>
      <c r="R881" s="11" t="s">
        <v>29</v>
      </c>
      <c r="S881" s="11" t="s">
        <v>28</v>
      </c>
      <c r="T881" s="68" t="s">
        <v>29446</v>
      </c>
      <c r="U881" s="68" t="s">
        <v>29438</v>
      </c>
      <c r="V881" s="68" t="s">
        <v>29439</v>
      </c>
      <c r="W881" s="68" t="s">
        <v>100</v>
      </c>
      <c r="X881" s="68">
        <v>1965</v>
      </c>
      <c r="AU881" s="44"/>
      <c r="AV881" s="44"/>
      <c r="AW881" s="44"/>
      <c r="AX881" s="1"/>
      <c r="AY881" s="1"/>
      <c r="AZ881" s="44"/>
      <c r="BA881" s="1"/>
      <c r="BB881" s="1"/>
      <c r="BC881" s="1"/>
      <c r="BD881" s="1"/>
      <c r="BE881" s="1"/>
      <c r="BF881" s="1"/>
      <c r="BG881" s="1"/>
      <c r="BH881" s="1"/>
      <c r="BI881" s="1"/>
      <c r="BJ881" s="1"/>
      <c r="BK881" s="44"/>
    </row>
    <row r="882" spans="1:63" s="11" customFormat="1" ht="12" customHeight="1" x14ac:dyDescent="0.15">
      <c r="A882" s="11" t="s">
        <v>26512</v>
      </c>
      <c r="B882" s="68">
        <v>26</v>
      </c>
      <c r="C882" s="11" t="s">
        <v>20</v>
      </c>
      <c r="D882" s="11" t="s">
        <v>37</v>
      </c>
      <c r="F882" s="69">
        <v>42657</v>
      </c>
      <c r="G882" s="11" t="s">
        <v>26513</v>
      </c>
      <c r="H882" s="11" t="s">
        <v>945</v>
      </c>
      <c r="I882" s="11" t="s">
        <v>45</v>
      </c>
      <c r="J882" s="11">
        <v>94116</v>
      </c>
      <c r="K882" s="11" t="s">
        <v>945</v>
      </c>
      <c r="L882" s="11" t="s">
        <v>946</v>
      </c>
      <c r="M882" s="11" t="s">
        <v>27</v>
      </c>
      <c r="N882" s="11" t="s">
        <v>26514</v>
      </c>
      <c r="O882" s="11" t="s">
        <v>400</v>
      </c>
      <c r="P882" s="11" t="s">
        <v>401</v>
      </c>
      <c r="Q882" s="11" t="s">
        <v>26515</v>
      </c>
      <c r="R882" s="68" t="s">
        <v>555</v>
      </c>
      <c r="S882" s="11" t="s">
        <v>28</v>
      </c>
      <c r="T882" s="68" t="s">
        <v>27756</v>
      </c>
      <c r="U882" s="68" t="s">
        <v>29438</v>
      </c>
      <c r="V882" s="68" t="s">
        <v>29439</v>
      </c>
      <c r="W882" s="68" t="s">
        <v>100</v>
      </c>
      <c r="X882" s="68">
        <v>1970</v>
      </c>
      <c r="AU882" s="44"/>
      <c r="AV882" s="44"/>
      <c r="AW882" s="44"/>
      <c r="AX882" s="1"/>
      <c r="AY882" s="1"/>
      <c r="AZ882" s="44"/>
      <c r="BA882" s="44"/>
      <c r="BC882" s="1"/>
      <c r="BD882" s="1"/>
      <c r="BE882" s="1"/>
      <c r="BF882" s="1"/>
      <c r="BG882" s="1"/>
      <c r="BH882" s="1"/>
      <c r="BI882" s="1"/>
      <c r="BJ882" s="1"/>
      <c r="BK882" s="44"/>
    </row>
    <row r="883" spans="1:63" s="11" customFormat="1" ht="12" customHeight="1" x14ac:dyDescent="0.15">
      <c r="A883" s="11" t="s">
        <v>26487</v>
      </c>
      <c r="B883" s="68">
        <v>50</v>
      </c>
      <c r="C883" s="11" t="s">
        <v>20</v>
      </c>
      <c r="D883" s="11" t="s">
        <v>37</v>
      </c>
      <c r="E883" s="11" t="s">
        <v>26488</v>
      </c>
      <c r="F883" s="69">
        <v>42656</v>
      </c>
      <c r="G883" s="11" t="s">
        <v>26489</v>
      </c>
      <c r="H883" s="11" t="s">
        <v>655</v>
      </c>
      <c r="I883" s="11" t="s">
        <v>269</v>
      </c>
      <c r="J883" s="11">
        <v>89149</v>
      </c>
      <c r="K883" s="11" t="s">
        <v>570</v>
      </c>
      <c r="L883" s="11" t="s">
        <v>571</v>
      </c>
      <c r="M883" s="11" t="s">
        <v>27</v>
      </c>
      <c r="N883" s="11" t="s">
        <v>26490</v>
      </c>
      <c r="O883" s="11" t="s">
        <v>400</v>
      </c>
      <c r="P883" s="11" t="s">
        <v>401</v>
      </c>
      <c r="Q883" s="11" t="s">
        <v>26491</v>
      </c>
      <c r="R883" s="11" t="s">
        <v>100</v>
      </c>
      <c r="S883" s="11" t="s">
        <v>28</v>
      </c>
      <c r="T883" s="68" t="s">
        <v>27756</v>
      </c>
      <c r="U883" s="68" t="s">
        <v>29436</v>
      </c>
      <c r="V883" s="68" t="s">
        <v>29437</v>
      </c>
      <c r="W883" s="68" t="s">
        <v>555</v>
      </c>
      <c r="X883" s="68">
        <v>1962</v>
      </c>
      <c r="AU883" s="44"/>
      <c r="AV883" s="44"/>
      <c r="AW883" s="1"/>
      <c r="AX883" s="1"/>
      <c r="AY883" s="1"/>
      <c r="AZ883" s="44"/>
      <c r="BC883" s="1"/>
      <c r="BD883" s="1"/>
      <c r="BE883" s="1"/>
      <c r="BF883" s="1"/>
      <c r="BG883" s="1"/>
      <c r="BH883" s="1"/>
      <c r="BI883" s="1"/>
      <c r="BJ883" s="1"/>
      <c r="BK883" s="44"/>
    </row>
    <row r="884" spans="1:63" s="11" customFormat="1" ht="12" customHeight="1" x14ac:dyDescent="0.15">
      <c r="A884" s="11" t="s">
        <v>27086</v>
      </c>
      <c r="B884" s="68">
        <v>38</v>
      </c>
      <c r="C884" s="11" t="s">
        <v>20</v>
      </c>
      <c r="D884" s="68" t="s">
        <v>37</v>
      </c>
      <c r="F884" s="69">
        <v>42656</v>
      </c>
      <c r="G884" s="11" t="s">
        <v>26484</v>
      </c>
      <c r="H884" s="11" t="s">
        <v>2534</v>
      </c>
      <c r="I884" s="11" t="s">
        <v>303</v>
      </c>
      <c r="J884" s="11">
        <v>98030</v>
      </c>
      <c r="K884" s="11" t="s">
        <v>1209</v>
      </c>
      <c r="L884" s="11" t="s">
        <v>3467</v>
      </c>
      <c r="M884" s="11" t="s">
        <v>27</v>
      </c>
      <c r="N884" s="11" t="s">
        <v>26485</v>
      </c>
      <c r="O884" s="11" t="s">
        <v>400</v>
      </c>
      <c r="P884" s="11" t="s">
        <v>401</v>
      </c>
      <c r="Q884" s="11" t="s">
        <v>26486</v>
      </c>
      <c r="R884" s="11" t="s">
        <v>100</v>
      </c>
      <c r="S884" s="11" t="s">
        <v>28</v>
      </c>
      <c r="T884" s="68" t="s">
        <v>27756</v>
      </c>
      <c r="U884" s="68" t="s">
        <v>29436</v>
      </c>
      <c r="V884" s="68" t="s">
        <v>29439</v>
      </c>
      <c r="W884" s="68" t="s">
        <v>100</v>
      </c>
      <c r="X884" s="68">
        <v>1964</v>
      </c>
      <c r="AU884" s="44"/>
      <c r="AV884" s="44"/>
      <c r="AW884" s="44"/>
      <c r="AX884" s="1"/>
      <c r="AY884" s="1"/>
      <c r="AZ884" s="44"/>
      <c r="BC884" s="1"/>
      <c r="BD884" s="1"/>
      <c r="BE884" s="1"/>
      <c r="BF884" s="1"/>
      <c r="BG884" s="1"/>
      <c r="BH884" s="1"/>
      <c r="BI884" s="1"/>
      <c r="BJ884" s="1"/>
      <c r="BK884" s="44"/>
    </row>
    <row r="885" spans="1:63" s="11" customFormat="1" ht="12" customHeight="1" x14ac:dyDescent="0.2">
      <c r="A885" s="11" t="s">
        <v>26497</v>
      </c>
      <c r="B885" s="68">
        <v>46</v>
      </c>
      <c r="C885" s="11" t="s">
        <v>20</v>
      </c>
      <c r="D885" s="11" t="s">
        <v>37</v>
      </c>
      <c r="E885" s="11" t="s">
        <v>26498</v>
      </c>
      <c r="F885" s="69">
        <v>42656</v>
      </c>
      <c r="G885" s="11" t="s">
        <v>26499</v>
      </c>
      <c r="H885" s="11" t="s">
        <v>2049</v>
      </c>
      <c r="I885" s="11" t="s">
        <v>117</v>
      </c>
      <c r="J885" s="11">
        <v>97526</v>
      </c>
      <c r="K885" s="11" t="s">
        <v>1537</v>
      </c>
      <c r="L885" s="11" t="s">
        <v>26500</v>
      </c>
      <c r="M885" s="68" t="s">
        <v>5411</v>
      </c>
      <c r="N885" s="11" t="s">
        <v>26501</v>
      </c>
      <c r="O885" s="11" t="s">
        <v>400</v>
      </c>
      <c r="P885" s="11" t="s">
        <v>401</v>
      </c>
      <c r="Q885" s="11" t="s">
        <v>26502</v>
      </c>
      <c r="R885" s="68" t="s">
        <v>555</v>
      </c>
      <c r="S885" s="11" t="s">
        <v>28</v>
      </c>
      <c r="T885" s="68" t="s">
        <v>29493</v>
      </c>
      <c r="U885" s="68" t="s">
        <v>29436</v>
      </c>
      <c r="V885" s="68"/>
      <c r="W885" s="68" t="s">
        <v>100</v>
      </c>
      <c r="X885" s="68">
        <v>1963</v>
      </c>
      <c r="AU885" s="44"/>
      <c r="AV885" s="44"/>
      <c r="AW885" s="1"/>
      <c r="AX885" s="1"/>
      <c r="AY885" s="1"/>
      <c r="AZ885" s="44"/>
      <c r="BA885" s="44"/>
      <c r="BB885" s="70"/>
      <c r="BC885" s="1"/>
      <c r="BD885" s="1"/>
      <c r="BE885" s="1"/>
      <c r="BF885" s="1"/>
      <c r="BG885" s="1"/>
      <c r="BH885" s="1"/>
      <c r="BI885" s="1"/>
      <c r="BJ885" s="1"/>
      <c r="BK885" s="1"/>
    </row>
    <row r="886" spans="1:63" s="11" customFormat="1" ht="12" customHeight="1" x14ac:dyDescent="0.15">
      <c r="A886" s="11" t="s">
        <v>26492</v>
      </c>
      <c r="B886" s="68">
        <v>22</v>
      </c>
      <c r="C886" s="11" t="s">
        <v>20</v>
      </c>
      <c r="D886" s="11" t="s">
        <v>37</v>
      </c>
      <c r="F886" s="69">
        <v>42655</v>
      </c>
      <c r="G886" s="11" t="s">
        <v>26493</v>
      </c>
      <c r="H886" s="11" t="s">
        <v>26494</v>
      </c>
      <c r="I886" s="11" t="s">
        <v>315</v>
      </c>
      <c r="J886" s="11">
        <v>40351</v>
      </c>
      <c r="K886" s="11" t="s">
        <v>10886</v>
      </c>
      <c r="L886" s="11" t="s">
        <v>20114</v>
      </c>
      <c r="M886" s="11" t="s">
        <v>27</v>
      </c>
      <c r="N886" s="11" t="s">
        <v>26495</v>
      </c>
      <c r="O886" s="11" t="s">
        <v>400</v>
      </c>
      <c r="P886" s="11" t="s">
        <v>401</v>
      </c>
      <c r="Q886" s="11" t="s">
        <v>26496</v>
      </c>
      <c r="R886" s="11" t="s">
        <v>100</v>
      </c>
      <c r="S886" s="11" t="s">
        <v>28</v>
      </c>
      <c r="T886" s="68" t="s">
        <v>27756</v>
      </c>
      <c r="U886" s="68" t="s">
        <v>29438</v>
      </c>
      <c r="V886" s="68" t="s">
        <v>29439</v>
      </c>
      <c r="W886" s="68" t="s">
        <v>100</v>
      </c>
      <c r="X886" s="68">
        <v>1961</v>
      </c>
      <c r="AU886" s="44"/>
      <c r="AV886" s="44"/>
      <c r="AW886" s="44"/>
      <c r="AX886" s="1"/>
      <c r="AY886" s="1"/>
      <c r="AZ886" s="44"/>
      <c r="BC886" s="1"/>
      <c r="BD886" s="1"/>
      <c r="BE886" s="1"/>
      <c r="BF886" s="1"/>
      <c r="BG886" s="1"/>
      <c r="BH886" s="1"/>
      <c r="BI886" s="1"/>
      <c r="BJ886" s="1"/>
      <c r="BK886" s="44"/>
    </row>
    <row r="887" spans="1:63" s="11" customFormat="1" ht="12" customHeight="1" x14ac:dyDescent="0.15">
      <c r="A887" s="11" t="s">
        <v>26479</v>
      </c>
      <c r="B887" s="68">
        <v>31</v>
      </c>
      <c r="C887" s="11" t="s">
        <v>20</v>
      </c>
      <c r="D887" s="11" t="s">
        <v>37</v>
      </c>
      <c r="E887" s="11" t="s">
        <v>26480</v>
      </c>
      <c r="F887" s="69">
        <v>42655</v>
      </c>
      <c r="G887" s="11" t="s">
        <v>26481</v>
      </c>
      <c r="H887" s="11" t="s">
        <v>4076</v>
      </c>
      <c r="I887" s="11" t="s">
        <v>25</v>
      </c>
      <c r="J887" s="11">
        <v>70726</v>
      </c>
      <c r="K887" s="11" t="s">
        <v>4078</v>
      </c>
      <c r="L887" s="11" t="s">
        <v>7585</v>
      </c>
      <c r="M887" s="11" t="s">
        <v>27</v>
      </c>
      <c r="N887" s="11" t="s">
        <v>26482</v>
      </c>
      <c r="O887" s="11" t="s">
        <v>400</v>
      </c>
      <c r="P887" s="11" t="s">
        <v>401</v>
      </c>
      <c r="Q887" s="11" t="s">
        <v>26483</v>
      </c>
      <c r="R887" s="11" t="s">
        <v>100</v>
      </c>
      <c r="S887" s="2" t="s">
        <v>28</v>
      </c>
      <c r="T887" s="68" t="s">
        <v>27756</v>
      </c>
      <c r="U887" s="68" t="s">
        <v>29438</v>
      </c>
      <c r="V887" s="68" t="s">
        <v>29439</v>
      </c>
      <c r="W887" s="68" t="s">
        <v>100</v>
      </c>
      <c r="X887" s="68">
        <v>1959</v>
      </c>
      <c r="AU887" s="44"/>
      <c r="AV887" s="44"/>
      <c r="AX887" s="1"/>
      <c r="AY887" s="1"/>
      <c r="AZ887" s="44"/>
      <c r="BC887" s="1"/>
      <c r="BD887" s="1"/>
      <c r="BE887" s="1"/>
      <c r="BF887" s="1"/>
      <c r="BG887" s="1"/>
      <c r="BH887" s="1"/>
      <c r="BI887" s="1"/>
      <c r="BJ887" s="1"/>
      <c r="BK887" s="44"/>
    </row>
    <row r="888" spans="1:63" s="11" customFormat="1" ht="12" customHeight="1" x14ac:dyDescent="0.15">
      <c r="A888" s="11" t="s">
        <v>26296</v>
      </c>
      <c r="B888" s="68">
        <v>33</v>
      </c>
      <c r="C888" s="11" t="s">
        <v>20</v>
      </c>
      <c r="D888" s="11" t="s">
        <v>85</v>
      </c>
      <c r="F888" s="69">
        <v>42655</v>
      </c>
      <c r="G888" s="11" t="s">
        <v>26297</v>
      </c>
      <c r="H888" s="11" t="s">
        <v>1697</v>
      </c>
      <c r="I888" s="11" t="s">
        <v>46</v>
      </c>
      <c r="J888" s="11">
        <v>2128</v>
      </c>
      <c r="K888" s="11" t="s">
        <v>1699</v>
      </c>
      <c r="L888" s="11" t="s">
        <v>3230</v>
      </c>
      <c r="M888" s="11" t="s">
        <v>27</v>
      </c>
      <c r="N888" s="11" t="s">
        <v>26294</v>
      </c>
      <c r="O888" s="11" t="s">
        <v>400</v>
      </c>
      <c r="P888" s="11" t="s">
        <v>401</v>
      </c>
      <c r="Q888" s="11" t="s">
        <v>26295</v>
      </c>
      <c r="R888" s="11" t="s">
        <v>29</v>
      </c>
      <c r="S888" s="11" t="s">
        <v>28</v>
      </c>
      <c r="T888" s="68" t="s">
        <v>27756</v>
      </c>
      <c r="U888" s="68" t="s">
        <v>29438</v>
      </c>
      <c r="V888" s="68" t="s">
        <v>29439</v>
      </c>
      <c r="W888" s="68" t="s">
        <v>100</v>
      </c>
      <c r="X888" s="68">
        <v>1960</v>
      </c>
      <c r="AU888" s="44"/>
      <c r="AV888" s="44"/>
      <c r="AZ888" s="44"/>
      <c r="BA888" s="1"/>
      <c r="BB888" s="1"/>
      <c r="BC888" s="44"/>
      <c r="BD888" s="44"/>
      <c r="BE888" s="44"/>
      <c r="BF888" s="44"/>
      <c r="BG888" s="44"/>
      <c r="BH888" s="44"/>
      <c r="BI888" s="44"/>
      <c r="BJ888" s="44"/>
      <c r="BK888" s="44"/>
    </row>
    <row r="889" spans="1:63" s="11" customFormat="1" ht="12" customHeight="1" x14ac:dyDescent="0.2">
      <c r="A889" s="11" t="s">
        <v>26475</v>
      </c>
      <c r="B889" s="68">
        <v>44</v>
      </c>
      <c r="C889" s="11" t="s">
        <v>20</v>
      </c>
      <c r="D889" s="11" t="s">
        <v>21</v>
      </c>
      <c r="F889" s="69">
        <v>42654</v>
      </c>
      <c r="G889" s="11" t="s">
        <v>26476</v>
      </c>
      <c r="H889" s="11" t="s">
        <v>1208</v>
      </c>
      <c r="I889" s="11" t="s">
        <v>303</v>
      </c>
      <c r="J889" s="11">
        <v>98134</v>
      </c>
      <c r="K889" s="11" t="s">
        <v>1209</v>
      </c>
      <c r="L889" s="11" t="s">
        <v>1210</v>
      </c>
      <c r="M889" s="11" t="s">
        <v>27</v>
      </c>
      <c r="N889" s="11" t="s">
        <v>26477</v>
      </c>
      <c r="O889" s="11" t="s">
        <v>400</v>
      </c>
      <c r="P889" s="11" t="s">
        <v>401</v>
      </c>
      <c r="Q889" s="11" t="s">
        <v>26478</v>
      </c>
      <c r="R889" s="11" t="s">
        <v>100</v>
      </c>
      <c r="S889" s="11" t="s">
        <v>28</v>
      </c>
      <c r="T889" s="68" t="s">
        <v>29493</v>
      </c>
      <c r="U889" s="68" t="s">
        <v>29436</v>
      </c>
      <c r="V889" s="68" t="s">
        <v>29439</v>
      </c>
      <c r="W889" s="68" t="s">
        <v>100</v>
      </c>
      <c r="X889" s="68">
        <v>1957</v>
      </c>
      <c r="AU889" s="44"/>
      <c r="AV889" s="44"/>
      <c r="AW889" s="1"/>
      <c r="AX889" s="70"/>
      <c r="AY889" s="70"/>
      <c r="AZ889" s="44"/>
      <c r="BC889" s="70"/>
      <c r="BD889" s="70"/>
      <c r="BE889" s="70"/>
      <c r="BF889" s="70"/>
      <c r="BG889" s="70"/>
      <c r="BH889" s="70"/>
      <c r="BI889" s="70"/>
      <c r="BJ889" s="70"/>
      <c r="BK889" s="44"/>
    </row>
    <row r="890" spans="1:63" s="11" customFormat="1" ht="12" customHeight="1" x14ac:dyDescent="0.15">
      <c r="A890" s="11" t="s">
        <v>26471</v>
      </c>
      <c r="B890" s="68">
        <v>30</v>
      </c>
      <c r="C890" s="11" t="s">
        <v>20</v>
      </c>
      <c r="D890" s="11" t="s">
        <v>37</v>
      </c>
      <c r="E890" s="11" t="s">
        <v>26472</v>
      </c>
      <c r="F890" s="69">
        <v>42654</v>
      </c>
      <c r="G890" s="11" t="s">
        <v>27046</v>
      </c>
      <c r="H890" s="11" t="s">
        <v>6088</v>
      </c>
      <c r="I890" s="11" t="s">
        <v>45</v>
      </c>
      <c r="J890" s="11">
        <v>94518</v>
      </c>
      <c r="K890" s="11" t="s">
        <v>4500</v>
      </c>
      <c r="L890" s="11" t="s">
        <v>6090</v>
      </c>
      <c r="M890" s="11" t="s">
        <v>27</v>
      </c>
      <c r="N890" s="11" t="s">
        <v>26473</v>
      </c>
      <c r="O890" s="11" t="s">
        <v>400</v>
      </c>
      <c r="P890" s="11" t="s">
        <v>401</v>
      </c>
      <c r="Q890" s="11" t="s">
        <v>26474</v>
      </c>
      <c r="R890" s="11" t="s">
        <v>100</v>
      </c>
      <c r="S890" s="11" t="s">
        <v>28</v>
      </c>
      <c r="T890" s="68" t="s">
        <v>29493</v>
      </c>
      <c r="U890" s="68" t="s">
        <v>29436</v>
      </c>
      <c r="V890" s="68" t="s">
        <v>29439</v>
      </c>
      <c r="W890" s="68" t="s">
        <v>100</v>
      </c>
      <c r="X890" s="68">
        <v>1958</v>
      </c>
      <c r="AU890" s="44"/>
      <c r="AV890" s="44"/>
      <c r="AW890" s="44"/>
      <c r="AX890" s="1"/>
      <c r="AY890" s="1"/>
      <c r="AZ890" s="44"/>
      <c r="BC890" s="1"/>
      <c r="BD890" s="1"/>
      <c r="BE890" s="1"/>
      <c r="BF890" s="1"/>
      <c r="BG890" s="1"/>
      <c r="BH890" s="1"/>
      <c r="BI890" s="1"/>
      <c r="BJ890" s="1"/>
      <c r="BK890" s="44"/>
    </row>
    <row r="891" spans="1:63" s="11" customFormat="1" ht="12" customHeight="1" x14ac:dyDescent="0.15">
      <c r="A891" s="11" t="s">
        <v>26456</v>
      </c>
      <c r="B891" s="68">
        <v>50</v>
      </c>
      <c r="C891" s="11" t="s">
        <v>20</v>
      </c>
      <c r="D891" s="11" t="s">
        <v>139</v>
      </c>
      <c r="F891" s="69">
        <v>42653</v>
      </c>
      <c r="G891" s="11" t="s">
        <v>26457</v>
      </c>
      <c r="H891" s="11" t="s">
        <v>5954</v>
      </c>
      <c r="I891" s="11" t="s">
        <v>366</v>
      </c>
      <c r="J891" s="11">
        <v>28358</v>
      </c>
      <c r="K891" s="11" t="s">
        <v>5685</v>
      </c>
      <c r="L891" s="11" t="s">
        <v>16364</v>
      </c>
      <c r="M891" s="11" t="s">
        <v>27</v>
      </c>
      <c r="N891" s="11" t="s">
        <v>26458</v>
      </c>
      <c r="O891" s="11" t="s">
        <v>400</v>
      </c>
      <c r="P891" s="11" t="s">
        <v>401</v>
      </c>
      <c r="Q891" s="11" t="s">
        <v>26459</v>
      </c>
      <c r="R891" s="11" t="s">
        <v>100</v>
      </c>
      <c r="S891" s="11" t="s">
        <v>28</v>
      </c>
      <c r="T891" s="68" t="s">
        <v>27756</v>
      </c>
      <c r="U891" s="68" t="s">
        <v>29436</v>
      </c>
      <c r="V891" s="68" t="s">
        <v>29439</v>
      </c>
      <c r="W891" s="68" t="s">
        <v>100</v>
      </c>
      <c r="X891" s="68">
        <v>1949</v>
      </c>
      <c r="AU891" s="44"/>
      <c r="AV891" s="44"/>
      <c r="AW891" s="1"/>
      <c r="AX891" s="1"/>
      <c r="AY891" s="1"/>
      <c r="AZ891" s="44"/>
      <c r="BC891" s="1"/>
      <c r="BD891" s="1"/>
      <c r="BE891" s="1"/>
      <c r="BF891" s="1"/>
      <c r="BG891" s="1"/>
      <c r="BH891" s="1"/>
      <c r="BI891" s="1"/>
      <c r="BJ891" s="1"/>
      <c r="BK891" s="44"/>
    </row>
    <row r="892" spans="1:63" s="11" customFormat="1" ht="12" customHeight="1" x14ac:dyDescent="0.15">
      <c r="A892" s="11" t="s">
        <v>26444</v>
      </c>
      <c r="B892" s="11">
        <v>24</v>
      </c>
      <c r="C892" s="11" t="s">
        <v>20</v>
      </c>
      <c r="D892" s="11" t="s">
        <v>85</v>
      </c>
      <c r="E892" s="11" t="s">
        <v>26445</v>
      </c>
      <c r="F892" s="72">
        <v>42653</v>
      </c>
      <c r="G892" s="11" t="s">
        <v>27045</v>
      </c>
      <c r="H892" s="11" t="s">
        <v>26446</v>
      </c>
      <c r="I892" s="11" t="s">
        <v>978</v>
      </c>
      <c r="J892" s="11">
        <v>71913</v>
      </c>
      <c r="K892" s="11" t="s">
        <v>2514</v>
      </c>
      <c r="L892" s="11" t="s">
        <v>6483</v>
      </c>
      <c r="M892" s="11" t="s">
        <v>379</v>
      </c>
      <c r="N892" s="11" t="s">
        <v>26447</v>
      </c>
      <c r="O892" s="11" t="s">
        <v>400</v>
      </c>
      <c r="P892" s="11" t="s">
        <v>401</v>
      </c>
      <c r="Q892" s="11" t="s">
        <v>26448</v>
      </c>
      <c r="R892" s="11" t="s">
        <v>100</v>
      </c>
      <c r="S892" s="11" t="s">
        <v>379</v>
      </c>
      <c r="AU892" s="44"/>
      <c r="AV892" s="44"/>
      <c r="AW892" s="44"/>
      <c r="AX892" s="44"/>
      <c r="AY892" s="44"/>
      <c r="AZ892" s="1"/>
      <c r="BA892" s="1"/>
      <c r="BB892" s="1"/>
      <c r="BC892" s="44"/>
      <c r="BD892" s="44"/>
      <c r="BE892" s="44"/>
      <c r="BF892" s="44"/>
      <c r="BG892" s="44"/>
      <c r="BH892" s="44"/>
      <c r="BI892" s="44"/>
      <c r="BJ892" s="44"/>
      <c r="BK892" s="1"/>
    </row>
    <row r="893" spans="1:63" s="11" customFormat="1" ht="12" customHeight="1" x14ac:dyDescent="0.15">
      <c r="A893" s="11" t="s">
        <v>26464</v>
      </c>
      <c r="B893" s="68">
        <v>26</v>
      </c>
      <c r="C893" s="11" t="s">
        <v>20</v>
      </c>
      <c r="D893" s="11" t="s">
        <v>37</v>
      </c>
      <c r="E893" s="11" t="s">
        <v>26465</v>
      </c>
      <c r="F893" s="69">
        <v>42653</v>
      </c>
      <c r="G893" s="11" t="s">
        <v>26466</v>
      </c>
      <c r="H893" s="11" t="s">
        <v>26467</v>
      </c>
      <c r="I893" s="11" t="s">
        <v>69</v>
      </c>
      <c r="J893" s="11">
        <v>44145</v>
      </c>
      <c r="K893" s="11" t="s">
        <v>105</v>
      </c>
      <c r="L893" s="11" t="s">
        <v>26468</v>
      </c>
      <c r="M893" s="11" t="s">
        <v>27</v>
      </c>
      <c r="N893" s="11" t="s">
        <v>26469</v>
      </c>
      <c r="O893" s="11" t="s">
        <v>400</v>
      </c>
      <c r="P893" s="11" t="s">
        <v>401</v>
      </c>
      <c r="Q893" s="11" t="s">
        <v>26470</v>
      </c>
      <c r="R893" s="11" t="s">
        <v>100</v>
      </c>
      <c r="S893" s="11" t="s">
        <v>379</v>
      </c>
      <c r="T893" s="68" t="s">
        <v>379</v>
      </c>
      <c r="U893" s="68" t="s">
        <v>29436</v>
      </c>
      <c r="V893" s="68" t="s">
        <v>29437</v>
      </c>
      <c r="W893" s="68" t="s">
        <v>100</v>
      </c>
      <c r="X893" s="68">
        <v>1952</v>
      </c>
      <c r="AU893" s="44"/>
      <c r="AV893" s="44"/>
      <c r="AW893" s="44"/>
      <c r="AX893" s="1"/>
      <c r="AY893" s="1"/>
      <c r="AZ893" s="44"/>
      <c r="BC893" s="1"/>
      <c r="BD893" s="1"/>
      <c r="BE893" s="1"/>
      <c r="BF893" s="1"/>
      <c r="BG893" s="1"/>
      <c r="BH893" s="1"/>
      <c r="BI893" s="1"/>
      <c r="BJ893" s="1"/>
    </row>
    <row r="894" spans="1:63" s="11" customFormat="1" ht="12" customHeight="1" x14ac:dyDescent="0.15">
      <c r="A894" s="11" t="s">
        <v>26449</v>
      </c>
      <c r="B894" s="11">
        <v>26</v>
      </c>
      <c r="C894" s="11" t="s">
        <v>114</v>
      </c>
      <c r="D894" s="11" t="s">
        <v>37</v>
      </c>
      <c r="E894" s="11" t="s">
        <v>26450</v>
      </c>
      <c r="F894" s="72">
        <v>42653</v>
      </c>
      <c r="G894" s="11" t="s">
        <v>27045</v>
      </c>
      <c r="H894" s="11" t="s">
        <v>26446</v>
      </c>
      <c r="I894" s="11" t="s">
        <v>978</v>
      </c>
      <c r="J894" s="11">
        <v>71913</v>
      </c>
      <c r="K894" s="11" t="s">
        <v>2514</v>
      </c>
      <c r="L894" s="11" t="s">
        <v>6483</v>
      </c>
      <c r="M894" s="11" t="s">
        <v>379</v>
      </c>
      <c r="N894" s="11" t="s">
        <v>26447</v>
      </c>
      <c r="O894" s="11" t="s">
        <v>400</v>
      </c>
      <c r="P894" s="11" t="s">
        <v>401</v>
      </c>
      <c r="Q894" s="11" t="s">
        <v>26448</v>
      </c>
      <c r="R894" s="11" t="s">
        <v>100</v>
      </c>
      <c r="S894" s="66" t="s">
        <v>379</v>
      </c>
      <c r="T894" s="66" t="s">
        <v>30738</v>
      </c>
      <c r="U894" s="1"/>
      <c r="AU894" s="44"/>
      <c r="AV894" s="44"/>
      <c r="AW894" s="44"/>
      <c r="AX894" s="1"/>
      <c r="AY894" s="1"/>
      <c r="AZ894" s="1"/>
      <c r="BA894" s="1"/>
      <c r="BB894" s="1"/>
      <c r="BC894" s="1"/>
      <c r="BD894" s="1"/>
      <c r="BE894" s="1"/>
      <c r="BF894" s="1"/>
      <c r="BG894" s="1"/>
      <c r="BH894" s="1"/>
      <c r="BI894" s="1"/>
      <c r="BJ894" s="1"/>
      <c r="BK894" s="1"/>
    </row>
    <row r="895" spans="1:63" s="11" customFormat="1" ht="12" customHeight="1" x14ac:dyDescent="0.15">
      <c r="A895" s="11" t="s">
        <v>26438</v>
      </c>
      <c r="B895" s="11">
        <v>22</v>
      </c>
      <c r="C895" s="11" t="s">
        <v>20</v>
      </c>
      <c r="D895" s="11" t="s">
        <v>37</v>
      </c>
      <c r="E895" s="11" t="s">
        <v>26439</v>
      </c>
      <c r="F895" s="72">
        <v>42653</v>
      </c>
      <c r="G895" s="11" t="s">
        <v>26440</v>
      </c>
      <c r="H895" s="11" t="s">
        <v>21314</v>
      </c>
      <c r="I895" s="11" t="s">
        <v>133</v>
      </c>
      <c r="J895" s="11">
        <v>55337</v>
      </c>
      <c r="K895" s="11" t="s">
        <v>21315</v>
      </c>
      <c r="L895" s="11" t="s">
        <v>26441</v>
      </c>
      <c r="M895" s="11" t="s">
        <v>379</v>
      </c>
      <c r="N895" s="11" t="s">
        <v>26442</v>
      </c>
      <c r="O895" s="11" t="s">
        <v>1010</v>
      </c>
      <c r="P895" s="11" t="s">
        <v>401</v>
      </c>
      <c r="Q895" s="11" t="s">
        <v>26443</v>
      </c>
      <c r="R895" s="11" t="s">
        <v>100</v>
      </c>
      <c r="S895" s="11" t="s">
        <v>379</v>
      </c>
      <c r="AU895" s="44"/>
      <c r="AV895" s="44"/>
      <c r="AW895" s="44"/>
      <c r="AX895" s="1"/>
      <c r="AY895" s="1"/>
      <c r="AZ895" s="1"/>
      <c r="BA895" s="1"/>
      <c r="BB895" s="1"/>
      <c r="BC895" s="1"/>
      <c r="BD895" s="1"/>
      <c r="BE895" s="1"/>
      <c r="BF895" s="1"/>
      <c r="BG895" s="1"/>
      <c r="BH895" s="1"/>
      <c r="BI895" s="1"/>
      <c r="BJ895" s="1"/>
      <c r="BK895" s="1"/>
    </row>
    <row r="896" spans="1:63" s="11" customFormat="1" ht="12" customHeight="1" x14ac:dyDescent="0.2">
      <c r="A896" s="11" t="s">
        <v>26460</v>
      </c>
      <c r="B896" s="68">
        <v>19</v>
      </c>
      <c r="C896" s="11" t="s">
        <v>20</v>
      </c>
      <c r="D896" s="11" t="s">
        <v>139</v>
      </c>
      <c r="F896" s="69">
        <v>42653</v>
      </c>
      <c r="G896" s="11" t="s">
        <v>26461</v>
      </c>
      <c r="H896" s="11" t="s">
        <v>1941</v>
      </c>
      <c r="I896" s="11" t="s">
        <v>73</v>
      </c>
      <c r="J896" s="11">
        <v>79701</v>
      </c>
      <c r="K896" s="11" t="s">
        <v>1941</v>
      </c>
      <c r="L896" s="11" t="s">
        <v>1943</v>
      </c>
      <c r="M896" s="11" t="s">
        <v>27</v>
      </c>
      <c r="N896" s="11" t="s">
        <v>26462</v>
      </c>
      <c r="O896" s="11" t="s">
        <v>400</v>
      </c>
      <c r="P896" s="11" t="s">
        <v>401</v>
      </c>
      <c r="Q896" s="11" t="s">
        <v>26463</v>
      </c>
      <c r="R896" s="11" t="s">
        <v>29</v>
      </c>
      <c r="S896" s="11" t="s">
        <v>28</v>
      </c>
      <c r="T896" s="68" t="s">
        <v>27756</v>
      </c>
      <c r="U896" s="68" t="s">
        <v>29436</v>
      </c>
      <c r="V896" s="68"/>
      <c r="W896" s="68" t="s">
        <v>100</v>
      </c>
      <c r="X896" s="68">
        <v>1951</v>
      </c>
      <c r="AU896" s="44"/>
      <c r="AV896" s="44"/>
      <c r="AW896" s="70"/>
      <c r="AX896" s="1"/>
      <c r="AY896" s="1"/>
      <c r="AZ896" s="44"/>
      <c r="BA896" s="1"/>
      <c r="BB896" s="1"/>
      <c r="BC896" s="1"/>
      <c r="BD896" s="1"/>
      <c r="BE896" s="1"/>
      <c r="BF896" s="1"/>
      <c r="BG896" s="1"/>
      <c r="BH896" s="1"/>
      <c r="BI896" s="1"/>
      <c r="BJ896" s="1"/>
      <c r="BK896" s="44"/>
    </row>
    <row r="897" spans="1:63" s="11" customFormat="1" ht="12" customHeight="1" x14ac:dyDescent="0.15">
      <c r="A897" s="11" t="s">
        <v>26451</v>
      </c>
      <c r="B897" s="68">
        <v>27</v>
      </c>
      <c r="C897" s="11" t="s">
        <v>20</v>
      </c>
      <c r="D897" s="11" t="s">
        <v>48</v>
      </c>
      <c r="E897" s="11" t="s">
        <v>26452</v>
      </c>
      <c r="F897" s="69">
        <v>42653</v>
      </c>
      <c r="G897" s="11" t="s">
        <v>26453</v>
      </c>
      <c r="H897" s="11" t="s">
        <v>21225</v>
      </c>
      <c r="I897" s="11" t="s">
        <v>45</v>
      </c>
      <c r="J897" s="11">
        <v>92618</v>
      </c>
      <c r="K897" s="11" t="s">
        <v>1061</v>
      </c>
      <c r="L897" s="11" t="s">
        <v>957</v>
      </c>
      <c r="M897" s="11" t="s">
        <v>27</v>
      </c>
      <c r="N897" s="11" t="s">
        <v>26454</v>
      </c>
      <c r="O897" s="11" t="s">
        <v>400</v>
      </c>
      <c r="P897" s="11" t="s">
        <v>401</v>
      </c>
      <c r="Q897" s="11" t="s">
        <v>26455</v>
      </c>
      <c r="R897" s="68" t="s">
        <v>555</v>
      </c>
      <c r="S897" s="11" t="s">
        <v>35</v>
      </c>
      <c r="T897" s="66" t="s">
        <v>29441</v>
      </c>
      <c r="U897" s="68" t="s">
        <v>29436</v>
      </c>
      <c r="V897" s="68" t="s">
        <v>29439</v>
      </c>
      <c r="W897" s="68" t="s">
        <v>100</v>
      </c>
      <c r="X897" s="68">
        <v>1950</v>
      </c>
      <c r="AU897" s="44"/>
      <c r="AV897" s="44"/>
      <c r="AW897" s="44"/>
      <c r="AX897" s="1"/>
      <c r="AY897" s="1"/>
      <c r="AZ897" s="44"/>
      <c r="BA897" s="44"/>
      <c r="BC897" s="1"/>
      <c r="BD897" s="1"/>
      <c r="BE897" s="1"/>
      <c r="BF897" s="1"/>
      <c r="BG897" s="1"/>
      <c r="BH897" s="1"/>
      <c r="BI897" s="1"/>
      <c r="BJ897" s="1"/>
      <c r="BK897" s="1"/>
    </row>
    <row r="898" spans="1:63" s="11" customFormat="1" ht="12" customHeight="1" x14ac:dyDescent="0.15">
      <c r="A898" s="11" t="s">
        <v>26290</v>
      </c>
      <c r="B898" s="68">
        <v>41</v>
      </c>
      <c r="C898" s="11" t="s">
        <v>20</v>
      </c>
      <c r="D898" s="11" t="s">
        <v>85</v>
      </c>
      <c r="F898" s="69">
        <v>42652</v>
      </c>
      <c r="G898" s="11" t="s">
        <v>26293</v>
      </c>
      <c r="H898" s="11" t="s">
        <v>5000</v>
      </c>
      <c r="I898" s="11" t="s">
        <v>423</v>
      </c>
      <c r="J898" s="11">
        <v>13210</v>
      </c>
      <c r="K898" s="11" t="s">
        <v>13309</v>
      </c>
      <c r="L898" s="11" t="s">
        <v>21423</v>
      </c>
      <c r="M898" s="11" t="s">
        <v>27</v>
      </c>
      <c r="N898" s="11" t="s">
        <v>26291</v>
      </c>
      <c r="O898" s="11" t="s">
        <v>400</v>
      </c>
      <c r="P898" s="11" t="s">
        <v>401</v>
      </c>
      <c r="Q898" s="11" t="s">
        <v>26292</v>
      </c>
      <c r="R898" s="11" t="s">
        <v>29</v>
      </c>
      <c r="S898" s="11" t="s">
        <v>28</v>
      </c>
      <c r="T898" s="68" t="s">
        <v>27756</v>
      </c>
      <c r="U898" s="68" t="s">
        <v>29438</v>
      </c>
      <c r="V898" s="68" t="s">
        <v>29439</v>
      </c>
      <c r="W898" s="68" t="s">
        <v>100</v>
      </c>
      <c r="X898" s="68">
        <v>1943</v>
      </c>
      <c r="AU898" s="44"/>
      <c r="AV898" s="44"/>
      <c r="AW898" s="1"/>
      <c r="AX898" s="44"/>
      <c r="AY898" s="44"/>
      <c r="AZ898" s="44"/>
      <c r="BA898" s="1"/>
      <c r="BB898" s="1"/>
      <c r="BC898" s="44"/>
      <c r="BD898" s="44"/>
      <c r="BE898" s="44"/>
      <c r="BF898" s="44"/>
      <c r="BG898" s="44"/>
      <c r="BH898" s="44"/>
      <c r="BI898" s="44"/>
      <c r="BJ898" s="44"/>
      <c r="BK898" s="44"/>
    </row>
    <row r="899" spans="1:63" s="11" customFormat="1" ht="12" customHeight="1" x14ac:dyDescent="0.2">
      <c r="A899" s="11" t="s">
        <v>26433</v>
      </c>
      <c r="B899" s="68">
        <v>40</v>
      </c>
      <c r="C899" s="11" t="s">
        <v>20</v>
      </c>
      <c r="D899" s="11" t="s">
        <v>37</v>
      </c>
      <c r="E899" s="11" t="s">
        <v>26434</v>
      </c>
      <c r="F899" s="69">
        <v>42652</v>
      </c>
      <c r="G899" s="11" t="s">
        <v>26435</v>
      </c>
      <c r="H899" s="11" t="s">
        <v>687</v>
      </c>
      <c r="I899" s="11" t="s">
        <v>123</v>
      </c>
      <c r="J899" s="11">
        <v>85054</v>
      </c>
      <c r="K899" s="11" t="s">
        <v>633</v>
      </c>
      <c r="L899" s="11" t="s">
        <v>11142</v>
      </c>
      <c r="M899" s="11" t="s">
        <v>27</v>
      </c>
      <c r="N899" s="11" t="s">
        <v>26436</v>
      </c>
      <c r="O899" s="11" t="s">
        <v>400</v>
      </c>
      <c r="P899" s="11" t="s">
        <v>401</v>
      </c>
      <c r="Q899" s="11" t="s">
        <v>26437</v>
      </c>
      <c r="R899" s="68" t="s">
        <v>555</v>
      </c>
      <c r="S899" s="11" t="s">
        <v>28</v>
      </c>
      <c r="T899" s="68" t="s">
        <v>27756</v>
      </c>
      <c r="U899" s="68" t="s">
        <v>29436</v>
      </c>
      <c r="V899" s="68" t="s">
        <v>29437</v>
      </c>
      <c r="W899" s="68" t="s">
        <v>100</v>
      </c>
      <c r="X899" s="68">
        <v>1954</v>
      </c>
      <c r="AU899" s="44"/>
      <c r="AV899" s="44"/>
      <c r="AW899" s="44"/>
      <c r="AX899" s="1"/>
      <c r="AY899" s="1"/>
      <c r="AZ899" s="44"/>
      <c r="BA899" s="70"/>
      <c r="BB899" s="44"/>
      <c r="BC899" s="1"/>
      <c r="BD899" s="1"/>
      <c r="BE899" s="1"/>
      <c r="BF899" s="1"/>
      <c r="BG899" s="1"/>
      <c r="BH899" s="1"/>
      <c r="BI899" s="1"/>
      <c r="BJ899" s="1"/>
      <c r="BK899" s="44"/>
    </row>
    <row r="900" spans="1:63" s="11" customFormat="1" ht="12" customHeight="1" x14ac:dyDescent="0.15">
      <c r="A900" s="11" t="s">
        <v>26421</v>
      </c>
      <c r="B900" s="68">
        <v>53</v>
      </c>
      <c r="C900" s="11" t="s">
        <v>114</v>
      </c>
      <c r="D900" s="11" t="s">
        <v>37</v>
      </c>
      <c r="F900" s="69">
        <v>42651</v>
      </c>
      <c r="G900" s="11" t="s">
        <v>26422</v>
      </c>
      <c r="H900" s="11" t="s">
        <v>10247</v>
      </c>
      <c r="I900" s="11" t="s">
        <v>45</v>
      </c>
      <c r="J900" s="11">
        <v>95355</v>
      </c>
      <c r="K900" s="11" t="s">
        <v>3204</v>
      </c>
      <c r="L900" s="11" t="s">
        <v>10249</v>
      </c>
      <c r="M900" s="11" t="s">
        <v>27</v>
      </c>
      <c r="N900" s="11" t="s">
        <v>26423</v>
      </c>
      <c r="O900" s="11" t="s">
        <v>400</v>
      </c>
      <c r="P900" s="11" t="s">
        <v>401</v>
      </c>
      <c r="Q900" s="11" t="s">
        <v>26424</v>
      </c>
      <c r="R900" s="11" t="s">
        <v>964</v>
      </c>
      <c r="S900" s="11" t="s">
        <v>28</v>
      </c>
      <c r="T900" s="68" t="s">
        <v>29493</v>
      </c>
      <c r="U900" s="68" t="s">
        <v>29438</v>
      </c>
      <c r="V900" s="68" t="s">
        <v>29439</v>
      </c>
      <c r="W900" s="68" t="s">
        <v>100</v>
      </c>
      <c r="X900" s="68">
        <v>1956</v>
      </c>
      <c r="AU900" s="44"/>
      <c r="AV900" s="44"/>
      <c r="AW900" s="1"/>
      <c r="AX900" s="1"/>
      <c r="AY900" s="1"/>
      <c r="AZ900" s="44"/>
      <c r="BA900" s="44"/>
      <c r="BB900" s="44"/>
      <c r="BC900" s="1"/>
      <c r="BD900" s="1"/>
      <c r="BE900" s="1"/>
      <c r="BF900" s="1"/>
      <c r="BG900" s="1"/>
      <c r="BH900" s="1"/>
      <c r="BI900" s="1"/>
      <c r="BJ900" s="1"/>
      <c r="BK900" s="44"/>
    </row>
    <row r="901" spans="1:63" s="11" customFormat="1" ht="12" customHeight="1" x14ac:dyDescent="0.15">
      <c r="A901" s="11" t="s">
        <v>26425</v>
      </c>
      <c r="B901" s="68">
        <v>39</v>
      </c>
      <c r="C901" s="11" t="s">
        <v>20</v>
      </c>
      <c r="D901" s="11" t="s">
        <v>37</v>
      </c>
      <c r="E901" s="11" t="s">
        <v>26426</v>
      </c>
      <c r="F901" s="69">
        <v>42651</v>
      </c>
      <c r="G901" s="11" t="s">
        <v>26427</v>
      </c>
      <c r="H901" s="11" t="s">
        <v>26428</v>
      </c>
      <c r="I901" s="11" t="s">
        <v>395</v>
      </c>
      <c r="J901" s="11">
        <v>74883</v>
      </c>
      <c r="K901" s="11" t="s">
        <v>26429</v>
      </c>
      <c r="L901" s="11" t="s">
        <v>26430</v>
      </c>
      <c r="M901" s="11" t="s">
        <v>27</v>
      </c>
      <c r="N901" s="11" t="s">
        <v>26431</v>
      </c>
      <c r="O901" s="11" t="s">
        <v>400</v>
      </c>
      <c r="P901" s="11" t="s">
        <v>401</v>
      </c>
      <c r="Q901" s="11" t="s">
        <v>26432</v>
      </c>
      <c r="R901" s="11" t="s">
        <v>100</v>
      </c>
      <c r="S901" s="11" t="s">
        <v>379</v>
      </c>
      <c r="T901" s="68" t="s">
        <v>379</v>
      </c>
      <c r="U901" s="68" t="s">
        <v>29436</v>
      </c>
      <c r="V901" s="68" t="s">
        <v>29439</v>
      </c>
      <c r="W901" s="68" t="s">
        <v>100</v>
      </c>
      <c r="X901" s="68">
        <v>1947</v>
      </c>
      <c r="AU901" s="44"/>
      <c r="AV901" s="44"/>
      <c r="AW901" s="44"/>
      <c r="AX901" s="1"/>
      <c r="AY901" s="1"/>
      <c r="AZ901" s="44"/>
      <c r="BC901" s="1"/>
      <c r="BD901" s="1"/>
      <c r="BE901" s="1"/>
      <c r="BF901" s="1"/>
      <c r="BG901" s="1"/>
      <c r="BH901" s="1"/>
      <c r="BI901" s="1"/>
      <c r="BJ901" s="1"/>
    </row>
    <row r="902" spans="1:63" s="11" customFormat="1" ht="12" customHeight="1" x14ac:dyDescent="0.15">
      <c r="A902" s="11" t="s">
        <v>26416</v>
      </c>
      <c r="B902" s="68">
        <v>62</v>
      </c>
      <c r="C902" s="11" t="s">
        <v>20</v>
      </c>
      <c r="D902" s="11" t="s">
        <v>37</v>
      </c>
      <c r="E902" s="11" t="s">
        <v>26417</v>
      </c>
      <c r="F902" s="69">
        <v>42651</v>
      </c>
      <c r="G902" s="11" t="s">
        <v>26418</v>
      </c>
      <c r="H902" s="11" t="s">
        <v>1801</v>
      </c>
      <c r="I902" s="11" t="s">
        <v>217</v>
      </c>
      <c r="J902" s="11">
        <v>46803</v>
      </c>
      <c r="K902" s="11" t="s">
        <v>1803</v>
      </c>
      <c r="L902" s="11" t="s">
        <v>1804</v>
      </c>
      <c r="M902" s="11" t="s">
        <v>27</v>
      </c>
      <c r="N902" s="11" t="s">
        <v>26419</v>
      </c>
      <c r="O902" s="11" t="s">
        <v>400</v>
      </c>
      <c r="P902" s="11" t="s">
        <v>401</v>
      </c>
      <c r="Q902" s="11" t="s">
        <v>26420</v>
      </c>
      <c r="R902" s="11" t="s">
        <v>29</v>
      </c>
      <c r="S902" s="11" t="s">
        <v>28</v>
      </c>
      <c r="T902" s="68" t="s">
        <v>29493</v>
      </c>
      <c r="U902" s="68" t="s">
        <v>29436</v>
      </c>
      <c r="V902" s="68" t="s">
        <v>29439</v>
      </c>
      <c r="W902" s="68" t="s">
        <v>100</v>
      </c>
      <c r="X902" s="68">
        <v>2143</v>
      </c>
      <c r="AU902" s="44"/>
      <c r="AV902" s="44"/>
      <c r="AW902" s="1"/>
      <c r="AX902" s="1"/>
      <c r="AY902" s="1"/>
      <c r="AZ902" s="44"/>
      <c r="BA902" s="1"/>
      <c r="BB902" s="1"/>
      <c r="BC902" s="1"/>
      <c r="BD902" s="1"/>
      <c r="BE902" s="1"/>
      <c r="BF902" s="1"/>
      <c r="BG902" s="1"/>
      <c r="BH902" s="1"/>
      <c r="BI902" s="1"/>
      <c r="BJ902" s="1"/>
      <c r="BK902" s="44"/>
    </row>
    <row r="903" spans="1:63" s="11" customFormat="1" ht="12" customHeight="1" x14ac:dyDescent="0.2">
      <c r="A903" s="11" t="s">
        <v>26412</v>
      </c>
      <c r="B903" s="68">
        <v>21</v>
      </c>
      <c r="C903" s="11" t="s">
        <v>20</v>
      </c>
      <c r="D903" s="11" t="s">
        <v>48</v>
      </c>
      <c r="F903" s="69">
        <v>42651</v>
      </c>
      <c r="G903" s="11" t="s">
        <v>26413</v>
      </c>
      <c r="H903" s="11" t="s">
        <v>17171</v>
      </c>
      <c r="I903" s="11" t="s">
        <v>303</v>
      </c>
      <c r="J903" s="11">
        <v>98003</v>
      </c>
      <c r="K903" s="11" t="s">
        <v>1209</v>
      </c>
      <c r="L903" s="11" t="s">
        <v>17173</v>
      </c>
      <c r="M903" s="11" t="s">
        <v>27</v>
      </c>
      <c r="N903" s="11" t="s">
        <v>26414</v>
      </c>
      <c r="O903" s="11" t="s">
        <v>400</v>
      </c>
      <c r="P903" s="11" t="s">
        <v>401</v>
      </c>
      <c r="Q903" s="11" t="s">
        <v>26415</v>
      </c>
      <c r="R903" s="11" t="s">
        <v>555</v>
      </c>
      <c r="S903" s="11" t="s">
        <v>28</v>
      </c>
      <c r="T903" s="68" t="s">
        <v>29493</v>
      </c>
      <c r="U903" s="68" t="s">
        <v>29436</v>
      </c>
      <c r="V903" s="68" t="s">
        <v>29439</v>
      </c>
      <c r="W903" s="68" t="s">
        <v>100</v>
      </c>
      <c r="X903" s="68">
        <v>1942</v>
      </c>
      <c r="AW903" s="70"/>
      <c r="AX903" s="1"/>
      <c r="AY903" s="1"/>
      <c r="AZ903" s="44"/>
      <c r="BA903" s="44"/>
      <c r="BC903" s="1"/>
      <c r="BD903" s="1"/>
      <c r="BE903" s="1"/>
      <c r="BF903" s="1"/>
      <c r="BG903" s="1"/>
      <c r="BH903" s="1"/>
      <c r="BI903" s="1"/>
      <c r="BJ903" s="1"/>
      <c r="BK903" s="44"/>
    </row>
    <row r="904" spans="1:63" s="11" customFormat="1" ht="12" customHeight="1" x14ac:dyDescent="0.15">
      <c r="A904" s="11" t="s">
        <v>26406</v>
      </c>
      <c r="B904" s="68">
        <v>57</v>
      </c>
      <c r="C904" s="11" t="s">
        <v>20</v>
      </c>
      <c r="D904" s="11" t="s">
        <v>85</v>
      </c>
      <c r="F904" s="69">
        <v>42650</v>
      </c>
      <c r="G904" s="11" t="s">
        <v>26407</v>
      </c>
      <c r="H904" s="11" t="s">
        <v>1549</v>
      </c>
      <c r="I904" s="11" t="s">
        <v>173</v>
      </c>
      <c r="J904" s="11">
        <v>31206</v>
      </c>
      <c r="K904" s="11" t="s">
        <v>26408</v>
      </c>
      <c r="L904" s="11" t="s">
        <v>26409</v>
      </c>
      <c r="M904" s="11" t="s">
        <v>27</v>
      </c>
      <c r="N904" s="11" t="s">
        <v>26410</v>
      </c>
      <c r="O904" s="11" t="s">
        <v>400</v>
      </c>
      <c r="P904" s="11" t="s">
        <v>401</v>
      </c>
      <c r="Q904" s="11" t="s">
        <v>26411</v>
      </c>
      <c r="R904" s="11" t="s">
        <v>100</v>
      </c>
      <c r="S904" s="11" t="s">
        <v>28</v>
      </c>
      <c r="T904" s="68"/>
      <c r="U904" s="68" t="s">
        <v>29436</v>
      </c>
      <c r="V904" s="68" t="s">
        <v>29439</v>
      </c>
      <c r="W904" s="68" t="s">
        <v>100</v>
      </c>
      <c r="X904" s="68">
        <v>1944</v>
      </c>
      <c r="AU904" s="44"/>
      <c r="AV904" s="44"/>
      <c r="AW904" s="1"/>
      <c r="AX904" s="44"/>
      <c r="AY904" s="44"/>
      <c r="AZ904" s="44"/>
      <c r="BC904" s="44"/>
      <c r="BD904" s="44"/>
      <c r="BE904" s="44"/>
      <c r="BF904" s="44"/>
      <c r="BG904" s="44"/>
      <c r="BH904" s="44"/>
      <c r="BI904" s="44"/>
      <c r="BJ904" s="44"/>
      <c r="BK904" s="44"/>
    </row>
    <row r="905" spans="1:63" s="11" customFormat="1" ht="12" customHeight="1" x14ac:dyDescent="0.15">
      <c r="A905" s="11" t="s">
        <v>26386</v>
      </c>
      <c r="B905" s="11">
        <v>28</v>
      </c>
      <c r="C905" s="11" t="s">
        <v>20</v>
      </c>
      <c r="D905" s="11" t="s">
        <v>85</v>
      </c>
      <c r="F905" s="69">
        <v>42650</v>
      </c>
      <c r="G905" s="11" t="s">
        <v>26387</v>
      </c>
      <c r="H905" s="11" t="s">
        <v>339</v>
      </c>
      <c r="I905" s="11" t="s">
        <v>25</v>
      </c>
      <c r="J905" s="11">
        <v>71303</v>
      </c>
      <c r="K905" s="11" t="s">
        <v>3127</v>
      </c>
      <c r="L905" s="11" t="s">
        <v>3128</v>
      </c>
      <c r="M905" s="11" t="s">
        <v>27</v>
      </c>
      <c r="N905" s="11" t="s">
        <v>26388</v>
      </c>
      <c r="O905" s="11" t="s">
        <v>400</v>
      </c>
      <c r="P905" s="11" t="s">
        <v>401</v>
      </c>
      <c r="Q905" s="11" t="s">
        <v>26389</v>
      </c>
      <c r="R905" s="11" t="s">
        <v>100</v>
      </c>
      <c r="S905" s="11" t="s">
        <v>28</v>
      </c>
      <c r="T905" s="68" t="s">
        <v>27756</v>
      </c>
      <c r="U905" s="68" t="s">
        <v>29438</v>
      </c>
      <c r="V905" s="68" t="s">
        <v>29439</v>
      </c>
      <c r="W905" s="68" t="s">
        <v>100</v>
      </c>
      <c r="X905" s="68">
        <v>1948</v>
      </c>
      <c r="AU905" s="44"/>
      <c r="AV905" s="44"/>
      <c r="AW905" s="1"/>
      <c r="AX905" s="44"/>
      <c r="AY905" s="44"/>
      <c r="AZ905" s="44"/>
      <c r="BC905" s="44"/>
      <c r="BD905" s="44"/>
      <c r="BE905" s="44"/>
      <c r="BF905" s="44"/>
      <c r="BG905" s="44"/>
      <c r="BH905" s="44"/>
      <c r="BI905" s="44"/>
      <c r="BJ905" s="44"/>
      <c r="BK905" s="44"/>
    </row>
    <row r="906" spans="1:63" s="11" customFormat="1" ht="12" customHeight="1" x14ac:dyDescent="0.15">
      <c r="A906" s="11" t="s">
        <v>26404</v>
      </c>
      <c r="B906" s="68">
        <v>42</v>
      </c>
      <c r="C906" s="11" t="s">
        <v>20</v>
      </c>
      <c r="D906" s="11" t="s">
        <v>37</v>
      </c>
      <c r="E906" s="11" t="s">
        <v>26405</v>
      </c>
      <c r="F906" s="69">
        <v>42650</v>
      </c>
      <c r="G906" s="11" t="s">
        <v>26399</v>
      </c>
      <c r="H906" s="11" t="s">
        <v>26400</v>
      </c>
      <c r="I906" s="11" t="s">
        <v>94</v>
      </c>
      <c r="J906" s="11">
        <v>35645</v>
      </c>
      <c r="K906" s="11" t="s">
        <v>2751</v>
      </c>
      <c r="L906" s="11" t="s">
        <v>26401</v>
      </c>
      <c r="M906" s="11" t="s">
        <v>27</v>
      </c>
      <c r="N906" s="11" t="s">
        <v>26402</v>
      </c>
      <c r="O906" s="11" t="s">
        <v>400</v>
      </c>
      <c r="P906" s="11" t="s">
        <v>401</v>
      </c>
      <c r="Q906" s="11" t="s">
        <v>26403</v>
      </c>
      <c r="R906" s="11" t="s">
        <v>100</v>
      </c>
      <c r="S906" s="11" t="s">
        <v>28</v>
      </c>
      <c r="T906" s="68" t="s">
        <v>27756</v>
      </c>
      <c r="U906" s="68" t="s">
        <v>29438</v>
      </c>
      <c r="V906" s="68" t="s">
        <v>29439</v>
      </c>
      <c r="W906" s="68" t="s">
        <v>100</v>
      </c>
      <c r="X906" s="68">
        <v>1946</v>
      </c>
      <c r="AU906" s="44"/>
      <c r="AV906" s="44"/>
      <c r="AW906" s="1"/>
      <c r="AX906" s="1"/>
      <c r="AY906" s="1"/>
      <c r="AZ906" s="44"/>
      <c r="BC906" s="1"/>
      <c r="BD906" s="1"/>
      <c r="BE906" s="1"/>
      <c r="BF906" s="1"/>
      <c r="BG906" s="1"/>
      <c r="BH906" s="1"/>
      <c r="BI906" s="1"/>
      <c r="BJ906" s="1"/>
      <c r="BK906" s="44"/>
    </row>
    <row r="907" spans="1:63" s="11" customFormat="1" ht="12" customHeight="1" x14ac:dyDescent="0.15">
      <c r="A907" s="11" t="s">
        <v>26394</v>
      </c>
      <c r="B907" s="68">
        <v>36</v>
      </c>
      <c r="C907" s="11" t="s">
        <v>20</v>
      </c>
      <c r="D907" s="11" t="s">
        <v>37</v>
      </c>
      <c r="E907" s="11" t="s">
        <v>26395</v>
      </c>
      <c r="F907" s="69">
        <v>42650</v>
      </c>
      <c r="G907" s="11" t="s">
        <v>26396</v>
      </c>
      <c r="H907" s="11" t="s">
        <v>1801</v>
      </c>
      <c r="I907" s="11" t="s">
        <v>217</v>
      </c>
      <c r="J907" s="11">
        <v>46825</v>
      </c>
      <c r="K907" s="11" t="s">
        <v>1803</v>
      </c>
      <c r="L907" s="11" t="s">
        <v>1804</v>
      </c>
      <c r="M907" s="11" t="s">
        <v>27</v>
      </c>
      <c r="N907" s="11" t="s">
        <v>26397</v>
      </c>
      <c r="O907" s="11" t="s">
        <v>400</v>
      </c>
      <c r="P907" s="11" t="s">
        <v>401</v>
      </c>
      <c r="Q907" s="11" t="s">
        <v>26398</v>
      </c>
      <c r="R907" s="11" t="s">
        <v>100</v>
      </c>
      <c r="S907" s="11" t="s">
        <v>28</v>
      </c>
      <c r="T907" s="68" t="s">
        <v>29493</v>
      </c>
      <c r="U907" s="68" t="s">
        <v>29436</v>
      </c>
      <c r="V907" s="68" t="s">
        <v>29439</v>
      </c>
      <c r="W907" s="68" t="s">
        <v>100</v>
      </c>
      <c r="X907" s="68">
        <v>1945</v>
      </c>
      <c r="AU907" s="44"/>
      <c r="AV907" s="44"/>
      <c r="AX907" s="1"/>
      <c r="AY907" s="1"/>
      <c r="AZ907" s="44"/>
      <c r="BC907" s="1"/>
      <c r="BD907" s="1"/>
      <c r="BE907" s="1"/>
      <c r="BF907" s="1"/>
      <c r="BG907" s="1"/>
      <c r="BH907" s="1"/>
      <c r="BI907" s="1"/>
      <c r="BJ907" s="1"/>
      <c r="BK907" s="44"/>
    </row>
    <row r="908" spans="1:63" s="11" customFormat="1" ht="12" customHeight="1" x14ac:dyDescent="0.2">
      <c r="A908" s="66" t="s">
        <v>30628</v>
      </c>
      <c r="B908" s="66">
        <v>29</v>
      </c>
      <c r="C908" s="66" t="s">
        <v>20</v>
      </c>
      <c r="D908" s="66" t="s">
        <v>37</v>
      </c>
      <c r="E908" s="66" t="s">
        <v>30629</v>
      </c>
      <c r="F908" s="69">
        <v>42650</v>
      </c>
      <c r="G908" s="66" t="s">
        <v>30630</v>
      </c>
      <c r="H908" s="66" t="s">
        <v>30631</v>
      </c>
      <c r="I908" s="66" t="s">
        <v>73</v>
      </c>
      <c r="J908" s="66" t="s">
        <v>30632</v>
      </c>
      <c r="K908" s="66" t="s">
        <v>18113</v>
      </c>
      <c r="L908" s="66" t="s">
        <v>30633</v>
      </c>
      <c r="M908" s="66" t="s">
        <v>379</v>
      </c>
      <c r="N908" s="66" t="s">
        <v>30634</v>
      </c>
      <c r="O908" s="66" t="s">
        <v>1010</v>
      </c>
      <c r="P908" s="66" t="s">
        <v>30375</v>
      </c>
      <c r="Q908" s="76" t="s">
        <v>30635</v>
      </c>
      <c r="R908" s="66" t="s">
        <v>100</v>
      </c>
      <c r="S908" s="66" t="s">
        <v>379</v>
      </c>
      <c r="T908" s="77"/>
      <c r="U908" s="77"/>
      <c r="V908" s="77"/>
      <c r="W908" s="77"/>
      <c r="X908" s="77"/>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78"/>
      <c r="AW908" s="78"/>
      <c r="AX908" s="78"/>
      <c r="AY908" s="78"/>
      <c r="AZ908" s="78"/>
      <c r="BA908" s="78"/>
      <c r="BB908" s="78"/>
      <c r="BC908" s="78"/>
      <c r="BD908" s="78"/>
      <c r="BE908" s="78"/>
      <c r="BF908" s="78"/>
      <c r="BG908" s="78"/>
      <c r="BH908" s="78"/>
      <c r="BI908" s="78"/>
      <c r="BJ908" s="78"/>
      <c r="BK908" s="1"/>
    </row>
    <row r="909" spans="1:63" s="11" customFormat="1" ht="12" customHeight="1" x14ac:dyDescent="0.15">
      <c r="A909" s="11" t="s">
        <v>26390</v>
      </c>
      <c r="B909" s="68">
        <v>49</v>
      </c>
      <c r="C909" s="11" t="s">
        <v>20</v>
      </c>
      <c r="D909" s="11" t="s">
        <v>37</v>
      </c>
      <c r="E909" s="11" t="s">
        <v>26391</v>
      </c>
      <c r="F909" s="69">
        <v>42650</v>
      </c>
      <c r="G909" s="11" t="s">
        <v>27044</v>
      </c>
      <c r="H909" s="11" t="s">
        <v>2508</v>
      </c>
      <c r="I909" s="11" t="s">
        <v>978</v>
      </c>
      <c r="J909" s="11">
        <v>72015</v>
      </c>
      <c r="K909" s="11" t="s">
        <v>5087</v>
      </c>
      <c r="L909" s="11" t="s">
        <v>15052</v>
      </c>
      <c r="M909" s="11" t="s">
        <v>27</v>
      </c>
      <c r="N909" s="11" t="s">
        <v>26392</v>
      </c>
      <c r="O909" s="11" t="s">
        <v>400</v>
      </c>
      <c r="P909" s="11" t="s">
        <v>401</v>
      </c>
      <c r="Q909" s="11" t="s">
        <v>26393</v>
      </c>
      <c r="R909" s="11" t="s">
        <v>29</v>
      </c>
      <c r="S909" s="11" t="s">
        <v>18</v>
      </c>
      <c r="T909" s="68" t="s">
        <v>29612</v>
      </c>
      <c r="U909" s="68" t="s">
        <v>29436</v>
      </c>
      <c r="V909" s="68" t="s">
        <v>29439</v>
      </c>
      <c r="W909" s="68" t="s">
        <v>100</v>
      </c>
      <c r="X909" s="68">
        <v>1953</v>
      </c>
      <c r="AU909" s="44"/>
      <c r="AV909" s="44"/>
      <c r="AW909" s="1"/>
      <c r="AX909" s="1"/>
      <c r="AY909" s="1"/>
      <c r="AZ909" s="44"/>
      <c r="BA909" s="1"/>
      <c r="BB909" s="1"/>
      <c r="BC909" s="1"/>
      <c r="BD909" s="1"/>
      <c r="BE909" s="1"/>
      <c r="BF909" s="1"/>
      <c r="BG909" s="1"/>
      <c r="BH909" s="1"/>
      <c r="BI909" s="1"/>
      <c r="BJ909" s="1"/>
      <c r="BK909" s="1"/>
    </row>
    <row r="910" spans="1:63" s="11" customFormat="1" ht="12" customHeight="1" x14ac:dyDescent="0.15">
      <c r="A910" s="11" t="s">
        <v>26381</v>
      </c>
      <c r="B910" s="11">
        <v>46</v>
      </c>
      <c r="C910" s="11" t="s">
        <v>20</v>
      </c>
      <c r="D910" s="11" t="s">
        <v>37</v>
      </c>
      <c r="E910" s="11" t="s">
        <v>26382</v>
      </c>
      <c r="F910" s="72">
        <v>42649</v>
      </c>
      <c r="G910" s="11" t="s">
        <v>26383</v>
      </c>
      <c r="H910" s="11" t="s">
        <v>723</v>
      </c>
      <c r="I910" s="11" t="s">
        <v>73</v>
      </c>
      <c r="J910" s="11">
        <v>77030</v>
      </c>
      <c r="K910" s="11" t="s">
        <v>558</v>
      </c>
      <c r="L910" s="11" t="s">
        <v>559</v>
      </c>
      <c r="M910" s="11" t="s">
        <v>27</v>
      </c>
      <c r="N910" s="11" t="s">
        <v>26384</v>
      </c>
      <c r="O910" s="11" t="s">
        <v>400</v>
      </c>
      <c r="P910" s="11" t="s">
        <v>401</v>
      </c>
      <c r="Q910" s="11" t="s">
        <v>26385</v>
      </c>
      <c r="R910" s="11" t="s">
        <v>100</v>
      </c>
      <c r="S910" s="11" t="s">
        <v>28</v>
      </c>
      <c r="T910" s="68"/>
      <c r="U910" s="68"/>
      <c r="V910" s="68"/>
      <c r="W910" s="68"/>
      <c r="X910" s="68"/>
      <c r="AU910" s="44"/>
      <c r="AV910" s="44"/>
      <c r="AW910" s="1"/>
      <c r="AX910" s="1"/>
      <c r="AY910" s="1"/>
      <c r="AZ910" s="1"/>
      <c r="BA910" s="1"/>
      <c r="BB910" s="1"/>
      <c r="BC910" s="1"/>
      <c r="BD910" s="1"/>
      <c r="BE910" s="1"/>
      <c r="BF910" s="1"/>
      <c r="BG910" s="1"/>
      <c r="BH910" s="1"/>
      <c r="BI910" s="1"/>
      <c r="BJ910" s="1"/>
      <c r="BK910" s="44"/>
    </row>
    <row r="911" spans="1:63" s="11" customFormat="1" ht="12" customHeight="1" x14ac:dyDescent="0.15">
      <c r="A911" s="11" t="s">
        <v>26375</v>
      </c>
      <c r="B911" s="68">
        <v>35</v>
      </c>
      <c r="C911" s="11" t="s">
        <v>20</v>
      </c>
      <c r="D911" s="11" t="s">
        <v>37</v>
      </c>
      <c r="E911" s="11" t="s">
        <v>26376</v>
      </c>
      <c r="F911" s="69">
        <v>42648</v>
      </c>
      <c r="G911" s="11" t="s">
        <v>26377</v>
      </c>
      <c r="H911" s="11" t="s">
        <v>26378</v>
      </c>
      <c r="I911" s="11" t="s">
        <v>32</v>
      </c>
      <c r="J911" s="11">
        <v>29461</v>
      </c>
      <c r="K911" s="11" t="s">
        <v>5329</v>
      </c>
      <c r="L911" s="11" t="s">
        <v>19314</v>
      </c>
      <c r="M911" s="11" t="s">
        <v>27</v>
      </c>
      <c r="N911" s="11" t="s">
        <v>26379</v>
      </c>
      <c r="O911" s="11" t="s">
        <v>400</v>
      </c>
      <c r="P911" s="11" t="s">
        <v>401</v>
      </c>
      <c r="Q911" s="11" t="s">
        <v>26380</v>
      </c>
      <c r="R911" s="11" t="s">
        <v>100</v>
      </c>
      <c r="S911" s="11" t="s">
        <v>379</v>
      </c>
      <c r="T911" s="11" t="s">
        <v>379</v>
      </c>
      <c r="U911" s="68" t="s">
        <v>29438</v>
      </c>
      <c r="V911" s="68" t="s">
        <v>29437</v>
      </c>
      <c r="W911" s="68" t="s">
        <v>100</v>
      </c>
      <c r="X911" s="68">
        <v>1939</v>
      </c>
      <c r="AU911" s="44"/>
      <c r="AV911" s="44"/>
      <c r="AX911" s="1"/>
      <c r="AY911" s="1"/>
      <c r="AZ911" s="44"/>
      <c r="BC911" s="1"/>
      <c r="BD911" s="1"/>
      <c r="BE911" s="1"/>
      <c r="BF911" s="1"/>
      <c r="BG911" s="1"/>
      <c r="BH911" s="1"/>
      <c r="BI911" s="1"/>
      <c r="BJ911" s="1"/>
    </row>
    <row r="912" spans="1:63" s="11" customFormat="1" ht="12" customHeight="1" x14ac:dyDescent="0.15">
      <c r="A912" s="11" t="s">
        <v>26372</v>
      </c>
      <c r="B912" s="11">
        <v>32</v>
      </c>
      <c r="C912" s="11" t="s">
        <v>20</v>
      </c>
      <c r="D912" s="11" t="s">
        <v>30</v>
      </c>
      <c r="F912" s="72">
        <v>42648</v>
      </c>
      <c r="G912" s="11" t="s">
        <v>27043</v>
      </c>
      <c r="H912" s="11" t="s">
        <v>5410</v>
      </c>
      <c r="I912" s="11" t="s">
        <v>319</v>
      </c>
      <c r="J912" s="11">
        <v>38343</v>
      </c>
      <c r="K912" s="11" t="s">
        <v>10713</v>
      </c>
      <c r="L912" s="11" t="s">
        <v>19247</v>
      </c>
      <c r="M912" s="11" t="s">
        <v>27</v>
      </c>
      <c r="N912" s="11" t="s">
        <v>26373</v>
      </c>
      <c r="O912" s="11" t="s">
        <v>400</v>
      </c>
      <c r="P912" s="11" t="s">
        <v>401</v>
      </c>
      <c r="Q912" s="11" t="s">
        <v>26374</v>
      </c>
      <c r="R912" s="11" t="s">
        <v>29</v>
      </c>
      <c r="S912" s="11" t="s">
        <v>28</v>
      </c>
      <c r="T912" s="68"/>
      <c r="U912" s="68"/>
      <c r="V912" s="68"/>
      <c r="W912" s="68"/>
      <c r="X912" s="68"/>
      <c r="AU912" s="44"/>
      <c r="AV912" s="44"/>
      <c r="AW912" s="1"/>
      <c r="AX912" s="1"/>
      <c r="AY912" s="1"/>
      <c r="AZ912" s="1"/>
      <c r="BA912" s="1"/>
      <c r="BB912" s="1"/>
      <c r="BC912" s="1"/>
      <c r="BD912" s="1"/>
      <c r="BE912" s="1"/>
      <c r="BF912" s="1"/>
      <c r="BG912" s="1"/>
      <c r="BH912" s="1"/>
      <c r="BI912" s="1"/>
      <c r="BJ912" s="1"/>
      <c r="BK912" s="44"/>
    </row>
    <row r="913" spans="1:63" s="11" customFormat="1" ht="12" customHeight="1" x14ac:dyDescent="0.15">
      <c r="A913" s="11" t="s">
        <v>26366</v>
      </c>
      <c r="B913" s="68">
        <v>28</v>
      </c>
      <c r="C913" s="11" t="s">
        <v>20</v>
      </c>
      <c r="D913" s="11" t="s">
        <v>37</v>
      </c>
      <c r="E913" s="11" t="s">
        <v>26367</v>
      </c>
      <c r="F913" s="69">
        <v>42648</v>
      </c>
      <c r="G913" s="11" t="s">
        <v>26368</v>
      </c>
      <c r="H913" s="11" t="s">
        <v>996</v>
      </c>
      <c r="I913" s="11" t="s">
        <v>209</v>
      </c>
      <c r="J913" s="11">
        <v>80309</v>
      </c>
      <c r="K913" s="11" t="s">
        <v>996</v>
      </c>
      <c r="L913" s="11" t="s">
        <v>26369</v>
      </c>
      <c r="M913" s="11" t="s">
        <v>27</v>
      </c>
      <c r="N913" s="11" t="s">
        <v>26370</v>
      </c>
      <c r="O913" s="11" t="s">
        <v>400</v>
      </c>
      <c r="P913" s="11" t="s">
        <v>401</v>
      </c>
      <c r="Q913" s="11" t="s">
        <v>26371</v>
      </c>
      <c r="R913" s="11" t="s">
        <v>555</v>
      </c>
      <c r="S913" s="11" t="s">
        <v>28</v>
      </c>
      <c r="T913" s="68" t="s">
        <v>29459</v>
      </c>
      <c r="U913" s="68" t="s">
        <v>29436</v>
      </c>
      <c r="V913" s="68" t="s">
        <v>29439</v>
      </c>
      <c r="W913" s="68" t="s">
        <v>100</v>
      </c>
      <c r="X913" s="68">
        <v>1937</v>
      </c>
      <c r="AU913" s="44"/>
      <c r="AV913" s="44"/>
      <c r="AW913" s="44"/>
      <c r="AX913" s="1"/>
      <c r="AY913" s="1"/>
      <c r="AZ913" s="44"/>
      <c r="BA913" s="44"/>
      <c r="BC913" s="1"/>
      <c r="BD913" s="1"/>
      <c r="BE913" s="1"/>
      <c r="BF913" s="1"/>
      <c r="BG913" s="1"/>
      <c r="BH913" s="1"/>
      <c r="BI913" s="1"/>
      <c r="BJ913" s="1"/>
      <c r="BK913" s="44"/>
    </row>
    <row r="914" spans="1:63" s="11" customFormat="1" ht="12" customHeight="1" x14ac:dyDescent="0.15">
      <c r="A914" s="11" t="s">
        <v>26353</v>
      </c>
      <c r="B914" s="68">
        <v>31</v>
      </c>
      <c r="C914" s="11" t="s">
        <v>20</v>
      </c>
      <c r="D914" s="11" t="s">
        <v>48</v>
      </c>
      <c r="E914" s="11" t="s">
        <v>26354</v>
      </c>
      <c r="F914" s="69">
        <v>42647</v>
      </c>
      <c r="G914" s="11" t="s">
        <v>26355</v>
      </c>
      <c r="H914" s="11" t="s">
        <v>26356</v>
      </c>
      <c r="I914" s="11" t="s">
        <v>62</v>
      </c>
      <c r="J914" s="11">
        <v>33578</v>
      </c>
      <c r="K914" s="11" t="s">
        <v>638</v>
      </c>
      <c r="L914" s="11" t="s">
        <v>639</v>
      </c>
      <c r="M914" s="11" t="s">
        <v>27</v>
      </c>
      <c r="N914" s="11" t="s">
        <v>26357</v>
      </c>
      <c r="O914" s="11" t="s">
        <v>400</v>
      </c>
      <c r="P914" s="11" t="s">
        <v>401</v>
      </c>
      <c r="Q914" s="11" t="s">
        <v>26358</v>
      </c>
      <c r="R914" s="11" t="s">
        <v>100</v>
      </c>
      <c r="S914" s="11" t="s">
        <v>35</v>
      </c>
      <c r="T914" s="68" t="s">
        <v>29462</v>
      </c>
      <c r="U914" s="68" t="s">
        <v>29438</v>
      </c>
      <c r="V914" s="68" t="s">
        <v>29440</v>
      </c>
      <c r="W914" s="68" t="s">
        <v>100</v>
      </c>
      <c r="X914" s="68">
        <v>1935</v>
      </c>
      <c r="AU914" s="44"/>
      <c r="AV914" s="44"/>
      <c r="AX914" s="1"/>
      <c r="AY914" s="1"/>
      <c r="AZ914" s="44"/>
      <c r="BC914" s="1"/>
      <c r="BD914" s="1"/>
      <c r="BE914" s="1"/>
      <c r="BF914" s="1"/>
      <c r="BG914" s="1"/>
      <c r="BH914" s="1"/>
      <c r="BI914" s="1"/>
      <c r="BJ914" s="1"/>
      <c r="BK914" s="1"/>
    </row>
    <row r="915" spans="1:63" s="11" customFormat="1" ht="12" customHeight="1" x14ac:dyDescent="0.15">
      <c r="A915" s="11" t="s">
        <v>26359</v>
      </c>
      <c r="B915" s="68">
        <v>26</v>
      </c>
      <c r="C915" s="11" t="s">
        <v>20</v>
      </c>
      <c r="D915" s="11" t="s">
        <v>37</v>
      </c>
      <c r="E915" s="11" t="s">
        <v>26360</v>
      </c>
      <c r="F915" s="69">
        <v>42647</v>
      </c>
      <c r="G915" s="11" t="s">
        <v>26361</v>
      </c>
      <c r="H915" s="11" t="s">
        <v>26362</v>
      </c>
      <c r="I915" s="11" t="s">
        <v>978</v>
      </c>
      <c r="J915" s="11">
        <v>72764</v>
      </c>
      <c r="K915" s="11" t="s">
        <v>118</v>
      </c>
      <c r="L915" s="11" t="s">
        <v>26363</v>
      </c>
      <c r="M915" s="11" t="s">
        <v>27</v>
      </c>
      <c r="N915" s="11" t="s">
        <v>26364</v>
      </c>
      <c r="O915" s="11" t="s">
        <v>400</v>
      </c>
      <c r="P915" s="11" t="s">
        <v>401</v>
      </c>
      <c r="Q915" s="11" t="s">
        <v>26365</v>
      </c>
      <c r="R915" s="11" t="s">
        <v>29</v>
      </c>
      <c r="S915" s="11" t="s">
        <v>28</v>
      </c>
      <c r="T915" s="68" t="s">
        <v>27756</v>
      </c>
      <c r="U915" s="68" t="s">
        <v>29438</v>
      </c>
      <c r="V915" s="68" t="s">
        <v>29439</v>
      </c>
      <c r="W915" s="68" t="s">
        <v>100</v>
      </c>
      <c r="X915" s="68">
        <v>1936</v>
      </c>
      <c r="AU915" s="44"/>
      <c r="AV915" s="44"/>
      <c r="AW915" s="44"/>
      <c r="AX915" s="1"/>
      <c r="AY915" s="1"/>
      <c r="AZ915" s="44"/>
      <c r="BA915" s="1"/>
      <c r="BB915" s="1"/>
      <c r="BC915" s="1"/>
      <c r="BD915" s="1"/>
      <c r="BE915" s="1"/>
      <c r="BF915" s="1"/>
      <c r="BG915" s="1"/>
      <c r="BH915" s="1"/>
      <c r="BI915" s="1"/>
      <c r="BJ915" s="1"/>
      <c r="BK915" s="44"/>
    </row>
    <row r="916" spans="1:63" s="11" customFormat="1" ht="12" customHeight="1" x14ac:dyDescent="0.15">
      <c r="A916" s="11" t="s">
        <v>26340</v>
      </c>
      <c r="B916" s="11">
        <v>66</v>
      </c>
      <c r="C916" s="11" t="s">
        <v>20</v>
      </c>
      <c r="D916" s="11" t="s">
        <v>37</v>
      </c>
      <c r="E916" s="11" t="s">
        <v>26341</v>
      </c>
      <c r="F916" s="72">
        <v>42647</v>
      </c>
      <c r="G916" s="11" t="s">
        <v>27042</v>
      </c>
      <c r="H916" s="11" t="s">
        <v>3870</v>
      </c>
      <c r="I916" s="11" t="s">
        <v>45</v>
      </c>
      <c r="J916" s="11">
        <v>91506</v>
      </c>
      <c r="K916" s="11" t="s">
        <v>98</v>
      </c>
      <c r="L916" s="11" t="s">
        <v>26342</v>
      </c>
      <c r="M916" s="1" t="s">
        <v>391</v>
      </c>
      <c r="N916" s="11" t="s">
        <v>26343</v>
      </c>
      <c r="O916" s="11" t="s">
        <v>400</v>
      </c>
      <c r="P916" s="11" t="s">
        <v>401</v>
      </c>
      <c r="Q916" s="11" t="s">
        <v>26344</v>
      </c>
      <c r="R916" s="11" t="s">
        <v>29</v>
      </c>
      <c r="S916" s="11" t="s">
        <v>18</v>
      </c>
      <c r="AX916" s="1"/>
      <c r="AY916" s="1"/>
      <c r="AZ916" s="1"/>
      <c r="BA916" s="1"/>
      <c r="BB916" s="1"/>
      <c r="BC916" s="1"/>
      <c r="BD916" s="1"/>
      <c r="BE916" s="1"/>
      <c r="BF916" s="1"/>
      <c r="BG916" s="1"/>
      <c r="BH916" s="1"/>
      <c r="BI916" s="1"/>
      <c r="BJ916" s="1"/>
      <c r="BK916" s="1"/>
    </row>
    <row r="917" spans="1:63" s="11" customFormat="1" ht="12" customHeight="1" x14ac:dyDescent="0.15">
      <c r="A917" s="11" t="s">
        <v>26345</v>
      </c>
      <c r="B917" s="68">
        <v>51</v>
      </c>
      <c r="C917" s="11" t="s">
        <v>20</v>
      </c>
      <c r="D917" s="11" t="s">
        <v>37</v>
      </c>
      <c r="E917" s="11" t="s">
        <v>26346</v>
      </c>
      <c r="F917" s="69">
        <v>42647</v>
      </c>
      <c r="G917" s="11" t="s">
        <v>26347</v>
      </c>
      <c r="H917" s="11" t="s">
        <v>26348</v>
      </c>
      <c r="I917" s="11" t="s">
        <v>57</v>
      </c>
      <c r="J917" s="11">
        <v>49745</v>
      </c>
      <c r="K917" s="11" t="s">
        <v>26349</v>
      </c>
      <c r="L917" s="11" t="s">
        <v>26350</v>
      </c>
      <c r="M917" s="11" t="s">
        <v>27</v>
      </c>
      <c r="N917" s="11" t="s">
        <v>26351</v>
      </c>
      <c r="O917" s="11" t="s">
        <v>400</v>
      </c>
      <c r="P917" s="11" t="s">
        <v>401</v>
      </c>
      <c r="Q917" s="11" t="s">
        <v>26352</v>
      </c>
      <c r="R917" s="11" t="s">
        <v>555</v>
      </c>
      <c r="S917" s="11" t="s">
        <v>28</v>
      </c>
      <c r="T917" s="68" t="s">
        <v>27756</v>
      </c>
      <c r="U917" s="68" t="s">
        <v>29436</v>
      </c>
      <c r="V917" s="68" t="s">
        <v>29439</v>
      </c>
      <c r="W917" s="68" t="s">
        <v>100</v>
      </c>
      <c r="X917" s="68">
        <v>1938</v>
      </c>
      <c r="AU917" s="44"/>
      <c r="AV917" s="44"/>
      <c r="AW917" s="1"/>
      <c r="AX917" s="1"/>
      <c r="AY917" s="1"/>
      <c r="AZ917" s="44"/>
      <c r="BA917" s="44"/>
      <c r="BC917" s="1"/>
      <c r="BD917" s="1"/>
      <c r="BE917" s="1"/>
      <c r="BF917" s="1"/>
      <c r="BG917" s="1"/>
      <c r="BH917" s="1"/>
      <c r="BI917" s="1"/>
      <c r="BJ917" s="1"/>
      <c r="BK917" s="44"/>
    </row>
    <row r="918" spans="1:63" s="11" customFormat="1" ht="12" customHeight="1" x14ac:dyDescent="0.15">
      <c r="A918" s="11" t="s">
        <v>26336</v>
      </c>
      <c r="B918" s="68">
        <v>57</v>
      </c>
      <c r="C918" s="11" t="s">
        <v>20</v>
      </c>
      <c r="D918" s="11" t="s">
        <v>37</v>
      </c>
      <c r="F918" s="69">
        <v>42646</v>
      </c>
      <c r="G918" s="11" t="s">
        <v>26337</v>
      </c>
      <c r="H918" s="11" t="s">
        <v>1272</v>
      </c>
      <c r="I918" s="11" t="s">
        <v>46</v>
      </c>
      <c r="J918" s="11">
        <v>1902</v>
      </c>
      <c r="K918" s="11" t="s">
        <v>528</v>
      </c>
      <c r="L918" s="11" t="s">
        <v>1273</v>
      </c>
      <c r="M918" s="11" t="s">
        <v>27</v>
      </c>
      <c r="N918" s="11" t="s">
        <v>26338</v>
      </c>
      <c r="O918" s="11" t="s">
        <v>400</v>
      </c>
      <c r="P918" s="11" t="s">
        <v>401</v>
      </c>
      <c r="Q918" s="11" t="s">
        <v>26339</v>
      </c>
      <c r="R918" s="11" t="s">
        <v>100</v>
      </c>
      <c r="S918" s="11" t="s">
        <v>28</v>
      </c>
      <c r="T918" s="68" t="s">
        <v>27756</v>
      </c>
      <c r="U918" s="68" t="s">
        <v>29438</v>
      </c>
      <c r="V918" s="68" t="s">
        <v>29439</v>
      </c>
      <c r="W918" s="68" t="s">
        <v>100</v>
      </c>
      <c r="X918" s="68">
        <v>1932</v>
      </c>
      <c r="AU918" s="44"/>
      <c r="AV918" s="44"/>
      <c r="AW918" s="1"/>
      <c r="AX918" s="1"/>
      <c r="AY918" s="1"/>
      <c r="AZ918" s="44"/>
      <c r="BC918" s="1"/>
      <c r="BD918" s="1"/>
      <c r="BE918" s="1"/>
      <c r="BF918" s="1"/>
      <c r="BG918" s="1"/>
      <c r="BH918" s="1"/>
      <c r="BI918" s="1"/>
      <c r="BJ918" s="1"/>
      <c r="BK918" s="44"/>
    </row>
    <row r="919" spans="1:63" s="11" customFormat="1" ht="12" customHeight="1" x14ac:dyDescent="0.15">
      <c r="A919" s="11" t="s">
        <v>26331</v>
      </c>
      <c r="B919" s="11">
        <v>32</v>
      </c>
      <c r="C919" s="11" t="s">
        <v>20</v>
      </c>
      <c r="D919" s="11" t="s">
        <v>139</v>
      </c>
      <c r="E919" s="11" t="s">
        <v>26332</v>
      </c>
      <c r="F919" s="72">
        <v>42646</v>
      </c>
      <c r="G919" s="11" t="s">
        <v>26333</v>
      </c>
      <c r="H919" s="11" t="s">
        <v>18375</v>
      </c>
      <c r="I919" s="11" t="s">
        <v>463</v>
      </c>
      <c r="J919" s="11">
        <v>69343</v>
      </c>
      <c r="K919" s="11" t="s">
        <v>26334</v>
      </c>
      <c r="L919" s="11" t="s">
        <v>16772</v>
      </c>
      <c r="M919" s="11" t="s">
        <v>379</v>
      </c>
      <c r="N919" s="11" t="s">
        <v>27088</v>
      </c>
      <c r="O919" s="11" t="s">
        <v>400</v>
      </c>
      <c r="P919" s="11" t="s">
        <v>401</v>
      </c>
      <c r="Q919" s="11" t="s">
        <v>26335</v>
      </c>
      <c r="R919" s="11" t="s">
        <v>100</v>
      </c>
      <c r="S919" s="11" t="s">
        <v>379</v>
      </c>
      <c r="AU919" s="44"/>
      <c r="AV919" s="44"/>
      <c r="AW919" s="44"/>
      <c r="AX919" s="1"/>
      <c r="AY919" s="1"/>
      <c r="AZ919" s="1"/>
      <c r="BA919" s="1"/>
      <c r="BB919" s="1"/>
      <c r="BC919" s="1"/>
      <c r="BD919" s="1"/>
      <c r="BE919" s="1"/>
      <c r="BF919" s="1"/>
      <c r="BG919" s="1"/>
      <c r="BH919" s="1"/>
      <c r="BI919" s="1"/>
      <c r="BJ919" s="1"/>
      <c r="BK919" s="1"/>
    </row>
    <row r="920" spans="1:63" s="44" customFormat="1" ht="12" customHeight="1" x14ac:dyDescent="0.15">
      <c r="A920" s="11" t="s">
        <v>26326</v>
      </c>
      <c r="B920" s="68">
        <v>49</v>
      </c>
      <c r="C920" s="11" t="s">
        <v>20</v>
      </c>
      <c r="D920" s="11" t="s">
        <v>37</v>
      </c>
      <c r="E920" s="11"/>
      <c r="F920" s="69">
        <v>42646</v>
      </c>
      <c r="G920" s="11" t="s">
        <v>27041</v>
      </c>
      <c r="H920" s="11" t="s">
        <v>26327</v>
      </c>
      <c r="I920" s="11" t="s">
        <v>81</v>
      </c>
      <c r="J920" s="11">
        <v>8406</v>
      </c>
      <c r="K920" s="11" t="s">
        <v>1400</v>
      </c>
      <c r="L920" s="11" t="s">
        <v>26328</v>
      </c>
      <c r="M920" s="11" t="s">
        <v>27</v>
      </c>
      <c r="N920" s="11" t="s">
        <v>26329</v>
      </c>
      <c r="O920" s="11" t="s">
        <v>400</v>
      </c>
      <c r="P920" s="11" t="s">
        <v>401</v>
      </c>
      <c r="Q920" s="11" t="s">
        <v>26330</v>
      </c>
      <c r="R920" s="11" t="s">
        <v>29</v>
      </c>
      <c r="S920" s="11" t="s">
        <v>28</v>
      </c>
      <c r="T920" s="68" t="s">
        <v>27756</v>
      </c>
      <c r="U920" s="68" t="s">
        <v>29436</v>
      </c>
      <c r="V920" s="68" t="s">
        <v>29439</v>
      </c>
      <c r="W920" s="68" t="s">
        <v>100</v>
      </c>
      <c r="X920" s="68">
        <v>1933</v>
      </c>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W920" s="1"/>
      <c r="AX920" s="1"/>
      <c r="AY920" s="1"/>
      <c r="BA920" s="1"/>
      <c r="BB920" s="1"/>
      <c r="BC920" s="1"/>
      <c r="BD920" s="1"/>
      <c r="BE920" s="1"/>
      <c r="BF920" s="1"/>
      <c r="BG920" s="1"/>
      <c r="BH920" s="1"/>
      <c r="BI920" s="1"/>
      <c r="BJ920" s="1"/>
    </row>
    <row r="921" spans="1:63" s="44" customFormat="1" ht="12" customHeight="1" x14ac:dyDescent="0.15">
      <c r="A921" s="11" t="s">
        <v>26321</v>
      </c>
      <c r="B921" s="11">
        <v>84</v>
      </c>
      <c r="C921" s="11" t="s">
        <v>114</v>
      </c>
      <c r="D921" s="11" t="s">
        <v>37</v>
      </c>
      <c r="E921" s="11"/>
      <c r="F921" s="72">
        <v>42645</v>
      </c>
      <c r="G921" s="11" t="s">
        <v>26322</v>
      </c>
      <c r="H921" s="11" t="s">
        <v>26323</v>
      </c>
      <c r="I921" s="11" t="s">
        <v>978</v>
      </c>
      <c r="J921" s="11">
        <v>72461</v>
      </c>
      <c r="K921" s="11" t="s">
        <v>3395</v>
      </c>
      <c r="L921" s="11" t="s">
        <v>3396</v>
      </c>
      <c r="M921" s="11" t="s">
        <v>379</v>
      </c>
      <c r="N921" s="11" t="s">
        <v>26324</v>
      </c>
      <c r="O921" s="11" t="s">
        <v>400</v>
      </c>
      <c r="P921" s="11" t="s">
        <v>401</v>
      </c>
      <c r="Q921" s="11" t="s">
        <v>26325</v>
      </c>
      <c r="R921" s="11" t="s">
        <v>100</v>
      </c>
      <c r="S921" s="66" t="s">
        <v>379</v>
      </c>
      <c r="T921" s="66" t="s">
        <v>30738</v>
      </c>
      <c r="U921" s="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X921" s="1"/>
      <c r="AY921" s="1"/>
      <c r="AZ921" s="1"/>
      <c r="BA921" s="1"/>
      <c r="BB921" s="1"/>
      <c r="BC921" s="1"/>
      <c r="BD921" s="1"/>
      <c r="BE921" s="1"/>
      <c r="BF921" s="1"/>
      <c r="BG921" s="1"/>
      <c r="BH921" s="1"/>
      <c r="BI921" s="1"/>
      <c r="BJ921" s="1"/>
      <c r="BK921" s="1"/>
    </row>
    <row r="922" spans="1:63" s="44" customFormat="1" ht="12" customHeight="1" x14ac:dyDescent="0.15">
      <c r="A922" s="11" t="s">
        <v>26271</v>
      </c>
      <c r="B922" s="68">
        <v>36</v>
      </c>
      <c r="C922" s="11" t="s">
        <v>20</v>
      </c>
      <c r="D922" s="11" t="s">
        <v>85</v>
      </c>
      <c r="E922" s="11"/>
      <c r="F922" s="69">
        <v>42645</v>
      </c>
      <c r="G922" s="11" t="s">
        <v>26214</v>
      </c>
      <c r="H922" s="11" t="s">
        <v>26215</v>
      </c>
      <c r="I922" s="11" t="s">
        <v>44</v>
      </c>
      <c r="J922" s="11">
        <v>60428</v>
      </c>
      <c r="K922" s="11" t="s">
        <v>88</v>
      </c>
      <c r="L922" s="11" t="s">
        <v>26216</v>
      </c>
      <c r="M922" s="11" t="s">
        <v>27</v>
      </c>
      <c r="N922" s="11" t="s">
        <v>26217</v>
      </c>
      <c r="O922" s="11" t="s">
        <v>400</v>
      </c>
      <c r="P922" s="11" t="s">
        <v>401</v>
      </c>
      <c r="Q922" s="11" t="s">
        <v>26218</v>
      </c>
      <c r="R922" s="11" t="s">
        <v>29</v>
      </c>
      <c r="S922" s="11" t="s">
        <v>35</v>
      </c>
      <c r="T922" s="68" t="s">
        <v>29442</v>
      </c>
      <c r="U922" s="68" t="s">
        <v>29436</v>
      </c>
      <c r="V922" s="68" t="s">
        <v>29439</v>
      </c>
      <c r="W922" s="68" t="s">
        <v>100</v>
      </c>
      <c r="X922" s="68">
        <v>1924</v>
      </c>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W922" s="11"/>
      <c r="AX922" s="11"/>
      <c r="AY922" s="11"/>
      <c r="BA922" s="1"/>
      <c r="BB922" s="1"/>
      <c r="BK922" s="1"/>
    </row>
    <row r="923" spans="1:63" s="44" customFormat="1" ht="12" customHeight="1" x14ac:dyDescent="0.2">
      <c r="A923" s="11" t="s">
        <v>26312</v>
      </c>
      <c r="B923" s="11">
        <v>63</v>
      </c>
      <c r="C923" s="11" t="s">
        <v>20</v>
      </c>
      <c r="D923" s="11" t="s">
        <v>48</v>
      </c>
      <c r="E923" s="11" t="s">
        <v>26313</v>
      </c>
      <c r="F923" s="72">
        <v>42645</v>
      </c>
      <c r="G923" s="11" t="s">
        <v>26314</v>
      </c>
      <c r="H923" s="11" t="s">
        <v>679</v>
      </c>
      <c r="I923" s="11" t="s">
        <v>45</v>
      </c>
      <c r="J923" s="11">
        <v>93304</v>
      </c>
      <c r="K923" s="11" t="s">
        <v>680</v>
      </c>
      <c r="L923" s="11" t="s">
        <v>681</v>
      </c>
      <c r="M923" s="11" t="s">
        <v>3154</v>
      </c>
      <c r="N923" s="11" t="s">
        <v>26315</v>
      </c>
      <c r="O923" s="11" t="s">
        <v>400</v>
      </c>
      <c r="P923" s="11" t="s">
        <v>401</v>
      </c>
      <c r="Q923" s="11" t="s">
        <v>26316</v>
      </c>
      <c r="R923" s="11" t="s">
        <v>29</v>
      </c>
      <c r="S923" s="11" t="s">
        <v>35</v>
      </c>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70"/>
      <c r="AU923" s="70"/>
      <c r="AV923" s="70"/>
      <c r="AW923" s="1"/>
      <c r="AX923" s="1"/>
      <c r="AY923" s="1"/>
      <c r="AZ923" s="1"/>
      <c r="BA923" s="1"/>
      <c r="BB923" s="64"/>
      <c r="BC923" s="64"/>
      <c r="BD923" s="64"/>
      <c r="BE923" s="64"/>
      <c r="BF923" s="64"/>
      <c r="BG923" s="64"/>
      <c r="BH923" s="64"/>
      <c r="BI923" s="64"/>
      <c r="BJ923" s="70"/>
      <c r="BK923" s="78"/>
    </row>
    <row r="924" spans="1:63" s="44" customFormat="1" ht="12" customHeight="1" x14ac:dyDescent="0.2">
      <c r="A924" s="11" t="s">
        <v>26317</v>
      </c>
      <c r="B924" s="68">
        <v>16</v>
      </c>
      <c r="C924" s="11" t="s">
        <v>20</v>
      </c>
      <c r="D924" s="11" t="s">
        <v>48</v>
      </c>
      <c r="E924" s="11"/>
      <c r="F924" s="69">
        <v>42645</v>
      </c>
      <c r="G924" s="11" t="s">
        <v>26318</v>
      </c>
      <c r="H924" s="11" t="s">
        <v>98</v>
      </c>
      <c r="I924" s="11" t="s">
        <v>45</v>
      </c>
      <c r="J924" s="11">
        <v>90011</v>
      </c>
      <c r="K924" s="11" t="s">
        <v>98</v>
      </c>
      <c r="L924" s="11" t="s">
        <v>99</v>
      </c>
      <c r="M924" s="11" t="s">
        <v>27</v>
      </c>
      <c r="N924" s="11" t="s">
        <v>26319</v>
      </c>
      <c r="O924" s="11" t="s">
        <v>400</v>
      </c>
      <c r="P924" s="11" t="s">
        <v>401</v>
      </c>
      <c r="Q924" s="11" t="s">
        <v>26320</v>
      </c>
      <c r="R924" s="68" t="s">
        <v>555</v>
      </c>
      <c r="S924" s="11" t="s">
        <v>18</v>
      </c>
      <c r="T924" s="68" t="s">
        <v>29612</v>
      </c>
      <c r="U924" s="68" t="s">
        <v>29438</v>
      </c>
      <c r="V924" s="68" t="s">
        <v>29439</v>
      </c>
      <c r="W924" s="68" t="s">
        <v>555</v>
      </c>
      <c r="X924" s="68">
        <v>1922</v>
      </c>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W924" s="70"/>
      <c r="AX924" s="1"/>
      <c r="AY924" s="1"/>
      <c r="BA924" s="70"/>
      <c r="BC924" s="1"/>
      <c r="BD924" s="1"/>
      <c r="BE924" s="1"/>
      <c r="BF924" s="1"/>
      <c r="BG924" s="1"/>
      <c r="BH924" s="1"/>
      <c r="BI924" s="1"/>
      <c r="BJ924" s="1"/>
      <c r="BK924" s="1"/>
    </row>
    <row r="925" spans="1:63" s="44" customFormat="1" ht="12" customHeight="1" x14ac:dyDescent="0.2">
      <c r="A925" s="11" t="s">
        <v>26224</v>
      </c>
      <c r="B925" s="68">
        <v>18</v>
      </c>
      <c r="C925" s="11" t="s">
        <v>20</v>
      </c>
      <c r="D925" s="11" t="s">
        <v>85</v>
      </c>
      <c r="E925" s="11"/>
      <c r="F925" s="69">
        <v>42644</v>
      </c>
      <c r="G925" s="11" t="s">
        <v>26225</v>
      </c>
      <c r="H925" s="11" t="s">
        <v>98</v>
      </c>
      <c r="I925" s="11" t="s">
        <v>45</v>
      </c>
      <c r="J925" s="11">
        <v>90044</v>
      </c>
      <c r="K925" s="11" t="s">
        <v>98</v>
      </c>
      <c r="L925" s="11" t="s">
        <v>99</v>
      </c>
      <c r="M925" s="11" t="s">
        <v>27</v>
      </c>
      <c r="N925" s="11" t="s">
        <v>26226</v>
      </c>
      <c r="O925" s="11" t="s">
        <v>400</v>
      </c>
      <c r="P925" s="11" t="s">
        <v>401</v>
      </c>
      <c r="Q925" s="11" t="s">
        <v>26227</v>
      </c>
      <c r="R925" s="11" t="s">
        <v>100</v>
      </c>
      <c r="S925" s="2" t="s">
        <v>28</v>
      </c>
      <c r="T925" s="68" t="s">
        <v>27756</v>
      </c>
      <c r="U925" s="68" t="s">
        <v>29441</v>
      </c>
      <c r="V925" s="68" t="s">
        <v>29440</v>
      </c>
      <c r="W925" s="68" t="s">
        <v>555</v>
      </c>
      <c r="X925" s="68">
        <v>1925</v>
      </c>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W925" s="70"/>
      <c r="AX925" s="70"/>
      <c r="AY925" s="70"/>
      <c r="BA925" s="11"/>
      <c r="BB925" s="11"/>
    </row>
    <row r="926" spans="1:63" s="44" customFormat="1" ht="12" customHeight="1" x14ac:dyDescent="0.15">
      <c r="A926" s="11" t="s">
        <v>26219</v>
      </c>
      <c r="B926" s="68">
        <v>28</v>
      </c>
      <c r="C926" s="11" t="s">
        <v>20</v>
      </c>
      <c r="D926" s="11" t="s">
        <v>37</v>
      </c>
      <c r="E926" s="11" t="s">
        <v>26284</v>
      </c>
      <c r="F926" s="69">
        <v>42644</v>
      </c>
      <c r="G926" s="11" t="s">
        <v>26220</v>
      </c>
      <c r="H926" s="11" t="s">
        <v>26221</v>
      </c>
      <c r="I926" s="11" t="s">
        <v>150</v>
      </c>
      <c r="J926" s="11">
        <v>25109</v>
      </c>
      <c r="K926" s="11" t="s">
        <v>2095</v>
      </c>
      <c r="L926" s="11" t="s">
        <v>2096</v>
      </c>
      <c r="M926" s="11" t="s">
        <v>27</v>
      </c>
      <c r="N926" s="11" t="s">
        <v>26222</v>
      </c>
      <c r="O926" s="11" t="s">
        <v>400</v>
      </c>
      <c r="P926" s="11" t="s">
        <v>401</v>
      </c>
      <c r="Q926" s="11" t="s">
        <v>26223</v>
      </c>
      <c r="R926" s="11" t="s">
        <v>29</v>
      </c>
      <c r="S926" s="11" t="s">
        <v>28</v>
      </c>
      <c r="T926" s="68" t="s">
        <v>27756</v>
      </c>
      <c r="U926" s="68" t="s">
        <v>29438</v>
      </c>
      <c r="V926" s="68" t="s">
        <v>29440</v>
      </c>
      <c r="W926" s="68" t="s">
        <v>100</v>
      </c>
      <c r="X926" s="68">
        <v>1923</v>
      </c>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X926" s="1"/>
      <c r="AY926" s="1"/>
      <c r="BA926" s="1"/>
      <c r="BB926" s="1"/>
      <c r="BC926" s="1"/>
      <c r="BD926" s="1"/>
      <c r="BE926" s="1"/>
      <c r="BF926" s="1"/>
      <c r="BG926" s="1"/>
      <c r="BH926" s="1"/>
      <c r="BI926" s="1"/>
      <c r="BJ926" s="1"/>
    </row>
    <row r="927" spans="1:63" s="44" customFormat="1" ht="12" customHeight="1" x14ac:dyDescent="0.2">
      <c r="A927" s="11" t="s">
        <v>26236</v>
      </c>
      <c r="B927" s="68">
        <v>18</v>
      </c>
      <c r="C927" s="11" t="s">
        <v>20</v>
      </c>
      <c r="D927" s="11" t="s">
        <v>85</v>
      </c>
      <c r="E927" s="11" t="s">
        <v>26285</v>
      </c>
      <c r="F927" s="69">
        <v>42643</v>
      </c>
      <c r="G927" s="11" t="s">
        <v>26233</v>
      </c>
      <c r="H927" s="11" t="s">
        <v>526</v>
      </c>
      <c r="I927" s="11" t="s">
        <v>81</v>
      </c>
      <c r="J927" s="11">
        <v>7107</v>
      </c>
      <c r="K927" s="11" t="s">
        <v>528</v>
      </c>
      <c r="L927" s="11" t="s">
        <v>529</v>
      </c>
      <c r="M927" s="11" t="s">
        <v>27</v>
      </c>
      <c r="N927" s="11" t="s">
        <v>26234</v>
      </c>
      <c r="O927" s="11" t="s">
        <v>400</v>
      </c>
      <c r="P927" s="11" t="s">
        <v>401</v>
      </c>
      <c r="Q927" s="11" t="s">
        <v>26235</v>
      </c>
      <c r="R927" s="11" t="s">
        <v>100</v>
      </c>
      <c r="S927" s="11" t="s">
        <v>35</v>
      </c>
      <c r="T927" s="66" t="s">
        <v>29441</v>
      </c>
      <c r="U927" s="68" t="s">
        <v>29441</v>
      </c>
      <c r="V927" s="68" t="s">
        <v>29439</v>
      </c>
      <c r="W927" s="68" t="s">
        <v>100</v>
      </c>
      <c r="X927" s="68">
        <v>1927</v>
      </c>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W927" s="70"/>
      <c r="AX927" s="70"/>
      <c r="AY927" s="70"/>
      <c r="BA927" s="11"/>
      <c r="BB927" s="11"/>
      <c r="BK927" s="1"/>
    </row>
    <row r="928" spans="1:63" s="44" customFormat="1" ht="12" customHeight="1" x14ac:dyDescent="0.2">
      <c r="A928" s="11" t="s">
        <v>26232</v>
      </c>
      <c r="B928" s="68">
        <v>18</v>
      </c>
      <c r="C928" s="11" t="s">
        <v>20</v>
      </c>
      <c r="D928" s="11" t="s">
        <v>85</v>
      </c>
      <c r="E928" s="11" t="s">
        <v>26285</v>
      </c>
      <c r="F928" s="69">
        <v>42643</v>
      </c>
      <c r="G928" s="11" t="s">
        <v>26233</v>
      </c>
      <c r="H928" s="11" t="s">
        <v>526</v>
      </c>
      <c r="I928" s="11" t="s">
        <v>81</v>
      </c>
      <c r="J928" s="11">
        <v>7107</v>
      </c>
      <c r="K928" s="11" t="s">
        <v>528</v>
      </c>
      <c r="L928" s="11" t="s">
        <v>529</v>
      </c>
      <c r="M928" s="11" t="s">
        <v>27</v>
      </c>
      <c r="N928" s="11" t="s">
        <v>26234</v>
      </c>
      <c r="O928" s="11" t="s">
        <v>400</v>
      </c>
      <c r="P928" s="11" t="s">
        <v>401</v>
      </c>
      <c r="Q928" s="11" t="s">
        <v>26235</v>
      </c>
      <c r="R928" s="11" t="s">
        <v>100</v>
      </c>
      <c r="S928" s="11" t="s">
        <v>35</v>
      </c>
      <c r="T928" s="66" t="s">
        <v>29441</v>
      </c>
      <c r="U928" s="68" t="s">
        <v>29441</v>
      </c>
      <c r="V928" s="68" t="s">
        <v>29439</v>
      </c>
      <c r="W928" s="68" t="s">
        <v>100</v>
      </c>
      <c r="X928" s="68">
        <v>1930</v>
      </c>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W928" s="70"/>
      <c r="AX928" s="70"/>
      <c r="AY928" s="70"/>
      <c r="BA928" s="11"/>
      <c r="BB928" s="11"/>
      <c r="BK928" s="1"/>
    </row>
    <row r="929" spans="1:63" s="44" customFormat="1" ht="12" customHeight="1" x14ac:dyDescent="0.2">
      <c r="A929" s="11" t="s">
        <v>26228</v>
      </c>
      <c r="B929" s="68">
        <v>20</v>
      </c>
      <c r="C929" s="11" t="s">
        <v>20</v>
      </c>
      <c r="D929" s="11" t="s">
        <v>85</v>
      </c>
      <c r="E929" s="11"/>
      <c r="F929" s="69">
        <v>42643</v>
      </c>
      <c r="G929" s="11" t="s">
        <v>26229</v>
      </c>
      <c r="H929" s="11" t="s">
        <v>1287</v>
      </c>
      <c r="I929" s="11" t="s">
        <v>69</v>
      </c>
      <c r="J929" s="11">
        <v>43232</v>
      </c>
      <c r="K929" s="11" t="s">
        <v>1288</v>
      </c>
      <c r="L929" s="11" t="s">
        <v>12562</v>
      </c>
      <c r="M929" s="11" t="s">
        <v>27</v>
      </c>
      <c r="N929" s="11" t="s">
        <v>26230</v>
      </c>
      <c r="O929" s="11" t="s">
        <v>400</v>
      </c>
      <c r="P929" s="11" t="s">
        <v>401</v>
      </c>
      <c r="Q929" s="11" t="s">
        <v>26231</v>
      </c>
      <c r="R929" s="11" t="s">
        <v>29</v>
      </c>
      <c r="S929" s="11" t="s">
        <v>28</v>
      </c>
      <c r="T929" s="68" t="s">
        <v>27756</v>
      </c>
      <c r="U929" s="68" t="s">
        <v>29436</v>
      </c>
      <c r="V929" s="68" t="s">
        <v>29440</v>
      </c>
      <c r="W929" s="68" t="s">
        <v>100</v>
      </c>
      <c r="X929" s="68">
        <v>1931</v>
      </c>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W929" s="70"/>
      <c r="AX929" s="70"/>
      <c r="AY929" s="70"/>
      <c r="AZ929" s="11"/>
      <c r="BA929" s="1"/>
      <c r="BB929" s="1"/>
    </row>
    <row r="930" spans="1:63" s="44" customFormat="1" ht="12" customHeight="1" x14ac:dyDescent="0.15">
      <c r="A930" s="11" t="s">
        <v>26240</v>
      </c>
      <c r="B930" s="68">
        <v>32</v>
      </c>
      <c r="C930" s="11" t="s">
        <v>20</v>
      </c>
      <c r="D930" s="11" t="s">
        <v>85</v>
      </c>
      <c r="E930" s="11"/>
      <c r="F930" s="69">
        <v>42643</v>
      </c>
      <c r="G930" s="11" t="s">
        <v>26241</v>
      </c>
      <c r="H930" s="11" t="s">
        <v>26242</v>
      </c>
      <c r="I930" s="11" t="s">
        <v>32</v>
      </c>
      <c r="J930" s="11">
        <v>29322</v>
      </c>
      <c r="K930" s="11" t="s">
        <v>33</v>
      </c>
      <c r="L930" s="11" t="s">
        <v>34</v>
      </c>
      <c r="M930" s="11" t="s">
        <v>27</v>
      </c>
      <c r="N930" s="11" t="s">
        <v>26243</v>
      </c>
      <c r="O930" s="11" t="s">
        <v>400</v>
      </c>
      <c r="P930" s="11" t="s">
        <v>401</v>
      </c>
      <c r="Q930" s="11" t="s">
        <v>26244</v>
      </c>
      <c r="R930" s="11" t="s">
        <v>29</v>
      </c>
      <c r="S930" s="11" t="s">
        <v>28</v>
      </c>
      <c r="T930" s="68" t="s">
        <v>27756</v>
      </c>
      <c r="U930" s="68" t="s">
        <v>29438</v>
      </c>
      <c r="V930" s="68" t="s">
        <v>29440</v>
      </c>
      <c r="W930" s="68" t="s">
        <v>100</v>
      </c>
      <c r="X930" s="68">
        <v>1928</v>
      </c>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W930" s="11"/>
      <c r="AX930" s="11"/>
      <c r="AY930" s="11"/>
      <c r="BA930" s="1"/>
      <c r="BB930" s="1"/>
    </row>
    <row r="931" spans="1:63" s="44" customFormat="1" ht="12" customHeight="1" x14ac:dyDescent="0.15">
      <c r="A931" s="11" t="s">
        <v>26237</v>
      </c>
      <c r="B931" s="68">
        <v>37</v>
      </c>
      <c r="C931" s="11" t="s">
        <v>20</v>
      </c>
      <c r="D931" s="11" t="s">
        <v>37</v>
      </c>
      <c r="E931" s="11"/>
      <c r="F931" s="69">
        <v>42643</v>
      </c>
      <c r="G931" s="11" t="s">
        <v>26286</v>
      </c>
      <c r="H931" s="11" t="s">
        <v>15433</v>
      </c>
      <c r="I931" s="11" t="s">
        <v>57</v>
      </c>
      <c r="J931" s="11">
        <v>48111</v>
      </c>
      <c r="K931" s="11" t="s">
        <v>1128</v>
      </c>
      <c r="L931" s="1" t="s">
        <v>3953</v>
      </c>
      <c r="M931" s="11" t="s">
        <v>27</v>
      </c>
      <c r="N931" s="11" t="s">
        <v>26238</v>
      </c>
      <c r="O931" s="11" t="s">
        <v>400</v>
      </c>
      <c r="P931" s="11" t="s">
        <v>401</v>
      </c>
      <c r="Q931" s="11" t="s">
        <v>26239</v>
      </c>
      <c r="R931" s="11" t="s">
        <v>29</v>
      </c>
      <c r="S931" s="11" t="s">
        <v>28</v>
      </c>
      <c r="T931" s="68" t="s">
        <v>27756</v>
      </c>
      <c r="U931" s="68" t="s">
        <v>29438</v>
      </c>
      <c r="V931" s="68" t="s">
        <v>21212</v>
      </c>
      <c r="W931" s="68" t="s">
        <v>100</v>
      </c>
      <c r="X931" s="68">
        <v>1929</v>
      </c>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X931" s="1"/>
      <c r="AY931" s="1"/>
      <c r="BA931" s="1"/>
      <c r="BB931" s="1"/>
      <c r="BC931" s="1"/>
      <c r="BD931" s="1"/>
      <c r="BE931" s="1"/>
      <c r="BF931" s="1"/>
      <c r="BG931" s="1"/>
      <c r="BH931" s="1"/>
      <c r="BI931" s="1"/>
      <c r="BJ931" s="1"/>
    </row>
    <row r="932" spans="1:63" s="44" customFormat="1" ht="12" customHeight="1" x14ac:dyDescent="0.15">
      <c r="A932" s="11" t="s">
        <v>26245</v>
      </c>
      <c r="B932" s="68">
        <v>38</v>
      </c>
      <c r="C932" s="11" t="s">
        <v>20</v>
      </c>
      <c r="D932" s="11" t="s">
        <v>37</v>
      </c>
      <c r="E932" s="11"/>
      <c r="F932" s="69">
        <v>42643</v>
      </c>
      <c r="G932" s="11" t="s">
        <v>26246</v>
      </c>
      <c r="H932" s="11" t="s">
        <v>26247</v>
      </c>
      <c r="I932" s="11" t="s">
        <v>73</v>
      </c>
      <c r="J932" s="11">
        <v>75845</v>
      </c>
      <c r="K932" s="11" t="s">
        <v>16269</v>
      </c>
      <c r="L932" s="11" t="s">
        <v>16270</v>
      </c>
      <c r="M932" s="11" t="s">
        <v>27</v>
      </c>
      <c r="N932" s="11" t="s">
        <v>26248</v>
      </c>
      <c r="O932" s="11" t="s">
        <v>400</v>
      </c>
      <c r="P932" s="11" t="s">
        <v>401</v>
      </c>
      <c r="Q932" s="11" t="s">
        <v>26249</v>
      </c>
      <c r="R932" s="11" t="s">
        <v>29</v>
      </c>
      <c r="S932" s="11" t="s">
        <v>35</v>
      </c>
      <c r="T932" s="68"/>
      <c r="U932" s="68" t="s">
        <v>29441</v>
      </c>
      <c r="V932" s="68" t="s">
        <v>29439</v>
      </c>
      <c r="W932" s="68" t="s">
        <v>100</v>
      </c>
      <c r="X932" s="68">
        <v>1926</v>
      </c>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X932" s="1"/>
      <c r="AY932" s="1"/>
      <c r="BA932" s="1"/>
      <c r="BB932" s="1"/>
      <c r="BC932" s="1"/>
      <c r="BD932" s="1"/>
      <c r="BE932" s="1"/>
      <c r="BF932" s="1"/>
      <c r="BG932" s="1"/>
      <c r="BH932" s="1"/>
      <c r="BI932" s="1"/>
      <c r="BJ932" s="1"/>
      <c r="BK932" s="1"/>
    </row>
    <row r="933" spans="1:63" s="44" customFormat="1" ht="12" customHeight="1" x14ac:dyDescent="0.15">
      <c r="A933" s="11" t="s">
        <v>26307</v>
      </c>
      <c r="B933" s="11">
        <v>36</v>
      </c>
      <c r="C933" s="11" t="s">
        <v>20</v>
      </c>
      <c r="D933" s="11" t="s">
        <v>85</v>
      </c>
      <c r="E933" s="11" t="s">
        <v>26308</v>
      </c>
      <c r="F933" s="72">
        <v>42643</v>
      </c>
      <c r="G933" s="11" t="s">
        <v>27040</v>
      </c>
      <c r="H933" s="11" t="s">
        <v>17056</v>
      </c>
      <c r="I933" s="11" t="s">
        <v>45</v>
      </c>
      <c r="J933" s="11">
        <v>91103</v>
      </c>
      <c r="K933" s="11" t="s">
        <v>98</v>
      </c>
      <c r="L933" s="11" t="s">
        <v>26309</v>
      </c>
      <c r="M933" s="1" t="s">
        <v>391</v>
      </c>
      <c r="N933" s="11" t="s">
        <v>26310</v>
      </c>
      <c r="O933" s="11" t="s">
        <v>400</v>
      </c>
      <c r="P933" s="11" t="s">
        <v>401</v>
      </c>
      <c r="Q933" s="11" t="s">
        <v>26311</v>
      </c>
      <c r="R933" s="11" t="s">
        <v>555</v>
      </c>
      <c r="S933" s="11" t="s">
        <v>28</v>
      </c>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Z933" s="1"/>
      <c r="BA933" s="11"/>
      <c r="BB933" s="11"/>
      <c r="BK933" s="1"/>
    </row>
    <row r="934" spans="1:63" s="44" customFormat="1" ht="12" customHeight="1" x14ac:dyDescent="0.15">
      <c r="A934" s="11" t="s">
        <v>26250</v>
      </c>
      <c r="B934" s="68">
        <v>53</v>
      </c>
      <c r="C934" s="11" t="s">
        <v>20</v>
      </c>
      <c r="D934" s="11" t="s">
        <v>37</v>
      </c>
      <c r="E934" s="11"/>
      <c r="F934" s="69">
        <v>42642</v>
      </c>
      <c r="G934" s="11" t="s">
        <v>26251</v>
      </c>
      <c r="H934" s="11" t="s">
        <v>3720</v>
      </c>
      <c r="I934" s="11" t="s">
        <v>123</v>
      </c>
      <c r="J934" s="11">
        <v>86401</v>
      </c>
      <c r="K934" s="11" t="s">
        <v>5836</v>
      </c>
      <c r="L934" s="11" t="s">
        <v>25210</v>
      </c>
      <c r="M934" s="11" t="s">
        <v>27</v>
      </c>
      <c r="N934" s="11" t="s">
        <v>26252</v>
      </c>
      <c r="O934" s="11" t="s">
        <v>400</v>
      </c>
      <c r="P934" s="11" t="s">
        <v>401</v>
      </c>
      <c r="Q934" s="11" t="s">
        <v>26253</v>
      </c>
      <c r="R934" s="11" t="s">
        <v>29</v>
      </c>
      <c r="S934" s="11" t="s">
        <v>28</v>
      </c>
      <c r="T934" s="68" t="s">
        <v>27756</v>
      </c>
      <c r="U934" s="68" t="s">
        <v>29438</v>
      </c>
      <c r="V934" s="68" t="s">
        <v>29439</v>
      </c>
      <c r="W934" s="68" t="s">
        <v>555</v>
      </c>
      <c r="X934" s="68">
        <v>1921</v>
      </c>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W934" s="1"/>
      <c r="AX934" s="1"/>
      <c r="AY934" s="1"/>
      <c r="BA934" s="1"/>
      <c r="BB934" s="1"/>
      <c r="BC934" s="1"/>
      <c r="BD934" s="1"/>
      <c r="BE934" s="1"/>
      <c r="BF934" s="1"/>
      <c r="BG934" s="1"/>
      <c r="BH934" s="1"/>
      <c r="BI934" s="1"/>
      <c r="BJ934" s="1"/>
    </row>
    <row r="935" spans="1:63" s="44" customFormat="1" ht="12" customHeight="1" x14ac:dyDescent="0.15">
      <c r="A935" s="11" t="s">
        <v>26258</v>
      </c>
      <c r="B935" s="68">
        <v>28</v>
      </c>
      <c r="C935" s="11" t="s">
        <v>20</v>
      </c>
      <c r="D935" s="11" t="s">
        <v>48</v>
      </c>
      <c r="E935" s="11"/>
      <c r="F935" s="69">
        <v>42641</v>
      </c>
      <c r="G935" s="11" t="s">
        <v>26259</v>
      </c>
      <c r="H935" s="11" t="s">
        <v>2998</v>
      </c>
      <c r="I935" s="11" t="s">
        <v>173</v>
      </c>
      <c r="J935" s="11">
        <v>31602</v>
      </c>
      <c r="K935" s="11" t="s">
        <v>3000</v>
      </c>
      <c r="L935" s="11" t="s">
        <v>26260</v>
      </c>
      <c r="M935" s="11" t="s">
        <v>27</v>
      </c>
      <c r="N935" s="11" t="s">
        <v>26261</v>
      </c>
      <c r="O935" s="11" t="s">
        <v>400</v>
      </c>
      <c r="P935" s="11" t="s">
        <v>401</v>
      </c>
      <c r="Q935" s="11" t="s">
        <v>26262</v>
      </c>
      <c r="R935" s="11" t="s">
        <v>29</v>
      </c>
      <c r="S935" s="11" t="s">
        <v>28</v>
      </c>
      <c r="T935" s="68" t="s">
        <v>29493</v>
      </c>
      <c r="U935" s="68" t="s">
        <v>29438</v>
      </c>
      <c r="V935" s="68" t="s">
        <v>29439</v>
      </c>
      <c r="W935" s="68" t="s">
        <v>555</v>
      </c>
      <c r="X935" s="68">
        <v>1920</v>
      </c>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X935" s="1"/>
      <c r="AY935" s="1"/>
      <c r="BA935" s="1"/>
      <c r="BB935" s="1"/>
      <c r="BC935" s="1"/>
      <c r="BD935" s="1"/>
      <c r="BE935" s="1"/>
      <c r="BF935" s="1"/>
      <c r="BG935" s="1"/>
      <c r="BH935" s="1"/>
      <c r="BI935" s="1"/>
      <c r="BJ935" s="1"/>
    </row>
    <row r="936" spans="1:63" s="44" customFormat="1" ht="12" customHeight="1" x14ac:dyDescent="0.15">
      <c r="A936" s="11" t="s">
        <v>26254</v>
      </c>
      <c r="B936" s="68">
        <v>32</v>
      </c>
      <c r="C936" s="11" t="s">
        <v>20</v>
      </c>
      <c r="D936" s="11" t="s">
        <v>85</v>
      </c>
      <c r="E936" s="11"/>
      <c r="F936" s="69">
        <v>42641</v>
      </c>
      <c r="G936" s="11" t="s">
        <v>26255</v>
      </c>
      <c r="H936" s="11" t="s">
        <v>1100</v>
      </c>
      <c r="I936" s="11" t="s">
        <v>404</v>
      </c>
      <c r="J936" s="11">
        <v>19143</v>
      </c>
      <c r="K936" s="11" t="s">
        <v>1100</v>
      </c>
      <c r="L936" s="11" t="s">
        <v>1101</v>
      </c>
      <c r="M936" s="11" t="s">
        <v>27</v>
      </c>
      <c r="N936" s="11" t="s">
        <v>26256</v>
      </c>
      <c r="O936" s="11" t="s">
        <v>400</v>
      </c>
      <c r="P936" s="11" t="s">
        <v>401</v>
      </c>
      <c r="Q936" s="11" t="s">
        <v>26257</v>
      </c>
      <c r="R936" s="11" t="s">
        <v>29</v>
      </c>
      <c r="S936" s="11" t="s">
        <v>35</v>
      </c>
      <c r="T936" s="66" t="s">
        <v>29441</v>
      </c>
      <c r="U936" s="68" t="s">
        <v>29438</v>
      </c>
      <c r="V936" s="68" t="s">
        <v>29439</v>
      </c>
      <c r="W936" s="68" t="s">
        <v>100</v>
      </c>
      <c r="X936" s="68">
        <v>1919</v>
      </c>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W936" s="11"/>
      <c r="AX936" s="11"/>
      <c r="AY936" s="11"/>
      <c r="BA936" s="1"/>
      <c r="BB936" s="1"/>
      <c r="BK936" s="1"/>
    </row>
    <row r="937" spans="1:63" s="44" customFormat="1" ht="12" customHeight="1" x14ac:dyDescent="0.15">
      <c r="A937" s="66" t="s">
        <v>29601</v>
      </c>
      <c r="B937" s="66">
        <v>26</v>
      </c>
      <c r="C937" s="66" t="s">
        <v>20</v>
      </c>
      <c r="D937" s="66" t="s">
        <v>37</v>
      </c>
      <c r="E937" s="66"/>
      <c r="F937" s="67">
        <v>42640</v>
      </c>
      <c r="G937" s="67"/>
      <c r="H937" s="66" t="s">
        <v>632</v>
      </c>
      <c r="I937" s="66" t="s">
        <v>123</v>
      </c>
      <c r="J937" s="66"/>
      <c r="K937" s="66" t="s">
        <v>633</v>
      </c>
      <c r="L937" s="66" t="s">
        <v>634</v>
      </c>
      <c r="M937" s="66" t="s">
        <v>27</v>
      </c>
      <c r="N937" s="66"/>
      <c r="O937" s="66" t="s">
        <v>400</v>
      </c>
      <c r="P937" s="66" t="s">
        <v>401</v>
      </c>
      <c r="Q937" s="66"/>
      <c r="R937" s="66" t="s">
        <v>100</v>
      </c>
      <c r="S937" s="66" t="s">
        <v>379</v>
      </c>
      <c r="T937" s="66" t="s">
        <v>379</v>
      </c>
      <c r="U937" s="66" t="s">
        <v>29436</v>
      </c>
      <c r="V937" s="66" t="s">
        <v>29437</v>
      </c>
      <c r="W937" s="66" t="s">
        <v>100</v>
      </c>
      <c r="X937" s="66">
        <v>1941</v>
      </c>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c r="AZ937" s="66"/>
      <c r="BA937" s="66"/>
      <c r="BB937" s="66"/>
      <c r="BC937" s="1"/>
      <c r="BD937" s="1"/>
      <c r="BE937" s="1"/>
      <c r="BF937" s="1"/>
      <c r="BG937" s="1"/>
      <c r="BH937" s="1"/>
      <c r="BI937" s="1"/>
      <c r="BJ937" s="1"/>
      <c r="BK937" s="11"/>
    </row>
    <row r="938" spans="1:63" s="44" customFormat="1" ht="12" customHeight="1" x14ac:dyDescent="0.15">
      <c r="A938" s="11" t="s">
        <v>26110</v>
      </c>
      <c r="B938" s="68">
        <v>38</v>
      </c>
      <c r="C938" s="11" t="s">
        <v>20</v>
      </c>
      <c r="D938" s="11" t="s">
        <v>85</v>
      </c>
      <c r="E938" s="11"/>
      <c r="F938" s="69">
        <v>42640</v>
      </c>
      <c r="G938" s="11" t="s">
        <v>26114</v>
      </c>
      <c r="H938" s="11" t="s">
        <v>22582</v>
      </c>
      <c r="I938" s="11" t="s">
        <v>45</v>
      </c>
      <c r="J938" s="11">
        <v>92021</v>
      </c>
      <c r="K938" s="11" t="s">
        <v>156</v>
      </c>
      <c r="L938" s="11" t="s">
        <v>22584</v>
      </c>
      <c r="M938" s="11" t="s">
        <v>27</v>
      </c>
      <c r="N938" s="11" t="s">
        <v>26112</v>
      </c>
      <c r="O938" s="11" t="s">
        <v>400</v>
      </c>
      <c r="P938" s="8" t="s">
        <v>401</v>
      </c>
      <c r="Q938" s="11" t="s">
        <v>26113</v>
      </c>
      <c r="R938" s="11" t="s">
        <v>555</v>
      </c>
      <c r="S938" s="8" t="s">
        <v>18</v>
      </c>
      <c r="T938" s="68" t="s">
        <v>28345</v>
      </c>
      <c r="U938" s="68" t="s">
        <v>29438</v>
      </c>
      <c r="V938" s="68" t="s">
        <v>29439</v>
      </c>
      <c r="W938" s="68" t="s">
        <v>555</v>
      </c>
      <c r="X938" s="68">
        <v>1918</v>
      </c>
      <c r="Y938" s="11"/>
      <c r="Z938" s="11"/>
      <c r="AA938" s="11"/>
      <c r="AB938" s="11"/>
      <c r="AC938" s="11"/>
      <c r="AD938" s="11"/>
      <c r="AE938" s="11"/>
      <c r="AF938" s="11"/>
      <c r="AG938" s="11"/>
      <c r="AH938" s="11"/>
      <c r="AI938" s="11"/>
      <c r="AJ938" s="11"/>
      <c r="AK938" s="11"/>
      <c r="AL938" s="11"/>
      <c r="AM938" s="11"/>
      <c r="AN938" s="11"/>
      <c r="AO938" s="11"/>
      <c r="AP938" s="11"/>
      <c r="AQ938" s="11"/>
      <c r="BB938" s="11"/>
      <c r="BK938" s="1"/>
    </row>
    <row r="939" spans="1:63" s="44" customFormat="1" ht="12" customHeight="1" x14ac:dyDescent="0.2">
      <c r="A939" s="44" t="s">
        <v>26206</v>
      </c>
      <c r="B939" s="68">
        <v>46</v>
      </c>
      <c r="C939" s="44" t="s">
        <v>20</v>
      </c>
      <c r="D939" s="44" t="s">
        <v>21</v>
      </c>
      <c r="F939" s="69">
        <v>42639</v>
      </c>
      <c r="G939" s="44" t="s">
        <v>26207</v>
      </c>
      <c r="H939" s="44" t="s">
        <v>723</v>
      </c>
      <c r="I939" s="44" t="s">
        <v>73</v>
      </c>
      <c r="J939" s="44">
        <v>77005</v>
      </c>
      <c r="K939" s="44" t="s">
        <v>558</v>
      </c>
      <c r="L939" s="44" t="s">
        <v>724</v>
      </c>
      <c r="M939" s="44" t="s">
        <v>27</v>
      </c>
      <c r="N939" s="44" t="s">
        <v>26208</v>
      </c>
      <c r="O939" s="44" t="s">
        <v>400</v>
      </c>
      <c r="P939" s="44" t="s">
        <v>401</v>
      </c>
      <c r="Q939" s="44" t="s">
        <v>26209</v>
      </c>
      <c r="R939" s="44" t="s">
        <v>29</v>
      </c>
      <c r="S939" s="44" t="s">
        <v>28</v>
      </c>
      <c r="T939" s="68" t="s">
        <v>27756</v>
      </c>
      <c r="U939" s="68" t="s">
        <v>29438</v>
      </c>
      <c r="V939" s="68" t="s">
        <v>29439</v>
      </c>
      <c r="W939" s="68" t="s">
        <v>555</v>
      </c>
      <c r="X939" s="68">
        <v>1916</v>
      </c>
      <c r="AW939" s="1"/>
      <c r="AX939" s="70"/>
      <c r="AY939" s="70"/>
      <c r="BA939" s="1"/>
      <c r="BB939" s="1"/>
      <c r="BC939" s="70"/>
      <c r="BD939" s="70"/>
      <c r="BE939" s="70"/>
      <c r="BF939" s="70"/>
      <c r="BG939" s="70"/>
      <c r="BH939" s="70"/>
      <c r="BI939" s="70"/>
      <c r="BJ939" s="70"/>
    </row>
    <row r="940" spans="1:63" s="44" customFormat="1" ht="12" customHeight="1" x14ac:dyDescent="0.15">
      <c r="A940" s="44" t="s">
        <v>26200</v>
      </c>
      <c r="B940" s="68">
        <v>52</v>
      </c>
      <c r="C940" s="44" t="s">
        <v>20</v>
      </c>
      <c r="D940" s="44" t="s">
        <v>37</v>
      </c>
      <c r="F940" s="69">
        <v>42639</v>
      </c>
      <c r="G940" s="44" t="s">
        <v>26201</v>
      </c>
      <c r="H940" s="44" t="s">
        <v>26202</v>
      </c>
      <c r="I940" s="44" t="s">
        <v>790</v>
      </c>
      <c r="J940" s="44">
        <v>83714</v>
      </c>
      <c r="K940" s="44" t="s">
        <v>4240</v>
      </c>
      <c r="L940" s="44" t="s">
        <v>26203</v>
      </c>
      <c r="M940" s="44" t="s">
        <v>27</v>
      </c>
      <c r="N940" s="44" t="s">
        <v>26204</v>
      </c>
      <c r="O940" s="44" t="s">
        <v>400</v>
      </c>
      <c r="P940" s="44" t="s">
        <v>401</v>
      </c>
      <c r="Q940" s="44" t="s">
        <v>26205</v>
      </c>
      <c r="R940" s="44" t="s">
        <v>29</v>
      </c>
      <c r="S940" s="44" t="s">
        <v>28</v>
      </c>
      <c r="T940" s="68" t="s">
        <v>27756</v>
      </c>
      <c r="U940" s="68" t="s">
        <v>29438</v>
      </c>
      <c r="V940" s="68" t="s">
        <v>21212</v>
      </c>
      <c r="W940" s="68" t="s">
        <v>100</v>
      </c>
      <c r="X940" s="68">
        <v>1911</v>
      </c>
      <c r="AW940" s="1"/>
      <c r="AX940" s="1"/>
      <c r="AY940" s="1"/>
      <c r="BA940" s="1"/>
      <c r="BB940" s="1"/>
      <c r="BC940" s="1"/>
      <c r="BD940" s="1"/>
      <c r="BE940" s="1"/>
      <c r="BF940" s="1"/>
      <c r="BG940" s="1"/>
      <c r="BH940" s="1"/>
      <c r="BI940" s="1"/>
      <c r="BJ940" s="1"/>
    </row>
    <row r="941" spans="1:63" s="44" customFormat="1" ht="12" customHeight="1" x14ac:dyDescent="0.15">
      <c r="A941" s="44" t="s">
        <v>26212</v>
      </c>
      <c r="B941" s="68">
        <v>32</v>
      </c>
      <c r="C941" s="44" t="s">
        <v>20</v>
      </c>
      <c r="D941" s="44" t="s">
        <v>37</v>
      </c>
      <c r="F941" s="69">
        <v>42639</v>
      </c>
      <c r="G941" s="44" t="s">
        <v>26196</v>
      </c>
      <c r="H941" s="44" t="s">
        <v>9752</v>
      </c>
      <c r="I941" s="44" t="s">
        <v>978</v>
      </c>
      <c r="J941" s="44">
        <v>72210</v>
      </c>
      <c r="K941" s="44" t="s">
        <v>2495</v>
      </c>
      <c r="L941" s="44" t="s">
        <v>26197</v>
      </c>
      <c r="M941" s="44" t="s">
        <v>27</v>
      </c>
      <c r="N941" s="44" t="s">
        <v>26198</v>
      </c>
      <c r="O941" s="44" t="s">
        <v>400</v>
      </c>
      <c r="P941" s="44" t="s">
        <v>401</v>
      </c>
      <c r="Q941" s="44" t="s">
        <v>26199</v>
      </c>
      <c r="R941" s="68" t="s">
        <v>555</v>
      </c>
      <c r="S941" s="44" t="s">
        <v>28</v>
      </c>
      <c r="T941" s="68" t="s">
        <v>27756</v>
      </c>
      <c r="U941" s="68" t="s">
        <v>29436</v>
      </c>
      <c r="V941" s="68" t="s">
        <v>29439</v>
      </c>
      <c r="W941" s="68" t="s">
        <v>100</v>
      </c>
      <c r="X941" s="68">
        <v>1912</v>
      </c>
      <c r="AW941" s="11"/>
      <c r="AX941" s="1"/>
      <c r="AY941" s="1"/>
      <c r="BB941" s="11"/>
      <c r="BC941" s="1"/>
      <c r="BD941" s="1"/>
      <c r="BE941" s="1"/>
      <c r="BF941" s="1"/>
      <c r="BG941" s="1"/>
      <c r="BH941" s="1"/>
      <c r="BI941" s="1"/>
      <c r="BJ941" s="1"/>
    </row>
    <row r="942" spans="1:63" s="44" customFormat="1" ht="12" customHeight="1" x14ac:dyDescent="0.15">
      <c r="A942" s="44" t="s">
        <v>26213</v>
      </c>
      <c r="B942" s="68">
        <v>48</v>
      </c>
      <c r="C942" s="44" t="s">
        <v>20</v>
      </c>
      <c r="D942" s="44" t="s">
        <v>37</v>
      </c>
      <c r="F942" s="69">
        <v>42639</v>
      </c>
      <c r="G942" s="44" t="s">
        <v>26210</v>
      </c>
      <c r="H942" s="44" t="s">
        <v>21314</v>
      </c>
      <c r="I942" s="44" t="s">
        <v>133</v>
      </c>
      <c r="J942" s="44">
        <v>55337</v>
      </c>
      <c r="K942" s="44" t="s">
        <v>21315</v>
      </c>
      <c r="L942" s="44" t="s">
        <v>21316</v>
      </c>
      <c r="M942" s="44" t="s">
        <v>27</v>
      </c>
      <c r="N942" s="44" t="s">
        <v>26211</v>
      </c>
      <c r="O942" s="44" t="s">
        <v>400</v>
      </c>
      <c r="P942" s="44" t="s">
        <v>401</v>
      </c>
      <c r="Q942" s="44" t="s">
        <v>26264</v>
      </c>
      <c r="R942" s="68" t="s">
        <v>555</v>
      </c>
      <c r="S942" s="44" t="s">
        <v>28</v>
      </c>
      <c r="T942" s="68" t="s">
        <v>27756</v>
      </c>
      <c r="U942" s="68" t="s">
        <v>29436</v>
      </c>
      <c r="V942" s="68" t="s">
        <v>29439</v>
      </c>
      <c r="W942" s="68" t="s">
        <v>555</v>
      </c>
      <c r="X942" s="68">
        <v>1917</v>
      </c>
      <c r="AW942" s="1"/>
      <c r="AX942" s="1"/>
      <c r="AY942" s="1"/>
      <c r="BB942" s="11"/>
      <c r="BC942" s="1"/>
      <c r="BD942" s="1"/>
      <c r="BE942" s="1"/>
      <c r="BF942" s="1"/>
      <c r="BG942" s="1"/>
      <c r="BH942" s="1"/>
      <c r="BI942" s="1"/>
      <c r="BJ942" s="1"/>
    </row>
    <row r="943" spans="1:63" s="44" customFormat="1" ht="12" customHeight="1" x14ac:dyDescent="0.15">
      <c r="A943" s="44" t="s">
        <v>26191</v>
      </c>
      <c r="B943" s="68">
        <v>25</v>
      </c>
      <c r="C943" s="44" t="s">
        <v>20</v>
      </c>
      <c r="D943" s="44" t="s">
        <v>37</v>
      </c>
      <c r="F943" s="69">
        <v>42638</v>
      </c>
      <c r="G943" s="44" t="s">
        <v>26192</v>
      </c>
      <c r="H943" s="44" t="s">
        <v>26193</v>
      </c>
      <c r="I943" s="44" t="s">
        <v>506</v>
      </c>
      <c r="J943" s="44">
        <v>3743</v>
      </c>
      <c r="K943" s="44" t="s">
        <v>2911</v>
      </c>
      <c r="L943" s="44" t="s">
        <v>29</v>
      </c>
      <c r="M943" s="44" t="s">
        <v>27</v>
      </c>
      <c r="N943" s="44" t="s">
        <v>26194</v>
      </c>
      <c r="O943" s="44" t="s">
        <v>400</v>
      </c>
      <c r="P943" s="44" t="s">
        <v>401</v>
      </c>
      <c r="Q943" s="44" t="s">
        <v>26195</v>
      </c>
      <c r="R943" s="68" t="s">
        <v>555</v>
      </c>
      <c r="S943" s="2" t="s">
        <v>28</v>
      </c>
      <c r="T943" s="68" t="s">
        <v>27756</v>
      </c>
      <c r="U943" s="68" t="s">
        <v>29436</v>
      </c>
      <c r="V943" s="68" t="s">
        <v>29439</v>
      </c>
      <c r="W943" s="68" t="s">
        <v>100</v>
      </c>
      <c r="X943" s="68">
        <v>1910</v>
      </c>
      <c r="AW943" s="11"/>
      <c r="AX943" s="1"/>
      <c r="AY943" s="1"/>
      <c r="BB943" s="11"/>
      <c r="BC943" s="1"/>
      <c r="BD943" s="1"/>
      <c r="BE943" s="1"/>
      <c r="BF943" s="1"/>
      <c r="BG943" s="1"/>
      <c r="BH943" s="1"/>
      <c r="BI943" s="1"/>
      <c r="BJ943" s="1"/>
    </row>
    <row r="944" spans="1:63" s="44" customFormat="1" ht="12" customHeight="1" x14ac:dyDescent="0.15">
      <c r="A944" s="11" t="s">
        <v>26106</v>
      </c>
      <c r="B944" s="68">
        <v>33</v>
      </c>
      <c r="C944" s="11" t="s">
        <v>20</v>
      </c>
      <c r="D944" s="11" t="s">
        <v>85</v>
      </c>
      <c r="E944" s="11"/>
      <c r="F944" s="69">
        <v>42636</v>
      </c>
      <c r="G944" s="11" t="s">
        <v>26108</v>
      </c>
      <c r="H944" s="11" t="s">
        <v>26111</v>
      </c>
      <c r="I944" s="11" t="s">
        <v>52</v>
      </c>
      <c r="J944" s="11">
        <v>21208</v>
      </c>
      <c r="K944" s="11" t="s">
        <v>1592</v>
      </c>
      <c r="L944" s="11" t="s">
        <v>231</v>
      </c>
      <c r="M944" s="11" t="s">
        <v>27</v>
      </c>
      <c r="N944" s="11" t="s">
        <v>26107</v>
      </c>
      <c r="O944" s="11" t="s">
        <v>400</v>
      </c>
      <c r="P944" s="8" t="s">
        <v>401</v>
      </c>
      <c r="Q944" s="11" t="s">
        <v>26109</v>
      </c>
      <c r="R944" s="11" t="s">
        <v>100</v>
      </c>
      <c r="S944" s="68" t="s">
        <v>379</v>
      </c>
      <c r="T944" s="68" t="s">
        <v>379</v>
      </c>
      <c r="U944" s="68" t="s">
        <v>29436</v>
      </c>
      <c r="V944" s="68" t="s">
        <v>29439</v>
      </c>
      <c r="W944" s="68" t="s">
        <v>555</v>
      </c>
      <c r="X944" s="68">
        <v>1914</v>
      </c>
      <c r="Y944" s="11"/>
      <c r="Z944" s="11"/>
      <c r="AA944" s="11"/>
      <c r="AB944" s="11"/>
      <c r="AC944" s="11"/>
      <c r="AD944" s="11"/>
      <c r="AE944" s="11"/>
      <c r="AF944" s="11"/>
      <c r="AG944" s="11"/>
      <c r="AH944" s="11"/>
      <c r="AI944" s="11"/>
      <c r="AJ944" s="11"/>
      <c r="AK944" s="11"/>
      <c r="AL944" s="11"/>
      <c r="AM944" s="11"/>
      <c r="AN944" s="11"/>
      <c r="AO944" s="11"/>
      <c r="AP944" s="11"/>
      <c r="AQ944" s="11"/>
      <c r="AW944" s="11"/>
      <c r="AX944" s="11"/>
      <c r="AY944" s="11"/>
      <c r="BA944" s="11"/>
      <c r="BB944" s="11"/>
      <c r="BK944" s="11"/>
    </row>
    <row r="945" spans="1:63" s="44" customFormat="1" ht="12" customHeight="1" x14ac:dyDescent="0.15">
      <c r="A945" s="44" t="s">
        <v>26187</v>
      </c>
      <c r="B945" s="68">
        <v>30</v>
      </c>
      <c r="C945" s="44" t="s">
        <v>20</v>
      </c>
      <c r="D945" s="44" t="s">
        <v>48</v>
      </c>
      <c r="F945" s="69">
        <v>42636</v>
      </c>
      <c r="G945" s="44" t="s">
        <v>26188</v>
      </c>
      <c r="H945" s="44" t="s">
        <v>575</v>
      </c>
      <c r="I945" s="44" t="s">
        <v>73</v>
      </c>
      <c r="J945" s="44">
        <v>78211</v>
      </c>
      <c r="K945" s="44" t="s">
        <v>576</v>
      </c>
      <c r="L945" s="44" t="s">
        <v>577</v>
      </c>
      <c r="M945" s="44" t="s">
        <v>27</v>
      </c>
      <c r="N945" s="44" t="s">
        <v>26189</v>
      </c>
      <c r="O945" s="44" t="s">
        <v>400</v>
      </c>
      <c r="P945" s="44" t="s">
        <v>401</v>
      </c>
      <c r="Q945" s="44" t="s">
        <v>26190</v>
      </c>
      <c r="R945" s="44" t="s">
        <v>29</v>
      </c>
      <c r="S945" s="44" t="s">
        <v>28</v>
      </c>
      <c r="T945" s="68" t="s">
        <v>27756</v>
      </c>
      <c r="U945" s="68" t="s">
        <v>29436</v>
      </c>
      <c r="V945" s="68" t="s">
        <v>29440</v>
      </c>
      <c r="W945" s="68" t="s">
        <v>100</v>
      </c>
      <c r="X945" s="68">
        <v>1915</v>
      </c>
      <c r="AX945" s="1"/>
      <c r="AY945" s="1"/>
      <c r="BA945" s="1"/>
      <c r="BB945" s="1"/>
      <c r="BC945" s="1"/>
      <c r="BD945" s="1"/>
      <c r="BE945" s="1"/>
      <c r="BF945" s="1"/>
      <c r="BG945" s="1"/>
      <c r="BH945" s="1"/>
      <c r="BI945" s="1"/>
      <c r="BJ945" s="1"/>
    </row>
    <row r="946" spans="1:63" s="44" customFormat="1" ht="12" customHeight="1" x14ac:dyDescent="0.15">
      <c r="A946" s="44" t="s">
        <v>26183</v>
      </c>
      <c r="B946" s="68">
        <v>41</v>
      </c>
      <c r="C946" s="44" t="s">
        <v>20</v>
      </c>
      <c r="D946" s="44" t="s">
        <v>37</v>
      </c>
      <c r="F946" s="69">
        <v>42636</v>
      </c>
      <c r="G946" s="44" t="s">
        <v>26184</v>
      </c>
      <c r="H946" s="44" t="s">
        <v>11363</v>
      </c>
      <c r="I946" s="44" t="s">
        <v>45</v>
      </c>
      <c r="J946" s="44">
        <v>95628</v>
      </c>
      <c r="K946" s="44" t="s">
        <v>1642</v>
      </c>
      <c r="L946" s="44" t="s">
        <v>24329</v>
      </c>
      <c r="M946" s="44" t="s">
        <v>27</v>
      </c>
      <c r="N946" s="44" t="s">
        <v>26185</v>
      </c>
      <c r="O946" s="44" t="s">
        <v>400</v>
      </c>
      <c r="P946" s="44" t="s">
        <v>401</v>
      </c>
      <c r="Q946" s="44" t="s">
        <v>26186</v>
      </c>
      <c r="R946" s="44" t="s">
        <v>29</v>
      </c>
      <c r="S946" s="11" t="s">
        <v>35</v>
      </c>
      <c r="T946" s="66" t="s">
        <v>29441</v>
      </c>
      <c r="U946" s="68" t="s">
        <v>29438</v>
      </c>
      <c r="V946" s="68" t="s">
        <v>29440</v>
      </c>
      <c r="W946" s="68" t="s">
        <v>100</v>
      </c>
      <c r="X946" s="68">
        <v>1909</v>
      </c>
      <c r="AW946" s="1"/>
      <c r="AX946" s="1"/>
      <c r="AY946" s="1"/>
      <c r="BA946" s="1"/>
      <c r="BB946" s="1"/>
      <c r="BC946" s="1"/>
      <c r="BD946" s="1"/>
      <c r="BE946" s="1"/>
      <c r="BF946" s="1"/>
      <c r="BG946" s="1"/>
      <c r="BH946" s="1"/>
      <c r="BI946" s="1"/>
      <c r="BJ946" s="1"/>
      <c r="BK946" s="1"/>
    </row>
    <row r="947" spans="1:63" s="44" customFormat="1" ht="12" customHeight="1" x14ac:dyDescent="0.15">
      <c r="A947" s="44" t="s">
        <v>26179</v>
      </c>
      <c r="B947" s="68">
        <v>23</v>
      </c>
      <c r="C947" s="44" t="s">
        <v>20</v>
      </c>
      <c r="D947" s="44" t="s">
        <v>37</v>
      </c>
      <c r="F947" s="69">
        <v>42634</v>
      </c>
      <c r="G947" s="44" t="s">
        <v>26180</v>
      </c>
      <c r="H947" s="44" t="s">
        <v>890</v>
      </c>
      <c r="I947" s="44" t="s">
        <v>463</v>
      </c>
      <c r="J947" s="44">
        <v>68037</v>
      </c>
      <c r="K947" s="44" t="s">
        <v>8349</v>
      </c>
      <c r="L947" s="44" t="s">
        <v>23962</v>
      </c>
      <c r="M947" s="44" t="s">
        <v>27</v>
      </c>
      <c r="N947" s="44" t="s">
        <v>26181</v>
      </c>
      <c r="O947" s="44" t="s">
        <v>400</v>
      </c>
      <c r="P947" s="44" t="s">
        <v>401</v>
      </c>
      <c r="Q947" s="44" t="s">
        <v>26182</v>
      </c>
      <c r="R947" s="44" t="s">
        <v>29</v>
      </c>
      <c r="S947" s="13" t="s">
        <v>18</v>
      </c>
      <c r="T947" s="68" t="s">
        <v>28345</v>
      </c>
      <c r="U947" s="68" t="s">
        <v>29441</v>
      </c>
      <c r="V947" s="68" t="s">
        <v>29439</v>
      </c>
      <c r="W947" s="68" t="s">
        <v>100</v>
      </c>
      <c r="X947" s="68">
        <v>1908</v>
      </c>
      <c r="AX947" s="1"/>
      <c r="AY947" s="1"/>
      <c r="BA947" s="1"/>
      <c r="BB947" s="1"/>
      <c r="BC947" s="1"/>
      <c r="BD947" s="1"/>
      <c r="BE947" s="1"/>
      <c r="BF947" s="1"/>
      <c r="BG947" s="1"/>
      <c r="BH947" s="1"/>
      <c r="BI947" s="1"/>
      <c r="BJ947" s="1"/>
      <c r="BK947" s="1"/>
    </row>
    <row r="948" spans="1:63" s="44" customFormat="1" ht="12" customHeight="1" x14ac:dyDescent="0.15">
      <c r="A948" s="44" t="s">
        <v>26175</v>
      </c>
      <c r="B948" s="68">
        <v>49</v>
      </c>
      <c r="C948" s="44" t="s">
        <v>20</v>
      </c>
      <c r="D948" s="44" t="s">
        <v>37</v>
      </c>
      <c r="F948" s="69">
        <v>42633</v>
      </c>
      <c r="G948" s="44" t="s">
        <v>26176</v>
      </c>
      <c r="H948" s="44" t="s">
        <v>23256</v>
      </c>
      <c r="I948" s="44" t="s">
        <v>209</v>
      </c>
      <c r="J948" s="44">
        <v>80234</v>
      </c>
      <c r="K948" s="44" t="s">
        <v>1924</v>
      </c>
      <c r="L948" s="44" t="s">
        <v>23257</v>
      </c>
      <c r="M948" s="44" t="s">
        <v>27</v>
      </c>
      <c r="N948" s="44" t="s">
        <v>26177</v>
      </c>
      <c r="O948" s="44" t="s">
        <v>400</v>
      </c>
      <c r="P948" s="44" t="s">
        <v>401</v>
      </c>
      <c r="Q948" s="44" t="s">
        <v>26178</v>
      </c>
      <c r="R948" s="44" t="s">
        <v>29</v>
      </c>
      <c r="S948" s="2" t="s">
        <v>28</v>
      </c>
      <c r="T948" s="68" t="s">
        <v>27756</v>
      </c>
      <c r="U948" s="68" t="s">
        <v>29436</v>
      </c>
      <c r="V948" s="68" t="s">
        <v>29440</v>
      </c>
      <c r="W948" s="68" t="s">
        <v>100</v>
      </c>
      <c r="X948" s="68">
        <v>1906</v>
      </c>
      <c r="AW948" s="1"/>
      <c r="AX948" s="1"/>
      <c r="AY948" s="1"/>
      <c r="BA948" s="1"/>
      <c r="BB948" s="1"/>
      <c r="BC948" s="1"/>
      <c r="BD948" s="1"/>
      <c r="BE948" s="1"/>
      <c r="BF948" s="1"/>
      <c r="BG948" s="1"/>
      <c r="BH948" s="1"/>
      <c r="BI948" s="1"/>
      <c r="BJ948" s="1"/>
    </row>
    <row r="949" spans="1:63" s="44" customFormat="1" ht="12" customHeight="1" x14ac:dyDescent="0.15">
      <c r="A949" s="44" t="s">
        <v>26160</v>
      </c>
      <c r="B949" s="68">
        <v>35</v>
      </c>
      <c r="C949" s="44" t="s">
        <v>20</v>
      </c>
      <c r="D949" s="44" t="s">
        <v>37</v>
      </c>
      <c r="F949" s="69">
        <v>42633</v>
      </c>
      <c r="G949" s="44" t="s">
        <v>26161</v>
      </c>
      <c r="H949" s="44" t="s">
        <v>26162</v>
      </c>
      <c r="I949" s="44" t="s">
        <v>319</v>
      </c>
      <c r="J949" s="44">
        <v>38329</v>
      </c>
      <c r="K949" s="44" t="s">
        <v>1034</v>
      </c>
      <c r="L949" s="44" t="s">
        <v>1035</v>
      </c>
      <c r="M949" s="44" t="s">
        <v>27</v>
      </c>
      <c r="N949" s="44" t="s">
        <v>26163</v>
      </c>
      <c r="O949" s="44" t="s">
        <v>400</v>
      </c>
      <c r="P949" s="44" t="s">
        <v>401</v>
      </c>
      <c r="Q949" s="44" t="s">
        <v>26164</v>
      </c>
      <c r="R949" s="44" t="s">
        <v>29</v>
      </c>
      <c r="S949" s="2" t="s">
        <v>28</v>
      </c>
      <c r="T949" s="68" t="s">
        <v>27756</v>
      </c>
      <c r="U949" s="68" t="s">
        <v>29436</v>
      </c>
      <c r="V949" s="68" t="s">
        <v>29437</v>
      </c>
      <c r="W949" s="68" t="s">
        <v>555</v>
      </c>
      <c r="X949" s="68">
        <v>1899</v>
      </c>
      <c r="AW949" s="11"/>
      <c r="AX949" s="1"/>
      <c r="AY949" s="1"/>
      <c r="BA949" s="1"/>
      <c r="BB949" s="1"/>
      <c r="BC949" s="1"/>
      <c r="BD949" s="1"/>
      <c r="BE949" s="1"/>
      <c r="BF949" s="1"/>
      <c r="BG949" s="1"/>
      <c r="BH949" s="1"/>
      <c r="BI949" s="1"/>
      <c r="BJ949" s="1"/>
    </row>
    <row r="950" spans="1:63" s="44" customFormat="1" ht="12" customHeight="1" x14ac:dyDescent="0.15">
      <c r="A950" s="44" t="s">
        <v>26171</v>
      </c>
      <c r="B950" s="68">
        <v>43</v>
      </c>
      <c r="C950" s="44" t="s">
        <v>20</v>
      </c>
      <c r="D950" s="44" t="s">
        <v>37</v>
      </c>
      <c r="F950" s="69">
        <v>42633</v>
      </c>
      <c r="G950" s="44" t="s">
        <v>26172</v>
      </c>
      <c r="H950" s="44" t="s">
        <v>2028</v>
      </c>
      <c r="I950" s="44" t="s">
        <v>319</v>
      </c>
      <c r="J950" s="44">
        <v>37207</v>
      </c>
      <c r="K950" s="44" t="s">
        <v>879</v>
      </c>
      <c r="L950" s="44" t="s">
        <v>880</v>
      </c>
      <c r="M950" s="44" t="s">
        <v>27</v>
      </c>
      <c r="N950" s="44" t="s">
        <v>26173</v>
      </c>
      <c r="O950" s="44" t="s">
        <v>400</v>
      </c>
      <c r="P950" s="44" t="s">
        <v>401</v>
      </c>
      <c r="Q950" s="44" t="s">
        <v>26174</v>
      </c>
      <c r="R950" s="44" t="s">
        <v>29</v>
      </c>
      <c r="S950" s="44" t="s">
        <v>28</v>
      </c>
      <c r="T950" s="68" t="s">
        <v>27756</v>
      </c>
      <c r="U950" s="68" t="s">
        <v>29438</v>
      </c>
      <c r="V950" s="68" t="s">
        <v>29439</v>
      </c>
      <c r="W950" s="68" t="s">
        <v>100</v>
      </c>
      <c r="X950" s="68">
        <v>1905</v>
      </c>
      <c r="AW950" s="1"/>
      <c r="AX950" s="1"/>
      <c r="AY950" s="1"/>
      <c r="BA950" s="1"/>
      <c r="BB950" s="1"/>
      <c r="BC950" s="1"/>
      <c r="BD950" s="1"/>
      <c r="BE950" s="1"/>
      <c r="BF950" s="1"/>
      <c r="BG950" s="1"/>
      <c r="BH950" s="1"/>
      <c r="BI950" s="1"/>
      <c r="BJ950" s="1"/>
    </row>
    <row r="951" spans="1:63" s="44" customFormat="1" ht="12" customHeight="1" x14ac:dyDescent="0.15">
      <c r="A951" s="44" t="s">
        <v>26165</v>
      </c>
      <c r="B951" s="68">
        <v>23</v>
      </c>
      <c r="C951" s="44" t="s">
        <v>20</v>
      </c>
      <c r="D951" s="44" t="s">
        <v>37</v>
      </c>
      <c r="E951" s="44" t="s">
        <v>26272</v>
      </c>
      <c r="F951" s="69">
        <v>42633</v>
      </c>
      <c r="G951" s="44" t="s">
        <v>26166</v>
      </c>
      <c r="H951" s="44" t="s">
        <v>26167</v>
      </c>
      <c r="I951" s="44" t="s">
        <v>41</v>
      </c>
      <c r="J951" s="44">
        <v>6338</v>
      </c>
      <c r="K951" s="44" t="s">
        <v>6851</v>
      </c>
      <c r="L951" s="44" t="s">
        <v>26168</v>
      </c>
      <c r="M951" s="44" t="s">
        <v>27</v>
      </c>
      <c r="N951" s="44" t="s">
        <v>26169</v>
      </c>
      <c r="O951" s="44" t="s">
        <v>400</v>
      </c>
      <c r="P951" s="44" t="s">
        <v>401</v>
      </c>
      <c r="Q951" s="44" t="s">
        <v>26170</v>
      </c>
      <c r="R951" s="44" t="s">
        <v>29</v>
      </c>
      <c r="S951" s="11" t="s">
        <v>35</v>
      </c>
      <c r="T951" s="66" t="s">
        <v>29441</v>
      </c>
      <c r="U951" s="68" t="s">
        <v>29436</v>
      </c>
      <c r="V951" s="68" t="s">
        <v>29439</v>
      </c>
      <c r="W951" s="68" t="s">
        <v>100</v>
      </c>
      <c r="X951" s="68">
        <v>1903</v>
      </c>
      <c r="AX951" s="1"/>
      <c r="AY951" s="1"/>
      <c r="BA951" s="1"/>
      <c r="BB951" s="1"/>
      <c r="BC951" s="1"/>
      <c r="BD951" s="1"/>
      <c r="BE951" s="1"/>
      <c r="BF951" s="1"/>
      <c r="BG951" s="1"/>
      <c r="BH951" s="1"/>
      <c r="BI951" s="1"/>
      <c r="BJ951" s="1"/>
      <c r="BK951" s="1"/>
    </row>
    <row r="952" spans="1:63" s="44" customFormat="1" ht="12" customHeight="1" x14ac:dyDescent="0.15">
      <c r="A952" s="44" t="s">
        <v>26154</v>
      </c>
      <c r="B952" s="68">
        <v>22</v>
      </c>
      <c r="C952" s="44" t="s">
        <v>20</v>
      </c>
      <c r="D952" s="44" t="s">
        <v>37</v>
      </c>
      <c r="F952" s="69">
        <v>42633</v>
      </c>
      <c r="G952" s="44" t="s">
        <v>26155</v>
      </c>
      <c r="H952" s="44" t="s">
        <v>26156</v>
      </c>
      <c r="I952" s="44" t="s">
        <v>62</v>
      </c>
      <c r="J952" s="44">
        <v>34953</v>
      </c>
      <c r="K952" s="44" t="s">
        <v>3243</v>
      </c>
      <c r="L952" s="44" t="s">
        <v>26157</v>
      </c>
      <c r="M952" s="44" t="s">
        <v>27</v>
      </c>
      <c r="N952" s="44" t="s">
        <v>26158</v>
      </c>
      <c r="O952" s="44" t="s">
        <v>400</v>
      </c>
      <c r="P952" s="44" t="s">
        <v>401</v>
      </c>
      <c r="Q952" s="44" t="s">
        <v>26159</v>
      </c>
      <c r="R952" s="68" t="s">
        <v>555</v>
      </c>
      <c r="S952" s="44" t="s">
        <v>28</v>
      </c>
      <c r="T952" s="68" t="s">
        <v>27756</v>
      </c>
      <c r="U952" s="68" t="s">
        <v>29438</v>
      </c>
      <c r="V952" s="68" t="s">
        <v>29439</v>
      </c>
      <c r="W952" s="68" t="s">
        <v>100</v>
      </c>
      <c r="X952" s="68">
        <v>1901</v>
      </c>
      <c r="AX952" s="1"/>
      <c r="AY952" s="1"/>
      <c r="BB952" s="11"/>
      <c r="BC952" s="1"/>
      <c r="BD952" s="1"/>
      <c r="BE952" s="1"/>
      <c r="BF952" s="1"/>
      <c r="BG952" s="1"/>
      <c r="BH952" s="1"/>
      <c r="BI952" s="1"/>
      <c r="BJ952" s="1"/>
    </row>
    <row r="953" spans="1:63" s="44" customFormat="1" ht="12" customHeight="1" x14ac:dyDescent="0.15">
      <c r="A953" s="11" t="s">
        <v>26094</v>
      </c>
      <c r="B953" s="68">
        <v>43</v>
      </c>
      <c r="C953" s="11" t="s">
        <v>20</v>
      </c>
      <c r="D953" s="11" t="s">
        <v>85</v>
      </c>
      <c r="E953" s="11"/>
      <c r="F953" s="69">
        <v>42633</v>
      </c>
      <c r="G953" s="11" t="s">
        <v>26103</v>
      </c>
      <c r="H953" s="11" t="s">
        <v>4191</v>
      </c>
      <c r="I953" s="11" t="s">
        <v>366</v>
      </c>
      <c r="J953" s="11">
        <v>28213</v>
      </c>
      <c r="K953" s="11" t="s">
        <v>4193</v>
      </c>
      <c r="L953" s="11" t="s">
        <v>4194</v>
      </c>
      <c r="M953" s="11" t="s">
        <v>27</v>
      </c>
      <c r="N953" s="11" t="s">
        <v>26102</v>
      </c>
      <c r="O953" s="11" t="s">
        <v>400</v>
      </c>
      <c r="P953" s="8" t="s">
        <v>401</v>
      </c>
      <c r="Q953" s="11" t="s">
        <v>26095</v>
      </c>
      <c r="R953" s="11" t="s">
        <v>555</v>
      </c>
      <c r="S953" s="2" t="s">
        <v>35</v>
      </c>
      <c r="T953" s="68" t="s">
        <v>27756</v>
      </c>
      <c r="U953" s="68" t="s">
        <v>29436</v>
      </c>
      <c r="V953" s="68" t="s">
        <v>29439</v>
      </c>
      <c r="W953" s="68" t="s">
        <v>555</v>
      </c>
      <c r="X953" s="68">
        <v>1904</v>
      </c>
      <c r="Y953" s="11"/>
      <c r="Z953" s="11"/>
      <c r="AA953" s="11"/>
      <c r="AB953" s="11"/>
      <c r="AC953" s="11"/>
      <c r="AD953" s="11"/>
      <c r="AE953" s="11"/>
      <c r="AF953" s="11"/>
      <c r="AG953" s="11"/>
      <c r="AH953" s="11"/>
      <c r="AI953" s="11"/>
      <c r="AJ953" s="11"/>
      <c r="AK953" s="11"/>
      <c r="AL953" s="11"/>
      <c r="AM953" s="11"/>
      <c r="AN953" s="11"/>
      <c r="AO953" s="11"/>
      <c r="AP953" s="11"/>
      <c r="AQ953" s="11"/>
      <c r="AW953" s="1"/>
      <c r="BA953" s="1"/>
      <c r="BB953" s="1"/>
      <c r="BK953" s="1"/>
    </row>
    <row r="954" spans="1:63" s="44" customFormat="1" ht="12" customHeight="1" x14ac:dyDescent="0.15">
      <c r="A954" s="44" t="s">
        <v>26148</v>
      </c>
      <c r="B954" s="68">
        <v>46</v>
      </c>
      <c r="C954" s="44" t="s">
        <v>114</v>
      </c>
      <c r="D954" s="44" t="s">
        <v>37</v>
      </c>
      <c r="F954" s="69">
        <v>42632</v>
      </c>
      <c r="G954" s="44" t="s">
        <v>26149</v>
      </c>
      <c r="H954" s="44" t="s">
        <v>26150</v>
      </c>
      <c r="I954" s="44" t="s">
        <v>73</v>
      </c>
      <c r="J954" s="44">
        <v>77373</v>
      </c>
      <c r="K954" s="44" t="s">
        <v>558</v>
      </c>
      <c r="L954" s="44" t="s">
        <v>26151</v>
      </c>
      <c r="M954" s="44" t="s">
        <v>27</v>
      </c>
      <c r="N954" s="44" t="s">
        <v>26152</v>
      </c>
      <c r="O954" s="44" t="s">
        <v>400</v>
      </c>
      <c r="P954" s="44" t="s">
        <v>401</v>
      </c>
      <c r="Q954" s="44" t="s">
        <v>26153</v>
      </c>
      <c r="R954" s="68" t="s">
        <v>555</v>
      </c>
      <c r="S954" s="44" t="s">
        <v>28</v>
      </c>
      <c r="T954" s="68" t="s">
        <v>27756</v>
      </c>
      <c r="U954" s="68" t="s">
        <v>29438</v>
      </c>
      <c r="V954" s="68" t="s">
        <v>29439</v>
      </c>
      <c r="W954" s="68" t="s">
        <v>555</v>
      </c>
      <c r="X954" s="68">
        <v>1900</v>
      </c>
      <c r="AW954" s="1"/>
      <c r="AX954" s="1"/>
      <c r="AY954" s="1"/>
      <c r="BB954" s="11"/>
      <c r="BC954" s="1"/>
      <c r="BD954" s="1"/>
      <c r="BE954" s="1"/>
      <c r="BF954" s="1"/>
      <c r="BG954" s="1"/>
      <c r="BH954" s="1"/>
      <c r="BI954" s="1"/>
      <c r="BJ954" s="1"/>
    </row>
    <row r="955" spans="1:63" s="44" customFormat="1" ht="12" customHeight="1" x14ac:dyDescent="0.15">
      <c r="A955" s="66" t="s">
        <v>29600</v>
      </c>
      <c r="B955" s="66">
        <v>56</v>
      </c>
      <c r="C955" s="66" t="s">
        <v>20</v>
      </c>
      <c r="D955" s="66" t="s">
        <v>37</v>
      </c>
      <c r="E955" s="66"/>
      <c r="F955" s="67">
        <v>42632</v>
      </c>
      <c r="G955" s="67"/>
      <c r="H955" s="66" t="s">
        <v>29599</v>
      </c>
      <c r="I955" s="66" t="s">
        <v>73</v>
      </c>
      <c r="J955" s="66"/>
      <c r="K955" s="66"/>
      <c r="L955" s="66"/>
      <c r="M955" s="66" t="s">
        <v>27</v>
      </c>
      <c r="N955" s="66"/>
      <c r="O955" s="66" t="s">
        <v>400</v>
      </c>
      <c r="P955" s="66" t="s">
        <v>401</v>
      </c>
      <c r="Q955" s="66"/>
      <c r="R955" s="66" t="s">
        <v>555</v>
      </c>
      <c r="S955" s="66" t="s">
        <v>28</v>
      </c>
      <c r="T955" s="66" t="s">
        <v>27756</v>
      </c>
      <c r="U955" s="66" t="s">
        <v>29438</v>
      </c>
      <c r="V955" s="66" t="s">
        <v>29439</v>
      </c>
      <c r="W955" s="66" t="s">
        <v>100</v>
      </c>
      <c r="X955" s="66">
        <v>1907</v>
      </c>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c r="AZ955" s="66"/>
      <c r="BA955" s="66"/>
      <c r="BB955" s="66"/>
      <c r="BC955" s="1"/>
      <c r="BD955" s="1"/>
      <c r="BE955" s="1"/>
      <c r="BF955" s="1"/>
      <c r="BG955" s="1"/>
      <c r="BH955" s="1"/>
      <c r="BI955" s="1"/>
      <c r="BJ955" s="1"/>
    </row>
    <row r="956" spans="1:63" s="44" customFormat="1" ht="12" customHeight="1" x14ac:dyDescent="0.15">
      <c r="A956" s="44" t="s">
        <v>26144</v>
      </c>
      <c r="B956" s="68">
        <v>30</v>
      </c>
      <c r="C956" s="44" t="s">
        <v>20</v>
      </c>
      <c r="D956" s="44" t="s">
        <v>37</v>
      </c>
      <c r="F956" s="69">
        <v>42632</v>
      </c>
      <c r="H956" s="44" t="s">
        <v>990</v>
      </c>
      <c r="I956" s="44" t="s">
        <v>240</v>
      </c>
      <c r="J956" s="44">
        <v>84321</v>
      </c>
      <c r="K956" s="44" t="s">
        <v>991</v>
      </c>
      <c r="L956" s="44" t="s">
        <v>26145</v>
      </c>
      <c r="M956" s="44" t="s">
        <v>27</v>
      </c>
      <c r="N956" s="44" t="s">
        <v>26146</v>
      </c>
      <c r="O956" s="44" t="s">
        <v>400</v>
      </c>
      <c r="P956" s="44" t="s">
        <v>401</v>
      </c>
      <c r="Q956" s="44" t="s">
        <v>26147</v>
      </c>
      <c r="R956" s="68" t="s">
        <v>555</v>
      </c>
      <c r="S956" s="44" t="s">
        <v>35</v>
      </c>
      <c r="T956" s="68" t="s">
        <v>29442</v>
      </c>
      <c r="U956" s="68" t="s">
        <v>29436</v>
      </c>
      <c r="V956" s="68" t="s">
        <v>29439</v>
      </c>
      <c r="W956" s="68" t="s">
        <v>100</v>
      </c>
      <c r="X956" s="68">
        <v>1902</v>
      </c>
      <c r="AX956" s="1"/>
      <c r="AY956" s="1"/>
      <c r="BB956" s="11"/>
      <c r="BC956" s="1"/>
      <c r="BD956" s="1"/>
      <c r="BE956" s="1"/>
      <c r="BF956" s="1"/>
      <c r="BG956" s="1"/>
      <c r="BH956" s="1"/>
      <c r="BI956" s="1"/>
      <c r="BJ956" s="1"/>
      <c r="BK956" s="1"/>
    </row>
    <row r="957" spans="1:63" s="44" customFormat="1" ht="12" customHeight="1" x14ac:dyDescent="0.15">
      <c r="A957" s="44" t="s">
        <v>26140</v>
      </c>
      <c r="B957" s="68">
        <v>61</v>
      </c>
      <c r="C957" s="44" t="s">
        <v>20</v>
      </c>
      <c r="D957" s="68" t="s">
        <v>85</v>
      </c>
      <c r="F957" s="69">
        <v>42631</v>
      </c>
      <c r="G957" s="44" t="s">
        <v>26141</v>
      </c>
      <c r="H957" s="44" t="s">
        <v>204</v>
      </c>
      <c r="I957" s="44" t="s">
        <v>69</v>
      </c>
      <c r="J957" s="44">
        <v>44314</v>
      </c>
      <c r="K957" s="44" t="s">
        <v>3466</v>
      </c>
      <c r="L957" s="44" t="s">
        <v>205</v>
      </c>
      <c r="M957" s="44" t="s">
        <v>27</v>
      </c>
      <c r="N957" s="44" t="s">
        <v>26142</v>
      </c>
      <c r="O957" s="44" t="s">
        <v>400</v>
      </c>
      <c r="P957" s="44" t="s">
        <v>401</v>
      </c>
      <c r="Q957" s="44" t="s">
        <v>26143</v>
      </c>
      <c r="R957" s="44" t="s">
        <v>29</v>
      </c>
      <c r="S957" s="44" t="s">
        <v>28</v>
      </c>
      <c r="T957" s="68" t="s">
        <v>27756</v>
      </c>
      <c r="U957" s="68" t="s">
        <v>29436</v>
      </c>
      <c r="V957" s="68" t="s">
        <v>29439</v>
      </c>
      <c r="W957" s="68" t="s">
        <v>100</v>
      </c>
      <c r="X957" s="68">
        <v>1891</v>
      </c>
      <c r="AW957" s="1"/>
      <c r="AX957" s="1"/>
      <c r="AY957" s="1"/>
      <c r="BA957" s="1"/>
      <c r="BB957" s="1"/>
    </row>
    <row r="958" spans="1:63" s="44" customFormat="1" ht="12" customHeight="1" x14ac:dyDescent="0.15">
      <c r="A958" s="11" t="s">
        <v>26096</v>
      </c>
      <c r="B958" s="68">
        <v>25</v>
      </c>
      <c r="C958" s="11" t="s">
        <v>20</v>
      </c>
      <c r="D958" s="11" t="s">
        <v>85</v>
      </c>
      <c r="E958" s="11"/>
      <c r="F958" s="69">
        <v>42630</v>
      </c>
      <c r="G958" s="11" t="s">
        <v>26097</v>
      </c>
      <c r="H958" s="11" t="s">
        <v>1100</v>
      </c>
      <c r="I958" s="11" t="s">
        <v>404</v>
      </c>
      <c r="J958" s="11">
        <v>19139</v>
      </c>
      <c r="K958" s="11" t="s">
        <v>1100</v>
      </c>
      <c r="L958" s="11" t="s">
        <v>1101</v>
      </c>
      <c r="M958" s="11" t="s">
        <v>27</v>
      </c>
      <c r="N958" s="11" t="s">
        <v>26098</v>
      </c>
      <c r="O958" s="11" t="s">
        <v>400</v>
      </c>
      <c r="P958" s="8" t="s">
        <v>401</v>
      </c>
      <c r="Q958" s="11" t="s">
        <v>26099</v>
      </c>
      <c r="R958" s="11" t="s">
        <v>100</v>
      </c>
      <c r="S958" s="8" t="s">
        <v>28</v>
      </c>
      <c r="T958" s="68" t="s">
        <v>27756</v>
      </c>
      <c r="U958" s="68" t="s">
        <v>29438</v>
      </c>
      <c r="V958" s="68" t="s">
        <v>29440</v>
      </c>
      <c r="W958" s="68" t="s">
        <v>100</v>
      </c>
      <c r="X958" s="68">
        <v>1894</v>
      </c>
      <c r="Y958" s="11"/>
      <c r="Z958" s="11"/>
      <c r="AA958" s="11"/>
      <c r="AB958" s="11"/>
      <c r="AC958" s="11"/>
      <c r="AD958" s="11"/>
      <c r="AE958" s="11"/>
      <c r="AF958" s="11"/>
      <c r="AG958" s="11"/>
      <c r="AH958" s="11"/>
      <c r="AI958" s="11"/>
      <c r="AJ958" s="11"/>
      <c r="AK958" s="11"/>
      <c r="AL958" s="11"/>
      <c r="AM958" s="11"/>
      <c r="AN958" s="11"/>
      <c r="AO958" s="11"/>
      <c r="AP958" s="11"/>
      <c r="AQ958" s="11"/>
      <c r="AW958" s="11"/>
      <c r="BA958" s="11"/>
      <c r="BB958" s="11"/>
    </row>
    <row r="959" spans="1:63" s="44" customFormat="1" ht="12" customHeight="1" x14ac:dyDescent="0.15">
      <c r="A959" s="11" t="s">
        <v>26100</v>
      </c>
      <c r="B959" s="11">
        <v>21</v>
      </c>
      <c r="C959" s="11" t="s">
        <v>20</v>
      </c>
      <c r="D959" s="11" t="s">
        <v>85</v>
      </c>
      <c r="E959" s="11"/>
      <c r="F959" s="72">
        <v>42630</v>
      </c>
      <c r="G959" s="11" t="s">
        <v>26105</v>
      </c>
      <c r="H959" s="11" t="s">
        <v>20552</v>
      </c>
      <c r="I959" s="11" t="s">
        <v>52</v>
      </c>
      <c r="J959" s="11">
        <v>21220</v>
      </c>
      <c r="K959" s="11" t="s">
        <v>1592</v>
      </c>
      <c r="L959" s="11" t="s">
        <v>231</v>
      </c>
      <c r="M959" s="11" t="s">
        <v>27</v>
      </c>
      <c r="N959" s="11" t="s">
        <v>26101</v>
      </c>
      <c r="O959" s="11" t="s">
        <v>400</v>
      </c>
      <c r="P959" s="8" t="s">
        <v>401</v>
      </c>
      <c r="Q959" s="11" t="s">
        <v>26104</v>
      </c>
      <c r="R959" s="11" t="s">
        <v>100</v>
      </c>
      <c r="S959" s="8" t="s">
        <v>18</v>
      </c>
      <c r="T959" s="68"/>
      <c r="U959" s="68"/>
      <c r="V959" s="68"/>
      <c r="W959" s="68"/>
      <c r="X959" s="68"/>
      <c r="Y959" s="11"/>
      <c r="Z959" s="11"/>
      <c r="AA959" s="11"/>
      <c r="AB959" s="11"/>
      <c r="AC959" s="11"/>
      <c r="AD959" s="11"/>
      <c r="AE959" s="11"/>
      <c r="AF959" s="11"/>
      <c r="AG959" s="11"/>
      <c r="AH959" s="11"/>
      <c r="AI959" s="11"/>
      <c r="AJ959" s="11"/>
      <c r="AK959" s="11"/>
      <c r="AL959" s="11"/>
      <c r="AM959" s="11"/>
      <c r="AN959" s="11"/>
      <c r="AO959" s="11"/>
      <c r="AP959" s="11"/>
      <c r="AQ959" s="11"/>
      <c r="AW959" s="1"/>
      <c r="AZ959" s="1"/>
      <c r="BA959" s="1"/>
      <c r="BB959" s="1"/>
      <c r="BK959" s="1"/>
    </row>
    <row r="960" spans="1:63" s="44" customFormat="1" ht="12" customHeight="1" x14ac:dyDescent="0.15">
      <c r="A960" s="11" t="s">
        <v>26085</v>
      </c>
      <c r="B960" s="68">
        <v>22</v>
      </c>
      <c r="C960" s="11" t="s">
        <v>20</v>
      </c>
      <c r="D960" s="11" t="s">
        <v>85</v>
      </c>
      <c r="E960" s="11"/>
      <c r="F960" s="69">
        <v>42630</v>
      </c>
      <c r="G960" s="11" t="s">
        <v>26089</v>
      </c>
      <c r="H960" s="11" t="s">
        <v>15417</v>
      </c>
      <c r="I960" s="11" t="s">
        <v>133</v>
      </c>
      <c r="J960" s="11">
        <v>56301</v>
      </c>
      <c r="K960" s="11" t="s">
        <v>26090</v>
      </c>
      <c r="L960" s="11" t="s">
        <v>26086</v>
      </c>
      <c r="M960" s="11" t="s">
        <v>27</v>
      </c>
      <c r="N960" s="11" t="s">
        <v>26087</v>
      </c>
      <c r="O960" s="11" t="s">
        <v>400</v>
      </c>
      <c r="P960" s="8" t="s">
        <v>401</v>
      </c>
      <c r="Q960" s="11" t="s">
        <v>26088</v>
      </c>
      <c r="R960" s="11" t="s">
        <v>29</v>
      </c>
      <c r="S960" s="8" t="s">
        <v>28</v>
      </c>
      <c r="T960" s="68" t="s">
        <v>29493</v>
      </c>
      <c r="U960" s="68" t="s">
        <v>29438</v>
      </c>
      <c r="V960" s="68" t="s">
        <v>29439</v>
      </c>
      <c r="W960" s="68" t="s">
        <v>100</v>
      </c>
      <c r="X960" s="68">
        <v>1898</v>
      </c>
      <c r="Y960" s="11"/>
      <c r="Z960" s="11"/>
      <c r="AA960" s="11"/>
      <c r="AB960" s="11"/>
      <c r="AC960" s="11"/>
      <c r="AD960" s="11"/>
      <c r="AE960" s="11"/>
      <c r="AF960" s="11"/>
      <c r="AG960" s="11"/>
      <c r="AH960" s="11"/>
      <c r="AI960" s="11"/>
      <c r="AJ960" s="11"/>
      <c r="AK960" s="11"/>
      <c r="AL960" s="11"/>
      <c r="AM960" s="11"/>
      <c r="AN960" s="11"/>
      <c r="AO960" s="11"/>
      <c r="AP960" s="11"/>
      <c r="AQ960" s="11"/>
      <c r="BA960" s="1"/>
      <c r="BB960" s="1"/>
    </row>
    <row r="961" spans="1:63" s="44" customFormat="1" ht="12" customHeight="1" x14ac:dyDescent="0.15">
      <c r="A961" s="44" t="s">
        <v>26136</v>
      </c>
      <c r="B961" s="68">
        <v>42</v>
      </c>
      <c r="C961" s="44" t="s">
        <v>20</v>
      </c>
      <c r="D961" s="44" t="s">
        <v>37</v>
      </c>
      <c r="E961" s="44" t="s">
        <v>26270</v>
      </c>
      <c r="F961" s="69">
        <v>42630</v>
      </c>
      <c r="G961" s="44" t="s">
        <v>26137</v>
      </c>
      <c r="H961" s="44" t="s">
        <v>8978</v>
      </c>
      <c r="I961" s="44" t="s">
        <v>45</v>
      </c>
      <c r="J961" s="44">
        <v>92223</v>
      </c>
      <c r="K961" s="44" t="s">
        <v>783</v>
      </c>
      <c r="L961" s="44" t="s">
        <v>8980</v>
      </c>
      <c r="M961" s="44" t="s">
        <v>27</v>
      </c>
      <c r="N961" s="44" t="s">
        <v>26138</v>
      </c>
      <c r="O961" s="44" t="s">
        <v>400</v>
      </c>
      <c r="P961" s="44" t="s">
        <v>401</v>
      </c>
      <c r="Q961" s="44" t="s">
        <v>26139</v>
      </c>
      <c r="R961" s="44" t="s">
        <v>29</v>
      </c>
      <c r="S961" s="44" t="s">
        <v>28</v>
      </c>
      <c r="T961" s="68" t="s">
        <v>29451</v>
      </c>
      <c r="U961" s="68" t="s">
        <v>29436</v>
      </c>
      <c r="V961" s="68" t="s">
        <v>29439</v>
      </c>
      <c r="W961" s="68" t="s">
        <v>100</v>
      </c>
      <c r="X961" s="68">
        <v>1890</v>
      </c>
      <c r="AW961" s="1"/>
      <c r="AX961" s="1"/>
      <c r="AY961" s="1"/>
      <c r="BA961" s="1"/>
      <c r="BB961" s="1"/>
      <c r="BC961" s="1"/>
      <c r="BD961" s="1"/>
      <c r="BE961" s="1"/>
      <c r="BF961" s="1"/>
      <c r="BG961" s="1"/>
      <c r="BH961" s="1"/>
      <c r="BI961" s="1"/>
      <c r="BJ961" s="1"/>
    </row>
    <row r="962" spans="1:63" s="44" customFormat="1" ht="12" customHeight="1" x14ac:dyDescent="0.15">
      <c r="A962" s="44" t="s">
        <v>26126</v>
      </c>
      <c r="B962" s="68">
        <v>45</v>
      </c>
      <c r="C962" s="44" t="s">
        <v>20</v>
      </c>
      <c r="D962" s="68" t="s">
        <v>37</v>
      </c>
      <c r="F962" s="69">
        <v>42630</v>
      </c>
      <c r="G962" s="44" t="s">
        <v>26127</v>
      </c>
      <c r="H962" s="44" t="s">
        <v>2158</v>
      </c>
      <c r="I962" s="44" t="s">
        <v>94</v>
      </c>
      <c r="J962" s="44">
        <v>35802</v>
      </c>
      <c r="K962" s="44" t="s">
        <v>2160</v>
      </c>
      <c r="L962" s="44" t="s">
        <v>2161</v>
      </c>
      <c r="M962" s="44" t="s">
        <v>27</v>
      </c>
      <c r="N962" s="44" t="s">
        <v>26128</v>
      </c>
      <c r="O962" s="44" t="s">
        <v>400</v>
      </c>
      <c r="P962" s="44" t="s">
        <v>401</v>
      </c>
      <c r="Q962" s="44" t="s">
        <v>26129</v>
      </c>
      <c r="R962" s="44" t="s">
        <v>29</v>
      </c>
      <c r="S962" s="44" t="s">
        <v>18</v>
      </c>
      <c r="T962" s="68" t="s">
        <v>29612</v>
      </c>
      <c r="U962" s="68" t="s">
        <v>29438</v>
      </c>
      <c r="V962" s="68" t="s">
        <v>21212</v>
      </c>
      <c r="W962" s="68" t="s">
        <v>555</v>
      </c>
      <c r="X962" s="68">
        <v>1895</v>
      </c>
      <c r="AW962" s="1"/>
      <c r="AX962" s="1"/>
      <c r="AY962" s="1"/>
      <c r="BA962" s="1"/>
      <c r="BB962" s="1"/>
      <c r="BC962" s="1"/>
      <c r="BD962" s="1"/>
      <c r="BE962" s="1"/>
      <c r="BF962" s="1"/>
      <c r="BG962" s="1"/>
      <c r="BH962" s="1"/>
      <c r="BI962" s="1"/>
      <c r="BJ962" s="1"/>
      <c r="BK962" s="1"/>
    </row>
    <row r="963" spans="1:63" s="44" customFormat="1" ht="12" customHeight="1" x14ac:dyDescent="0.15">
      <c r="A963" s="44" t="s">
        <v>26130</v>
      </c>
      <c r="B963" s="68">
        <v>55</v>
      </c>
      <c r="C963" s="44" t="s">
        <v>20</v>
      </c>
      <c r="D963" s="68" t="s">
        <v>37</v>
      </c>
      <c r="F963" s="69">
        <v>42630</v>
      </c>
      <c r="G963" s="44" t="s">
        <v>26131</v>
      </c>
      <c r="H963" s="44" t="s">
        <v>26132</v>
      </c>
      <c r="I963" s="44" t="s">
        <v>366</v>
      </c>
      <c r="J963" s="44">
        <v>28139</v>
      </c>
      <c r="K963" s="44" t="s">
        <v>7193</v>
      </c>
      <c r="L963" s="44" t="s">
        <v>26133</v>
      </c>
      <c r="M963" s="44" t="s">
        <v>27</v>
      </c>
      <c r="N963" s="44" t="s">
        <v>26134</v>
      </c>
      <c r="O963" s="44" t="s">
        <v>400</v>
      </c>
      <c r="P963" s="44" t="s">
        <v>401</v>
      </c>
      <c r="Q963" s="44" t="s">
        <v>26135</v>
      </c>
      <c r="R963" s="68" t="s">
        <v>555</v>
      </c>
      <c r="S963" s="44" t="s">
        <v>28</v>
      </c>
      <c r="T963" s="68" t="s">
        <v>27756</v>
      </c>
      <c r="U963" s="68" t="s">
        <v>29438</v>
      </c>
      <c r="V963" s="68" t="s">
        <v>29439</v>
      </c>
      <c r="W963" s="68" t="s">
        <v>100</v>
      </c>
      <c r="X963" s="68">
        <v>1896</v>
      </c>
      <c r="AW963" s="1"/>
      <c r="AX963" s="1"/>
      <c r="AY963" s="1"/>
      <c r="BB963" s="11"/>
      <c r="BC963" s="1"/>
      <c r="BD963" s="1"/>
      <c r="BE963" s="1"/>
      <c r="BF963" s="1"/>
      <c r="BG963" s="1"/>
      <c r="BH963" s="1"/>
      <c r="BI963" s="1"/>
      <c r="BJ963" s="1"/>
    </row>
    <row r="964" spans="1:63" s="44" customFormat="1" ht="12" customHeight="1" x14ac:dyDescent="0.15">
      <c r="A964" s="11" t="s">
        <v>24962</v>
      </c>
      <c r="B964" s="68">
        <v>46</v>
      </c>
      <c r="C964" s="11" t="s">
        <v>20</v>
      </c>
      <c r="D964" s="11" t="s">
        <v>37</v>
      </c>
      <c r="E964" s="11"/>
      <c r="F964" s="69">
        <v>42629</v>
      </c>
      <c r="G964" s="11" t="s">
        <v>24963</v>
      </c>
      <c r="H964" s="11" t="s">
        <v>24964</v>
      </c>
      <c r="I964" s="11" t="s">
        <v>431</v>
      </c>
      <c r="J964" s="11">
        <v>65672</v>
      </c>
      <c r="K964" s="11" t="s">
        <v>24965</v>
      </c>
      <c r="L964" s="11" t="s">
        <v>24966</v>
      </c>
      <c r="M964" s="11" t="s">
        <v>27</v>
      </c>
      <c r="N964" s="11" t="s">
        <v>24967</v>
      </c>
      <c r="O964" s="11" t="s">
        <v>400</v>
      </c>
      <c r="P964" s="8" t="s">
        <v>401</v>
      </c>
      <c r="Q964" s="11" t="s">
        <v>24968</v>
      </c>
      <c r="R964" s="11" t="s">
        <v>100</v>
      </c>
      <c r="S964" s="8" t="s">
        <v>28</v>
      </c>
      <c r="T964" s="68" t="s">
        <v>27756</v>
      </c>
      <c r="U964" s="68" t="s">
        <v>29438</v>
      </c>
      <c r="V964" s="68" t="s">
        <v>29439</v>
      </c>
      <c r="W964" s="68" t="s">
        <v>100</v>
      </c>
      <c r="X964" s="68">
        <v>1887</v>
      </c>
      <c r="Y964" s="11"/>
      <c r="Z964" s="11"/>
      <c r="AA964" s="11"/>
      <c r="AB964" s="11"/>
      <c r="AC964" s="11"/>
      <c r="AD964" s="11"/>
      <c r="AE964" s="11"/>
      <c r="AF964" s="11"/>
      <c r="AG964" s="11"/>
      <c r="AH964" s="11"/>
      <c r="AI964" s="11"/>
      <c r="AJ964" s="11"/>
      <c r="AK964" s="11"/>
      <c r="AL964" s="11"/>
      <c r="AM964" s="11"/>
      <c r="AN964" s="11"/>
      <c r="AO964" s="11"/>
      <c r="AP964" s="11"/>
      <c r="AQ964" s="11"/>
      <c r="AW964" s="1"/>
      <c r="AX964" s="1"/>
      <c r="AY964" s="1"/>
      <c r="BA964" s="11"/>
      <c r="BB964" s="11"/>
      <c r="BC964" s="1"/>
      <c r="BD964" s="1"/>
      <c r="BE964" s="1"/>
      <c r="BF964" s="1"/>
      <c r="BG964" s="1"/>
      <c r="BH964" s="1"/>
      <c r="BI964" s="1"/>
      <c r="BJ964" s="1"/>
    </row>
    <row r="965" spans="1:63" s="44" customFormat="1" ht="12" customHeight="1" x14ac:dyDescent="0.2">
      <c r="A965" s="11" t="s">
        <v>26081</v>
      </c>
      <c r="B965" s="68">
        <v>40</v>
      </c>
      <c r="C965" s="11" t="s">
        <v>20</v>
      </c>
      <c r="D965" s="11" t="s">
        <v>85</v>
      </c>
      <c r="E965" s="11" t="s">
        <v>26093</v>
      </c>
      <c r="F965" s="69">
        <v>42629</v>
      </c>
      <c r="G965" s="11" t="s">
        <v>26084</v>
      </c>
      <c r="H965" s="11" t="s">
        <v>2487</v>
      </c>
      <c r="I965" s="11" t="s">
        <v>395</v>
      </c>
      <c r="J965" s="11">
        <v>74110</v>
      </c>
      <c r="K965" s="11" t="s">
        <v>2487</v>
      </c>
      <c r="L965" s="11" t="s">
        <v>3379</v>
      </c>
      <c r="M965" s="68" t="s">
        <v>5411</v>
      </c>
      <c r="N965" s="11" t="s">
        <v>26082</v>
      </c>
      <c r="O965" s="11" t="s">
        <v>400</v>
      </c>
      <c r="P965" s="8" t="s">
        <v>401</v>
      </c>
      <c r="Q965" s="11" t="s">
        <v>26083</v>
      </c>
      <c r="R965" s="11" t="s">
        <v>100</v>
      </c>
      <c r="S965" s="8" t="s">
        <v>18</v>
      </c>
      <c r="T965" s="68" t="s">
        <v>28345</v>
      </c>
      <c r="U965" s="68" t="s">
        <v>29441</v>
      </c>
      <c r="V965" s="68" t="s">
        <v>29439</v>
      </c>
      <c r="W965" s="68" t="s">
        <v>100</v>
      </c>
      <c r="X965" s="68">
        <v>1888</v>
      </c>
      <c r="Y965" s="11"/>
      <c r="Z965" s="11"/>
      <c r="AA965" s="11"/>
      <c r="AB965" s="11"/>
      <c r="AC965" s="11"/>
      <c r="AD965" s="11"/>
      <c r="AE965" s="11"/>
      <c r="AF965" s="11"/>
      <c r="AG965" s="11"/>
      <c r="AH965" s="11"/>
      <c r="AI965" s="11"/>
      <c r="AJ965" s="11"/>
      <c r="AK965" s="11"/>
      <c r="AL965" s="11"/>
      <c r="AM965" s="11"/>
      <c r="AN965" s="11"/>
      <c r="AO965" s="11"/>
      <c r="AP965" s="11"/>
      <c r="AQ965" s="11"/>
      <c r="BA965" s="11"/>
      <c r="BB965" s="70"/>
      <c r="BK965" s="1"/>
    </row>
    <row r="966" spans="1:63" s="44" customFormat="1" ht="12" customHeight="1" x14ac:dyDescent="0.15">
      <c r="A966" s="44" t="s">
        <v>26120</v>
      </c>
      <c r="B966" s="68">
        <v>29</v>
      </c>
      <c r="C966" s="44" t="s">
        <v>20</v>
      </c>
      <c r="D966" s="44" t="s">
        <v>37</v>
      </c>
      <c r="F966" s="69">
        <v>42629</v>
      </c>
      <c r="G966" s="44" t="s">
        <v>26121</v>
      </c>
      <c r="H966" s="44" t="s">
        <v>2208</v>
      </c>
      <c r="I966" s="44" t="s">
        <v>315</v>
      </c>
      <c r="J966" s="44">
        <v>42301</v>
      </c>
      <c r="K966" s="44" t="s">
        <v>26122</v>
      </c>
      <c r="L966" s="44" t="s">
        <v>26123</v>
      </c>
      <c r="M966" s="44" t="s">
        <v>27</v>
      </c>
      <c r="N966" s="44" t="s">
        <v>26124</v>
      </c>
      <c r="O966" s="44" t="s">
        <v>400</v>
      </c>
      <c r="P966" s="44" t="s">
        <v>401</v>
      </c>
      <c r="Q966" s="44" t="s">
        <v>26125</v>
      </c>
      <c r="R966" s="44" t="s">
        <v>29</v>
      </c>
      <c r="S966" s="44" t="s">
        <v>28</v>
      </c>
      <c r="T966" s="68" t="s">
        <v>29493</v>
      </c>
      <c r="U966" s="68" t="s">
        <v>29438</v>
      </c>
      <c r="V966" s="68" t="s">
        <v>29439</v>
      </c>
      <c r="W966" s="68" t="s">
        <v>100</v>
      </c>
      <c r="X966" s="68">
        <v>1893</v>
      </c>
      <c r="AX966" s="1"/>
      <c r="AY966" s="1"/>
      <c r="BA966" s="1"/>
      <c r="BB966" s="1"/>
      <c r="BC966" s="1"/>
      <c r="BD966" s="1"/>
      <c r="BE966" s="1"/>
      <c r="BF966" s="1"/>
      <c r="BG966" s="1"/>
      <c r="BH966" s="1"/>
      <c r="BI966" s="1"/>
      <c r="BJ966" s="1"/>
    </row>
    <row r="967" spans="1:63" s="44" customFormat="1" ht="12" customHeight="1" x14ac:dyDescent="0.15">
      <c r="A967" s="44" t="s">
        <v>26115</v>
      </c>
      <c r="B967" s="68">
        <v>29</v>
      </c>
      <c r="C967" s="44" t="s">
        <v>20</v>
      </c>
      <c r="D967" s="44" t="s">
        <v>139</v>
      </c>
      <c r="F967" s="69">
        <v>42629</v>
      </c>
      <c r="G967" s="44" t="s">
        <v>26116</v>
      </c>
      <c r="H967" s="44" t="s">
        <v>26117</v>
      </c>
      <c r="I967" s="44" t="s">
        <v>10695</v>
      </c>
      <c r="J967" s="44">
        <v>5404</v>
      </c>
      <c r="K967" s="44" t="s">
        <v>1288</v>
      </c>
      <c r="L967" s="44" t="s">
        <v>23238</v>
      </c>
      <c r="M967" s="44" t="s">
        <v>27</v>
      </c>
      <c r="N967" s="44" t="s">
        <v>26118</v>
      </c>
      <c r="O967" s="44" t="s">
        <v>400</v>
      </c>
      <c r="P967" s="44" t="s">
        <v>401</v>
      </c>
      <c r="Q967" s="44" t="s">
        <v>26119</v>
      </c>
      <c r="R967" s="44" t="s">
        <v>29</v>
      </c>
      <c r="S967" s="44" t="s">
        <v>18</v>
      </c>
      <c r="T967" s="68" t="s">
        <v>28345</v>
      </c>
      <c r="U967" s="68" t="s">
        <v>29441</v>
      </c>
      <c r="V967" s="68" t="s">
        <v>29440</v>
      </c>
      <c r="W967" s="68" t="s">
        <v>555</v>
      </c>
      <c r="X967" s="68">
        <v>1889</v>
      </c>
      <c r="AX967" s="1"/>
      <c r="AY967" s="1"/>
      <c r="BA967" s="1"/>
      <c r="BB967" s="1"/>
      <c r="BC967" s="1"/>
      <c r="BD967" s="1"/>
      <c r="BE967" s="1"/>
      <c r="BF967" s="1"/>
      <c r="BG967" s="1"/>
      <c r="BH967" s="1"/>
      <c r="BI967" s="1"/>
      <c r="BJ967" s="1"/>
      <c r="BK967" s="1"/>
    </row>
    <row r="968" spans="1:63" s="44" customFormat="1" ht="12" customHeight="1" x14ac:dyDescent="0.15">
      <c r="A968" s="11" t="s">
        <v>24969</v>
      </c>
      <c r="B968" s="68">
        <v>32</v>
      </c>
      <c r="C968" s="11" t="s">
        <v>20</v>
      </c>
      <c r="D968" s="11" t="s">
        <v>48</v>
      </c>
      <c r="E968" s="11"/>
      <c r="F968" s="69">
        <v>42628</v>
      </c>
      <c r="G968" s="11" t="s">
        <v>24970</v>
      </c>
      <c r="H968" s="11" t="s">
        <v>632</v>
      </c>
      <c r="I968" s="11" t="s">
        <v>123</v>
      </c>
      <c r="J968" s="11">
        <v>85034</v>
      </c>
      <c r="K968" s="11" t="s">
        <v>633</v>
      </c>
      <c r="L968" s="11" t="s">
        <v>634</v>
      </c>
      <c r="M968" s="11" t="s">
        <v>27</v>
      </c>
      <c r="N968" s="11" t="s">
        <v>24971</v>
      </c>
      <c r="O968" s="11" t="s">
        <v>400</v>
      </c>
      <c r="P968" s="8" t="s">
        <v>401</v>
      </c>
      <c r="Q968" s="11" t="s">
        <v>24972</v>
      </c>
      <c r="R968" s="11" t="s">
        <v>100</v>
      </c>
      <c r="S968" s="8" t="s">
        <v>28</v>
      </c>
      <c r="T968" s="68" t="s">
        <v>27756</v>
      </c>
      <c r="U968" s="68" t="s">
        <v>29436</v>
      </c>
      <c r="V968" s="68" t="s">
        <v>21212</v>
      </c>
      <c r="W968" s="68" t="s">
        <v>100</v>
      </c>
      <c r="X968" s="68">
        <v>1884</v>
      </c>
      <c r="Y968" s="11"/>
      <c r="Z968" s="11"/>
      <c r="AA968" s="11"/>
      <c r="AB968" s="11"/>
      <c r="AC968" s="11"/>
      <c r="AD968" s="11"/>
      <c r="AE968" s="11"/>
      <c r="AF968" s="11"/>
      <c r="AG968" s="11"/>
      <c r="AH968" s="11"/>
      <c r="AI968" s="11"/>
      <c r="AJ968" s="11"/>
      <c r="AK968" s="11"/>
      <c r="AL968" s="11"/>
      <c r="AM968" s="11"/>
      <c r="AN968" s="11"/>
      <c r="AO968" s="11"/>
      <c r="AP968" s="11"/>
      <c r="AQ968" s="11"/>
      <c r="AW968" s="11"/>
      <c r="AX968" s="1"/>
      <c r="AY968" s="1"/>
      <c r="BA968" s="11"/>
      <c r="BB968" s="11"/>
      <c r="BC968" s="64"/>
      <c r="BD968" s="64"/>
      <c r="BE968" s="64"/>
      <c r="BF968" s="64"/>
      <c r="BG968" s="64"/>
      <c r="BH968" s="64"/>
      <c r="BI968" s="64"/>
      <c r="BJ968" s="64"/>
    </row>
    <row r="969" spans="1:63" s="44" customFormat="1" ht="12" customHeight="1" x14ac:dyDescent="0.2">
      <c r="A969" s="11" t="s">
        <v>24973</v>
      </c>
      <c r="B969" s="68">
        <v>34</v>
      </c>
      <c r="C969" s="11" t="s">
        <v>20</v>
      </c>
      <c r="D969" s="11" t="s">
        <v>37</v>
      </c>
      <c r="E969" s="11"/>
      <c r="F969" s="69">
        <v>42628</v>
      </c>
      <c r="G969" s="11" t="s">
        <v>24974</v>
      </c>
      <c r="H969" s="11" t="s">
        <v>1313</v>
      </c>
      <c r="I969" s="11" t="s">
        <v>73</v>
      </c>
      <c r="J969" s="11">
        <v>78749</v>
      </c>
      <c r="K969" s="11" t="s">
        <v>1314</v>
      </c>
      <c r="L969" s="11" t="s">
        <v>1315</v>
      </c>
      <c r="M969" s="68" t="s">
        <v>5411</v>
      </c>
      <c r="N969" s="11" t="s">
        <v>24975</v>
      </c>
      <c r="O969" s="11" t="s">
        <v>400</v>
      </c>
      <c r="P969" s="8" t="s">
        <v>401</v>
      </c>
      <c r="Q969" s="11" t="s">
        <v>24976</v>
      </c>
      <c r="R969" s="11" t="s">
        <v>29</v>
      </c>
      <c r="S969" s="8" t="s">
        <v>28</v>
      </c>
      <c r="T969" s="68" t="s">
        <v>27756</v>
      </c>
      <c r="U969" s="68" t="s">
        <v>29438</v>
      </c>
      <c r="V969" s="68" t="s">
        <v>29440</v>
      </c>
      <c r="W969" s="68" t="s">
        <v>100</v>
      </c>
      <c r="X969" s="68">
        <v>1885</v>
      </c>
      <c r="Y969" s="11"/>
      <c r="Z969" s="11"/>
      <c r="AA969" s="11"/>
      <c r="AB969" s="11"/>
      <c r="AC969" s="11"/>
      <c r="AD969" s="11"/>
      <c r="AE969" s="11"/>
      <c r="AF969" s="11"/>
      <c r="AG969" s="11"/>
      <c r="AH969" s="11"/>
      <c r="AI969" s="11"/>
      <c r="AJ969" s="11"/>
      <c r="AK969" s="11"/>
      <c r="AL969" s="11"/>
      <c r="AM969" s="11"/>
      <c r="AN969" s="11"/>
      <c r="AO969" s="11"/>
      <c r="AP969" s="11"/>
      <c r="AQ969" s="11"/>
      <c r="AW969" s="11"/>
      <c r="AX969" s="1"/>
      <c r="AY969" s="1"/>
      <c r="BA969" s="1"/>
      <c r="BB969" s="70"/>
      <c r="BC969" s="1"/>
      <c r="BD969" s="1"/>
      <c r="BE969" s="1"/>
      <c r="BF969" s="1"/>
      <c r="BG969" s="1"/>
      <c r="BH969" s="1"/>
      <c r="BI969" s="1"/>
      <c r="BJ969" s="1"/>
      <c r="BK969" s="1"/>
    </row>
    <row r="970" spans="1:63" s="44" customFormat="1" ht="12" customHeight="1" x14ac:dyDescent="0.15">
      <c r="A970" s="11" t="s">
        <v>24977</v>
      </c>
      <c r="B970" s="68">
        <v>69</v>
      </c>
      <c r="C970" s="11" t="s">
        <v>20</v>
      </c>
      <c r="D970" s="11" t="s">
        <v>37</v>
      </c>
      <c r="E970" s="11"/>
      <c r="F970" s="69">
        <v>42628</v>
      </c>
      <c r="G970" s="11" t="s">
        <v>24978</v>
      </c>
      <c r="H970" s="11" t="s">
        <v>24979</v>
      </c>
      <c r="I970" s="11" t="s">
        <v>62</v>
      </c>
      <c r="J970" s="11">
        <v>34613</v>
      </c>
      <c r="K970" s="11" t="s">
        <v>9732</v>
      </c>
      <c r="L970" s="11" t="s">
        <v>9733</v>
      </c>
      <c r="M970" s="11" t="s">
        <v>27</v>
      </c>
      <c r="N970" s="11" t="s">
        <v>24980</v>
      </c>
      <c r="O970" s="11" t="s">
        <v>400</v>
      </c>
      <c r="P970" s="8" t="s">
        <v>401</v>
      </c>
      <c r="Q970" s="11" t="s">
        <v>24981</v>
      </c>
      <c r="R970" s="68" t="s">
        <v>555</v>
      </c>
      <c r="S970" s="2" t="s">
        <v>28</v>
      </c>
      <c r="T970" s="68" t="s">
        <v>27756</v>
      </c>
      <c r="U970" s="68" t="s">
        <v>29436</v>
      </c>
      <c r="V970" s="68" t="s">
        <v>29439</v>
      </c>
      <c r="W970" s="68" t="s">
        <v>100</v>
      </c>
      <c r="X970" s="68">
        <v>1886</v>
      </c>
      <c r="Y970" s="11"/>
      <c r="Z970" s="11"/>
      <c r="AA970" s="11"/>
      <c r="AB970" s="11"/>
      <c r="AC970" s="11"/>
      <c r="AD970" s="11"/>
      <c r="AE970" s="11"/>
      <c r="AF970" s="11"/>
      <c r="AG970" s="11"/>
      <c r="AH970" s="11"/>
      <c r="AI970" s="11"/>
      <c r="AJ970" s="11"/>
      <c r="AK970" s="11"/>
      <c r="AL970" s="11"/>
      <c r="AM970" s="11"/>
      <c r="AN970" s="11"/>
      <c r="AO970" s="11"/>
      <c r="AP970" s="11"/>
      <c r="AQ970" s="11"/>
      <c r="AW970" s="1"/>
      <c r="AX970" s="1"/>
      <c r="AY970" s="1"/>
      <c r="BB970" s="11"/>
      <c r="BC970" s="1"/>
      <c r="BD970" s="1"/>
      <c r="BE970" s="1"/>
      <c r="BF970" s="1"/>
      <c r="BG970" s="1"/>
      <c r="BH970" s="1"/>
      <c r="BI970" s="1"/>
      <c r="BJ970" s="1"/>
    </row>
    <row r="971" spans="1:63" s="11" customFormat="1" ht="12" customHeight="1" x14ac:dyDescent="0.2">
      <c r="A971" s="11" t="s">
        <v>24982</v>
      </c>
      <c r="B971" s="68">
        <v>13</v>
      </c>
      <c r="C971" s="11" t="s">
        <v>20</v>
      </c>
      <c r="D971" s="11" t="s">
        <v>85</v>
      </c>
      <c r="F971" s="69">
        <v>42627</v>
      </c>
      <c r="G971" s="11" t="s">
        <v>24983</v>
      </c>
      <c r="H971" s="11" t="s">
        <v>1287</v>
      </c>
      <c r="I971" s="11" t="s">
        <v>69</v>
      </c>
      <c r="J971" s="11">
        <v>43205</v>
      </c>
      <c r="K971" s="11" t="s">
        <v>1288</v>
      </c>
      <c r="L971" s="11" t="s">
        <v>12562</v>
      </c>
      <c r="M971" s="11" t="s">
        <v>27</v>
      </c>
      <c r="N971" s="11" t="s">
        <v>24984</v>
      </c>
      <c r="O971" s="11" t="s">
        <v>400</v>
      </c>
      <c r="P971" s="8" t="s">
        <v>401</v>
      </c>
      <c r="Q971" s="11" t="s">
        <v>24985</v>
      </c>
      <c r="R971" s="11" t="s">
        <v>100</v>
      </c>
      <c r="S971" s="8" t="s">
        <v>18</v>
      </c>
      <c r="T971" s="68" t="s">
        <v>29612</v>
      </c>
      <c r="U971" s="68" t="s">
        <v>29436</v>
      </c>
      <c r="V971" s="68" t="s">
        <v>29440</v>
      </c>
      <c r="W971" s="68" t="s">
        <v>100</v>
      </c>
      <c r="X971" s="68">
        <v>1883</v>
      </c>
      <c r="AR971" s="44"/>
      <c r="AS971" s="44"/>
      <c r="AT971" s="44"/>
      <c r="AU971" s="44"/>
      <c r="AV971" s="44"/>
      <c r="AW971" s="70"/>
      <c r="AX971" s="70"/>
      <c r="AY971" s="70"/>
      <c r="AZ971" s="44"/>
      <c r="BC971" s="44"/>
      <c r="BD971" s="44"/>
      <c r="BE971" s="44"/>
      <c r="BF971" s="44"/>
      <c r="BG971" s="44"/>
      <c r="BH971" s="44"/>
      <c r="BI971" s="44"/>
      <c r="BJ971" s="44"/>
      <c r="BK971" s="1"/>
    </row>
    <row r="972" spans="1:63" s="44" customFormat="1" ht="12" customHeight="1" x14ac:dyDescent="0.2">
      <c r="A972" s="8" t="s">
        <v>24986</v>
      </c>
      <c r="B972" s="8">
        <v>38</v>
      </c>
      <c r="C972" s="8" t="s">
        <v>20</v>
      </c>
      <c r="D972" s="8" t="s">
        <v>37</v>
      </c>
      <c r="E972" s="8"/>
      <c r="F972" s="72">
        <v>42626</v>
      </c>
      <c r="G972" s="8" t="s">
        <v>24987</v>
      </c>
      <c r="H972" s="8" t="s">
        <v>24988</v>
      </c>
      <c r="I972" s="8" t="s">
        <v>45</v>
      </c>
      <c r="J972" s="8">
        <v>91775</v>
      </c>
      <c r="K972" s="44" t="s">
        <v>98</v>
      </c>
      <c r="L972" s="11" t="s">
        <v>414</v>
      </c>
      <c r="M972" s="11" t="s">
        <v>22940</v>
      </c>
      <c r="N972" s="8" t="s">
        <v>24989</v>
      </c>
      <c r="O972" s="8" t="s">
        <v>400</v>
      </c>
      <c r="P972" s="8" t="s">
        <v>401</v>
      </c>
      <c r="Q972" s="14" t="s">
        <v>24990</v>
      </c>
      <c r="R972" s="8" t="s">
        <v>100</v>
      </c>
      <c r="S972" s="8" t="s">
        <v>18</v>
      </c>
      <c r="T972" s="8"/>
      <c r="AT972" s="70"/>
      <c r="AU972" s="70"/>
      <c r="AV972" s="1"/>
      <c r="AZ972" s="1"/>
      <c r="BA972" s="1"/>
      <c r="BB972" s="1"/>
      <c r="BC972" s="1"/>
      <c r="BD972" s="1"/>
      <c r="BE972" s="1"/>
      <c r="BF972" s="1"/>
      <c r="BG972" s="1"/>
      <c r="BH972" s="1"/>
      <c r="BI972" s="1"/>
      <c r="BJ972" s="1"/>
      <c r="BK972" s="78"/>
    </row>
    <row r="973" spans="1:63" s="44" customFormat="1" ht="12" customHeight="1" x14ac:dyDescent="0.15">
      <c r="A973" s="8" t="s">
        <v>27743</v>
      </c>
      <c r="B973" s="68">
        <v>25</v>
      </c>
      <c r="C973" s="8" t="s">
        <v>20</v>
      </c>
      <c r="D973" s="11" t="s">
        <v>48</v>
      </c>
      <c r="E973" s="8"/>
      <c r="F973" s="69">
        <v>42625</v>
      </c>
      <c r="G973" s="8" t="s">
        <v>24995</v>
      </c>
      <c r="H973" s="8" t="s">
        <v>4254</v>
      </c>
      <c r="I973" s="8" t="s">
        <v>45</v>
      </c>
      <c r="J973" s="8">
        <v>92324</v>
      </c>
      <c r="K973" s="8" t="s">
        <v>309</v>
      </c>
      <c r="L973" s="8" t="s">
        <v>9257</v>
      </c>
      <c r="M973" s="8" t="s">
        <v>27</v>
      </c>
      <c r="N973" s="8" t="s">
        <v>24996</v>
      </c>
      <c r="O973" s="8" t="s">
        <v>400</v>
      </c>
      <c r="P973" s="8" t="s">
        <v>401</v>
      </c>
      <c r="Q973" s="14" t="s">
        <v>24997</v>
      </c>
      <c r="R973" s="8" t="s">
        <v>100</v>
      </c>
      <c r="S973" s="8" t="s">
        <v>35</v>
      </c>
      <c r="T973" s="66" t="s">
        <v>29441</v>
      </c>
      <c r="U973" s="68" t="s">
        <v>29441</v>
      </c>
      <c r="V973" s="68" t="s">
        <v>29437</v>
      </c>
      <c r="W973" s="68" t="s">
        <v>100</v>
      </c>
      <c r="X973" s="68">
        <v>1882</v>
      </c>
      <c r="AW973" s="11"/>
      <c r="AX973" s="1"/>
      <c r="AY973" s="1"/>
      <c r="BA973" s="11"/>
      <c r="BB973" s="11"/>
      <c r="BC973" s="1"/>
      <c r="BD973" s="1"/>
      <c r="BE973" s="1"/>
      <c r="BF973" s="1"/>
      <c r="BG973" s="1"/>
      <c r="BH973" s="1"/>
      <c r="BI973" s="1"/>
      <c r="BJ973" s="1"/>
      <c r="BK973" s="1"/>
    </row>
    <row r="974" spans="1:63" s="44" customFormat="1" ht="12" customHeight="1" x14ac:dyDescent="0.15">
      <c r="A974" s="8" t="s">
        <v>24998</v>
      </c>
      <c r="B974" s="68">
        <v>25</v>
      </c>
      <c r="C974" s="8" t="s">
        <v>20</v>
      </c>
      <c r="D974" s="11" t="s">
        <v>85</v>
      </c>
      <c r="E974" s="8"/>
      <c r="F974" s="69">
        <v>42625</v>
      </c>
      <c r="G974" s="8" t="s">
        <v>24999</v>
      </c>
      <c r="H974" s="8" t="s">
        <v>18878</v>
      </c>
      <c r="I974" s="8" t="s">
        <v>370</v>
      </c>
      <c r="J974" s="8">
        <v>52405</v>
      </c>
      <c r="K974" s="8" t="s">
        <v>20133</v>
      </c>
      <c r="L974" s="8" t="s">
        <v>18879</v>
      </c>
      <c r="M974" s="8" t="s">
        <v>27</v>
      </c>
      <c r="N974" s="8" t="s">
        <v>25000</v>
      </c>
      <c r="O974" s="8" t="s">
        <v>400</v>
      </c>
      <c r="P974" s="8" t="s">
        <v>401</v>
      </c>
      <c r="Q974" s="14" t="s">
        <v>25001</v>
      </c>
      <c r="R974" s="8" t="s">
        <v>29</v>
      </c>
      <c r="S974" s="13" t="s">
        <v>28</v>
      </c>
      <c r="T974" s="68" t="s">
        <v>29493</v>
      </c>
      <c r="U974" s="68" t="s">
        <v>29438</v>
      </c>
      <c r="V974" s="68" t="s">
        <v>29439</v>
      </c>
      <c r="W974" s="68" t="s">
        <v>100</v>
      </c>
      <c r="X974" s="68">
        <v>1881</v>
      </c>
      <c r="AW974" s="11"/>
      <c r="BA974" s="1"/>
      <c r="BB974" s="1"/>
    </row>
    <row r="975" spans="1:63" s="44" customFormat="1" ht="12" customHeight="1" x14ac:dyDescent="0.15">
      <c r="A975" s="11" t="s">
        <v>24991</v>
      </c>
      <c r="B975" s="68">
        <v>86</v>
      </c>
      <c r="C975" s="11" t="s">
        <v>20</v>
      </c>
      <c r="D975" s="11" t="s">
        <v>30</v>
      </c>
      <c r="E975" s="11"/>
      <c r="F975" s="69">
        <v>42625</v>
      </c>
      <c r="G975" s="11" t="s">
        <v>24992</v>
      </c>
      <c r="H975" s="11" t="s">
        <v>7113</v>
      </c>
      <c r="I975" s="11" t="s">
        <v>45</v>
      </c>
      <c r="J975" s="11">
        <v>95070</v>
      </c>
      <c r="K975" s="11" t="s">
        <v>607</v>
      </c>
      <c r="L975" s="11" t="s">
        <v>20933</v>
      </c>
      <c r="M975" s="11" t="s">
        <v>27</v>
      </c>
      <c r="N975" s="11" t="s">
        <v>24993</v>
      </c>
      <c r="O975" s="11" t="s">
        <v>400</v>
      </c>
      <c r="P975" s="8" t="s">
        <v>401</v>
      </c>
      <c r="Q975" s="11" t="s">
        <v>24994</v>
      </c>
      <c r="R975" s="11" t="s">
        <v>29</v>
      </c>
      <c r="S975" s="8" t="s">
        <v>28</v>
      </c>
      <c r="T975" s="68" t="s">
        <v>27756</v>
      </c>
      <c r="U975" s="68" t="s">
        <v>29436</v>
      </c>
      <c r="V975" s="68" t="s">
        <v>29439</v>
      </c>
      <c r="W975" s="68" t="s">
        <v>100</v>
      </c>
      <c r="X975" s="68">
        <v>1880</v>
      </c>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W975" s="1"/>
      <c r="AX975" s="1"/>
      <c r="AY975" s="1"/>
      <c r="BA975" s="1"/>
      <c r="BB975" s="1"/>
      <c r="BC975" s="1"/>
      <c r="BD975" s="1"/>
      <c r="BE975" s="1"/>
      <c r="BF975" s="1"/>
      <c r="BG975" s="1"/>
      <c r="BH975" s="1"/>
      <c r="BI975" s="1"/>
      <c r="BJ975" s="1"/>
    </row>
    <row r="976" spans="1:63" s="44" customFormat="1" ht="12" customHeight="1" x14ac:dyDescent="0.15">
      <c r="A976" s="8" t="s">
        <v>25002</v>
      </c>
      <c r="B976" s="68">
        <v>31</v>
      </c>
      <c r="C976" s="8" t="s">
        <v>20</v>
      </c>
      <c r="D976" s="11" t="s">
        <v>85</v>
      </c>
      <c r="E976" s="8"/>
      <c r="F976" s="69">
        <v>42624</v>
      </c>
      <c r="G976" s="8" t="s">
        <v>25003</v>
      </c>
      <c r="H976" s="8" t="s">
        <v>118</v>
      </c>
      <c r="I976" s="8" t="s">
        <v>3664</v>
      </c>
      <c r="J976" s="8">
        <v>20001</v>
      </c>
      <c r="K976" s="8" t="s">
        <v>3666</v>
      </c>
      <c r="L976" s="8" t="s">
        <v>19405</v>
      </c>
      <c r="M976" s="8" t="s">
        <v>27</v>
      </c>
      <c r="N976" s="8" t="s">
        <v>25004</v>
      </c>
      <c r="O976" s="8" t="s">
        <v>400</v>
      </c>
      <c r="P976" s="8" t="s">
        <v>401</v>
      </c>
      <c r="Q976" s="14" t="s">
        <v>25005</v>
      </c>
      <c r="R976" s="8" t="s">
        <v>29</v>
      </c>
      <c r="S976" s="8" t="s">
        <v>35</v>
      </c>
      <c r="T976" s="68" t="s">
        <v>29463</v>
      </c>
      <c r="U976" s="68" t="s">
        <v>29438</v>
      </c>
      <c r="V976" s="68" t="s">
        <v>21212</v>
      </c>
      <c r="W976" s="68" t="s">
        <v>100</v>
      </c>
      <c r="X976" s="68">
        <v>1875</v>
      </c>
      <c r="AW976" s="11"/>
      <c r="AX976" s="11"/>
      <c r="AY976" s="11"/>
      <c r="BA976" s="1"/>
      <c r="BB976" s="1"/>
      <c r="BK976" s="1"/>
    </row>
    <row r="977" spans="1:63" s="44" customFormat="1" ht="12" customHeight="1" x14ac:dyDescent="0.15">
      <c r="A977" s="66" t="s">
        <v>29598</v>
      </c>
      <c r="B977" s="66">
        <v>37</v>
      </c>
      <c r="C977" s="66" t="s">
        <v>20</v>
      </c>
      <c r="D977" s="66" t="s">
        <v>37</v>
      </c>
      <c r="E977" s="66"/>
      <c r="F977" s="67">
        <v>42623</v>
      </c>
      <c r="G977" s="67"/>
      <c r="H977" s="66" t="s">
        <v>996</v>
      </c>
      <c r="I977" s="66" t="s">
        <v>209</v>
      </c>
      <c r="J977" s="66"/>
      <c r="K977" s="66"/>
      <c r="L977" s="66"/>
      <c r="M977" s="66" t="s">
        <v>27</v>
      </c>
      <c r="N977" s="66"/>
      <c r="O977" s="66" t="s">
        <v>400</v>
      </c>
      <c r="P977" s="66" t="s">
        <v>401</v>
      </c>
      <c r="Q977" s="66"/>
      <c r="R977" s="66" t="s">
        <v>100</v>
      </c>
      <c r="S977" s="66" t="s">
        <v>28</v>
      </c>
      <c r="T977" s="66" t="s">
        <v>27756</v>
      </c>
      <c r="U977" s="66" t="s">
        <v>29438</v>
      </c>
      <c r="V977" s="66" t="s">
        <v>29439</v>
      </c>
      <c r="W977" s="66" t="s">
        <v>555</v>
      </c>
      <c r="X977" s="66">
        <v>1897</v>
      </c>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c r="AZ977" s="66"/>
      <c r="BA977" s="66"/>
      <c r="BB977" s="66"/>
      <c r="BC977" s="1"/>
      <c r="BD977" s="1"/>
      <c r="BE977" s="1"/>
      <c r="BF977" s="1"/>
      <c r="BG977" s="1"/>
      <c r="BH977" s="1"/>
      <c r="BI977" s="1"/>
      <c r="BJ977" s="1"/>
    </row>
    <row r="978" spans="1:63" s="44" customFormat="1" ht="12" customHeight="1" x14ac:dyDescent="0.15">
      <c r="A978" s="8" t="s">
        <v>25006</v>
      </c>
      <c r="B978" s="68">
        <v>69</v>
      </c>
      <c r="C978" s="8" t="s">
        <v>20</v>
      </c>
      <c r="D978" s="11" t="s">
        <v>37</v>
      </c>
      <c r="E978" s="8"/>
      <c r="F978" s="69">
        <v>42623</v>
      </c>
      <c r="G978" s="8" t="s">
        <v>25007</v>
      </c>
      <c r="H978" s="8" t="s">
        <v>58</v>
      </c>
      <c r="I978" s="8" t="s">
        <v>150</v>
      </c>
      <c r="J978" s="8">
        <v>24701</v>
      </c>
      <c r="K978" s="8" t="s">
        <v>2902</v>
      </c>
      <c r="L978" s="8" t="s">
        <v>25008</v>
      </c>
      <c r="M978" s="8" t="s">
        <v>27</v>
      </c>
      <c r="N978" s="8" t="s">
        <v>25009</v>
      </c>
      <c r="O978" s="8" t="s">
        <v>400</v>
      </c>
      <c r="P978" s="8" t="s">
        <v>401</v>
      </c>
      <c r="Q978" s="14" t="s">
        <v>25010</v>
      </c>
      <c r="R978" s="68" t="s">
        <v>555</v>
      </c>
      <c r="S978" s="8" t="s">
        <v>18</v>
      </c>
      <c r="T978" s="68" t="s">
        <v>29612</v>
      </c>
      <c r="U978" s="68" t="s">
        <v>29436</v>
      </c>
      <c r="V978" s="68" t="s">
        <v>29439</v>
      </c>
      <c r="W978" s="68" t="s">
        <v>555</v>
      </c>
      <c r="X978" s="68">
        <v>1877</v>
      </c>
      <c r="AW978" s="1"/>
      <c r="AX978" s="1"/>
      <c r="AY978" s="1"/>
      <c r="BB978" s="11"/>
      <c r="BC978" s="1"/>
      <c r="BD978" s="1"/>
      <c r="BE978" s="1"/>
      <c r="BF978" s="1"/>
      <c r="BG978" s="1"/>
      <c r="BH978" s="1"/>
      <c r="BI978" s="1"/>
      <c r="BJ978" s="1"/>
      <c r="BK978" s="1"/>
    </row>
    <row r="979" spans="1:63" s="44" customFormat="1" ht="12" customHeight="1" x14ac:dyDescent="0.15">
      <c r="A979" s="8" t="s">
        <v>25017</v>
      </c>
      <c r="B979" s="68">
        <v>32</v>
      </c>
      <c r="C979" s="8" t="s">
        <v>20</v>
      </c>
      <c r="D979" s="8" t="s">
        <v>48</v>
      </c>
      <c r="E979" s="14" t="s">
        <v>25018</v>
      </c>
      <c r="F979" s="69">
        <v>42622</v>
      </c>
      <c r="G979" s="8" t="s">
        <v>25019</v>
      </c>
      <c r="H979" s="8" t="s">
        <v>25020</v>
      </c>
      <c r="I979" s="8" t="s">
        <v>978</v>
      </c>
      <c r="J979" s="8">
        <v>72301</v>
      </c>
      <c r="K979" s="8" t="s">
        <v>5706</v>
      </c>
      <c r="L979" s="8" t="s">
        <v>24786</v>
      </c>
      <c r="M979" s="8" t="s">
        <v>27</v>
      </c>
      <c r="N979" s="8" t="s">
        <v>25021</v>
      </c>
      <c r="O979" s="8" t="s">
        <v>400</v>
      </c>
      <c r="P979" s="8" t="s">
        <v>401</v>
      </c>
      <c r="Q979" s="14" t="s">
        <v>25022</v>
      </c>
      <c r="R979" s="8" t="s">
        <v>100</v>
      </c>
      <c r="S979" s="8" t="s">
        <v>28</v>
      </c>
      <c r="T979" s="68" t="s">
        <v>27756</v>
      </c>
      <c r="U979" s="68" t="s">
        <v>29438</v>
      </c>
      <c r="V979" s="68" t="s">
        <v>29439</v>
      </c>
      <c r="W979" s="68" t="s">
        <v>100</v>
      </c>
      <c r="X979" s="68">
        <v>1874</v>
      </c>
      <c r="AW979" s="11"/>
      <c r="AX979" s="1"/>
      <c r="AY979" s="1"/>
      <c r="BA979" s="11"/>
      <c r="BB979" s="11"/>
      <c r="BC979" s="1"/>
      <c r="BD979" s="1"/>
      <c r="BE979" s="1"/>
      <c r="BF979" s="1"/>
      <c r="BG979" s="1"/>
      <c r="BH979" s="1"/>
      <c r="BI979" s="1"/>
      <c r="BJ979" s="1"/>
    </row>
    <row r="980" spans="1:63" s="44" customFormat="1" ht="12" customHeight="1" x14ac:dyDescent="0.2">
      <c r="A980" s="66" t="s">
        <v>30636</v>
      </c>
      <c r="B980" s="66">
        <v>20</v>
      </c>
      <c r="C980" s="66" t="s">
        <v>20</v>
      </c>
      <c r="D980" s="66" t="s">
        <v>85</v>
      </c>
      <c r="E980" s="66" t="s">
        <v>30637</v>
      </c>
      <c r="F980" s="69">
        <v>42622</v>
      </c>
      <c r="G980" s="66" t="s">
        <v>30638</v>
      </c>
      <c r="H980" s="66" t="s">
        <v>15361</v>
      </c>
      <c r="I980" s="66" t="s">
        <v>73</v>
      </c>
      <c r="J980" s="66" t="s">
        <v>30639</v>
      </c>
      <c r="K980" s="66" t="s">
        <v>8495</v>
      </c>
      <c r="L980" s="66" t="s">
        <v>15363</v>
      </c>
      <c r="M980" s="66" t="s">
        <v>379</v>
      </c>
      <c r="N980" s="66" t="s">
        <v>30640</v>
      </c>
      <c r="O980" s="66" t="s">
        <v>1010</v>
      </c>
      <c r="P980" s="66" t="s">
        <v>30375</v>
      </c>
      <c r="Q980" s="76" t="s">
        <v>30641</v>
      </c>
      <c r="R980" s="66" t="s">
        <v>100</v>
      </c>
      <c r="S980" s="66" t="s">
        <v>379</v>
      </c>
      <c r="T980" s="77"/>
      <c r="U980" s="77"/>
      <c r="V980" s="77"/>
      <c r="W980" s="77"/>
      <c r="X980" s="77"/>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78"/>
      <c r="AW980" s="78"/>
      <c r="AX980" s="78"/>
      <c r="AY980" s="78"/>
      <c r="AZ980" s="78"/>
      <c r="BA980" s="78"/>
      <c r="BB980" s="78"/>
      <c r="BC980" s="78"/>
      <c r="BD980" s="78"/>
      <c r="BE980" s="78"/>
      <c r="BF980" s="78"/>
      <c r="BG980" s="78"/>
      <c r="BH980" s="78"/>
      <c r="BI980" s="78"/>
      <c r="BJ980" s="78"/>
      <c r="BK980" s="1"/>
    </row>
    <row r="981" spans="1:63" s="44" customFormat="1" ht="12" customHeight="1" x14ac:dyDescent="0.15">
      <c r="A981" s="8" t="s">
        <v>25011</v>
      </c>
      <c r="B981" s="68">
        <v>55</v>
      </c>
      <c r="C981" s="8" t="s">
        <v>20</v>
      </c>
      <c r="D981" s="8" t="s">
        <v>85</v>
      </c>
      <c r="E981" s="14" t="s">
        <v>25012</v>
      </c>
      <c r="F981" s="69">
        <v>42622</v>
      </c>
      <c r="G981" s="8" t="s">
        <v>25013</v>
      </c>
      <c r="H981" s="8" t="s">
        <v>1818</v>
      </c>
      <c r="I981" s="8" t="s">
        <v>62</v>
      </c>
      <c r="J981" s="8">
        <v>33060</v>
      </c>
      <c r="K981" s="8" t="s">
        <v>1123</v>
      </c>
      <c r="L981" s="8" t="s">
        <v>25014</v>
      </c>
      <c r="M981" s="8" t="s">
        <v>27</v>
      </c>
      <c r="N981" s="8" t="s">
        <v>25015</v>
      </c>
      <c r="O981" s="8" t="s">
        <v>400</v>
      </c>
      <c r="P981" s="8" t="s">
        <v>401</v>
      </c>
      <c r="Q981" s="14" t="s">
        <v>25016</v>
      </c>
      <c r="R981" s="8" t="s">
        <v>29</v>
      </c>
      <c r="S981" s="13" t="s">
        <v>28</v>
      </c>
      <c r="T981" s="68" t="s">
        <v>29493</v>
      </c>
      <c r="U981" s="68" t="s">
        <v>29436</v>
      </c>
      <c r="V981" s="68" t="s">
        <v>29439</v>
      </c>
      <c r="W981" s="68" t="s">
        <v>100</v>
      </c>
      <c r="X981" s="68">
        <v>1879</v>
      </c>
      <c r="AW981" s="1"/>
      <c r="BA981" s="1"/>
      <c r="BB981" s="1"/>
    </row>
    <row r="982" spans="1:63" s="44" customFormat="1" ht="12" customHeight="1" x14ac:dyDescent="0.15">
      <c r="A982" s="8" t="s">
        <v>25023</v>
      </c>
      <c r="B982" s="68">
        <v>64</v>
      </c>
      <c r="C982" s="8" t="s">
        <v>20</v>
      </c>
      <c r="D982" s="8" t="s">
        <v>37</v>
      </c>
      <c r="E982" s="8"/>
      <c r="F982" s="69">
        <v>42622</v>
      </c>
      <c r="G982" s="8" t="s">
        <v>25024</v>
      </c>
      <c r="H982" s="8" t="s">
        <v>5372</v>
      </c>
      <c r="I982" s="8" t="s">
        <v>303</v>
      </c>
      <c r="J982" s="8">
        <v>98002</v>
      </c>
      <c r="K982" s="8" t="s">
        <v>1209</v>
      </c>
      <c r="L982" s="8" t="s">
        <v>31423</v>
      </c>
      <c r="M982" s="8" t="s">
        <v>27</v>
      </c>
      <c r="N982" s="8" t="s">
        <v>25025</v>
      </c>
      <c r="O982" s="8" t="s">
        <v>400</v>
      </c>
      <c r="P982" s="8" t="s">
        <v>401</v>
      </c>
      <c r="Q982" s="14" t="s">
        <v>25026</v>
      </c>
      <c r="R982" s="68" t="s">
        <v>555</v>
      </c>
      <c r="S982" s="8" t="s">
        <v>35</v>
      </c>
      <c r="T982" s="68" t="s">
        <v>29442</v>
      </c>
      <c r="U982" s="68" t="s">
        <v>29436</v>
      </c>
      <c r="V982" s="68" t="s">
        <v>29439</v>
      </c>
      <c r="W982" s="68" t="s">
        <v>100</v>
      </c>
      <c r="X982" s="68">
        <v>1876</v>
      </c>
      <c r="AW982" s="1"/>
      <c r="AX982" s="1"/>
      <c r="AY982" s="1"/>
      <c r="BB982" s="11"/>
      <c r="BC982" s="1"/>
      <c r="BD982" s="1"/>
      <c r="BE982" s="1"/>
      <c r="BF982" s="1"/>
      <c r="BG982" s="1"/>
      <c r="BH982" s="1"/>
      <c r="BI982" s="1"/>
      <c r="BJ982" s="1"/>
      <c r="BK982" s="1"/>
    </row>
    <row r="983" spans="1:63" s="44" customFormat="1" ht="12" customHeight="1" x14ac:dyDescent="0.15">
      <c r="A983" s="8" t="s">
        <v>25037</v>
      </c>
      <c r="B983" s="68">
        <v>32</v>
      </c>
      <c r="C983" s="8" t="s">
        <v>20</v>
      </c>
      <c r="D983" s="8" t="s">
        <v>37</v>
      </c>
      <c r="E983" s="14" t="s">
        <v>25038</v>
      </c>
      <c r="F983" s="69">
        <v>42621</v>
      </c>
      <c r="G983" s="8" t="s">
        <v>29535</v>
      </c>
      <c r="H983" s="8" t="s">
        <v>4020</v>
      </c>
      <c r="I983" s="8" t="s">
        <v>62</v>
      </c>
      <c r="J983" s="8">
        <v>33801</v>
      </c>
      <c r="K983" s="8" t="s">
        <v>1864</v>
      </c>
      <c r="L983" s="8" t="s">
        <v>257</v>
      </c>
      <c r="M983" s="8" t="s">
        <v>27</v>
      </c>
      <c r="N983" s="8" t="s">
        <v>25039</v>
      </c>
      <c r="O983" s="8" t="s">
        <v>400</v>
      </c>
      <c r="P983" s="8" t="s">
        <v>401</v>
      </c>
      <c r="Q983" s="14" t="s">
        <v>25040</v>
      </c>
      <c r="R983" s="8" t="s">
        <v>100</v>
      </c>
      <c r="S983" s="8" t="s">
        <v>28</v>
      </c>
      <c r="T983" s="68" t="s">
        <v>27756</v>
      </c>
      <c r="U983" s="68" t="s">
        <v>29438</v>
      </c>
      <c r="V983" s="68" t="s">
        <v>29439</v>
      </c>
      <c r="W983" s="68" t="s">
        <v>100</v>
      </c>
      <c r="X983" s="68">
        <v>1872</v>
      </c>
      <c r="AU983" s="11"/>
      <c r="AV983" s="11"/>
      <c r="AW983" s="11"/>
      <c r="AX983" s="1"/>
      <c r="AY983" s="1"/>
      <c r="BA983" s="11"/>
      <c r="BB983" s="11"/>
      <c r="BC983" s="1"/>
      <c r="BD983" s="1"/>
      <c r="BE983" s="1"/>
      <c r="BF983" s="1"/>
      <c r="BG983" s="1"/>
      <c r="BH983" s="1"/>
      <c r="BI983" s="1"/>
      <c r="BJ983" s="1"/>
    </row>
    <row r="984" spans="1:63" s="44" customFormat="1" ht="12" customHeight="1" x14ac:dyDescent="0.15">
      <c r="A984" s="8" t="s">
        <v>25027</v>
      </c>
      <c r="B984" s="68">
        <v>38</v>
      </c>
      <c r="C984" s="8" t="s">
        <v>20</v>
      </c>
      <c r="D984" s="8" t="s">
        <v>48</v>
      </c>
      <c r="E984" s="8"/>
      <c r="F984" s="69">
        <v>42621</v>
      </c>
      <c r="G984" s="8" t="s">
        <v>29536</v>
      </c>
      <c r="H984" s="8" t="s">
        <v>25028</v>
      </c>
      <c r="I984" s="8" t="s">
        <v>45</v>
      </c>
      <c r="J984" s="8">
        <v>95315</v>
      </c>
      <c r="K984" s="8" t="s">
        <v>1423</v>
      </c>
      <c r="L984" s="8" t="s">
        <v>9533</v>
      </c>
      <c r="M984" s="8" t="s">
        <v>27</v>
      </c>
      <c r="N984" s="8" t="s">
        <v>25029</v>
      </c>
      <c r="O984" s="8" t="s">
        <v>400</v>
      </c>
      <c r="P984" s="8" t="s">
        <v>401</v>
      </c>
      <c r="Q984" s="14" t="s">
        <v>25030</v>
      </c>
      <c r="R984" s="8" t="s">
        <v>100</v>
      </c>
      <c r="S984" s="11" t="s">
        <v>18</v>
      </c>
      <c r="T984" s="68" t="s">
        <v>29612</v>
      </c>
      <c r="U984" s="68" t="s">
        <v>29438</v>
      </c>
      <c r="V984" s="68" t="s">
        <v>29439</v>
      </c>
      <c r="W984" s="68" t="s">
        <v>100</v>
      </c>
      <c r="X984" s="68">
        <v>1873</v>
      </c>
      <c r="AX984" s="1"/>
      <c r="AY984" s="1"/>
      <c r="BA984" s="11"/>
      <c r="BB984" s="11"/>
      <c r="BC984" s="1"/>
      <c r="BD984" s="1"/>
      <c r="BE984" s="1"/>
      <c r="BF984" s="1"/>
      <c r="BG984" s="1"/>
      <c r="BH984" s="1"/>
      <c r="BI984" s="1"/>
      <c r="BJ984" s="1"/>
      <c r="BK984" s="1"/>
    </row>
    <row r="985" spans="1:63" s="44" customFormat="1" ht="12" customHeight="1" x14ac:dyDescent="0.15">
      <c r="A985" s="8" t="s">
        <v>25041</v>
      </c>
      <c r="B985" s="68">
        <v>35</v>
      </c>
      <c r="C985" s="8" t="s">
        <v>20</v>
      </c>
      <c r="D985" s="8" t="s">
        <v>37</v>
      </c>
      <c r="E985" s="14" t="s">
        <v>25042</v>
      </c>
      <c r="F985" s="69">
        <v>42620</v>
      </c>
      <c r="G985" s="8" t="s">
        <v>25043</v>
      </c>
      <c r="H985" s="8" t="s">
        <v>13031</v>
      </c>
      <c r="I985" s="8" t="s">
        <v>62</v>
      </c>
      <c r="J985" s="8">
        <v>32780</v>
      </c>
      <c r="K985" s="8" t="s">
        <v>1769</v>
      </c>
      <c r="L985" s="8" t="s">
        <v>13033</v>
      </c>
      <c r="M985" s="8" t="s">
        <v>27</v>
      </c>
      <c r="N985" s="8" t="s">
        <v>25044</v>
      </c>
      <c r="O985" s="8" t="s">
        <v>400</v>
      </c>
      <c r="P985" s="8" t="s">
        <v>401</v>
      </c>
      <c r="Q985" s="14" t="s">
        <v>25045</v>
      </c>
      <c r="R985" s="8" t="s">
        <v>100</v>
      </c>
      <c r="S985" s="11" t="s">
        <v>35</v>
      </c>
      <c r="T985" s="66" t="s">
        <v>29441</v>
      </c>
      <c r="U985" s="68" t="s">
        <v>29441</v>
      </c>
      <c r="V985" s="68" t="s">
        <v>29439</v>
      </c>
      <c r="W985" s="68" t="s">
        <v>100</v>
      </c>
      <c r="X985" s="68">
        <v>1869</v>
      </c>
      <c r="AW985" s="11"/>
      <c r="AX985" s="1"/>
      <c r="AY985" s="1"/>
      <c r="BA985" s="11"/>
      <c r="BB985" s="11"/>
      <c r="BC985" s="1"/>
      <c r="BD985" s="1"/>
      <c r="BE985" s="1"/>
      <c r="BF985" s="1"/>
      <c r="BG985" s="1"/>
      <c r="BH985" s="1"/>
      <c r="BI985" s="1"/>
      <c r="BJ985" s="1"/>
      <c r="BK985" s="1"/>
    </row>
    <row r="986" spans="1:63" s="44" customFormat="1" ht="12" customHeight="1" x14ac:dyDescent="0.15">
      <c r="A986" s="8" t="s">
        <v>25052</v>
      </c>
      <c r="B986" s="68">
        <v>55</v>
      </c>
      <c r="C986" s="8" t="s">
        <v>20</v>
      </c>
      <c r="D986" s="11" t="s">
        <v>85</v>
      </c>
      <c r="E986" s="8"/>
      <c r="F986" s="69">
        <v>42620</v>
      </c>
      <c r="G986" s="8" t="s">
        <v>25053</v>
      </c>
      <c r="H986" s="8" t="s">
        <v>3109</v>
      </c>
      <c r="I986" s="8" t="s">
        <v>173</v>
      </c>
      <c r="J986" s="8">
        <v>31701</v>
      </c>
      <c r="K986" s="8" t="s">
        <v>25054</v>
      </c>
      <c r="L986" s="8" t="s">
        <v>25055</v>
      </c>
      <c r="M986" s="8" t="s">
        <v>27</v>
      </c>
      <c r="N986" s="8" t="s">
        <v>25056</v>
      </c>
      <c r="O986" s="8" t="s">
        <v>400</v>
      </c>
      <c r="P986" s="8" t="s">
        <v>401</v>
      </c>
      <c r="Q986" s="14" t="s">
        <v>25057</v>
      </c>
      <c r="R986" s="8" t="s">
        <v>29</v>
      </c>
      <c r="S986" s="13" t="s">
        <v>28</v>
      </c>
      <c r="T986" s="68" t="s">
        <v>29493</v>
      </c>
      <c r="U986" s="68" t="s">
        <v>29438</v>
      </c>
      <c r="V986" s="68" t="s">
        <v>29439</v>
      </c>
      <c r="W986" s="68" t="s">
        <v>100</v>
      </c>
      <c r="X986" s="68">
        <v>1867</v>
      </c>
      <c r="AW986" s="1"/>
      <c r="BA986" s="1"/>
      <c r="BB986" s="1"/>
    </row>
    <row r="987" spans="1:63" s="44" customFormat="1" ht="12" customHeight="1" x14ac:dyDescent="0.15">
      <c r="A987" s="8" t="s">
        <v>25031</v>
      </c>
      <c r="B987" s="68">
        <v>25</v>
      </c>
      <c r="C987" s="8" t="s">
        <v>20</v>
      </c>
      <c r="D987" s="8" t="s">
        <v>85</v>
      </c>
      <c r="E987" s="14" t="s">
        <v>25032</v>
      </c>
      <c r="F987" s="69">
        <v>42620</v>
      </c>
      <c r="G987" s="8" t="s">
        <v>25033</v>
      </c>
      <c r="H987" s="8" t="s">
        <v>4439</v>
      </c>
      <c r="I987" s="8" t="s">
        <v>57</v>
      </c>
      <c r="J987" s="8">
        <v>49508</v>
      </c>
      <c r="K987" s="8" t="s">
        <v>2534</v>
      </c>
      <c r="L987" s="8" t="s">
        <v>25034</v>
      </c>
      <c r="M987" s="8" t="s">
        <v>27</v>
      </c>
      <c r="N987" s="8" t="s">
        <v>25035</v>
      </c>
      <c r="O987" s="8" t="s">
        <v>400</v>
      </c>
      <c r="P987" s="8" t="s">
        <v>401</v>
      </c>
      <c r="Q987" s="14" t="s">
        <v>25036</v>
      </c>
      <c r="R987" s="8" t="s">
        <v>29</v>
      </c>
      <c r="S987" s="8" t="s">
        <v>28</v>
      </c>
      <c r="T987" s="68" t="s">
        <v>27756</v>
      </c>
      <c r="U987" s="68" t="s">
        <v>29438</v>
      </c>
      <c r="V987" s="68" t="s">
        <v>29439</v>
      </c>
      <c r="W987" s="68" t="s">
        <v>100</v>
      </c>
      <c r="X987" s="68">
        <v>1871</v>
      </c>
      <c r="AW987" s="11"/>
      <c r="BA987" s="1"/>
      <c r="BB987" s="1"/>
    </row>
    <row r="988" spans="1:63" s="44" customFormat="1" ht="12" customHeight="1" x14ac:dyDescent="0.15">
      <c r="A988" s="8" t="s">
        <v>25046</v>
      </c>
      <c r="B988" s="8">
        <v>58</v>
      </c>
      <c r="C988" s="8" t="s">
        <v>20</v>
      </c>
      <c r="D988" s="8" t="s">
        <v>37</v>
      </c>
      <c r="E988" s="14" t="s">
        <v>25047</v>
      </c>
      <c r="F988" s="72">
        <v>42620</v>
      </c>
      <c r="G988" s="8" t="s">
        <v>25048</v>
      </c>
      <c r="H988" s="8" t="s">
        <v>25049</v>
      </c>
      <c r="I988" s="8" t="s">
        <v>62</v>
      </c>
      <c r="J988" s="8">
        <v>34677</v>
      </c>
      <c r="K988" s="8" t="s">
        <v>2309</v>
      </c>
      <c r="L988" s="8" t="s">
        <v>9832</v>
      </c>
      <c r="M988" s="1" t="s">
        <v>391</v>
      </c>
      <c r="N988" s="8" t="s">
        <v>25050</v>
      </c>
      <c r="O988" s="8" t="s">
        <v>400</v>
      </c>
      <c r="P988" s="8" t="s">
        <v>401</v>
      </c>
      <c r="Q988" s="14" t="s">
        <v>25051</v>
      </c>
      <c r="R988" s="8" t="s">
        <v>555</v>
      </c>
      <c r="S988" s="8" t="s">
        <v>18</v>
      </c>
      <c r="T988" s="8"/>
      <c r="AU988" s="11"/>
      <c r="AV988" s="11"/>
      <c r="AW988" s="11"/>
      <c r="AX988" s="1"/>
      <c r="AY988" s="1"/>
      <c r="AZ988" s="1"/>
      <c r="BA988" s="1"/>
      <c r="BB988" s="1"/>
      <c r="BC988" s="1"/>
      <c r="BD988" s="1"/>
      <c r="BE988" s="1"/>
      <c r="BF988" s="1"/>
      <c r="BG988" s="1"/>
      <c r="BH988" s="1"/>
      <c r="BI988" s="1"/>
      <c r="BJ988" s="1"/>
      <c r="BK988" s="1"/>
    </row>
    <row r="989" spans="1:63" s="44" customFormat="1" ht="12" customHeight="1" x14ac:dyDescent="0.15">
      <c r="A989" s="8" t="s">
        <v>25058</v>
      </c>
      <c r="B989" s="68">
        <v>70</v>
      </c>
      <c r="C989" s="8" t="s">
        <v>20</v>
      </c>
      <c r="D989" s="11" t="s">
        <v>37</v>
      </c>
      <c r="E989" s="8"/>
      <c r="F989" s="69">
        <v>42619</v>
      </c>
      <c r="G989" s="8" t="s">
        <v>25059</v>
      </c>
      <c r="H989" s="8" t="s">
        <v>14377</v>
      </c>
      <c r="I989" s="8" t="s">
        <v>319</v>
      </c>
      <c r="J989" s="8">
        <v>37615</v>
      </c>
      <c r="K989" s="8" t="s">
        <v>118</v>
      </c>
      <c r="L989" s="8" t="s">
        <v>10719</v>
      </c>
      <c r="M989" s="8" t="s">
        <v>27</v>
      </c>
      <c r="N989" s="8" t="s">
        <v>25060</v>
      </c>
      <c r="O989" s="8" t="s">
        <v>400</v>
      </c>
      <c r="P989" s="8" t="s">
        <v>401</v>
      </c>
      <c r="Q989" s="14" t="s">
        <v>25061</v>
      </c>
      <c r="R989" s="8" t="s">
        <v>100</v>
      </c>
      <c r="S989" s="8" t="s">
        <v>28</v>
      </c>
      <c r="T989" s="68" t="s">
        <v>27756</v>
      </c>
      <c r="U989" s="68" t="s">
        <v>29436</v>
      </c>
      <c r="V989" s="68" t="s">
        <v>29439</v>
      </c>
      <c r="W989" s="68" t="s">
        <v>555</v>
      </c>
      <c r="X989" s="68">
        <v>1865</v>
      </c>
      <c r="AW989" s="1"/>
      <c r="AX989" s="1"/>
      <c r="AY989" s="1"/>
      <c r="BA989" s="11"/>
      <c r="BB989" s="11"/>
      <c r="BC989" s="1"/>
      <c r="BD989" s="1"/>
      <c r="BE989" s="1"/>
      <c r="BF989" s="1"/>
      <c r="BG989" s="1"/>
      <c r="BH989" s="1"/>
      <c r="BI989" s="1"/>
      <c r="BJ989" s="1"/>
    </row>
    <row r="990" spans="1:63" s="44" customFormat="1" ht="12" customHeight="1" x14ac:dyDescent="0.15">
      <c r="A990" s="8" t="s">
        <v>25072</v>
      </c>
      <c r="B990" s="68">
        <v>31</v>
      </c>
      <c r="C990" s="8" t="s">
        <v>20</v>
      </c>
      <c r="D990" s="8" t="s">
        <v>48</v>
      </c>
      <c r="E990" s="14" t="s">
        <v>25073</v>
      </c>
      <c r="F990" s="69">
        <v>42619</v>
      </c>
      <c r="G990" s="8" t="s">
        <v>25074</v>
      </c>
      <c r="H990" s="8" t="s">
        <v>3905</v>
      </c>
      <c r="I990" s="8" t="s">
        <v>123</v>
      </c>
      <c r="J990" s="8">
        <v>85283</v>
      </c>
      <c r="K990" s="8" t="s">
        <v>633</v>
      </c>
      <c r="L990" s="8" t="s">
        <v>634</v>
      </c>
      <c r="M990" s="8" t="s">
        <v>27</v>
      </c>
      <c r="N990" s="8" t="s">
        <v>25075</v>
      </c>
      <c r="O990" s="8" t="s">
        <v>400</v>
      </c>
      <c r="P990" s="8" t="s">
        <v>401</v>
      </c>
      <c r="Q990" s="14" t="s">
        <v>25076</v>
      </c>
      <c r="R990" s="8" t="s">
        <v>100</v>
      </c>
      <c r="S990" s="8" t="s">
        <v>35</v>
      </c>
      <c r="T990" s="66" t="s">
        <v>29441</v>
      </c>
      <c r="U990" s="68" t="s">
        <v>29441</v>
      </c>
      <c r="V990" s="68" t="s">
        <v>29437</v>
      </c>
      <c r="W990" s="68" t="s">
        <v>100</v>
      </c>
      <c r="X990" s="68">
        <v>1864</v>
      </c>
      <c r="AW990" s="11"/>
      <c r="AX990" s="1"/>
      <c r="AY990" s="1"/>
      <c r="BA990" s="11"/>
      <c r="BB990" s="11"/>
      <c r="BC990" s="1"/>
      <c r="BD990" s="1"/>
      <c r="BE990" s="1"/>
      <c r="BF990" s="1"/>
      <c r="BG990" s="1"/>
      <c r="BH990" s="1"/>
      <c r="BI990" s="1"/>
      <c r="BJ990" s="1"/>
      <c r="BK990" s="1"/>
    </row>
    <row r="991" spans="1:63" s="44" customFormat="1" ht="12" customHeight="1" x14ac:dyDescent="0.15">
      <c r="A991" s="8" t="s">
        <v>25077</v>
      </c>
      <c r="B991" s="68">
        <v>25</v>
      </c>
      <c r="C991" s="8" t="s">
        <v>20</v>
      </c>
      <c r="D991" s="11" t="s">
        <v>37</v>
      </c>
      <c r="E991" s="8"/>
      <c r="F991" s="69">
        <v>42619</v>
      </c>
      <c r="G991" s="8" t="s">
        <v>25078</v>
      </c>
      <c r="H991" s="8" t="s">
        <v>1627</v>
      </c>
      <c r="I991" s="8" t="s">
        <v>463</v>
      </c>
      <c r="J991" s="8">
        <v>68107</v>
      </c>
      <c r="K991" s="8" t="s">
        <v>938</v>
      </c>
      <c r="L991" s="8" t="s">
        <v>1629</v>
      </c>
      <c r="M991" s="8" t="s">
        <v>27</v>
      </c>
      <c r="N991" s="8" t="s">
        <v>25079</v>
      </c>
      <c r="O991" s="8" t="s">
        <v>400</v>
      </c>
      <c r="P991" s="8" t="s">
        <v>401</v>
      </c>
      <c r="Q991" s="14" t="s">
        <v>25080</v>
      </c>
      <c r="R991" s="8" t="s">
        <v>100</v>
      </c>
      <c r="S991" s="68" t="s">
        <v>379</v>
      </c>
      <c r="T991" s="68" t="s">
        <v>379</v>
      </c>
      <c r="U991" s="68" t="s">
        <v>29436</v>
      </c>
      <c r="V991" s="68" t="s">
        <v>21212</v>
      </c>
      <c r="W991" s="68" t="s">
        <v>100</v>
      </c>
      <c r="X991" s="68">
        <v>1862</v>
      </c>
      <c r="AW991" s="11"/>
      <c r="AX991" s="1"/>
      <c r="AY991" s="1"/>
      <c r="BA991" s="11"/>
      <c r="BB991" s="11"/>
      <c r="BC991" s="1"/>
      <c r="BD991" s="1"/>
      <c r="BE991" s="1"/>
      <c r="BF991" s="1"/>
      <c r="BG991" s="1"/>
      <c r="BH991" s="1"/>
      <c r="BI991" s="1"/>
      <c r="BJ991" s="1"/>
      <c r="BK991" s="1"/>
    </row>
    <row r="992" spans="1:63" s="44" customFormat="1" ht="12" customHeight="1" x14ac:dyDescent="0.15">
      <c r="A992" s="8" t="s">
        <v>25067</v>
      </c>
      <c r="B992" s="68">
        <v>25</v>
      </c>
      <c r="C992" s="8" t="s">
        <v>20</v>
      </c>
      <c r="D992" s="11" t="s">
        <v>85</v>
      </c>
      <c r="E992" s="14" t="s">
        <v>25068</v>
      </c>
      <c r="F992" s="69">
        <v>42619</v>
      </c>
      <c r="G992" s="8" t="s">
        <v>25069</v>
      </c>
      <c r="H992" s="8" t="s">
        <v>632</v>
      </c>
      <c r="I992" s="8" t="s">
        <v>123</v>
      </c>
      <c r="J992" s="8">
        <v>85008</v>
      </c>
      <c r="K992" s="8" t="s">
        <v>633</v>
      </c>
      <c r="L992" s="8" t="s">
        <v>634</v>
      </c>
      <c r="M992" s="8" t="s">
        <v>27</v>
      </c>
      <c r="N992" s="8" t="s">
        <v>25070</v>
      </c>
      <c r="O992" s="8" t="s">
        <v>400</v>
      </c>
      <c r="P992" s="8" t="s">
        <v>401</v>
      </c>
      <c r="Q992" s="14" t="s">
        <v>25071</v>
      </c>
      <c r="R992" s="8" t="s">
        <v>555</v>
      </c>
      <c r="S992" s="8" t="s">
        <v>28</v>
      </c>
      <c r="T992" s="68" t="s">
        <v>29505</v>
      </c>
      <c r="U992" s="68" t="s">
        <v>29438</v>
      </c>
      <c r="V992" s="68" t="s">
        <v>29439</v>
      </c>
      <c r="W992" s="68" t="s">
        <v>100</v>
      </c>
      <c r="X992" s="68">
        <v>1868</v>
      </c>
      <c r="AW992" s="11"/>
      <c r="BB992" s="11"/>
    </row>
    <row r="993" spans="1:63" s="44" customFormat="1" ht="12" customHeight="1" x14ac:dyDescent="0.15">
      <c r="A993" s="8" t="s">
        <v>25062</v>
      </c>
      <c r="B993" s="68">
        <v>65</v>
      </c>
      <c r="C993" s="8" t="s">
        <v>20</v>
      </c>
      <c r="D993" s="11" t="s">
        <v>37</v>
      </c>
      <c r="E993" s="8"/>
      <c r="F993" s="69">
        <v>42619</v>
      </c>
      <c r="G993" s="8" t="s">
        <v>25063</v>
      </c>
      <c r="H993" s="8" t="s">
        <v>25064</v>
      </c>
      <c r="I993" s="8" t="s">
        <v>150</v>
      </c>
      <c r="J993" s="8">
        <v>25276</v>
      </c>
      <c r="K993" s="8" t="s">
        <v>7782</v>
      </c>
      <c r="L993" s="8" t="s">
        <v>152</v>
      </c>
      <c r="M993" s="8" t="s">
        <v>27</v>
      </c>
      <c r="N993" s="8" t="s">
        <v>25065</v>
      </c>
      <c r="O993" s="8" t="s">
        <v>400</v>
      </c>
      <c r="P993" s="8" t="s">
        <v>401</v>
      </c>
      <c r="Q993" s="14" t="s">
        <v>25066</v>
      </c>
      <c r="R993" s="8" t="s">
        <v>555</v>
      </c>
      <c r="S993" s="8" t="s">
        <v>28</v>
      </c>
      <c r="T993" s="68" t="s">
        <v>27756</v>
      </c>
      <c r="U993" s="68" t="s">
        <v>29438</v>
      </c>
      <c r="V993" s="68" t="s">
        <v>29437</v>
      </c>
      <c r="W993" s="68" t="s">
        <v>100</v>
      </c>
      <c r="X993" s="68">
        <v>1863</v>
      </c>
      <c r="AW993" s="1"/>
      <c r="AX993" s="1"/>
      <c r="AY993" s="1"/>
      <c r="BB993" s="11"/>
      <c r="BC993" s="1"/>
      <c r="BD993" s="1"/>
      <c r="BE993" s="1"/>
      <c r="BF993" s="1"/>
      <c r="BG993" s="1"/>
      <c r="BH993" s="1"/>
      <c r="BI993" s="1"/>
      <c r="BJ993" s="1"/>
    </row>
    <row r="994" spans="1:63" s="44" customFormat="1" ht="12" customHeight="1" x14ac:dyDescent="0.15">
      <c r="A994" s="8" t="s">
        <v>25081</v>
      </c>
      <c r="B994" s="68">
        <v>35</v>
      </c>
      <c r="C994" s="8" t="s">
        <v>20</v>
      </c>
      <c r="D994" s="8" t="s">
        <v>48</v>
      </c>
      <c r="E994" s="8"/>
      <c r="F994" s="69">
        <v>42618</v>
      </c>
      <c r="G994" s="8" t="s">
        <v>29537</v>
      </c>
      <c r="H994" s="8" t="s">
        <v>1313</v>
      </c>
      <c r="I994" s="8" t="s">
        <v>73</v>
      </c>
      <c r="J994" s="8" t="s">
        <v>21500</v>
      </c>
      <c r="K994" s="8" t="s">
        <v>1314</v>
      </c>
      <c r="L994" s="8" t="s">
        <v>1315</v>
      </c>
      <c r="M994" s="8" t="s">
        <v>27</v>
      </c>
      <c r="N994" s="8" t="s">
        <v>25082</v>
      </c>
      <c r="O994" s="8" t="s">
        <v>400</v>
      </c>
      <c r="P994" s="8" t="s">
        <v>401</v>
      </c>
      <c r="Q994" s="14" t="s">
        <v>25083</v>
      </c>
      <c r="R994" s="8" t="s">
        <v>100</v>
      </c>
      <c r="S994" s="8" t="s">
        <v>28</v>
      </c>
      <c r="T994" s="68" t="s">
        <v>27756</v>
      </c>
      <c r="U994" s="68" t="s">
        <v>29436</v>
      </c>
      <c r="V994" s="68" t="s">
        <v>29439</v>
      </c>
      <c r="W994" s="68" t="s">
        <v>100</v>
      </c>
      <c r="X994" s="68">
        <v>1858</v>
      </c>
      <c r="AW994" s="11"/>
      <c r="AX994" s="1"/>
      <c r="AY994" s="1"/>
      <c r="BA994" s="11"/>
      <c r="BB994" s="11"/>
      <c r="BC994" s="1"/>
      <c r="BD994" s="1"/>
      <c r="BE994" s="1"/>
      <c r="BF994" s="1"/>
      <c r="BG994" s="1"/>
      <c r="BH994" s="1"/>
      <c r="BI994" s="1"/>
      <c r="BJ994" s="1"/>
    </row>
    <row r="995" spans="1:63" s="44" customFormat="1" ht="12" customHeight="1" x14ac:dyDescent="0.15">
      <c r="A995" s="8" t="s">
        <v>25084</v>
      </c>
      <c r="B995" s="68">
        <v>36</v>
      </c>
      <c r="C995" s="8" t="s">
        <v>20</v>
      </c>
      <c r="D995" s="8" t="s">
        <v>85</v>
      </c>
      <c r="E995" s="8"/>
      <c r="F995" s="69">
        <v>42618</v>
      </c>
      <c r="G995" s="8" t="s">
        <v>25085</v>
      </c>
      <c r="H995" s="8" t="s">
        <v>25086</v>
      </c>
      <c r="I995" s="8" t="s">
        <v>73</v>
      </c>
      <c r="J995" s="8" t="s">
        <v>25087</v>
      </c>
      <c r="K995" s="8" t="s">
        <v>1979</v>
      </c>
      <c r="L995" s="8" t="s">
        <v>25088</v>
      </c>
      <c r="M995" s="8" t="s">
        <v>27</v>
      </c>
      <c r="N995" s="8" t="s">
        <v>25089</v>
      </c>
      <c r="O995" s="8" t="s">
        <v>400</v>
      </c>
      <c r="P995" s="8" t="s">
        <v>401</v>
      </c>
      <c r="Q995" s="14" t="s">
        <v>25090</v>
      </c>
      <c r="R995" s="8" t="s">
        <v>100</v>
      </c>
      <c r="S995" s="11" t="s">
        <v>379</v>
      </c>
      <c r="T995" s="11" t="s">
        <v>379</v>
      </c>
      <c r="U995" s="68" t="s">
        <v>29438</v>
      </c>
      <c r="V995" s="68" t="s">
        <v>29437</v>
      </c>
      <c r="W995" s="68" t="s">
        <v>100</v>
      </c>
      <c r="X995" s="68">
        <v>1851</v>
      </c>
      <c r="AW995" s="11"/>
      <c r="AX995" s="11"/>
      <c r="AY995" s="11"/>
      <c r="BA995" s="11"/>
      <c r="BB995" s="11"/>
    </row>
    <row r="996" spans="1:63" s="44" customFormat="1" ht="12" customHeight="1" x14ac:dyDescent="0.15">
      <c r="A996" s="8" t="s">
        <v>25111</v>
      </c>
      <c r="B996" s="11" t="s">
        <v>29</v>
      </c>
      <c r="C996" s="8" t="s">
        <v>20</v>
      </c>
      <c r="D996" s="8" t="s">
        <v>48</v>
      </c>
      <c r="E996" s="8"/>
      <c r="F996" s="69">
        <v>42617</v>
      </c>
      <c r="G996" s="8" t="s">
        <v>25112</v>
      </c>
      <c r="H996" s="8" t="s">
        <v>489</v>
      </c>
      <c r="I996" s="8" t="s">
        <v>45</v>
      </c>
      <c r="J996" s="8" t="s">
        <v>2075</v>
      </c>
      <c r="K996" s="8" t="s">
        <v>98</v>
      </c>
      <c r="L996" s="8" t="s">
        <v>490</v>
      </c>
      <c r="M996" s="8" t="s">
        <v>27</v>
      </c>
      <c r="N996" s="8" t="s">
        <v>25113</v>
      </c>
      <c r="O996" s="8" t="s">
        <v>400</v>
      </c>
      <c r="P996" s="8" t="s">
        <v>401</v>
      </c>
      <c r="Q996" s="14" t="s">
        <v>25114</v>
      </c>
      <c r="R996" s="8" t="s">
        <v>555</v>
      </c>
      <c r="S996" s="8" t="s">
        <v>28</v>
      </c>
      <c r="T996" s="68" t="s">
        <v>29493</v>
      </c>
      <c r="U996" s="68" t="s">
        <v>29436</v>
      </c>
      <c r="V996" s="68" t="s">
        <v>29439</v>
      </c>
      <c r="W996" s="68" t="s">
        <v>100</v>
      </c>
      <c r="X996" s="68">
        <v>1852</v>
      </c>
      <c r="AW996" s="1"/>
      <c r="AX996" s="1"/>
      <c r="AY996" s="1"/>
      <c r="BA996" s="11"/>
      <c r="BB996" s="11"/>
      <c r="BC996" s="1"/>
      <c r="BD996" s="1"/>
      <c r="BE996" s="1"/>
      <c r="BF996" s="1"/>
      <c r="BG996" s="1"/>
      <c r="BH996" s="1"/>
      <c r="BI996" s="1"/>
      <c r="BJ996" s="1"/>
    </row>
    <row r="997" spans="1:63" s="44" customFormat="1" ht="12" customHeight="1" x14ac:dyDescent="0.2">
      <c r="A997" s="8" t="s">
        <v>25091</v>
      </c>
      <c r="B997" s="68">
        <v>44</v>
      </c>
      <c r="C997" s="8" t="s">
        <v>20</v>
      </c>
      <c r="D997" s="11" t="s">
        <v>48</v>
      </c>
      <c r="E997" s="8"/>
      <c r="F997" s="69">
        <v>42617</v>
      </c>
      <c r="G997" s="8" t="s">
        <v>25092</v>
      </c>
      <c r="H997" s="8" t="s">
        <v>2282</v>
      </c>
      <c r="I997" s="8" t="s">
        <v>209</v>
      </c>
      <c r="J997" s="8" t="s">
        <v>2283</v>
      </c>
      <c r="K997" s="8" t="s">
        <v>1428</v>
      </c>
      <c r="L997" s="8" t="s">
        <v>2284</v>
      </c>
      <c r="M997" s="8" t="s">
        <v>27</v>
      </c>
      <c r="N997" s="8" t="s">
        <v>25093</v>
      </c>
      <c r="O997" s="8" t="s">
        <v>400</v>
      </c>
      <c r="P997" s="8" t="s">
        <v>401</v>
      </c>
      <c r="Q997" s="14" t="s">
        <v>25094</v>
      </c>
      <c r="R997" s="68" t="s">
        <v>555</v>
      </c>
      <c r="S997" s="8" t="s">
        <v>28</v>
      </c>
      <c r="T997" s="68" t="s">
        <v>29493</v>
      </c>
      <c r="U997" s="68" t="s">
        <v>29436</v>
      </c>
      <c r="V997" s="68" t="s">
        <v>29439</v>
      </c>
      <c r="W997" s="68" t="s">
        <v>100</v>
      </c>
      <c r="X997" s="68">
        <v>1859</v>
      </c>
      <c r="AW997" s="1"/>
      <c r="AX997" s="1"/>
      <c r="AY997" s="1"/>
      <c r="BA997" s="70"/>
      <c r="BC997" s="1"/>
      <c r="BD997" s="1"/>
      <c r="BE997" s="1"/>
      <c r="BF997" s="1"/>
      <c r="BG997" s="1"/>
      <c r="BH997" s="1"/>
      <c r="BI997" s="1"/>
      <c r="BJ997" s="1"/>
    </row>
    <row r="998" spans="1:63" s="44" customFormat="1" ht="12" customHeight="1" x14ac:dyDescent="0.15">
      <c r="A998" s="8" t="s">
        <v>25104</v>
      </c>
      <c r="B998" s="8">
        <v>27</v>
      </c>
      <c r="C998" s="8" t="s">
        <v>20</v>
      </c>
      <c r="D998" s="8" t="s">
        <v>48</v>
      </c>
      <c r="E998" s="8"/>
      <c r="F998" s="69">
        <v>42616</v>
      </c>
      <c r="G998" s="8" t="s">
        <v>25105</v>
      </c>
      <c r="H998" s="8" t="s">
        <v>25106</v>
      </c>
      <c r="I998" s="8" t="s">
        <v>73</v>
      </c>
      <c r="J998" s="8" t="s">
        <v>25107</v>
      </c>
      <c r="K998" s="8" t="s">
        <v>8495</v>
      </c>
      <c r="L998" s="8" t="s">
        <v>25108</v>
      </c>
      <c r="M998" s="8" t="s">
        <v>27</v>
      </c>
      <c r="N998" s="8" t="s">
        <v>25109</v>
      </c>
      <c r="O998" s="8" t="s">
        <v>400</v>
      </c>
      <c r="P998" s="8" t="s">
        <v>401</v>
      </c>
      <c r="Q998" s="14" t="s">
        <v>25110</v>
      </c>
      <c r="R998" s="8" t="s">
        <v>100</v>
      </c>
      <c r="S998" s="8" t="s">
        <v>28</v>
      </c>
      <c r="T998" s="68" t="s">
        <v>27756</v>
      </c>
      <c r="U998" s="68" t="s">
        <v>29438</v>
      </c>
      <c r="V998" s="68" t="s">
        <v>29437</v>
      </c>
      <c r="W998" s="68" t="s">
        <v>100</v>
      </c>
      <c r="X998" s="68">
        <v>1861</v>
      </c>
      <c r="AW998" s="1"/>
      <c r="AX998" s="1"/>
      <c r="AY998" s="1"/>
      <c r="BA998" s="11"/>
      <c r="BB998" s="11"/>
      <c r="BC998" s="1"/>
      <c r="BD998" s="1"/>
      <c r="BE998" s="1"/>
      <c r="BF998" s="1"/>
      <c r="BG998" s="1"/>
      <c r="BH998" s="1"/>
      <c r="BI998" s="1"/>
      <c r="BJ998" s="1"/>
    </row>
    <row r="999" spans="1:63" s="44" customFormat="1" ht="12" customHeight="1" x14ac:dyDescent="0.15">
      <c r="A999" s="8" t="s">
        <v>25099</v>
      </c>
      <c r="B999" s="68">
        <v>36</v>
      </c>
      <c r="C999" s="8" t="s">
        <v>20</v>
      </c>
      <c r="D999" s="11" t="s">
        <v>37</v>
      </c>
      <c r="E999" s="8"/>
      <c r="F999" s="69">
        <v>42616</v>
      </c>
      <c r="G999" s="8" t="s">
        <v>25100</v>
      </c>
      <c r="H999" s="8" t="s">
        <v>25101</v>
      </c>
      <c r="I999" s="8" t="s">
        <v>44</v>
      </c>
      <c r="J999" s="8" t="s">
        <v>3119</v>
      </c>
      <c r="K999" s="8" t="s">
        <v>3120</v>
      </c>
      <c r="L999" s="8" t="s">
        <v>22029</v>
      </c>
      <c r="M999" s="8" t="s">
        <v>27</v>
      </c>
      <c r="N999" s="8" t="s">
        <v>25102</v>
      </c>
      <c r="O999" s="8" t="s">
        <v>400</v>
      </c>
      <c r="P999" s="8" t="s">
        <v>401</v>
      </c>
      <c r="Q999" s="14" t="s">
        <v>25103</v>
      </c>
      <c r="R999" s="8" t="s">
        <v>100</v>
      </c>
      <c r="S999" s="8" t="s">
        <v>28</v>
      </c>
      <c r="T999" s="68" t="s">
        <v>27756</v>
      </c>
      <c r="U999" s="68" t="s">
        <v>29441</v>
      </c>
      <c r="V999" s="68" t="s">
        <v>21212</v>
      </c>
      <c r="W999" s="68" t="s">
        <v>100</v>
      </c>
      <c r="X999" s="68">
        <v>1860</v>
      </c>
      <c r="AW999" s="11"/>
      <c r="AX999" s="1"/>
      <c r="AY999" s="1"/>
      <c r="BA999" s="11"/>
      <c r="BB999" s="11"/>
      <c r="BC999" s="1"/>
      <c r="BD999" s="1"/>
      <c r="BE999" s="1"/>
      <c r="BF999" s="1"/>
      <c r="BG999" s="1"/>
      <c r="BH999" s="1"/>
      <c r="BI999" s="1"/>
      <c r="BJ999" s="1"/>
    </row>
    <row r="1000" spans="1:63" s="44" customFormat="1" ht="12" customHeight="1" x14ac:dyDescent="0.15">
      <c r="A1000" s="8" t="s">
        <v>25095</v>
      </c>
      <c r="B1000" s="68">
        <v>25</v>
      </c>
      <c r="C1000" s="8" t="s">
        <v>20</v>
      </c>
      <c r="D1000" s="8" t="s">
        <v>85</v>
      </c>
      <c r="E1000" s="8"/>
      <c r="F1000" s="69">
        <v>42616</v>
      </c>
      <c r="G1000" s="8" t="s">
        <v>25096</v>
      </c>
      <c r="H1000" s="8" t="s">
        <v>1399</v>
      </c>
      <c r="I1000" s="8" t="s">
        <v>81</v>
      </c>
      <c r="J1000" s="8" t="s">
        <v>7320</v>
      </c>
      <c r="K1000" s="8" t="s">
        <v>1400</v>
      </c>
      <c r="L1000" s="8" t="s">
        <v>1401</v>
      </c>
      <c r="M1000" s="8" t="s">
        <v>27</v>
      </c>
      <c r="N1000" s="8" t="s">
        <v>25097</v>
      </c>
      <c r="O1000" s="8" t="s">
        <v>400</v>
      </c>
      <c r="P1000" s="8" t="s">
        <v>401</v>
      </c>
      <c r="Q1000" s="14" t="s">
        <v>25098</v>
      </c>
      <c r="R1000" s="8" t="s">
        <v>100</v>
      </c>
      <c r="S1000" s="11" t="s">
        <v>35</v>
      </c>
      <c r="T1000" s="66" t="s">
        <v>29441</v>
      </c>
      <c r="U1000" s="68" t="s">
        <v>29441</v>
      </c>
      <c r="V1000" s="68" t="s">
        <v>29440</v>
      </c>
      <c r="W1000" s="68" t="s">
        <v>100</v>
      </c>
      <c r="X1000" s="68">
        <v>1854</v>
      </c>
      <c r="AW1000" s="11"/>
      <c r="BA1000" s="11"/>
      <c r="BB1000" s="11"/>
      <c r="BK1000" s="1"/>
    </row>
    <row r="1001" spans="1:63" s="44" customFormat="1" ht="12" customHeight="1" x14ac:dyDescent="0.15">
      <c r="A1001" s="8" t="s">
        <v>25115</v>
      </c>
      <c r="B1001" s="68">
        <v>25</v>
      </c>
      <c r="C1001" s="8" t="s">
        <v>20</v>
      </c>
      <c r="D1001" s="11" t="s">
        <v>37</v>
      </c>
      <c r="E1001" s="8" t="s">
        <v>26263</v>
      </c>
      <c r="F1001" s="69">
        <v>42616</v>
      </c>
      <c r="G1001" s="8" t="s">
        <v>25116</v>
      </c>
      <c r="H1001" s="8" t="s">
        <v>25117</v>
      </c>
      <c r="I1001" s="8" t="s">
        <v>303</v>
      </c>
      <c r="J1001" s="8" t="s">
        <v>12575</v>
      </c>
      <c r="K1001" s="8" t="s">
        <v>938</v>
      </c>
      <c r="L1001" s="8" t="s">
        <v>25118</v>
      </c>
      <c r="M1001" s="8" t="s">
        <v>27</v>
      </c>
      <c r="N1001" s="8" t="s">
        <v>25119</v>
      </c>
      <c r="O1001" s="8" t="s">
        <v>400</v>
      </c>
      <c r="P1001" s="8" t="s">
        <v>401</v>
      </c>
      <c r="Q1001" s="14" t="s">
        <v>25120</v>
      </c>
      <c r="R1001" s="8" t="s">
        <v>100</v>
      </c>
      <c r="S1001" s="8" t="s">
        <v>35</v>
      </c>
      <c r="T1001" s="66" t="s">
        <v>29441</v>
      </c>
      <c r="U1001" s="68" t="s">
        <v>29441</v>
      </c>
      <c r="V1001" s="68" t="s">
        <v>29439</v>
      </c>
      <c r="W1001" s="68" t="s">
        <v>100</v>
      </c>
      <c r="X1001" s="68">
        <v>1855</v>
      </c>
      <c r="AW1001" s="11"/>
      <c r="AX1001" s="1"/>
      <c r="AY1001" s="1"/>
      <c r="BA1001" s="11"/>
      <c r="BB1001" s="11"/>
      <c r="BC1001" s="1"/>
      <c r="BD1001" s="1"/>
      <c r="BE1001" s="1"/>
      <c r="BF1001" s="1"/>
      <c r="BG1001" s="1"/>
      <c r="BH1001" s="1"/>
      <c r="BI1001" s="1"/>
      <c r="BJ1001" s="1"/>
      <c r="BK1001" s="1"/>
    </row>
    <row r="1002" spans="1:63" s="44" customFormat="1" ht="12" customHeight="1" x14ac:dyDescent="0.15">
      <c r="A1002" s="8" t="s">
        <v>25121</v>
      </c>
      <c r="B1002" s="68">
        <v>38</v>
      </c>
      <c r="C1002" s="8" t="s">
        <v>20</v>
      </c>
      <c r="D1002" s="8" t="s">
        <v>85</v>
      </c>
      <c r="E1002" s="8"/>
      <c r="F1002" s="69">
        <v>42615</v>
      </c>
      <c r="G1002" s="8" t="s">
        <v>25122</v>
      </c>
      <c r="H1002" s="8" t="s">
        <v>709</v>
      </c>
      <c r="I1002" s="8" t="s">
        <v>431</v>
      </c>
      <c r="J1002" s="8" t="s">
        <v>7757</v>
      </c>
      <c r="K1002" s="8" t="s">
        <v>20282</v>
      </c>
      <c r="L1002" s="8" t="s">
        <v>4516</v>
      </c>
      <c r="M1002" s="8" t="s">
        <v>27</v>
      </c>
      <c r="N1002" s="8" t="s">
        <v>25123</v>
      </c>
      <c r="O1002" s="8" t="s">
        <v>400</v>
      </c>
      <c r="P1002" s="8" t="s">
        <v>401</v>
      </c>
      <c r="Q1002" s="14" t="s">
        <v>25124</v>
      </c>
      <c r="R1002" s="8" t="s">
        <v>100</v>
      </c>
      <c r="S1002" s="8" t="s">
        <v>28</v>
      </c>
      <c r="T1002" s="68" t="s">
        <v>27756</v>
      </c>
      <c r="U1002" s="68" t="s">
        <v>29438</v>
      </c>
      <c r="V1002" s="68" t="s">
        <v>21212</v>
      </c>
      <c r="W1002" s="68" t="s">
        <v>100</v>
      </c>
      <c r="X1002" s="68">
        <v>1856</v>
      </c>
      <c r="BA1002" s="11"/>
      <c r="BB1002" s="11"/>
    </row>
    <row r="1003" spans="1:63" s="44" customFormat="1" ht="12" customHeight="1" x14ac:dyDescent="0.15">
      <c r="A1003" s="8" t="s">
        <v>16386</v>
      </c>
      <c r="B1003" s="68">
        <v>38</v>
      </c>
      <c r="C1003" s="8" t="s">
        <v>20</v>
      </c>
      <c r="D1003" s="8" t="s">
        <v>48</v>
      </c>
      <c r="E1003" s="14" t="s">
        <v>25125</v>
      </c>
      <c r="F1003" s="69">
        <v>42615</v>
      </c>
      <c r="G1003" s="8" t="s">
        <v>25126</v>
      </c>
      <c r="H1003" s="8" t="s">
        <v>25127</v>
      </c>
      <c r="I1003" s="8" t="s">
        <v>195</v>
      </c>
      <c r="J1003" s="8" t="s">
        <v>25128</v>
      </c>
      <c r="K1003" s="8" t="s">
        <v>6717</v>
      </c>
      <c r="L1003" s="8" t="s">
        <v>25129</v>
      </c>
      <c r="M1003" s="8" t="s">
        <v>27</v>
      </c>
      <c r="N1003" s="8" t="s">
        <v>25130</v>
      </c>
      <c r="O1003" s="8" t="s">
        <v>400</v>
      </c>
      <c r="P1003" s="8" t="s">
        <v>401</v>
      </c>
      <c r="Q1003" s="14" t="s">
        <v>25131</v>
      </c>
      <c r="R1003" s="8" t="s">
        <v>100</v>
      </c>
      <c r="S1003" s="8" t="s">
        <v>28</v>
      </c>
      <c r="T1003" s="68" t="s">
        <v>27756</v>
      </c>
      <c r="U1003" s="68" t="s">
        <v>29438</v>
      </c>
      <c r="V1003" s="68" t="s">
        <v>29440</v>
      </c>
      <c r="W1003" s="68" t="s">
        <v>555</v>
      </c>
      <c r="X1003" s="68">
        <v>1849</v>
      </c>
      <c r="AX1003" s="1"/>
      <c r="AY1003" s="1"/>
      <c r="BA1003" s="11"/>
      <c r="BB1003" s="11"/>
      <c r="BC1003" s="1"/>
      <c r="BD1003" s="1"/>
      <c r="BE1003" s="1"/>
      <c r="BF1003" s="1"/>
      <c r="BG1003" s="1"/>
      <c r="BH1003" s="1"/>
      <c r="BI1003" s="1"/>
      <c r="BJ1003" s="1"/>
    </row>
    <row r="1004" spans="1:63" s="44" customFormat="1" ht="12" customHeight="1" x14ac:dyDescent="0.15">
      <c r="A1004" s="8" t="s">
        <v>25137</v>
      </c>
      <c r="B1004" s="68">
        <v>22</v>
      </c>
      <c r="C1004" s="8" t="s">
        <v>20</v>
      </c>
      <c r="D1004" s="8" t="s">
        <v>37</v>
      </c>
      <c r="E1004" s="8"/>
      <c r="F1004" s="69">
        <v>42615</v>
      </c>
      <c r="G1004" s="8" t="s">
        <v>29538</v>
      </c>
      <c r="H1004" s="8" t="s">
        <v>25138</v>
      </c>
      <c r="I1004" s="8" t="s">
        <v>44</v>
      </c>
      <c r="J1004" s="8" t="s">
        <v>25139</v>
      </c>
      <c r="K1004" s="8" t="s">
        <v>1256</v>
      </c>
      <c r="L1004" s="8" t="s">
        <v>25140</v>
      </c>
      <c r="M1004" s="8" t="s">
        <v>27</v>
      </c>
      <c r="N1004" s="8" t="s">
        <v>25141</v>
      </c>
      <c r="O1004" s="8" t="s">
        <v>400</v>
      </c>
      <c r="P1004" s="8" t="s">
        <v>401</v>
      </c>
      <c r="Q1004" s="14" t="s">
        <v>25142</v>
      </c>
      <c r="R1004" s="8" t="s">
        <v>29</v>
      </c>
      <c r="S1004" s="1" t="s">
        <v>28</v>
      </c>
      <c r="T1004" s="68" t="s">
        <v>29464</v>
      </c>
      <c r="U1004" s="68" t="s">
        <v>29436</v>
      </c>
      <c r="V1004" s="68" t="s">
        <v>29439</v>
      </c>
      <c r="W1004" s="68" t="s">
        <v>100</v>
      </c>
      <c r="X1004" s="68">
        <v>1853</v>
      </c>
      <c r="AX1004" s="1"/>
      <c r="AY1004" s="1"/>
      <c r="BA1004" s="1"/>
      <c r="BB1004" s="1"/>
      <c r="BC1004" s="1"/>
      <c r="BD1004" s="1"/>
      <c r="BE1004" s="1"/>
      <c r="BF1004" s="1"/>
      <c r="BG1004" s="1"/>
      <c r="BH1004" s="1"/>
      <c r="BI1004" s="1"/>
      <c r="BJ1004" s="1"/>
    </row>
    <row r="1005" spans="1:63" s="44" customFormat="1" ht="12" customHeight="1" x14ac:dyDescent="0.15">
      <c r="A1005" s="8" t="s">
        <v>25132</v>
      </c>
      <c r="B1005" s="68">
        <v>40</v>
      </c>
      <c r="C1005" s="8" t="s">
        <v>20</v>
      </c>
      <c r="D1005" s="11" t="s">
        <v>37</v>
      </c>
      <c r="E1005" s="8"/>
      <c r="F1005" s="69">
        <v>42615</v>
      </c>
      <c r="G1005" s="8" t="s">
        <v>25133</v>
      </c>
      <c r="H1005" s="8" t="s">
        <v>1622</v>
      </c>
      <c r="I1005" s="8" t="s">
        <v>209</v>
      </c>
      <c r="J1005" s="8" t="s">
        <v>25134</v>
      </c>
      <c r="K1005" s="8" t="s">
        <v>938</v>
      </c>
      <c r="L1005" s="8" t="s">
        <v>1629</v>
      </c>
      <c r="M1005" s="8" t="s">
        <v>27</v>
      </c>
      <c r="N1005" s="8" t="s">
        <v>25135</v>
      </c>
      <c r="O1005" s="8" t="s">
        <v>400</v>
      </c>
      <c r="P1005" s="8" t="s">
        <v>401</v>
      </c>
      <c r="Q1005" s="14" t="s">
        <v>25136</v>
      </c>
      <c r="R1005" s="8" t="s">
        <v>555</v>
      </c>
      <c r="S1005" s="8" t="s">
        <v>28</v>
      </c>
      <c r="T1005" s="68" t="s">
        <v>27756</v>
      </c>
      <c r="U1005" s="68" t="s">
        <v>29438</v>
      </c>
      <c r="V1005" s="68" t="s">
        <v>29437</v>
      </c>
      <c r="W1005" s="68" t="s">
        <v>555</v>
      </c>
      <c r="X1005" s="68">
        <v>1850</v>
      </c>
      <c r="AX1005" s="1"/>
      <c r="AY1005" s="1"/>
      <c r="BA1005" s="11"/>
      <c r="BB1005" s="11"/>
      <c r="BC1005" s="1"/>
      <c r="BD1005" s="1"/>
      <c r="BE1005" s="1"/>
      <c r="BF1005" s="1"/>
      <c r="BG1005" s="1"/>
      <c r="BH1005" s="1"/>
      <c r="BI1005" s="1"/>
      <c r="BJ1005" s="1"/>
    </row>
    <row r="1006" spans="1:63" s="44" customFormat="1" ht="12" customHeight="1" x14ac:dyDescent="0.2">
      <c r="A1006" s="8" t="s">
        <v>25146</v>
      </c>
      <c r="B1006" s="68">
        <v>18</v>
      </c>
      <c r="C1006" s="8" t="s">
        <v>20</v>
      </c>
      <c r="D1006" s="11" t="s">
        <v>37</v>
      </c>
      <c r="E1006" s="8"/>
      <c r="F1006" s="69">
        <v>42614</v>
      </c>
      <c r="G1006" s="8" t="s">
        <v>25147</v>
      </c>
      <c r="H1006" s="8" t="s">
        <v>683</v>
      </c>
      <c r="I1006" s="8" t="s">
        <v>363</v>
      </c>
      <c r="J1006" s="8" t="s">
        <v>25148</v>
      </c>
      <c r="K1006" s="8" t="s">
        <v>684</v>
      </c>
      <c r="L1006" s="8" t="s">
        <v>25149</v>
      </c>
      <c r="M1006" s="8" t="s">
        <v>27</v>
      </c>
      <c r="N1006" s="8" t="s">
        <v>25150</v>
      </c>
      <c r="O1006" s="8" t="s">
        <v>400</v>
      </c>
      <c r="P1006" s="8" t="s">
        <v>401</v>
      </c>
      <c r="Q1006" s="14" t="s">
        <v>25151</v>
      </c>
      <c r="R1006" s="11" t="s">
        <v>964</v>
      </c>
      <c r="S1006" s="8" t="s">
        <v>28</v>
      </c>
      <c r="T1006" s="68" t="s">
        <v>27756</v>
      </c>
      <c r="U1006" s="68" t="s">
        <v>29436</v>
      </c>
      <c r="V1006" s="68" t="s">
        <v>29437</v>
      </c>
      <c r="W1006" s="68" t="s">
        <v>555</v>
      </c>
      <c r="X1006" s="68">
        <v>1843</v>
      </c>
      <c r="AW1006" s="70"/>
      <c r="AX1006" s="1"/>
      <c r="AY1006" s="1"/>
      <c r="BC1006" s="1"/>
      <c r="BD1006" s="1"/>
      <c r="BE1006" s="1"/>
      <c r="BF1006" s="1"/>
      <c r="BG1006" s="1"/>
      <c r="BH1006" s="1"/>
      <c r="BI1006" s="1"/>
      <c r="BJ1006" s="1"/>
    </row>
    <row r="1007" spans="1:63" s="44" customFormat="1" ht="12" customHeight="1" x14ac:dyDescent="0.15">
      <c r="A1007" s="8" t="s">
        <v>25143</v>
      </c>
      <c r="B1007" s="68">
        <v>23</v>
      </c>
      <c r="C1007" s="8" t="s">
        <v>20</v>
      </c>
      <c r="D1007" s="8" t="s">
        <v>48</v>
      </c>
      <c r="E1007" s="8"/>
      <c r="F1007" s="69">
        <v>42614</v>
      </c>
      <c r="G1007" s="8" t="s">
        <v>29539</v>
      </c>
      <c r="H1007" s="8" t="s">
        <v>98</v>
      </c>
      <c r="I1007" s="8" t="s">
        <v>45</v>
      </c>
      <c r="J1007" s="8" t="s">
        <v>16617</v>
      </c>
      <c r="K1007" s="8" t="s">
        <v>98</v>
      </c>
      <c r="L1007" s="11" t="s">
        <v>414</v>
      </c>
      <c r="M1007" s="8" t="s">
        <v>27</v>
      </c>
      <c r="N1007" s="8" t="s">
        <v>25144</v>
      </c>
      <c r="O1007" s="8" t="s">
        <v>400</v>
      </c>
      <c r="P1007" s="8" t="s">
        <v>401</v>
      </c>
      <c r="Q1007" s="14" t="s">
        <v>25145</v>
      </c>
      <c r="R1007" s="8" t="s">
        <v>100</v>
      </c>
      <c r="S1007" s="8" t="s">
        <v>28</v>
      </c>
      <c r="T1007" s="68" t="s">
        <v>27756</v>
      </c>
      <c r="U1007" s="68" t="s">
        <v>29436</v>
      </c>
      <c r="V1007" s="68" t="s">
        <v>29440</v>
      </c>
      <c r="W1007" s="68" t="s">
        <v>100</v>
      </c>
      <c r="X1007" s="68">
        <v>1847</v>
      </c>
      <c r="AX1007" s="1"/>
      <c r="AY1007" s="1"/>
      <c r="BA1007" s="11"/>
      <c r="BB1007" s="11"/>
      <c r="BC1007" s="1"/>
      <c r="BD1007" s="1"/>
      <c r="BE1007" s="1"/>
      <c r="BF1007" s="1"/>
      <c r="BG1007" s="1"/>
      <c r="BH1007" s="1"/>
      <c r="BI1007" s="1"/>
      <c r="BJ1007" s="1"/>
    </row>
    <row r="1008" spans="1:63" s="44" customFormat="1" ht="12" customHeight="1" x14ac:dyDescent="0.2">
      <c r="A1008" s="8" t="s">
        <v>3252</v>
      </c>
      <c r="B1008" s="8" t="s">
        <v>29</v>
      </c>
      <c r="C1008" s="8" t="s">
        <v>20</v>
      </c>
      <c r="D1008" s="8" t="s">
        <v>48</v>
      </c>
      <c r="E1008" s="8"/>
      <c r="F1008" s="69">
        <v>42614</v>
      </c>
      <c r="G1008" s="8" t="s">
        <v>25152</v>
      </c>
      <c r="H1008" s="8" t="s">
        <v>25153</v>
      </c>
      <c r="I1008" s="8" t="s">
        <v>45</v>
      </c>
      <c r="J1008" s="8" t="s">
        <v>25154</v>
      </c>
      <c r="K1008" s="8" t="s">
        <v>98</v>
      </c>
      <c r="L1008" s="8" t="s">
        <v>25155</v>
      </c>
      <c r="M1008" s="68" t="s">
        <v>5411</v>
      </c>
      <c r="N1008" s="8" t="s">
        <v>25156</v>
      </c>
      <c r="O1008" s="8" t="s">
        <v>400</v>
      </c>
      <c r="P1008" s="8" t="s">
        <v>401</v>
      </c>
      <c r="Q1008" s="14" t="s">
        <v>25157</v>
      </c>
      <c r="R1008" s="8" t="s">
        <v>29</v>
      </c>
      <c r="S1008" s="8" t="s">
        <v>28</v>
      </c>
      <c r="T1008" s="68" t="s">
        <v>29445</v>
      </c>
      <c r="U1008" s="68" t="s">
        <v>29436</v>
      </c>
      <c r="V1008" s="68" t="s">
        <v>29439</v>
      </c>
      <c r="W1008" s="68" t="s">
        <v>100</v>
      </c>
      <c r="X1008" s="68">
        <v>1848</v>
      </c>
      <c r="AW1008" s="1"/>
      <c r="AX1008" s="1"/>
      <c r="AY1008" s="1"/>
      <c r="AZ1008" s="11"/>
      <c r="BA1008" s="1"/>
      <c r="BB1008" s="70"/>
      <c r="BC1008" s="1"/>
      <c r="BD1008" s="1"/>
      <c r="BE1008" s="1"/>
      <c r="BF1008" s="1"/>
      <c r="BG1008" s="1"/>
      <c r="BH1008" s="1"/>
      <c r="BI1008" s="1"/>
      <c r="BJ1008" s="1"/>
      <c r="BK1008" s="1"/>
    </row>
    <row r="1009" spans="1:63" s="44" customFormat="1" ht="12" customHeight="1" x14ac:dyDescent="0.2">
      <c r="A1009" s="8" t="s">
        <v>25158</v>
      </c>
      <c r="B1009" s="68">
        <v>60</v>
      </c>
      <c r="C1009" s="8" t="s">
        <v>20</v>
      </c>
      <c r="D1009" s="8" t="s">
        <v>37</v>
      </c>
      <c r="E1009" s="8"/>
      <c r="F1009" s="69">
        <v>42614</v>
      </c>
      <c r="G1009" s="8" t="s">
        <v>25159</v>
      </c>
      <c r="H1009" s="8" t="s">
        <v>775</v>
      </c>
      <c r="I1009" s="8" t="s">
        <v>69</v>
      </c>
      <c r="J1009" s="8" t="s">
        <v>25160</v>
      </c>
      <c r="K1009" s="8" t="s">
        <v>776</v>
      </c>
      <c r="L1009" s="8" t="s">
        <v>25161</v>
      </c>
      <c r="M1009" s="8" t="s">
        <v>27</v>
      </c>
      <c r="N1009" s="8" t="s">
        <v>25162</v>
      </c>
      <c r="O1009" s="8" t="s">
        <v>400</v>
      </c>
      <c r="P1009" s="8" t="s">
        <v>401</v>
      </c>
      <c r="Q1009" s="14" t="s">
        <v>25163</v>
      </c>
      <c r="R1009" s="68" t="s">
        <v>555</v>
      </c>
      <c r="S1009" s="11" t="s">
        <v>379</v>
      </c>
      <c r="T1009" s="68" t="s">
        <v>379</v>
      </c>
      <c r="U1009" s="68" t="s">
        <v>29436</v>
      </c>
      <c r="V1009" s="68" t="s">
        <v>29439</v>
      </c>
      <c r="W1009" s="68" t="s">
        <v>100</v>
      </c>
      <c r="X1009" s="68">
        <v>1839</v>
      </c>
      <c r="AW1009" s="1"/>
      <c r="AX1009" s="1"/>
      <c r="AY1009" s="1"/>
      <c r="BA1009" s="70"/>
      <c r="BC1009" s="1"/>
      <c r="BD1009" s="1"/>
      <c r="BE1009" s="1"/>
      <c r="BF1009" s="1"/>
      <c r="BG1009" s="1"/>
      <c r="BH1009" s="1"/>
      <c r="BI1009" s="1"/>
      <c r="BJ1009" s="1"/>
    </row>
    <row r="1010" spans="1:63" s="44" customFormat="1" ht="12" customHeight="1" x14ac:dyDescent="0.2">
      <c r="A1010" s="8" t="s">
        <v>25164</v>
      </c>
      <c r="B1010" s="68">
        <v>21</v>
      </c>
      <c r="C1010" s="8" t="s">
        <v>20</v>
      </c>
      <c r="D1010" s="8" t="s">
        <v>37</v>
      </c>
      <c r="E1010" s="14" t="s">
        <v>25165</v>
      </c>
      <c r="F1010" s="69">
        <v>42613</v>
      </c>
      <c r="G1010" s="8" t="s">
        <v>29540</v>
      </c>
      <c r="H1010" s="8" t="s">
        <v>1298</v>
      </c>
      <c r="I1010" s="8" t="s">
        <v>209</v>
      </c>
      <c r="J1010" s="8" t="s">
        <v>25166</v>
      </c>
      <c r="K1010" s="8" t="s">
        <v>1298</v>
      </c>
      <c r="L1010" s="8" t="s">
        <v>1299</v>
      </c>
      <c r="M1010" s="8" t="s">
        <v>27</v>
      </c>
      <c r="N1010" s="8" t="s">
        <v>25167</v>
      </c>
      <c r="O1010" s="8" t="s">
        <v>400</v>
      </c>
      <c r="P1010" s="8" t="s">
        <v>401</v>
      </c>
      <c r="Q1010" s="14" t="s">
        <v>25168</v>
      </c>
      <c r="R1010" s="8" t="s">
        <v>100</v>
      </c>
      <c r="S1010" s="2" t="s">
        <v>18</v>
      </c>
      <c r="T1010" s="68" t="s">
        <v>28345</v>
      </c>
      <c r="U1010" s="68" t="s">
        <v>29438</v>
      </c>
      <c r="V1010" s="68" t="s">
        <v>29440</v>
      </c>
      <c r="W1010" s="68" t="s">
        <v>100</v>
      </c>
      <c r="X1010" s="68">
        <v>1841</v>
      </c>
      <c r="AW1010" s="70"/>
      <c r="AX1010" s="1"/>
      <c r="AY1010" s="1"/>
      <c r="BA1010" s="11"/>
      <c r="BB1010" s="11"/>
      <c r="BC1010" s="1"/>
      <c r="BD1010" s="1"/>
      <c r="BE1010" s="1"/>
      <c r="BF1010" s="1"/>
      <c r="BG1010" s="1"/>
      <c r="BH1010" s="1"/>
      <c r="BI1010" s="1"/>
      <c r="BJ1010" s="1"/>
      <c r="BK1010" s="1"/>
    </row>
    <row r="1011" spans="1:63" s="44" customFormat="1" ht="12" customHeight="1" x14ac:dyDescent="0.15">
      <c r="A1011" s="8" t="s">
        <v>25169</v>
      </c>
      <c r="B1011" s="68">
        <v>38</v>
      </c>
      <c r="C1011" s="8" t="s">
        <v>20</v>
      </c>
      <c r="D1011" s="11" t="s">
        <v>37</v>
      </c>
      <c r="E1011" s="8"/>
      <c r="F1011" s="69">
        <v>42613</v>
      </c>
      <c r="G1011" s="8" t="s">
        <v>25170</v>
      </c>
      <c r="H1011" s="8" t="s">
        <v>10530</v>
      </c>
      <c r="I1011" s="8" t="s">
        <v>431</v>
      </c>
      <c r="J1011" s="8">
        <v>65769</v>
      </c>
      <c r="K1011" s="8" t="s">
        <v>9265</v>
      </c>
      <c r="L1011" s="8" t="s">
        <v>31424</v>
      </c>
      <c r="M1011" s="8" t="s">
        <v>27</v>
      </c>
      <c r="N1011" s="8" t="s">
        <v>25171</v>
      </c>
      <c r="O1011" s="8" t="s">
        <v>400</v>
      </c>
      <c r="P1011" s="8" t="s">
        <v>401</v>
      </c>
      <c r="Q1011" s="14" t="s">
        <v>25172</v>
      </c>
      <c r="R1011" s="8" t="s">
        <v>100</v>
      </c>
      <c r="S1011" s="11" t="s">
        <v>379</v>
      </c>
      <c r="T1011" s="68" t="s">
        <v>379</v>
      </c>
      <c r="U1011" s="68" t="s">
        <v>29436</v>
      </c>
      <c r="V1011" s="68" t="s">
        <v>29437</v>
      </c>
      <c r="W1011" s="68" t="s">
        <v>100</v>
      </c>
      <c r="X1011" s="68">
        <v>1870</v>
      </c>
      <c r="AX1011" s="1"/>
      <c r="AY1011" s="1"/>
      <c r="BA1011" s="11"/>
      <c r="BB1011" s="11"/>
      <c r="BC1011" s="1"/>
      <c r="BD1011" s="1"/>
      <c r="BE1011" s="1"/>
      <c r="BF1011" s="1"/>
      <c r="BG1011" s="1"/>
      <c r="BH1011" s="1"/>
      <c r="BI1011" s="1"/>
      <c r="BJ1011" s="1"/>
    </row>
    <row r="1012" spans="1:63" s="44" customFormat="1" ht="12" customHeight="1" x14ac:dyDescent="0.15">
      <c r="A1012" s="8" t="s">
        <v>25197</v>
      </c>
      <c r="B1012" s="68">
        <v>59</v>
      </c>
      <c r="C1012" s="8" t="s">
        <v>20</v>
      </c>
      <c r="D1012" s="8" t="s">
        <v>37</v>
      </c>
      <c r="E1012" s="8"/>
      <c r="F1012" s="69">
        <v>42612</v>
      </c>
      <c r="G1012" s="8" t="s">
        <v>29541</v>
      </c>
      <c r="H1012" s="8" t="s">
        <v>25198</v>
      </c>
      <c r="I1012" s="8" t="s">
        <v>73</v>
      </c>
      <c r="J1012" s="8" t="s">
        <v>25199</v>
      </c>
      <c r="K1012" s="8" t="s">
        <v>8495</v>
      </c>
      <c r="L1012" s="8" t="s">
        <v>25200</v>
      </c>
      <c r="M1012" s="8" t="s">
        <v>27</v>
      </c>
      <c r="N1012" s="8" t="s">
        <v>25201</v>
      </c>
      <c r="O1012" s="8" t="s">
        <v>400</v>
      </c>
      <c r="P1012" s="8" t="s">
        <v>401</v>
      </c>
      <c r="Q1012" s="14" t="s">
        <v>25202</v>
      </c>
      <c r="R1012" s="8" t="s">
        <v>100</v>
      </c>
      <c r="S1012" s="2" t="s">
        <v>28</v>
      </c>
      <c r="T1012" s="68" t="s">
        <v>27756</v>
      </c>
      <c r="U1012" s="68" t="s">
        <v>29438</v>
      </c>
      <c r="V1012" s="68" t="s">
        <v>21212</v>
      </c>
      <c r="W1012" s="68" t="s">
        <v>100</v>
      </c>
      <c r="X1012" s="68">
        <v>1828</v>
      </c>
      <c r="AW1012" s="1"/>
      <c r="AX1012" s="1"/>
      <c r="AY1012" s="1"/>
      <c r="BA1012" s="11"/>
      <c r="BB1012" s="11"/>
      <c r="BC1012" s="1"/>
      <c r="BD1012" s="1"/>
      <c r="BE1012" s="1"/>
      <c r="BF1012" s="1"/>
      <c r="BG1012" s="1"/>
      <c r="BH1012" s="1"/>
      <c r="BI1012" s="1"/>
      <c r="BJ1012" s="1"/>
    </row>
    <row r="1013" spans="1:63" s="44" customFormat="1" ht="12" customHeight="1" x14ac:dyDescent="0.2">
      <c r="A1013" s="8" t="s">
        <v>25180</v>
      </c>
      <c r="B1013" s="68">
        <v>36</v>
      </c>
      <c r="C1013" s="8" t="s">
        <v>20</v>
      </c>
      <c r="D1013" s="8" t="s">
        <v>37</v>
      </c>
      <c r="E1013" s="14" t="s">
        <v>25181</v>
      </c>
      <c r="F1013" s="69">
        <v>42612</v>
      </c>
      <c r="G1013" s="8" t="s">
        <v>25182</v>
      </c>
      <c r="H1013" s="8" t="s">
        <v>1620</v>
      </c>
      <c r="I1013" s="8" t="s">
        <v>73</v>
      </c>
      <c r="J1013" s="8" t="s">
        <v>22911</v>
      </c>
      <c r="K1013" s="8" t="s">
        <v>1622</v>
      </c>
      <c r="L1013" s="8" t="s">
        <v>1623</v>
      </c>
      <c r="M1013" s="68" t="s">
        <v>5411</v>
      </c>
      <c r="N1013" s="8" t="s">
        <v>25183</v>
      </c>
      <c r="O1013" s="8" t="s">
        <v>400</v>
      </c>
      <c r="P1013" s="8" t="s">
        <v>401</v>
      </c>
      <c r="Q1013" s="14" t="s">
        <v>25184</v>
      </c>
      <c r="R1013" s="8" t="s">
        <v>100</v>
      </c>
      <c r="S1013" s="8" t="s">
        <v>28</v>
      </c>
      <c r="T1013" s="68" t="s">
        <v>29493</v>
      </c>
      <c r="U1013" s="68" t="s">
        <v>29436</v>
      </c>
      <c r="V1013" s="68" t="s">
        <v>29439</v>
      </c>
      <c r="W1013" s="68" t="s">
        <v>100</v>
      </c>
      <c r="X1013" s="68">
        <v>1830</v>
      </c>
      <c r="AW1013" s="11"/>
      <c r="AX1013" s="1"/>
      <c r="AY1013" s="1"/>
      <c r="BA1013" s="11"/>
      <c r="BB1013" s="70"/>
      <c r="BC1013" s="1"/>
      <c r="BD1013" s="1"/>
      <c r="BE1013" s="1"/>
      <c r="BF1013" s="1"/>
      <c r="BG1013" s="1"/>
      <c r="BH1013" s="1"/>
      <c r="BI1013" s="1"/>
      <c r="BJ1013" s="1"/>
      <c r="BK1013" s="1"/>
    </row>
    <row r="1014" spans="1:63" s="44" customFormat="1" ht="12" customHeight="1" x14ac:dyDescent="0.15">
      <c r="A1014" s="8" t="s">
        <v>25185</v>
      </c>
      <c r="B1014" s="68">
        <v>22</v>
      </c>
      <c r="C1014" s="8" t="s">
        <v>20</v>
      </c>
      <c r="D1014" s="8" t="s">
        <v>85</v>
      </c>
      <c r="E1014" s="14" t="s">
        <v>25186</v>
      </c>
      <c r="F1014" s="69">
        <v>42612</v>
      </c>
      <c r="G1014" s="8" t="s">
        <v>25187</v>
      </c>
      <c r="H1014" s="8" t="s">
        <v>1567</v>
      </c>
      <c r="I1014" s="8" t="s">
        <v>62</v>
      </c>
      <c r="J1014" s="8" t="s">
        <v>25188</v>
      </c>
      <c r="K1014" s="8" t="s">
        <v>638</v>
      </c>
      <c r="L1014" s="8" t="s">
        <v>639</v>
      </c>
      <c r="M1014" s="8" t="s">
        <v>27</v>
      </c>
      <c r="N1014" s="8" t="s">
        <v>25189</v>
      </c>
      <c r="O1014" s="8" t="s">
        <v>400</v>
      </c>
      <c r="P1014" s="8" t="s">
        <v>401</v>
      </c>
      <c r="Q1014" s="14" t="s">
        <v>25190</v>
      </c>
      <c r="R1014" s="8" t="s">
        <v>100</v>
      </c>
      <c r="S1014" s="8" t="s">
        <v>18</v>
      </c>
      <c r="T1014" s="68" t="s">
        <v>28345</v>
      </c>
      <c r="U1014" s="68" t="s">
        <v>29441</v>
      </c>
      <c r="V1014" s="68" t="s">
        <v>29439</v>
      </c>
      <c r="W1014" s="68" t="s">
        <v>100</v>
      </c>
      <c r="X1014" s="68">
        <v>1827</v>
      </c>
      <c r="BA1014" s="11"/>
      <c r="BB1014" s="11"/>
      <c r="BK1014" s="1"/>
    </row>
    <row r="1015" spans="1:63" s="44" customFormat="1" ht="12" customHeight="1" x14ac:dyDescent="0.2">
      <c r="A1015" s="8" t="s">
        <v>25191</v>
      </c>
      <c r="B1015" s="68">
        <v>36</v>
      </c>
      <c r="C1015" s="8" t="s">
        <v>20</v>
      </c>
      <c r="D1015" s="11" t="s">
        <v>37</v>
      </c>
      <c r="E1015" s="8"/>
      <c r="F1015" s="69">
        <v>42612</v>
      </c>
      <c r="G1015" s="8" t="s">
        <v>25192</v>
      </c>
      <c r="H1015" s="8" t="s">
        <v>25193</v>
      </c>
      <c r="I1015" s="8" t="s">
        <v>303</v>
      </c>
      <c r="J1015" s="2" t="s">
        <v>25194</v>
      </c>
      <c r="K1015" s="2" t="s">
        <v>883</v>
      </c>
      <c r="L1015" s="2" t="s">
        <v>10938</v>
      </c>
      <c r="M1015" s="68" t="s">
        <v>5411</v>
      </c>
      <c r="N1015" s="8" t="s">
        <v>25195</v>
      </c>
      <c r="O1015" s="8" t="s">
        <v>400</v>
      </c>
      <c r="P1015" s="8" t="s">
        <v>401</v>
      </c>
      <c r="Q1015" s="14" t="s">
        <v>25196</v>
      </c>
      <c r="R1015" s="68" t="s">
        <v>555</v>
      </c>
      <c r="S1015" s="8" t="s">
        <v>28</v>
      </c>
      <c r="T1015" s="68" t="s">
        <v>29465</v>
      </c>
      <c r="U1015" s="68" t="s">
        <v>29438</v>
      </c>
      <c r="V1015" s="68" t="s">
        <v>29439</v>
      </c>
      <c r="W1015" s="68" t="s">
        <v>100</v>
      </c>
      <c r="X1015" s="68">
        <v>1825</v>
      </c>
      <c r="AW1015" s="11"/>
      <c r="AX1015" s="1"/>
      <c r="AY1015" s="1"/>
      <c r="BB1015" s="70"/>
      <c r="BC1015" s="1"/>
      <c r="BD1015" s="1"/>
      <c r="BE1015" s="1"/>
      <c r="BF1015" s="1"/>
      <c r="BG1015" s="1"/>
      <c r="BH1015" s="1"/>
      <c r="BI1015" s="1"/>
      <c r="BJ1015" s="1"/>
      <c r="BK1015" s="1"/>
    </row>
    <row r="1016" spans="1:63" s="44" customFormat="1" ht="12" customHeight="1" x14ac:dyDescent="0.15">
      <c r="A1016" s="8" t="s">
        <v>25203</v>
      </c>
      <c r="B1016" s="68">
        <v>24</v>
      </c>
      <c r="C1016" s="8" t="s">
        <v>20</v>
      </c>
      <c r="D1016" s="8" t="s">
        <v>85</v>
      </c>
      <c r="E1016" s="14" t="s">
        <v>25204</v>
      </c>
      <c r="F1016" s="69">
        <v>42611</v>
      </c>
      <c r="G1016" s="8" t="s">
        <v>25205</v>
      </c>
      <c r="H1016" s="8" t="s">
        <v>151</v>
      </c>
      <c r="I1016" s="8" t="s">
        <v>366</v>
      </c>
      <c r="J1016" s="8">
        <v>27610</v>
      </c>
      <c r="K1016" s="8" t="s">
        <v>690</v>
      </c>
      <c r="L1016" s="8" t="s">
        <v>17337</v>
      </c>
      <c r="M1016" s="8" t="s">
        <v>27</v>
      </c>
      <c r="N1016" s="8" t="s">
        <v>25206</v>
      </c>
      <c r="O1016" s="8" t="s">
        <v>400</v>
      </c>
      <c r="P1016" s="8" t="s">
        <v>401</v>
      </c>
      <c r="Q1016" s="14" t="s">
        <v>25207</v>
      </c>
      <c r="R1016" s="8" t="s">
        <v>100</v>
      </c>
      <c r="S1016" s="8" t="s">
        <v>28</v>
      </c>
      <c r="T1016" s="68" t="s">
        <v>27756</v>
      </c>
      <c r="U1016" s="68" t="s">
        <v>29438</v>
      </c>
      <c r="V1016" s="68" t="s">
        <v>29440</v>
      </c>
      <c r="W1016" s="68" t="s">
        <v>100</v>
      </c>
      <c r="X1016" s="68">
        <v>1823</v>
      </c>
      <c r="AW1016" s="11"/>
      <c r="BA1016" s="11"/>
      <c r="BB1016" s="11"/>
    </row>
    <row r="1017" spans="1:63" s="44" customFormat="1" ht="12" customHeight="1" x14ac:dyDescent="0.15">
      <c r="A1017" s="8" t="s">
        <v>25208</v>
      </c>
      <c r="B1017" s="68">
        <v>35</v>
      </c>
      <c r="C1017" s="8" t="s">
        <v>114</v>
      </c>
      <c r="D1017" s="11" t="s">
        <v>37</v>
      </c>
      <c r="E1017" s="8" t="s">
        <v>26269</v>
      </c>
      <c r="F1017" s="69">
        <v>42611</v>
      </c>
      <c r="G1017" s="8" t="s">
        <v>25209</v>
      </c>
      <c r="H1017" s="8" t="s">
        <v>3720</v>
      </c>
      <c r="I1017" s="8" t="s">
        <v>123</v>
      </c>
      <c r="J1017" s="8" t="s">
        <v>3721</v>
      </c>
      <c r="K1017" s="8" t="s">
        <v>5836</v>
      </c>
      <c r="L1017" s="8" t="s">
        <v>25210</v>
      </c>
      <c r="M1017" s="8" t="s">
        <v>27</v>
      </c>
      <c r="N1017" s="8" t="s">
        <v>25211</v>
      </c>
      <c r="O1017" s="8" t="s">
        <v>400</v>
      </c>
      <c r="P1017" s="8" t="s">
        <v>401</v>
      </c>
      <c r="Q1017" s="14" t="s">
        <v>25212</v>
      </c>
      <c r="R1017" s="8" t="s">
        <v>100</v>
      </c>
      <c r="S1017" s="8" t="s">
        <v>28</v>
      </c>
      <c r="T1017" s="68" t="s">
        <v>27756</v>
      </c>
      <c r="U1017" s="68" t="s">
        <v>29438</v>
      </c>
      <c r="V1017" s="68" t="s">
        <v>29439</v>
      </c>
      <c r="W1017" s="68" t="s">
        <v>100</v>
      </c>
      <c r="X1017" s="68">
        <v>1826</v>
      </c>
      <c r="AW1017" s="11"/>
      <c r="AX1017" s="1"/>
      <c r="AY1017" s="1"/>
      <c r="BA1017" s="11"/>
      <c r="BB1017" s="11"/>
      <c r="BC1017" s="1"/>
      <c r="BD1017" s="1"/>
      <c r="BE1017" s="1"/>
      <c r="BF1017" s="1"/>
      <c r="BG1017" s="1"/>
      <c r="BH1017" s="1"/>
      <c r="BI1017" s="1"/>
      <c r="BJ1017" s="1"/>
    </row>
    <row r="1018" spans="1:63" s="44" customFormat="1" ht="12" customHeight="1" x14ac:dyDescent="0.2">
      <c r="A1018" s="8" t="s">
        <v>25213</v>
      </c>
      <c r="B1018" s="68">
        <v>56</v>
      </c>
      <c r="C1018" s="8" t="s">
        <v>20</v>
      </c>
      <c r="D1018" s="8" t="s">
        <v>37</v>
      </c>
      <c r="E1018" s="14" t="s">
        <v>25214</v>
      </c>
      <c r="F1018" s="69">
        <v>42611</v>
      </c>
      <c r="G1018" s="8" t="s">
        <v>25215</v>
      </c>
      <c r="H1018" s="8" t="s">
        <v>309</v>
      </c>
      <c r="I1018" s="8" t="s">
        <v>45</v>
      </c>
      <c r="J1018" s="8">
        <v>92411</v>
      </c>
      <c r="K1018" s="8" t="s">
        <v>309</v>
      </c>
      <c r="L1018" s="8" t="s">
        <v>4320</v>
      </c>
      <c r="M1018" s="68" t="s">
        <v>5411</v>
      </c>
      <c r="N1018" s="8" t="s">
        <v>25216</v>
      </c>
      <c r="O1018" s="8" t="s">
        <v>400</v>
      </c>
      <c r="P1018" s="8" t="s">
        <v>401</v>
      </c>
      <c r="Q1018" s="14" t="s">
        <v>25217</v>
      </c>
      <c r="R1018" s="8" t="s">
        <v>100</v>
      </c>
      <c r="S1018" s="8" t="s">
        <v>28</v>
      </c>
      <c r="T1018" s="68" t="s">
        <v>29493</v>
      </c>
      <c r="U1018" s="68" t="s">
        <v>29438</v>
      </c>
      <c r="V1018" s="68" t="s">
        <v>29439</v>
      </c>
      <c r="W1018" s="68" t="s">
        <v>100</v>
      </c>
      <c r="X1018" s="68">
        <v>1824</v>
      </c>
      <c r="AW1018" s="1"/>
      <c r="AX1018" s="1"/>
      <c r="AY1018" s="1"/>
      <c r="BA1018" s="11"/>
      <c r="BB1018" s="70"/>
      <c r="BC1018" s="1"/>
      <c r="BD1018" s="1"/>
      <c r="BE1018" s="1"/>
      <c r="BF1018" s="1"/>
      <c r="BG1018" s="1"/>
      <c r="BH1018" s="1"/>
      <c r="BI1018" s="1"/>
      <c r="BJ1018" s="1"/>
      <c r="BK1018" s="1"/>
    </row>
    <row r="1019" spans="1:63" s="44" customFormat="1" ht="12" customHeight="1" x14ac:dyDescent="0.2">
      <c r="A1019" s="8" t="s">
        <v>25173</v>
      </c>
      <c r="B1019" s="68">
        <v>28</v>
      </c>
      <c r="C1019" s="8" t="s">
        <v>20</v>
      </c>
      <c r="D1019" s="8" t="s">
        <v>37</v>
      </c>
      <c r="E1019" s="14" t="s">
        <v>25174</v>
      </c>
      <c r="F1019" s="69">
        <v>42611</v>
      </c>
      <c r="G1019" s="8" t="s">
        <v>25175</v>
      </c>
      <c r="H1019" s="8" t="s">
        <v>329</v>
      </c>
      <c r="I1019" s="8" t="s">
        <v>330</v>
      </c>
      <c r="J1019" s="8" t="s">
        <v>25176</v>
      </c>
      <c r="K1019" s="8" t="s">
        <v>19984</v>
      </c>
      <c r="L1019" s="8" t="s">
        <v>25177</v>
      </c>
      <c r="M1019" s="68" t="s">
        <v>5411</v>
      </c>
      <c r="N1019" s="8" t="s">
        <v>25178</v>
      </c>
      <c r="O1019" s="8" t="s">
        <v>400</v>
      </c>
      <c r="P1019" s="8" t="s">
        <v>401</v>
      </c>
      <c r="Q1019" s="14" t="s">
        <v>25179</v>
      </c>
      <c r="R1019" s="8" t="s">
        <v>29</v>
      </c>
      <c r="S1019" s="8" t="s">
        <v>28</v>
      </c>
      <c r="T1019" s="68" t="s">
        <v>27756</v>
      </c>
      <c r="U1019" s="68" t="s">
        <v>29438</v>
      </c>
      <c r="V1019" s="68" t="s">
        <v>29440</v>
      </c>
      <c r="W1019" s="68" t="s">
        <v>555</v>
      </c>
      <c r="X1019" s="68">
        <v>1829</v>
      </c>
      <c r="AX1019" s="1"/>
      <c r="AY1019" s="1"/>
      <c r="BA1019" s="1"/>
      <c r="BB1019" s="70"/>
      <c r="BC1019" s="1"/>
      <c r="BD1019" s="1"/>
      <c r="BE1019" s="1"/>
      <c r="BF1019" s="1"/>
      <c r="BG1019" s="1"/>
      <c r="BH1019" s="1"/>
      <c r="BI1019" s="1"/>
      <c r="BJ1019" s="1"/>
      <c r="BK1019" s="1"/>
    </row>
    <row r="1020" spans="1:63" s="44" customFormat="1" ht="12" customHeight="1" x14ac:dyDescent="0.2">
      <c r="A1020" s="8" t="s">
        <v>25218</v>
      </c>
      <c r="B1020" s="68">
        <v>37</v>
      </c>
      <c r="C1020" s="8" t="s">
        <v>20</v>
      </c>
      <c r="D1020" s="11" t="s">
        <v>37</v>
      </c>
      <c r="E1020" s="8"/>
      <c r="F1020" s="69">
        <v>42610</v>
      </c>
      <c r="G1020" s="8" t="s">
        <v>29542</v>
      </c>
      <c r="H1020" s="8" t="s">
        <v>25219</v>
      </c>
      <c r="I1020" s="8" t="s">
        <v>133</v>
      </c>
      <c r="J1020" s="8">
        <v>55123</v>
      </c>
      <c r="K1020" s="8" t="s">
        <v>21315</v>
      </c>
      <c r="L1020" s="8" t="s">
        <v>25220</v>
      </c>
      <c r="M1020" s="8" t="s">
        <v>27</v>
      </c>
      <c r="N1020" s="8" t="s">
        <v>25221</v>
      </c>
      <c r="O1020" s="8" t="s">
        <v>400</v>
      </c>
      <c r="P1020" s="8" t="s">
        <v>401</v>
      </c>
      <c r="Q1020" s="14" t="s">
        <v>25222</v>
      </c>
      <c r="R1020" s="68" t="s">
        <v>555</v>
      </c>
      <c r="S1020" s="8" t="s">
        <v>28</v>
      </c>
      <c r="T1020" s="68" t="s">
        <v>27756</v>
      </c>
      <c r="U1020" s="68" t="s">
        <v>29438</v>
      </c>
      <c r="V1020" s="68" t="s">
        <v>29439</v>
      </c>
      <c r="W1020" s="68" t="s">
        <v>100</v>
      </c>
      <c r="X1020" s="68">
        <v>1818</v>
      </c>
      <c r="AX1020" s="1"/>
      <c r="AY1020" s="1"/>
      <c r="BA1020" s="70"/>
      <c r="BC1020" s="1"/>
      <c r="BD1020" s="1"/>
      <c r="BE1020" s="1"/>
      <c r="BF1020" s="1"/>
      <c r="BG1020" s="1"/>
      <c r="BH1020" s="1"/>
      <c r="BI1020" s="1"/>
      <c r="BJ1020" s="1"/>
    </row>
    <row r="1021" spans="1:63" s="44" customFormat="1" ht="12" customHeight="1" x14ac:dyDescent="0.15">
      <c r="A1021" s="8" t="s">
        <v>25240</v>
      </c>
      <c r="B1021" s="68">
        <v>26</v>
      </c>
      <c r="C1021" s="8" t="s">
        <v>20</v>
      </c>
      <c r="D1021" s="8" t="s">
        <v>48</v>
      </c>
      <c r="E1021" s="14" t="s">
        <v>25241</v>
      </c>
      <c r="F1021" s="69">
        <v>42609</v>
      </c>
      <c r="G1021" s="8" t="s">
        <v>25242</v>
      </c>
      <c r="H1021" s="8" t="s">
        <v>632</v>
      </c>
      <c r="I1021" s="8" t="s">
        <v>123</v>
      </c>
      <c r="J1021" s="8">
        <v>85031</v>
      </c>
      <c r="K1021" s="8" t="s">
        <v>633</v>
      </c>
      <c r="L1021" s="8" t="s">
        <v>634</v>
      </c>
      <c r="M1021" s="8" t="s">
        <v>27</v>
      </c>
      <c r="N1021" s="8" t="s">
        <v>25243</v>
      </c>
      <c r="O1021" s="8" t="s">
        <v>400</v>
      </c>
      <c r="P1021" s="8" t="s">
        <v>401</v>
      </c>
      <c r="Q1021" s="14" t="s">
        <v>25244</v>
      </c>
      <c r="R1021" s="11" t="s">
        <v>964</v>
      </c>
      <c r="S1021" s="8" t="s">
        <v>18</v>
      </c>
      <c r="T1021" s="68" t="s">
        <v>29612</v>
      </c>
      <c r="U1021" s="68" t="s">
        <v>29438</v>
      </c>
      <c r="V1021" s="68" t="s">
        <v>29439</v>
      </c>
      <c r="W1021" s="68" t="s">
        <v>100</v>
      </c>
      <c r="X1021" s="68">
        <v>1820</v>
      </c>
      <c r="AX1021" s="1"/>
      <c r="AY1021" s="1"/>
      <c r="BB1021" s="11"/>
      <c r="BC1021" s="1"/>
      <c r="BD1021" s="1"/>
      <c r="BE1021" s="1"/>
      <c r="BF1021" s="1"/>
      <c r="BG1021" s="1"/>
      <c r="BH1021" s="1"/>
      <c r="BI1021" s="1"/>
      <c r="BJ1021" s="1"/>
      <c r="BK1021" s="1"/>
    </row>
    <row r="1022" spans="1:63" s="44" customFormat="1" ht="12" customHeight="1" x14ac:dyDescent="0.2">
      <c r="A1022" s="8" t="s">
        <v>25229</v>
      </c>
      <c r="B1022" s="68">
        <v>49</v>
      </c>
      <c r="C1022" s="8" t="s">
        <v>20</v>
      </c>
      <c r="D1022" s="8" t="s">
        <v>48</v>
      </c>
      <c r="E1022" s="14" t="s">
        <v>25230</v>
      </c>
      <c r="F1022" s="69">
        <v>42609</v>
      </c>
      <c r="G1022" s="8" t="s">
        <v>25231</v>
      </c>
      <c r="H1022" s="8" t="s">
        <v>1298</v>
      </c>
      <c r="I1022" s="8" t="s">
        <v>209</v>
      </c>
      <c r="J1022" s="8">
        <v>80223</v>
      </c>
      <c r="K1022" s="8" t="s">
        <v>1298</v>
      </c>
      <c r="L1022" s="8" t="s">
        <v>1299</v>
      </c>
      <c r="M1022" s="68" t="s">
        <v>5411</v>
      </c>
      <c r="N1022" s="8" t="s">
        <v>25232</v>
      </c>
      <c r="O1022" s="8" t="s">
        <v>400</v>
      </c>
      <c r="P1022" s="8" t="s">
        <v>401</v>
      </c>
      <c r="Q1022" s="14" t="s">
        <v>25233</v>
      </c>
      <c r="R1022" s="8" t="s">
        <v>100</v>
      </c>
      <c r="S1022" s="8" t="s">
        <v>28</v>
      </c>
      <c r="T1022" s="68" t="s">
        <v>29493</v>
      </c>
      <c r="U1022" s="68" t="s">
        <v>29436</v>
      </c>
      <c r="V1022" s="68" t="s">
        <v>29439</v>
      </c>
      <c r="W1022" s="68" t="s">
        <v>100</v>
      </c>
      <c r="X1022" s="68">
        <v>1821</v>
      </c>
      <c r="AW1022" s="1"/>
      <c r="AX1022" s="1"/>
      <c r="AY1022" s="1"/>
      <c r="BA1022" s="11"/>
      <c r="BB1022" s="70"/>
      <c r="BC1022" s="1"/>
      <c r="BD1022" s="1"/>
      <c r="BE1022" s="1"/>
      <c r="BF1022" s="1"/>
      <c r="BG1022" s="1"/>
      <c r="BH1022" s="1"/>
      <c r="BI1022" s="1"/>
      <c r="BJ1022" s="1"/>
      <c r="BK1022" s="1"/>
    </row>
    <row r="1023" spans="1:63" s="44" customFormat="1" ht="12" customHeight="1" x14ac:dyDescent="0.15">
      <c r="A1023" s="8" t="s">
        <v>25234</v>
      </c>
      <c r="B1023" s="8">
        <v>34</v>
      </c>
      <c r="C1023" s="8" t="s">
        <v>20</v>
      </c>
      <c r="D1023" s="8" t="s">
        <v>85</v>
      </c>
      <c r="E1023" s="14" t="s">
        <v>25235</v>
      </c>
      <c r="F1023" s="72">
        <v>42609</v>
      </c>
      <c r="G1023" s="8" t="s">
        <v>25236</v>
      </c>
      <c r="H1023" s="8" t="s">
        <v>2101</v>
      </c>
      <c r="I1023" s="8" t="s">
        <v>81</v>
      </c>
      <c r="J1023" s="8" t="s">
        <v>25237</v>
      </c>
      <c r="K1023" s="8" t="s">
        <v>2902</v>
      </c>
      <c r="L1023" s="8" t="s">
        <v>2103</v>
      </c>
      <c r="M1023" s="8" t="s">
        <v>27</v>
      </c>
      <c r="N1023" s="8" t="s">
        <v>25238</v>
      </c>
      <c r="O1023" s="8" t="s">
        <v>400</v>
      </c>
      <c r="P1023" s="8" t="s">
        <v>401</v>
      </c>
      <c r="Q1023" s="14" t="s">
        <v>25239</v>
      </c>
      <c r="R1023" s="8" t="s">
        <v>100</v>
      </c>
      <c r="S1023" s="8" t="s">
        <v>18</v>
      </c>
      <c r="T1023" s="68"/>
      <c r="U1023" s="68"/>
      <c r="V1023" s="68"/>
      <c r="W1023" s="68"/>
      <c r="X1023" s="68"/>
      <c r="AW1023" s="1"/>
      <c r="AZ1023" s="1"/>
      <c r="BA1023" s="1"/>
      <c r="BB1023" s="1"/>
      <c r="BK1023" s="1"/>
    </row>
    <row r="1024" spans="1:63" s="44" customFormat="1" ht="12" customHeight="1" x14ac:dyDescent="0.15">
      <c r="A1024" s="8" t="s">
        <v>25223</v>
      </c>
      <c r="B1024" s="68">
        <v>82</v>
      </c>
      <c r="C1024" s="8" t="s">
        <v>20</v>
      </c>
      <c r="D1024" s="8" t="s">
        <v>37</v>
      </c>
      <c r="E1024" s="14" t="s">
        <v>25224</v>
      </c>
      <c r="F1024" s="69">
        <v>42609</v>
      </c>
      <c r="G1024" s="8" t="s">
        <v>25225</v>
      </c>
      <c r="H1024" s="8" t="s">
        <v>1934</v>
      </c>
      <c r="I1024" s="8" t="s">
        <v>150</v>
      </c>
      <c r="J1024" s="8">
        <v>26501</v>
      </c>
      <c r="K1024" s="8" t="s">
        <v>1936</v>
      </c>
      <c r="L1024" s="8" t="s">
        <v>25226</v>
      </c>
      <c r="M1024" s="8" t="s">
        <v>27</v>
      </c>
      <c r="N1024" s="8" t="s">
        <v>25227</v>
      </c>
      <c r="O1024" s="8" t="s">
        <v>400</v>
      </c>
      <c r="P1024" s="8" t="s">
        <v>401</v>
      </c>
      <c r="Q1024" s="14" t="s">
        <v>25228</v>
      </c>
      <c r="R1024" s="8" t="s">
        <v>29</v>
      </c>
      <c r="S1024" s="8" t="s">
        <v>28</v>
      </c>
      <c r="T1024" s="68" t="s">
        <v>27756</v>
      </c>
      <c r="U1024" s="68" t="s">
        <v>29438</v>
      </c>
      <c r="V1024" s="68" t="s">
        <v>29439</v>
      </c>
      <c r="W1024" s="68" t="s">
        <v>555</v>
      </c>
      <c r="X1024" s="68">
        <v>1822</v>
      </c>
      <c r="AW1024" s="1"/>
      <c r="AX1024" s="1"/>
      <c r="AY1024" s="1"/>
      <c r="BA1024" s="1"/>
      <c r="BB1024" s="1"/>
      <c r="BC1024" s="1"/>
      <c r="BD1024" s="1"/>
      <c r="BE1024" s="1"/>
      <c r="BF1024" s="1"/>
      <c r="BG1024" s="1"/>
      <c r="BH1024" s="1"/>
      <c r="BI1024" s="1"/>
      <c r="BJ1024" s="1"/>
    </row>
    <row r="1025" spans="1:63" s="44" customFormat="1" ht="12" customHeight="1" x14ac:dyDescent="0.15">
      <c r="A1025" s="8" t="s">
        <v>25245</v>
      </c>
      <c r="B1025" s="68">
        <v>41</v>
      </c>
      <c r="C1025" s="8" t="s">
        <v>20</v>
      </c>
      <c r="D1025" s="11" t="s">
        <v>37</v>
      </c>
      <c r="E1025" s="8"/>
      <c r="F1025" s="69">
        <v>42608</v>
      </c>
      <c r="G1025" s="8" t="s">
        <v>25246</v>
      </c>
      <c r="H1025" s="8" t="s">
        <v>655</v>
      </c>
      <c r="I1025" s="8" t="s">
        <v>269</v>
      </c>
      <c r="J1025" s="8">
        <v>89104</v>
      </c>
      <c r="K1025" s="8" t="s">
        <v>570</v>
      </c>
      <c r="L1025" s="8" t="s">
        <v>6319</v>
      </c>
      <c r="M1025" s="8" t="s">
        <v>27</v>
      </c>
      <c r="N1025" s="8" t="s">
        <v>25247</v>
      </c>
      <c r="O1025" s="8" t="s">
        <v>400</v>
      </c>
      <c r="P1025" s="8" t="s">
        <v>401</v>
      </c>
      <c r="Q1025" s="14" t="s">
        <v>25248</v>
      </c>
      <c r="R1025" s="8" t="s">
        <v>100</v>
      </c>
      <c r="S1025" s="8" t="s">
        <v>28</v>
      </c>
      <c r="T1025" s="68" t="s">
        <v>27756</v>
      </c>
      <c r="U1025" s="68" t="s">
        <v>29438</v>
      </c>
      <c r="V1025" s="68" t="s">
        <v>29440</v>
      </c>
      <c r="W1025" s="68" t="s">
        <v>100</v>
      </c>
      <c r="X1025" s="68">
        <v>1817</v>
      </c>
      <c r="AR1025" s="11"/>
      <c r="AS1025" s="11"/>
      <c r="AT1025" s="11"/>
      <c r="AW1025" s="1"/>
      <c r="AX1025" s="1"/>
      <c r="AY1025" s="1"/>
      <c r="BA1025" s="11"/>
      <c r="BB1025" s="11"/>
      <c r="BC1025" s="1"/>
      <c r="BD1025" s="1"/>
      <c r="BE1025" s="1"/>
      <c r="BF1025" s="1"/>
      <c r="BG1025" s="1"/>
      <c r="BH1025" s="1"/>
      <c r="BI1025" s="1"/>
      <c r="BJ1025" s="1"/>
    </row>
    <row r="1026" spans="1:63" s="44" customFormat="1" ht="12" customHeight="1" x14ac:dyDescent="0.15">
      <c r="A1026" s="8" t="s">
        <v>25249</v>
      </c>
      <c r="B1026" s="8">
        <v>59</v>
      </c>
      <c r="C1026" s="8" t="s">
        <v>20</v>
      </c>
      <c r="D1026" s="8" t="s">
        <v>37</v>
      </c>
      <c r="E1026" s="14" t="s">
        <v>25250</v>
      </c>
      <c r="F1026" s="72">
        <v>42608</v>
      </c>
      <c r="G1026" s="8" t="s">
        <v>25251</v>
      </c>
      <c r="H1026" s="8" t="s">
        <v>25252</v>
      </c>
      <c r="I1026" s="8" t="s">
        <v>45</v>
      </c>
      <c r="J1026" s="8" t="s">
        <v>25253</v>
      </c>
      <c r="K1026" s="8" t="s">
        <v>309</v>
      </c>
      <c r="L1026" s="8" t="s">
        <v>6490</v>
      </c>
      <c r="M1026" s="8" t="s">
        <v>379</v>
      </c>
      <c r="N1026" s="8" t="s">
        <v>25254</v>
      </c>
      <c r="O1026" s="11" t="s">
        <v>400</v>
      </c>
      <c r="P1026" s="8" t="s">
        <v>401</v>
      </c>
      <c r="Q1026" s="14" t="s">
        <v>25255</v>
      </c>
      <c r="R1026" s="8" t="s">
        <v>100</v>
      </c>
      <c r="S1026" s="8" t="s">
        <v>28</v>
      </c>
      <c r="T1026" s="8"/>
      <c r="AX1026" s="1"/>
      <c r="AY1026" s="1"/>
      <c r="AZ1026" s="1"/>
      <c r="BA1026" s="1"/>
      <c r="BB1026" s="1"/>
      <c r="BC1026" s="1"/>
      <c r="BD1026" s="1"/>
      <c r="BE1026" s="1"/>
      <c r="BF1026" s="1"/>
      <c r="BG1026" s="1"/>
      <c r="BH1026" s="1"/>
      <c r="BI1026" s="1"/>
      <c r="BJ1026" s="1"/>
      <c r="BK1026" s="1"/>
    </row>
    <row r="1027" spans="1:63" s="44" customFormat="1" ht="12" customHeight="1" x14ac:dyDescent="0.15">
      <c r="A1027" s="8" t="s">
        <v>25266</v>
      </c>
      <c r="B1027" s="68">
        <v>31</v>
      </c>
      <c r="C1027" s="8" t="s">
        <v>20</v>
      </c>
      <c r="D1027" s="8" t="s">
        <v>85</v>
      </c>
      <c r="E1027" s="14" t="s">
        <v>25267</v>
      </c>
      <c r="F1027" s="69">
        <v>42607</v>
      </c>
      <c r="G1027" s="8" t="s">
        <v>25268</v>
      </c>
      <c r="H1027" s="8" t="s">
        <v>5191</v>
      </c>
      <c r="I1027" s="8" t="s">
        <v>45</v>
      </c>
      <c r="J1027" s="8">
        <v>90220</v>
      </c>
      <c r="K1027" s="8" t="s">
        <v>98</v>
      </c>
      <c r="L1027" s="11" t="s">
        <v>414</v>
      </c>
      <c r="M1027" s="8" t="s">
        <v>27</v>
      </c>
      <c r="N1027" s="8" t="s">
        <v>25269</v>
      </c>
      <c r="O1027" s="8" t="s">
        <v>400</v>
      </c>
      <c r="P1027" s="8" t="s">
        <v>401</v>
      </c>
      <c r="Q1027" s="14" t="s">
        <v>25270</v>
      </c>
      <c r="R1027" s="8" t="s">
        <v>100</v>
      </c>
      <c r="S1027" s="2" t="s">
        <v>28</v>
      </c>
      <c r="T1027" s="68" t="s">
        <v>27756</v>
      </c>
      <c r="U1027" s="68" t="s">
        <v>29438</v>
      </c>
      <c r="V1027" s="68" t="s">
        <v>29440</v>
      </c>
      <c r="W1027" s="68" t="s">
        <v>100</v>
      </c>
      <c r="X1027" s="68">
        <v>1816</v>
      </c>
      <c r="AW1027" s="11"/>
      <c r="AX1027" s="11"/>
      <c r="AY1027" s="11"/>
      <c r="BA1027" s="11"/>
      <c r="BB1027" s="11"/>
    </row>
    <row r="1028" spans="1:63" s="44" customFormat="1" ht="12" customHeight="1" x14ac:dyDescent="0.15">
      <c r="A1028" s="8" t="s">
        <v>25271</v>
      </c>
      <c r="B1028" s="68">
        <v>32</v>
      </c>
      <c r="C1028" s="8" t="s">
        <v>20</v>
      </c>
      <c r="D1028" s="8" t="s">
        <v>48</v>
      </c>
      <c r="E1028" s="14" t="s">
        <v>25272</v>
      </c>
      <c r="F1028" s="69">
        <v>42607</v>
      </c>
      <c r="G1028" s="8" t="s">
        <v>25273</v>
      </c>
      <c r="H1028" s="8" t="s">
        <v>5191</v>
      </c>
      <c r="I1028" s="8" t="s">
        <v>45</v>
      </c>
      <c r="J1028" s="8">
        <v>90221</v>
      </c>
      <c r="K1028" s="8" t="s">
        <v>98</v>
      </c>
      <c r="L1028" s="8" t="s">
        <v>405</v>
      </c>
      <c r="M1028" s="8" t="s">
        <v>27</v>
      </c>
      <c r="N1028" s="8" t="s">
        <v>25274</v>
      </c>
      <c r="O1028" s="8" t="s">
        <v>400</v>
      </c>
      <c r="P1028" s="8" t="s">
        <v>401</v>
      </c>
      <c r="Q1028" s="14" t="s">
        <v>25275</v>
      </c>
      <c r="R1028" s="8" t="s">
        <v>100</v>
      </c>
      <c r="S1028" s="8" t="s">
        <v>35</v>
      </c>
      <c r="T1028" s="66" t="s">
        <v>29441</v>
      </c>
      <c r="U1028" s="68" t="s">
        <v>29441</v>
      </c>
      <c r="V1028" s="68" t="s">
        <v>29439</v>
      </c>
      <c r="W1028" s="68" t="s">
        <v>100</v>
      </c>
      <c r="X1028" s="68">
        <v>2144</v>
      </c>
      <c r="AW1028" s="11"/>
      <c r="AX1028" s="1"/>
      <c r="AY1028" s="1"/>
      <c r="BA1028" s="11"/>
      <c r="BB1028" s="11"/>
      <c r="BC1028" s="1"/>
      <c r="BD1028" s="1"/>
      <c r="BE1028" s="1"/>
      <c r="BF1028" s="1"/>
      <c r="BG1028" s="1"/>
      <c r="BH1028" s="1"/>
      <c r="BI1028" s="1"/>
      <c r="BJ1028" s="1"/>
      <c r="BK1028" s="1"/>
    </row>
    <row r="1029" spans="1:63" s="44" customFormat="1" ht="12" customHeight="1" x14ac:dyDescent="0.2">
      <c r="A1029" s="8" t="s">
        <v>25262</v>
      </c>
      <c r="B1029" s="68">
        <v>63</v>
      </c>
      <c r="C1029" s="8" t="s">
        <v>20</v>
      </c>
      <c r="D1029" s="11" t="s">
        <v>30</v>
      </c>
      <c r="E1029" s="8"/>
      <c r="F1029" s="69">
        <v>42607</v>
      </c>
      <c r="G1029" s="8" t="s">
        <v>29543</v>
      </c>
      <c r="H1029" s="8" t="s">
        <v>1171</v>
      </c>
      <c r="I1029" s="8" t="s">
        <v>209</v>
      </c>
      <c r="J1029" s="8">
        <v>80524</v>
      </c>
      <c r="K1029" s="8" t="s">
        <v>553</v>
      </c>
      <c r="L1029" s="8" t="s">
        <v>25263</v>
      </c>
      <c r="M1029" s="68" t="s">
        <v>5411</v>
      </c>
      <c r="N1029" s="8" t="s">
        <v>25264</v>
      </c>
      <c r="O1029" s="8" t="s">
        <v>400</v>
      </c>
      <c r="P1029" s="8" t="s">
        <v>401</v>
      </c>
      <c r="Q1029" s="14" t="s">
        <v>25265</v>
      </c>
      <c r="R1029" s="8" t="s">
        <v>29</v>
      </c>
      <c r="S1029" s="8" t="s">
        <v>28</v>
      </c>
      <c r="T1029" s="68" t="s">
        <v>29493</v>
      </c>
      <c r="U1029" s="68" t="s">
        <v>29436</v>
      </c>
      <c r="V1029" s="68" t="s">
        <v>29439</v>
      </c>
      <c r="W1029" s="68" t="s">
        <v>555</v>
      </c>
      <c r="X1029" s="68">
        <v>1815</v>
      </c>
      <c r="AW1029" s="1"/>
      <c r="AX1029" s="1"/>
      <c r="AY1029" s="1"/>
      <c r="BA1029" s="1"/>
      <c r="BB1029" s="70"/>
      <c r="BC1029" s="1"/>
      <c r="BD1029" s="1"/>
      <c r="BE1029" s="1"/>
      <c r="BF1029" s="1"/>
      <c r="BG1029" s="1"/>
      <c r="BH1029" s="1"/>
      <c r="BI1029" s="1"/>
      <c r="BJ1029" s="1"/>
      <c r="BK1029" s="1"/>
    </row>
    <row r="1030" spans="1:63" s="44" customFormat="1" ht="12" customHeight="1" x14ac:dyDescent="0.15">
      <c r="A1030" s="8" t="s">
        <v>25256</v>
      </c>
      <c r="B1030" s="8">
        <v>63</v>
      </c>
      <c r="C1030" s="8" t="s">
        <v>20</v>
      </c>
      <c r="D1030" s="8" t="s">
        <v>37</v>
      </c>
      <c r="E1030" s="14" t="s">
        <v>25257</v>
      </c>
      <c r="F1030" s="72">
        <v>42607</v>
      </c>
      <c r="G1030" s="8" t="s">
        <v>25258</v>
      </c>
      <c r="H1030" s="8" t="s">
        <v>15635</v>
      </c>
      <c r="I1030" s="8" t="s">
        <v>117</v>
      </c>
      <c r="J1030" s="8">
        <v>97756</v>
      </c>
      <c r="K1030" s="8" t="s">
        <v>12908</v>
      </c>
      <c r="L1030" s="8" t="s">
        <v>25259</v>
      </c>
      <c r="M1030" s="8" t="s">
        <v>379</v>
      </c>
      <c r="N1030" s="8" t="s">
        <v>25260</v>
      </c>
      <c r="O1030" s="8" t="s">
        <v>400</v>
      </c>
      <c r="P1030" s="8" t="s">
        <v>401</v>
      </c>
      <c r="Q1030" s="14" t="s">
        <v>25261</v>
      </c>
      <c r="R1030" s="8" t="s">
        <v>29</v>
      </c>
      <c r="S1030" s="8" t="s">
        <v>28</v>
      </c>
      <c r="T1030" s="8"/>
      <c r="AX1030" s="1"/>
      <c r="AY1030" s="1"/>
      <c r="AZ1030" s="1"/>
      <c r="BA1030" s="1"/>
      <c r="BB1030" s="1"/>
      <c r="BC1030" s="1"/>
      <c r="BD1030" s="1"/>
      <c r="BE1030" s="1"/>
      <c r="BF1030" s="1"/>
      <c r="BG1030" s="1"/>
      <c r="BH1030" s="1"/>
      <c r="BI1030" s="1"/>
      <c r="BJ1030" s="1"/>
      <c r="BK1030" s="1"/>
    </row>
    <row r="1031" spans="1:63" s="44" customFormat="1" ht="12" customHeight="1" x14ac:dyDescent="0.15">
      <c r="A1031" s="8" t="s">
        <v>25280</v>
      </c>
      <c r="B1031" s="68">
        <v>36</v>
      </c>
      <c r="C1031" s="8" t="s">
        <v>20</v>
      </c>
      <c r="D1031" s="11" t="s">
        <v>48</v>
      </c>
      <c r="E1031" s="8"/>
      <c r="F1031" s="69">
        <v>42606</v>
      </c>
      <c r="G1031" s="8" t="s">
        <v>25281</v>
      </c>
      <c r="H1031" s="8" t="s">
        <v>285</v>
      </c>
      <c r="I1031" s="8" t="s">
        <v>73</v>
      </c>
      <c r="J1031" s="8">
        <v>75211</v>
      </c>
      <c r="K1031" s="8" t="s">
        <v>285</v>
      </c>
      <c r="L1031" s="8" t="s">
        <v>286</v>
      </c>
      <c r="M1031" s="8" t="s">
        <v>27</v>
      </c>
      <c r="N1031" s="8" t="s">
        <v>25282</v>
      </c>
      <c r="O1031" s="8" t="s">
        <v>400</v>
      </c>
      <c r="P1031" s="8" t="s">
        <v>401</v>
      </c>
      <c r="Q1031" s="14" t="s">
        <v>25283</v>
      </c>
      <c r="R1031" s="8" t="s">
        <v>100</v>
      </c>
      <c r="S1031" s="8" t="s">
        <v>28</v>
      </c>
      <c r="T1031" s="68" t="s">
        <v>27756</v>
      </c>
      <c r="U1031" s="68" t="s">
        <v>29438</v>
      </c>
      <c r="V1031" s="68" t="s">
        <v>29440</v>
      </c>
      <c r="W1031" s="68" t="s">
        <v>100</v>
      </c>
      <c r="X1031" s="68">
        <v>1811</v>
      </c>
      <c r="AW1031" s="11"/>
      <c r="AX1031" s="1"/>
      <c r="AY1031" s="1"/>
      <c r="BA1031" s="11"/>
      <c r="BB1031" s="11"/>
      <c r="BC1031" s="1"/>
      <c r="BD1031" s="1"/>
      <c r="BE1031" s="1"/>
      <c r="BF1031" s="1"/>
      <c r="BG1031" s="1"/>
      <c r="BH1031" s="1"/>
      <c r="BI1031" s="1"/>
      <c r="BJ1031" s="1"/>
    </row>
    <row r="1032" spans="1:63" s="44" customFormat="1" ht="12" customHeight="1" x14ac:dyDescent="0.15">
      <c r="A1032" s="8" t="s">
        <v>25284</v>
      </c>
      <c r="B1032" s="68">
        <v>53</v>
      </c>
      <c r="C1032" s="8" t="s">
        <v>20</v>
      </c>
      <c r="D1032" s="8" t="s">
        <v>37</v>
      </c>
      <c r="E1032" s="14" t="s">
        <v>25285</v>
      </c>
      <c r="F1032" s="69">
        <v>42606</v>
      </c>
      <c r="G1032" s="8" t="s">
        <v>25286</v>
      </c>
      <c r="H1032" s="8" t="s">
        <v>289</v>
      </c>
      <c r="I1032" s="8" t="s">
        <v>319</v>
      </c>
      <c r="J1032" s="8">
        <v>37160</v>
      </c>
      <c r="K1032" s="8" t="s">
        <v>5288</v>
      </c>
      <c r="L1032" s="8" t="s">
        <v>25287</v>
      </c>
      <c r="M1032" s="8" t="s">
        <v>27</v>
      </c>
      <c r="N1032" s="8" t="s">
        <v>25288</v>
      </c>
      <c r="O1032" s="8" t="s">
        <v>400</v>
      </c>
      <c r="P1032" s="8" t="s">
        <v>401</v>
      </c>
      <c r="Q1032" s="14" t="s">
        <v>25289</v>
      </c>
      <c r="R1032" s="8" t="s">
        <v>100</v>
      </c>
      <c r="S1032" s="8" t="s">
        <v>28</v>
      </c>
      <c r="T1032" s="68" t="s">
        <v>27756</v>
      </c>
      <c r="U1032" s="68" t="s">
        <v>29438</v>
      </c>
      <c r="V1032" s="68" t="s">
        <v>29439</v>
      </c>
      <c r="W1032" s="68" t="s">
        <v>100</v>
      </c>
      <c r="X1032" s="68">
        <v>1814</v>
      </c>
      <c r="AW1032" s="1"/>
      <c r="AX1032" s="1"/>
      <c r="AY1032" s="1"/>
      <c r="BA1032" s="11"/>
      <c r="BB1032" s="11"/>
      <c r="BC1032" s="1"/>
      <c r="BD1032" s="1"/>
      <c r="BE1032" s="1"/>
      <c r="BF1032" s="1"/>
      <c r="BG1032" s="1"/>
      <c r="BH1032" s="1"/>
      <c r="BI1032" s="1"/>
      <c r="BJ1032" s="1"/>
    </row>
    <row r="1033" spans="1:63" s="44" customFormat="1" ht="12" customHeight="1" x14ac:dyDescent="0.15">
      <c r="A1033" s="8" t="s">
        <v>25276</v>
      </c>
      <c r="B1033" s="68">
        <v>43</v>
      </c>
      <c r="C1033" s="8" t="s">
        <v>20</v>
      </c>
      <c r="D1033" s="11" t="s">
        <v>37</v>
      </c>
      <c r="E1033" s="8"/>
      <c r="F1033" s="69">
        <v>42606</v>
      </c>
      <c r="G1033" s="8" t="s">
        <v>25277</v>
      </c>
      <c r="H1033" s="8" t="s">
        <v>1060</v>
      </c>
      <c r="I1033" s="8" t="s">
        <v>62</v>
      </c>
      <c r="J1033" s="8">
        <v>32828</v>
      </c>
      <c r="K1033" s="8" t="s">
        <v>1061</v>
      </c>
      <c r="L1033" s="8" t="s">
        <v>4424</v>
      </c>
      <c r="M1033" s="8" t="s">
        <v>27</v>
      </c>
      <c r="N1033" s="8" t="s">
        <v>25278</v>
      </c>
      <c r="O1033" s="8" t="s">
        <v>400</v>
      </c>
      <c r="P1033" s="8" t="s">
        <v>401</v>
      </c>
      <c r="Q1033" s="14" t="s">
        <v>25279</v>
      </c>
      <c r="R1033" s="8" t="s">
        <v>555</v>
      </c>
      <c r="S1033" s="8" t="s">
        <v>28</v>
      </c>
      <c r="T1033" s="68" t="s">
        <v>27756</v>
      </c>
      <c r="U1033" s="68" t="s">
        <v>29436</v>
      </c>
      <c r="V1033" s="68" t="s">
        <v>29439</v>
      </c>
      <c r="W1033" s="68" t="s">
        <v>100</v>
      </c>
      <c r="X1033" s="68">
        <v>1813</v>
      </c>
      <c r="AU1033" s="11"/>
      <c r="AV1033" s="11"/>
      <c r="AW1033" s="1"/>
      <c r="AX1033" s="1"/>
      <c r="AY1033" s="1"/>
      <c r="BA1033" s="11"/>
      <c r="BB1033" s="11"/>
      <c r="BC1033" s="1"/>
      <c r="BD1033" s="1"/>
      <c r="BE1033" s="1"/>
      <c r="BF1033" s="1"/>
      <c r="BG1033" s="1"/>
      <c r="BH1033" s="1"/>
      <c r="BI1033" s="1"/>
      <c r="BJ1033" s="1"/>
    </row>
    <row r="1034" spans="1:63" s="44" customFormat="1" ht="12" customHeight="1" x14ac:dyDescent="0.15">
      <c r="A1034" s="8" t="s">
        <v>25290</v>
      </c>
      <c r="B1034" s="68">
        <v>49</v>
      </c>
      <c r="C1034" s="8" t="s">
        <v>20</v>
      </c>
      <c r="D1034" s="8" t="s">
        <v>37</v>
      </c>
      <c r="E1034" s="14" t="s">
        <v>25291</v>
      </c>
      <c r="F1034" s="69">
        <v>42605</v>
      </c>
      <c r="G1034" s="8" t="s">
        <v>25292</v>
      </c>
      <c r="H1034" s="8" t="s">
        <v>25293</v>
      </c>
      <c r="I1034" s="8" t="s">
        <v>73</v>
      </c>
      <c r="J1034" s="8">
        <v>76253</v>
      </c>
      <c r="K1034" s="8" t="s">
        <v>25294</v>
      </c>
      <c r="L1034" s="8" t="s">
        <v>25295</v>
      </c>
      <c r="M1034" s="8" t="s">
        <v>27</v>
      </c>
      <c r="N1034" s="8" t="s">
        <v>25296</v>
      </c>
      <c r="O1034" s="8" t="s">
        <v>400</v>
      </c>
      <c r="P1034" s="8" t="s">
        <v>401</v>
      </c>
      <c r="Q1034" s="14" t="s">
        <v>25297</v>
      </c>
      <c r="R1034" s="8" t="s">
        <v>100</v>
      </c>
      <c r="S1034" s="2" t="s">
        <v>28</v>
      </c>
      <c r="T1034" s="68" t="s">
        <v>27756</v>
      </c>
      <c r="U1034" s="68" t="s">
        <v>29436</v>
      </c>
      <c r="V1034" s="68" t="s">
        <v>29437</v>
      </c>
      <c r="W1034" s="68" t="s">
        <v>100</v>
      </c>
      <c r="X1034" s="68">
        <v>1812</v>
      </c>
      <c r="AW1034" s="1"/>
      <c r="AX1034" s="1"/>
      <c r="AY1034" s="1"/>
      <c r="BA1034" s="11"/>
      <c r="BB1034" s="11"/>
      <c r="BC1034" s="1"/>
      <c r="BD1034" s="1"/>
      <c r="BE1034" s="1"/>
      <c r="BF1034" s="1"/>
      <c r="BG1034" s="1"/>
      <c r="BH1034" s="1"/>
      <c r="BI1034" s="1"/>
      <c r="BJ1034" s="1"/>
    </row>
    <row r="1035" spans="1:63" s="44" customFormat="1" ht="12" customHeight="1" x14ac:dyDescent="0.15">
      <c r="A1035" s="8" t="s">
        <v>25298</v>
      </c>
      <c r="B1035" s="68">
        <v>34</v>
      </c>
      <c r="C1035" s="8" t="s">
        <v>20</v>
      </c>
      <c r="D1035" s="8" t="s">
        <v>85</v>
      </c>
      <c r="E1035" s="14" t="s">
        <v>25299</v>
      </c>
      <c r="F1035" s="69">
        <v>42604</v>
      </c>
      <c r="G1035" s="8" t="s">
        <v>25300</v>
      </c>
      <c r="H1035" s="8" t="s">
        <v>548</v>
      </c>
      <c r="I1035" s="8" t="s">
        <v>69</v>
      </c>
      <c r="J1035" s="8">
        <v>45011</v>
      </c>
      <c r="K1035" s="8" t="s">
        <v>5515</v>
      </c>
      <c r="L1035" s="8" t="s">
        <v>2903</v>
      </c>
      <c r="M1035" s="8" t="s">
        <v>27</v>
      </c>
      <c r="N1035" s="8" t="s">
        <v>25301</v>
      </c>
      <c r="O1035" s="8" t="s">
        <v>400</v>
      </c>
      <c r="P1035" s="8" t="s">
        <v>401</v>
      </c>
      <c r="Q1035" s="14" t="s">
        <v>25302</v>
      </c>
      <c r="R1035" s="16" t="s">
        <v>100</v>
      </c>
      <c r="S1035" s="8" t="s">
        <v>28</v>
      </c>
      <c r="T1035" s="68" t="s">
        <v>29493</v>
      </c>
      <c r="U1035" s="68" t="s">
        <v>29438</v>
      </c>
      <c r="V1035" s="68" t="s">
        <v>29439</v>
      </c>
      <c r="W1035" s="68" t="s">
        <v>100</v>
      </c>
      <c r="X1035" s="68">
        <v>1802</v>
      </c>
      <c r="AW1035" s="11"/>
      <c r="AX1035" s="11"/>
      <c r="AY1035" s="11"/>
      <c r="BA1035" s="11"/>
      <c r="BB1035" s="11"/>
    </row>
    <row r="1036" spans="1:63" s="44" customFormat="1" ht="12" customHeight="1" x14ac:dyDescent="0.15">
      <c r="A1036" s="8" t="s">
        <v>25303</v>
      </c>
      <c r="B1036" s="8">
        <v>37</v>
      </c>
      <c r="C1036" s="8" t="s">
        <v>20</v>
      </c>
      <c r="D1036" s="11" t="s">
        <v>85</v>
      </c>
      <c r="E1036" s="8" t="s">
        <v>27745</v>
      </c>
      <c r="F1036" s="72">
        <v>42603</v>
      </c>
      <c r="G1036" s="8" t="s">
        <v>25304</v>
      </c>
      <c r="H1036" s="8" t="s">
        <v>1039</v>
      </c>
      <c r="I1036" s="8" t="s">
        <v>25</v>
      </c>
      <c r="J1036" s="8">
        <v>70119</v>
      </c>
      <c r="K1036" s="8" t="s">
        <v>2579</v>
      </c>
      <c r="L1036" s="8" t="s">
        <v>1041</v>
      </c>
      <c r="M1036" s="8" t="s">
        <v>27</v>
      </c>
      <c r="N1036" s="8" t="s">
        <v>25305</v>
      </c>
      <c r="O1036" s="8" t="s">
        <v>400</v>
      </c>
      <c r="P1036" s="8" t="s">
        <v>401</v>
      </c>
      <c r="Q1036" s="14" t="s">
        <v>25306</v>
      </c>
      <c r="R1036" s="16" t="s">
        <v>100</v>
      </c>
      <c r="S1036" s="8" t="s">
        <v>28</v>
      </c>
      <c r="T1036" s="68"/>
      <c r="U1036" s="68"/>
      <c r="V1036" s="68"/>
      <c r="W1036" s="68"/>
      <c r="X1036" s="68"/>
      <c r="AW1036" s="1"/>
      <c r="AZ1036" s="1"/>
      <c r="BA1036" s="1"/>
      <c r="BB1036" s="1"/>
    </row>
    <row r="1037" spans="1:63" s="44" customFormat="1" ht="12" customHeight="1" x14ac:dyDescent="0.15">
      <c r="A1037" s="8" t="s">
        <v>25310</v>
      </c>
      <c r="B1037" s="8">
        <v>25</v>
      </c>
      <c r="C1037" s="8" t="s">
        <v>20</v>
      </c>
      <c r="D1037" s="8" t="s">
        <v>85</v>
      </c>
      <c r="E1037" s="14" t="s">
        <v>25311</v>
      </c>
      <c r="F1037" s="72">
        <v>42603</v>
      </c>
      <c r="G1037" s="8" t="s">
        <v>25312</v>
      </c>
      <c r="H1037" s="8" t="s">
        <v>25313</v>
      </c>
      <c r="I1037" s="8" t="s">
        <v>244</v>
      </c>
      <c r="J1037" s="8">
        <v>23841</v>
      </c>
      <c r="K1037" s="8" t="s">
        <v>25313</v>
      </c>
      <c r="L1037" s="8" t="s">
        <v>25314</v>
      </c>
      <c r="M1037" s="8" t="s">
        <v>27</v>
      </c>
      <c r="N1037" s="8" t="s">
        <v>25315</v>
      </c>
      <c r="O1037" s="8" t="s">
        <v>24697</v>
      </c>
      <c r="P1037" s="8" t="s">
        <v>1159</v>
      </c>
      <c r="Q1037" s="14" t="s">
        <v>25316</v>
      </c>
      <c r="R1037" s="16" t="s">
        <v>100</v>
      </c>
      <c r="S1037" s="8" t="s">
        <v>35</v>
      </c>
      <c r="T1037" s="68"/>
      <c r="U1037" s="68"/>
      <c r="V1037" s="68"/>
      <c r="W1037" s="68"/>
      <c r="X1037" s="68"/>
      <c r="AW1037" s="1"/>
      <c r="AZ1037" s="1"/>
      <c r="BA1037" s="1"/>
      <c r="BB1037" s="1"/>
      <c r="BK1037" s="1"/>
    </row>
    <row r="1038" spans="1:63" s="44" customFormat="1" ht="12" customHeight="1" x14ac:dyDescent="0.15">
      <c r="A1038" s="8" t="s">
        <v>25307</v>
      </c>
      <c r="B1038" s="68">
        <v>36</v>
      </c>
      <c r="C1038" s="8" t="s">
        <v>20</v>
      </c>
      <c r="D1038" s="8" t="s">
        <v>48</v>
      </c>
      <c r="E1038" s="8"/>
      <c r="F1038" s="69">
        <v>42603</v>
      </c>
      <c r="G1038" s="8" t="s">
        <v>29544</v>
      </c>
      <c r="H1038" s="8" t="s">
        <v>971</v>
      </c>
      <c r="I1038" s="8" t="s">
        <v>195</v>
      </c>
      <c r="J1038" s="8">
        <v>88001</v>
      </c>
      <c r="K1038" s="8" t="s">
        <v>972</v>
      </c>
      <c r="L1038" s="8" t="s">
        <v>7134</v>
      </c>
      <c r="M1038" s="8" t="s">
        <v>27</v>
      </c>
      <c r="N1038" s="8" t="s">
        <v>25308</v>
      </c>
      <c r="O1038" s="8" t="s">
        <v>400</v>
      </c>
      <c r="P1038" s="8" t="s">
        <v>401</v>
      </c>
      <c r="Q1038" s="14" t="s">
        <v>25309</v>
      </c>
      <c r="R1038" s="16" t="s">
        <v>29</v>
      </c>
      <c r="S1038" s="8" t="s">
        <v>28</v>
      </c>
      <c r="T1038" s="68" t="s">
        <v>29493</v>
      </c>
      <c r="U1038" s="68" t="s">
        <v>29436</v>
      </c>
      <c r="V1038" s="68" t="s">
        <v>29439</v>
      </c>
      <c r="W1038" s="68" t="s">
        <v>555</v>
      </c>
      <c r="X1038" s="68">
        <v>1804</v>
      </c>
      <c r="AW1038" s="11"/>
      <c r="AX1038" s="1"/>
      <c r="AY1038" s="1"/>
      <c r="BA1038" s="1"/>
      <c r="BB1038" s="1"/>
      <c r="BC1038" s="1"/>
      <c r="BD1038" s="1"/>
      <c r="BE1038" s="1"/>
      <c r="BF1038" s="1"/>
      <c r="BG1038" s="1"/>
      <c r="BH1038" s="1"/>
      <c r="BI1038" s="1"/>
      <c r="BJ1038" s="1"/>
    </row>
    <row r="1039" spans="1:63" s="44" customFormat="1" ht="12" customHeight="1" x14ac:dyDescent="0.15">
      <c r="A1039" s="8" t="s">
        <v>25317</v>
      </c>
      <c r="B1039" s="68">
        <v>71</v>
      </c>
      <c r="C1039" s="8" t="s">
        <v>20</v>
      </c>
      <c r="D1039" s="8" t="s">
        <v>48</v>
      </c>
      <c r="E1039" s="8"/>
      <c r="F1039" s="69">
        <v>42602</v>
      </c>
      <c r="G1039" s="8" t="s">
        <v>25318</v>
      </c>
      <c r="H1039" s="8" t="s">
        <v>6305</v>
      </c>
      <c r="I1039" s="8" t="s">
        <v>45</v>
      </c>
      <c r="J1039" s="8">
        <v>92201</v>
      </c>
      <c r="K1039" s="8" t="s">
        <v>783</v>
      </c>
      <c r="L1039" s="8" t="s">
        <v>6307</v>
      </c>
      <c r="M1039" s="8" t="s">
        <v>27</v>
      </c>
      <c r="N1039" s="8" t="s">
        <v>25319</v>
      </c>
      <c r="O1039" s="8" t="s">
        <v>400</v>
      </c>
      <c r="P1039" s="8" t="s">
        <v>401</v>
      </c>
      <c r="Q1039" s="14" t="s">
        <v>25320</v>
      </c>
      <c r="R1039" s="16" t="s">
        <v>29</v>
      </c>
      <c r="S1039" s="8" t="s">
        <v>28</v>
      </c>
      <c r="T1039" s="68" t="s">
        <v>29493</v>
      </c>
      <c r="U1039" s="68" t="s">
        <v>29436</v>
      </c>
      <c r="V1039" s="68" t="s">
        <v>29439</v>
      </c>
      <c r="W1039" s="68" t="s">
        <v>555</v>
      </c>
      <c r="X1039" s="68">
        <v>1803</v>
      </c>
      <c r="AW1039" s="1"/>
      <c r="AX1039" s="1"/>
      <c r="AY1039" s="1"/>
      <c r="BA1039" s="1"/>
      <c r="BB1039" s="1"/>
      <c r="BC1039" s="1"/>
      <c r="BD1039" s="1"/>
      <c r="BE1039" s="1"/>
      <c r="BF1039" s="1"/>
      <c r="BG1039" s="1"/>
      <c r="BH1039" s="1"/>
      <c r="BI1039" s="1"/>
      <c r="BJ1039" s="1"/>
    </row>
    <row r="1040" spans="1:63" s="44" customFormat="1" ht="12" customHeight="1" x14ac:dyDescent="0.15">
      <c r="A1040" s="8" t="s">
        <v>25321</v>
      </c>
      <c r="B1040" s="68">
        <v>54</v>
      </c>
      <c r="C1040" s="8" t="s">
        <v>20</v>
      </c>
      <c r="D1040" s="11" t="s">
        <v>37</v>
      </c>
      <c r="E1040" s="8"/>
      <c r="F1040" s="69">
        <v>42601</v>
      </c>
      <c r="G1040" s="8" t="s">
        <v>25322</v>
      </c>
      <c r="H1040" s="8" t="s">
        <v>1214</v>
      </c>
      <c r="I1040" s="8" t="s">
        <v>319</v>
      </c>
      <c r="J1040" s="8">
        <v>37412</v>
      </c>
      <c r="K1040" s="8" t="s">
        <v>548</v>
      </c>
      <c r="L1040" s="8" t="s">
        <v>25323</v>
      </c>
      <c r="M1040" s="8" t="s">
        <v>27</v>
      </c>
      <c r="N1040" s="8" t="s">
        <v>25324</v>
      </c>
      <c r="O1040" s="8" t="s">
        <v>400</v>
      </c>
      <c r="P1040" s="8" t="s">
        <v>401</v>
      </c>
      <c r="Q1040" s="14" t="s">
        <v>25325</v>
      </c>
      <c r="R1040" s="16" t="s">
        <v>100</v>
      </c>
      <c r="S1040" s="8" t="s">
        <v>28</v>
      </c>
      <c r="T1040" s="68" t="s">
        <v>29493</v>
      </c>
      <c r="U1040" s="68" t="s">
        <v>29436</v>
      </c>
      <c r="V1040" s="68" t="s">
        <v>29439</v>
      </c>
      <c r="W1040" s="68" t="s">
        <v>100</v>
      </c>
      <c r="X1040" s="68">
        <v>1810</v>
      </c>
      <c r="AW1040" s="1"/>
      <c r="AX1040" s="1"/>
      <c r="AY1040" s="1"/>
      <c r="BA1040" s="11"/>
      <c r="BB1040" s="11"/>
      <c r="BC1040" s="1"/>
      <c r="BD1040" s="1"/>
      <c r="BE1040" s="1"/>
      <c r="BF1040" s="1"/>
      <c r="BG1040" s="1"/>
      <c r="BH1040" s="1"/>
      <c r="BI1040" s="1"/>
      <c r="BJ1040" s="1"/>
    </row>
    <row r="1041" spans="1:63" s="11" customFormat="1" ht="12" customHeight="1" x14ac:dyDescent="0.15">
      <c r="A1041" s="8" t="s">
        <v>25326</v>
      </c>
      <c r="B1041" s="68">
        <v>22</v>
      </c>
      <c r="C1041" s="8" t="s">
        <v>20</v>
      </c>
      <c r="D1041" s="8" t="s">
        <v>48</v>
      </c>
      <c r="E1041" s="8"/>
      <c r="F1041" s="69">
        <v>42601</v>
      </c>
      <c r="G1041" s="8" t="s">
        <v>25327</v>
      </c>
      <c r="H1041" s="8" t="s">
        <v>632</v>
      </c>
      <c r="I1041" s="8" t="s">
        <v>123</v>
      </c>
      <c r="J1041" s="8">
        <v>85006</v>
      </c>
      <c r="K1041" s="8" t="s">
        <v>633</v>
      </c>
      <c r="L1041" s="8" t="s">
        <v>634</v>
      </c>
      <c r="M1041" s="8" t="s">
        <v>27</v>
      </c>
      <c r="N1041" s="8" t="s">
        <v>25328</v>
      </c>
      <c r="O1041" s="8" t="s">
        <v>400</v>
      </c>
      <c r="P1041" s="8" t="s">
        <v>401</v>
      </c>
      <c r="Q1041" s="14" t="s">
        <v>25329</v>
      </c>
      <c r="R1041" s="16" t="s">
        <v>100</v>
      </c>
      <c r="S1041" s="2" t="s">
        <v>18</v>
      </c>
      <c r="T1041" s="68" t="s">
        <v>28345</v>
      </c>
      <c r="U1041" s="68" t="s">
        <v>29438</v>
      </c>
      <c r="V1041" s="68" t="s">
        <v>29439</v>
      </c>
      <c r="W1041" s="68" t="s">
        <v>100</v>
      </c>
      <c r="X1041" s="68">
        <v>1800</v>
      </c>
      <c r="Y1041" s="44"/>
      <c r="Z1041" s="44"/>
      <c r="AA1041" s="44"/>
      <c r="AB1041" s="44"/>
      <c r="AC1041" s="44"/>
      <c r="AD1041" s="44"/>
      <c r="AE1041" s="44"/>
      <c r="AF1041" s="44"/>
      <c r="AG1041" s="44"/>
      <c r="AH1041" s="44"/>
      <c r="AI1041" s="44"/>
      <c r="AJ1041" s="44"/>
      <c r="AK1041" s="44"/>
      <c r="AL1041" s="44"/>
      <c r="AM1041" s="44"/>
      <c r="AN1041" s="44"/>
      <c r="AO1041" s="44"/>
      <c r="AP1041" s="44"/>
      <c r="AQ1041" s="44"/>
      <c r="AR1041" s="44"/>
      <c r="AS1041" s="44"/>
      <c r="AT1041" s="44"/>
      <c r="AU1041" s="44"/>
      <c r="AV1041" s="44"/>
      <c r="AW1041" s="44"/>
      <c r="AX1041" s="1"/>
      <c r="AY1041" s="1"/>
      <c r="AZ1041" s="44"/>
      <c r="BC1041" s="1"/>
      <c r="BD1041" s="1"/>
      <c r="BE1041" s="1"/>
      <c r="BF1041" s="1"/>
      <c r="BG1041" s="1"/>
      <c r="BH1041" s="1"/>
      <c r="BI1041" s="1"/>
      <c r="BJ1041" s="1"/>
      <c r="BK1041" s="1"/>
    </row>
    <row r="1042" spans="1:63" s="44" customFormat="1" ht="12" customHeight="1" x14ac:dyDescent="0.15">
      <c r="A1042" s="8" t="s">
        <v>25340</v>
      </c>
      <c r="B1042" s="68">
        <v>29</v>
      </c>
      <c r="C1042" s="8" t="s">
        <v>20</v>
      </c>
      <c r="D1042" s="8" t="s">
        <v>37</v>
      </c>
      <c r="E1042" s="8"/>
      <c r="F1042" s="69">
        <v>42601</v>
      </c>
      <c r="G1042" s="8" t="s">
        <v>25341</v>
      </c>
      <c r="H1042" s="8" t="s">
        <v>1611</v>
      </c>
      <c r="I1042" s="8" t="s">
        <v>269</v>
      </c>
      <c r="J1042" s="8">
        <v>89506</v>
      </c>
      <c r="K1042" s="8" t="s">
        <v>6245</v>
      </c>
      <c r="L1042" s="8" t="s">
        <v>16209</v>
      </c>
      <c r="M1042" s="8" t="s">
        <v>27</v>
      </c>
      <c r="N1042" s="8" t="s">
        <v>25342</v>
      </c>
      <c r="O1042" s="8" t="s">
        <v>400</v>
      </c>
      <c r="P1042" s="8" t="s">
        <v>401</v>
      </c>
      <c r="Q1042" s="14" t="s">
        <v>25343</v>
      </c>
      <c r="R1042" s="16" t="s">
        <v>100</v>
      </c>
      <c r="S1042" s="8" t="s">
        <v>35</v>
      </c>
      <c r="T1042" s="66" t="s">
        <v>29441</v>
      </c>
      <c r="U1042" s="68" t="s">
        <v>29441</v>
      </c>
      <c r="V1042" s="68" t="s">
        <v>29437</v>
      </c>
      <c r="W1042" s="68" t="s">
        <v>100</v>
      </c>
      <c r="X1042" s="68">
        <v>1808</v>
      </c>
      <c r="AX1042" s="1"/>
      <c r="AY1042" s="1"/>
      <c r="BA1042" s="11"/>
      <c r="BB1042" s="11"/>
      <c r="BC1042" s="1"/>
      <c r="BD1042" s="1"/>
      <c r="BE1042" s="1"/>
      <c r="BF1042" s="1"/>
      <c r="BG1042" s="1"/>
      <c r="BH1042" s="1"/>
      <c r="BI1042" s="1"/>
      <c r="BJ1042" s="1"/>
      <c r="BK1042" s="1"/>
    </row>
    <row r="1043" spans="1:63" s="44" customFormat="1" ht="12" customHeight="1" x14ac:dyDescent="0.15">
      <c r="A1043" s="8" t="s">
        <v>25335</v>
      </c>
      <c r="B1043" s="68">
        <v>47</v>
      </c>
      <c r="C1043" s="8" t="s">
        <v>20</v>
      </c>
      <c r="D1043" s="8" t="s">
        <v>48</v>
      </c>
      <c r="E1043" s="14" t="s">
        <v>25336</v>
      </c>
      <c r="F1043" s="69">
        <v>42601</v>
      </c>
      <c r="G1043" s="8" t="s">
        <v>25337</v>
      </c>
      <c r="H1043" s="8" t="s">
        <v>98</v>
      </c>
      <c r="I1043" s="8" t="s">
        <v>45</v>
      </c>
      <c r="J1043" s="8">
        <v>90027</v>
      </c>
      <c r="K1043" s="8" t="s">
        <v>98</v>
      </c>
      <c r="L1043" s="8" t="s">
        <v>99</v>
      </c>
      <c r="M1043" s="8" t="s">
        <v>27</v>
      </c>
      <c r="N1043" s="8" t="s">
        <v>25338</v>
      </c>
      <c r="O1043" s="8" t="s">
        <v>400</v>
      </c>
      <c r="P1043" s="8" t="s">
        <v>401</v>
      </c>
      <c r="Q1043" s="14" t="s">
        <v>25339</v>
      </c>
      <c r="R1043" s="16" t="s">
        <v>555</v>
      </c>
      <c r="S1043" s="8" t="s">
        <v>28</v>
      </c>
      <c r="T1043" s="68" t="s">
        <v>29466</v>
      </c>
      <c r="U1043" s="68" t="s">
        <v>29441</v>
      </c>
      <c r="V1043" s="68" t="s">
        <v>29439</v>
      </c>
      <c r="W1043" s="68" t="s">
        <v>100</v>
      </c>
      <c r="X1043" s="68">
        <v>1799</v>
      </c>
      <c r="AW1043" s="1"/>
      <c r="AX1043" s="1"/>
      <c r="AY1043" s="1"/>
      <c r="BA1043" s="11"/>
      <c r="BB1043" s="11"/>
      <c r="BC1043" s="1"/>
      <c r="BD1043" s="1"/>
      <c r="BE1043" s="1"/>
      <c r="BF1043" s="1"/>
      <c r="BG1043" s="1"/>
      <c r="BH1043" s="1"/>
      <c r="BI1043" s="1"/>
      <c r="BJ1043" s="1"/>
    </row>
    <row r="1044" spans="1:63" s="44" customFormat="1" ht="12" customHeight="1" x14ac:dyDescent="0.2">
      <c r="A1044" s="8" t="s">
        <v>25330</v>
      </c>
      <c r="B1044" s="68">
        <v>31</v>
      </c>
      <c r="C1044" s="8" t="s">
        <v>20</v>
      </c>
      <c r="D1044" s="11" t="s">
        <v>37</v>
      </c>
      <c r="E1044" s="8"/>
      <c r="F1044" s="69">
        <v>42601</v>
      </c>
      <c r="G1044" s="8" t="s">
        <v>25331</v>
      </c>
      <c r="H1044" s="8" t="s">
        <v>6851</v>
      </c>
      <c r="I1044" s="8" t="s">
        <v>438</v>
      </c>
      <c r="J1044" s="8">
        <v>54961</v>
      </c>
      <c r="K1044" s="8" t="s">
        <v>25332</v>
      </c>
      <c r="L1044" s="8" t="s">
        <v>6853</v>
      </c>
      <c r="M1044" s="8" t="s">
        <v>27</v>
      </c>
      <c r="N1044" s="8" t="s">
        <v>25333</v>
      </c>
      <c r="O1044" s="8" t="s">
        <v>400</v>
      </c>
      <c r="P1044" s="8" t="s">
        <v>401</v>
      </c>
      <c r="Q1044" s="14" t="s">
        <v>25334</v>
      </c>
      <c r="R1044" s="68" t="s">
        <v>555</v>
      </c>
      <c r="S1044" s="8" t="s">
        <v>18</v>
      </c>
      <c r="T1044" s="68" t="s">
        <v>29612</v>
      </c>
      <c r="U1044" s="68" t="s">
        <v>29438</v>
      </c>
      <c r="V1044" s="68" t="s">
        <v>29439</v>
      </c>
      <c r="W1044" s="68" t="s">
        <v>555</v>
      </c>
      <c r="X1044" s="68">
        <v>1806</v>
      </c>
      <c r="AW1044" s="11"/>
      <c r="AX1044" s="1"/>
      <c r="AY1044" s="1"/>
      <c r="BA1044" s="70"/>
      <c r="BC1044" s="1"/>
      <c r="BD1044" s="1"/>
      <c r="BE1044" s="1"/>
      <c r="BF1044" s="1"/>
      <c r="BG1044" s="1"/>
      <c r="BH1044" s="1"/>
      <c r="BI1044" s="1"/>
      <c r="BJ1044" s="1"/>
      <c r="BK1044" s="1"/>
    </row>
    <row r="1045" spans="1:63" s="44" customFormat="1" ht="12" customHeight="1" x14ac:dyDescent="0.15">
      <c r="A1045" s="8" t="s">
        <v>25348</v>
      </c>
      <c r="B1045" s="68">
        <v>29</v>
      </c>
      <c r="C1045" s="8" t="s">
        <v>20</v>
      </c>
      <c r="D1045" s="11" t="s">
        <v>37</v>
      </c>
      <c r="E1045" s="8"/>
      <c r="F1045" s="69">
        <v>42600</v>
      </c>
      <c r="G1045" s="8" t="s">
        <v>25349</v>
      </c>
      <c r="H1045" s="8" t="s">
        <v>2314</v>
      </c>
      <c r="I1045" s="8" t="s">
        <v>195</v>
      </c>
      <c r="J1045" s="8">
        <v>88345</v>
      </c>
      <c r="K1045" s="8" t="s">
        <v>2316</v>
      </c>
      <c r="L1045" s="8" t="s">
        <v>2317</v>
      </c>
      <c r="M1045" s="8" t="s">
        <v>27</v>
      </c>
      <c r="N1045" s="8" t="s">
        <v>25350</v>
      </c>
      <c r="O1045" s="8" t="s">
        <v>400</v>
      </c>
      <c r="P1045" s="8" t="s">
        <v>401</v>
      </c>
      <c r="Q1045" s="14" t="s">
        <v>25351</v>
      </c>
      <c r="R1045" s="11" t="s">
        <v>964</v>
      </c>
      <c r="S1045" s="8" t="s">
        <v>28</v>
      </c>
      <c r="T1045" s="68" t="s">
        <v>27756</v>
      </c>
      <c r="U1045" s="68" t="s">
        <v>29436</v>
      </c>
      <c r="V1045" s="68" t="s">
        <v>29439</v>
      </c>
      <c r="W1045" s="68" t="s">
        <v>100</v>
      </c>
      <c r="X1045" s="68">
        <v>1807</v>
      </c>
      <c r="AX1045" s="1"/>
      <c r="AY1045" s="1"/>
      <c r="BC1045" s="1"/>
      <c r="BD1045" s="1"/>
      <c r="BE1045" s="1"/>
      <c r="BF1045" s="1"/>
      <c r="BG1045" s="1"/>
      <c r="BH1045" s="1"/>
      <c r="BI1045" s="1"/>
      <c r="BJ1045" s="1"/>
    </row>
    <row r="1046" spans="1:63" s="44" customFormat="1" ht="12" customHeight="1" x14ac:dyDescent="0.15">
      <c r="A1046" s="8" t="s">
        <v>25344</v>
      </c>
      <c r="B1046" s="68">
        <v>37</v>
      </c>
      <c r="C1046" s="8" t="s">
        <v>20</v>
      </c>
      <c r="D1046" s="8" t="s">
        <v>48</v>
      </c>
      <c r="E1046" s="14" t="s">
        <v>25345</v>
      </c>
      <c r="F1046" s="69">
        <v>42600</v>
      </c>
      <c r="G1046" s="8" t="s">
        <v>29545</v>
      </c>
      <c r="H1046" s="8" t="s">
        <v>679</v>
      </c>
      <c r="I1046" s="8" t="s">
        <v>45</v>
      </c>
      <c r="J1046" s="8">
        <v>93307</v>
      </c>
      <c r="K1046" s="8" t="s">
        <v>680</v>
      </c>
      <c r="L1046" s="8" t="s">
        <v>681</v>
      </c>
      <c r="M1046" s="8" t="s">
        <v>27</v>
      </c>
      <c r="N1046" s="8" t="s">
        <v>25346</v>
      </c>
      <c r="O1046" s="8" t="s">
        <v>400</v>
      </c>
      <c r="P1046" s="8" t="s">
        <v>401</v>
      </c>
      <c r="Q1046" s="14" t="s">
        <v>25347</v>
      </c>
      <c r="R1046" s="16" t="s">
        <v>100</v>
      </c>
      <c r="S1046" s="8" t="s">
        <v>28</v>
      </c>
      <c r="T1046" s="68" t="s">
        <v>27756</v>
      </c>
      <c r="U1046" s="68" t="s">
        <v>29438</v>
      </c>
      <c r="V1046" s="68" t="s">
        <v>29437</v>
      </c>
      <c r="W1046" s="68" t="s">
        <v>100</v>
      </c>
      <c r="X1046" s="68">
        <v>1794</v>
      </c>
      <c r="AX1046" s="1"/>
      <c r="AY1046" s="1"/>
      <c r="BA1046" s="11"/>
      <c r="BB1046" s="11"/>
      <c r="BC1046" s="1"/>
      <c r="BD1046" s="1"/>
      <c r="BE1046" s="1"/>
      <c r="BF1046" s="1"/>
      <c r="BG1046" s="1"/>
      <c r="BH1046" s="1"/>
      <c r="BI1046" s="1"/>
      <c r="BJ1046" s="1"/>
    </row>
    <row r="1047" spans="1:63" s="44" customFormat="1" ht="12" customHeight="1" x14ac:dyDescent="0.15">
      <c r="A1047" s="8" t="s">
        <v>25357</v>
      </c>
      <c r="B1047" s="68">
        <v>40</v>
      </c>
      <c r="C1047" s="8" t="s">
        <v>20</v>
      </c>
      <c r="D1047" s="8" t="s">
        <v>37</v>
      </c>
      <c r="E1047" s="8"/>
      <c r="F1047" s="69">
        <v>42600</v>
      </c>
      <c r="G1047" s="8" t="s">
        <v>25358</v>
      </c>
      <c r="H1047" s="8" t="s">
        <v>1640</v>
      </c>
      <c r="I1047" s="8" t="s">
        <v>45</v>
      </c>
      <c r="J1047" s="8">
        <v>95621</v>
      </c>
      <c r="K1047" s="8" t="s">
        <v>1642</v>
      </c>
      <c r="L1047" s="8" t="s">
        <v>11379</v>
      </c>
      <c r="M1047" s="8" t="s">
        <v>27</v>
      </c>
      <c r="N1047" s="8" t="s">
        <v>25359</v>
      </c>
      <c r="O1047" s="8" t="s">
        <v>400</v>
      </c>
      <c r="P1047" s="8" t="s">
        <v>401</v>
      </c>
      <c r="Q1047" s="14" t="s">
        <v>25360</v>
      </c>
      <c r="R1047" s="16" t="s">
        <v>100</v>
      </c>
      <c r="S1047" s="8" t="s">
        <v>28</v>
      </c>
      <c r="T1047" s="68" t="s">
        <v>29493</v>
      </c>
      <c r="U1047" s="68" t="s">
        <v>29436</v>
      </c>
      <c r="V1047" s="68" t="s">
        <v>29439</v>
      </c>
      <c r="W1047" s="68" t="s">
        <v>100</v>
      </c>
      <c r="X1047" s="68">
        <v>1797</v>
      </c>
      <c r="AX1047" s="1"/>
      <c r="AY1047" s="1"/>
      <c r="BA1047" s="11"/>
      <c r="BB1047" s="11"/>
      <c r="BC1047" s="1"/>
      <c r="BD1047" s="1"/>
      <c r="BE1047" s="1"/>
      <c r="BF1047" s="1"/>
      <c r="BG1047" s="1"/>
      <c r="BH1047" s="1"/>
      <c r="BI1047" s="1"/>
      <c r="BJ1047" s="1"/>
    </row>
    <row r="1048" spans="1:63" s="44" customFormat="1" ht="12" customHeight="1" x14ac:dyDescent="0.15">
      <c r="A1048" s="8" t="s">
        <v>25369</v>
      </c>
      <c r="B1048" s="68">
        <v>38</v>
      </c>
      <c r="C1048" s="8" t="s">
        <v>20</v>
      </c>
      <c r="D1048" s="8" t="s">
        <v>37</v>
      </c>
      <c r="E1048" s="14" t="s">
        <v>25370</v>
      </c>
      <c r="F1048" s="69">
        <v>42600</v>
      </c>
      <c r="G1048" s="8" t="s">
        <v>25371</v>
      </c>
      <c r="H1048" s="8" t="s">
        <v>25372</v>
      </c>
      <c r="I1048" s="8" t="s">
        <v>45</v>
      </c>
      <c r="J1048" s="8">
        <v>92064</v>
      </c>
      <c r="K1048" s="8" t="s">
        <v>156</v>
      </c>
      <c r="L1048" s="8" t="s">
        <v>25373</v>
      </c>
      <c r="M1048" s="8" t="s">
        <v>27</v>
      </c>
      <c r="N1048" s="8" t="s">
        <v>25374</v>
      </c>
      <c r="O1048" s="8" t="s">
        <v>400</v>
      </c>
      <c r="P1048" s="8" t="s">
        <v>401</v>
      </c>
      <c r="Q1048" s="14" t="s">
        <v>25375</v>
      </c>
      <c r="R1048" s="16" t="s">
        <v>100</v>
      </c>
      <c r="S1048" s="2" t="s">
        <v>28</v>
      </c>
      <c r="T1048" s="68" t="s">
        <v>27756</v>
      </c>
      <c r="U1048" s="68" t="s">
        <v>29438</v>
      </c>
      <c r="V1048" s="68" t="s">
        <v>29437</v>
      </c>
      <c r="W1048" s="68" t="s">
        <v>100</v>
      </c>
      <c r="X1048" s="68">
        <v>1801</v>
      </c>
      <c r="AX1048" s="1"/>
      <c r="AY1048" s="1"/>
      <c r="BA1048" s="11"/>
      <c r="BB1048" s="11"/>
      <c r="BC1048" s="1"/>
      <c r="BD1048" s="1"/>
      <c r="BE1048" s="1"/>
      <c r="BF1048" s="1"/>
      <c r="BG1048" s="1"/>
      <c r="BH1048" s="1"/>
      <c r="BI1048" s="1"/>
      <c r="BJ1048" s="1"/>
    </row>
    <row r="1049" spans="1:63" s="44" customFormat="1" ht="12" customHeight="1" x14ac:dyDescent="0.15">
      <c r="A1049" s="8" t="s">
        <v>25376</v>
      </c>
      <c r="B1049" s="68">
        <v>29</v>
      </c>
      <c r="C1049" s="8" t="s">
        <v>20</v>
      </c>
      <c r="D1049" s="8" t="s">
        <v>37</v>
      </c>
      <c r="E1049" s="14" t="s">
        <v>25377</v>
      </c>
      <c r="F1049" s="69">
        <v>42600</v>
      </c>
      <c r="G1049" s="8" t="s">
        <v>25378</v>
      </c>
      <c r="H1049" s="8" t="s">
        <v>4191</v>
      </c>
      <c r="I1049" s="8" t="s">
        <v>366</v>
      </c>
      <c r="J1049" s="8">
        <v>28215</v>
      </c>
      <c r="K1049" s="8" t="s">
        <v>4193</v>
      </c>
      <c r="L1049" s="8" t="s">
        <v>16364</v>
      </c>
      <c r="M1049" s="8" t="s">
        <v>27</v>
      </c>
      <c r="N1049" s="8" t="s">
        <v>25379</v>
      </c>
      <c r="O1049" s="8" t="s">
        <v>400</v>
      </c>
      <c r="P1049" s="8" t="s">
        <v>401</v>
      </c>
      <c r="Q1049" s="14" t="s">
        <v>25380</v>
      </c>
      <c r="R1049" s="16" t="s">
        <v>100</v>
      </c>
      <c r="S1049" s="8" t="s">
        <v>18</v>
      </c>
      <c r="T1049" s="68" t="s">
        <v>28345</v>
      </c>
      <c r="U1049" s="68" t="s">
        <v>29436</v>
      </c>
      <c r="V1049" s="68" t="s">
        <v>29437</v>
      </c>
      <c r="W1049" s="68" t="s">
        <v>555</v>
      </c>
      <c r="X1049" s="68">
        <v>1796</v>
      </c>
      <c r="AX1049" s="1"/>
      <c r="AY1049" s="1"/>
      <c r="BA1049" s="11"/>
      <c r="BB1049" s="11"/>
      <c r="BC1049" s="1"/>
      <c r="BD1049" s="1"/>
      <c r="BE1049" s="1"/>
      <c r="BF1049" s="1"/>
      <c r="BG1049" s="1"/>
      <c r="BH1049" s="1"/>
      <c r="BI1049" s="1"/>
      <c r="BJ1049" s="1"/>
      <c r="BK1049" s="1"/>
    </row>
    <row r="1050" spans="1:63" s="44" customFormat="1" ht="12" customHeight="1" x14ac:dyDescent="0.15">
      <c r="A1050" s="8" t="s">
        <v>25381</v>
      </c>
      <c r="B1050" s="68">
        <v>36</v>
      </c>
      <c r="C1050" s="8" t="s">
        <v>20</v>
      </c>
      <c r="D1050" s="8" t="s">
        <v>37</v>
      </c>
      <c r="E1050" s="14" t="s">
        <v>25382</v>
      </c>
      <c r="F1050" s="69">
        <v>42600</v>
      </c>
      <c r="G1050" s="8" t="s">
        <v>29546</v>
      </c>
      <c r="H1050" s="8" t="s">
        <v>12778</v>
      </c>
      <c r="I1050" s="8" t="s">
        <v>363</v>
      </c>
      <c r="J1050" s="8">
        <v>67601</v>
      </c>
      <c r="K1050" s="8" t="s">
        <v>1979</v>
      </c>
      <c r="L1050" s="8" t="s">
        <v>25383</v>
      </c>
      <c r="M1050" s="8" t="s">
        <v>27</v>
      </c>
      <c r="N1050" s="8" t="s">
        <v>25384</v>
      </c>
      <c r="O1050" s="8" t="s">
        <v>400</v>
      </c>
      <c r="P1050" s="8" t="s">
        <v>401</v>
      </c>
      <c r="Q1050" s="14" t="s">
        <v>25385</v>
      </c>
      <c r="R1050" s="16" t="s">
        <v>100</v>
      </c>
      <c r="S1050" s="8" t="s">
        <v>35</v>
      </c>
      <c r="T1050" s="66" t="s">
        <v>29441</v>
      </c>
      <c r="U1050" s="68" t="s">
        <v>29436</v>
      </c>
      <c r="V1050" s="68" t="s">
        <v>29437</v>
      </c>
      <c r="W1050" s="68" t="s">
        <v>100</v>
      </c>
      <c r="X1050" s="68">
        <v>1798</v>
      </c>
      <c r="AW1050" s="11"/>
      <c r="AX1050" s="1"/>
      <c r="AY1050" s="1"/>
      <c r="BA1050" s="11"/>
      <c r="BB1050" s="11"/>
      <c r="BC1050" s="1"/>
      <c r="BD1050" s="1"/>
      <c r="BE1050" s="1"/>
      <c r="BF1050" s="1"/>
      <c r="BG1050" s="1"/>
      <c r="BH1050" s="1"/>
      <c r="BI1050" s="1"/>
      <c r="BJ1050" s="1"/>
      <c r="BK1050" s="1"/>
    </row>
    <row r="1051" spans="1:63" s="44" customFormat="1" ht="12" customHeight="1" x14ac:dyDescent="0.2">
      <c r="A1051" s="8" t="s">
        <v>25352</v>
      </c>
      <c r="B1051" s="68">
        <v>59</v>
      </c>
      <c r="C1051" s="8" t="s">
        <v>20</v>
      </c>
      <c r="D1051" s="8" t="s">
        <v>37</v>
      </c>
      <c r="E1051" s="8"/>
      <c r="F1051" s="69">
        <v>42600</v>
      </c>
      <c r="G1051" s="8" t="s">
        <v>25353</v>
      </c>
      <c r="H1051" s="8" t="s">
        <v>25354</v>
      </c>
      <c r="I1051" s="8" t="s">
        <v>45</v>
      </c>
      <c r="J1051" s="8">
        <v>95519</v>
      </c>
      <c r="K1051" s="8" t="s">
        <v>5410</v>
      </c>
      <c r="L1051" s="8" t="s">
        <v>13482</v>
      </c>
      <c r="M1051" s="8" t="s">
        <v>27</v>
      </c>
      <c r="N1051" s="8" t="s">
        <v>25355</v>
      </c>
      <c r="O1051" s="8" t="s">
        <v>400</v>
      </c>
      <c r="P1051" s="8" t="s">
        <v>401</v>
      </c>
      <c r="Q1051" s="14" t="s">
        <v>25356</v>
      </c>
      <c r="R1051" s="68" t="s">
        <v>555</v>
      </c>
      <c r="S1051" s="8" t="s">
        <v>28</v>
      </c>
      <c r="T1051" s="68" t="s">
        <v>27756</v>
      </c>
      <c r="U1051" s="68" t="s">
        <v>29438</v>
      </c>
      <c r="V1051" s="68" t="s">
        <v>29439</v>
      </c>
      <c r="W1051" s="68" t="s">
        <v>100</v>
      </c>
      <c r="X1051" s="68">
        <v>1831</v>
      </c>
      <c r="AR1051" s="11"/>
      <c r="AS1051" s="11"/>
      <c r="AT1051" s="11"/>
      <c r="AW1051" s="1"/>
      <c r="AX1051" s="1"/>
      <c r="AY1051" s="1"/>
      <c r="BA1051" s="70"/>
      <c r="BC1051" s="1"/>
      <c r="BD1051" s="1"/>
      <c r="BE1051" s="1"/>
      <c r="BF1051" s="1"/>
      <c r="BG1051" s="1"/>
      <c r="BH1051" s="1"/>
      <c r="BI1051" s="1"/>
      <c r="BJ1051" s="1"/>
    </row>
    <row r="1052" spans="1:63" s="44" customFormat="1" ht="12" customHeight="1" x14ac:dyDescent="0.2">
      <c r="A1052" s="8" t="s">
        <v>25361</v>
      </c>
      <c r="B1052" s="8">
        <v>46</v>
      </c>
      <c r="C1052" s="8" t="s">
        <v>20</v>
      </c>
      <c r="D1052" s="8" t="s">
        <v>21</v>
      </c>
      <c r="E1052" s="8"/>
      <c r="F1052" s="72">
        <v>42600</v>
      </c>
      <c r="G1052" s="8" t="s">
        <v>25362</v>
      </c>
      <c r="H1052" s="8" t="s">
        <v>25363</v>
      </c>
      <c r="I1052" s="8" t="s">
        <v>45</v>
      </c>
      <c r="J1052" s="8">
        <v>94904</v>
      </c>
      <c r="K1052" s="8" t="s">
        <v>25364</v>
      </c>
      <c r="L1052" s="8" t="s">
        <v>25365</v>
      </c>
      <c r="M1052" s="8" t="s">
        <v>25366</v>
      </c>
      <c r="N1052" s="8" t="s">
        <v>25367</v>
      </c>
      <c r="O1052" s="8" t="s">
        <v>400</v>
      </c>
      <c r="P1052" s="8" t="s">
        <v>401</v>
      </c>
      <c r="Q1052" s="14" t="s">
        <v>25368</v>
      </c>
      <c r="R1052" s="16" t="s">
        <v>555</v>
      </c>
      <c r="S1052" s="8" t="s">
        <v>18</v>
      </c>
      <c r="T1052" s="8"/>
      <c r="AT1052" s="70"/>
      <c r="AU1052" s="70"/>
      <c r="AV1052" s="1"/>
      <c r="AW1052" s="70"/>
      <c r="AX1052" s="70"/>
      <c r="AY1052" s="1"/>
      <c r="AZ1052" s="1"/>
      <c r="BA1052" s="1"/>
      <c r="BB1052" s="70"/>
      <c r="BC1052" s="70"/>
      <c r="BD1052" s="70"/>
      <c r="BE1052" s="70"/>
      <c r="BF1052" s="70"/>
      <c r="BG1052" s="70"/>
      <c r="BH1052" s="70"/>
      <c r="BI1052" s="70"/>
      <c r="BJ1052" s="1"/>
      <c r="BK1052" s="78"/>
    </row>
    <row r="1053" spans="1:63" s="44" customFormat="1" ht="12" customHeight="1" x14ac:dyDescent="0.15">
      <c r="A1053" s="8" t="s">
        <v>25386</v>
      </c>
      <c r="B1053" s="68">
        <v>27</v>
      </c>
      <c r="C1053" s="8" t="s">
        <v>20</v>
      </c>
      <c r="D1053" s="8" t="s">
        <v>85</v>
      </c>
      <c r="E1053" s="8"/>
      <c r="F1053" s="69">
        <v>42599</v>
      </c>
      <c r="G1053" s="8" t="s">
        <v>25387</v>
      </c>
      <c r="H1053" s="8" t="s">
        <v>16756</v>
      </c>
      <c r="I1053" s="8" t="s">
        <v>303</v>
      </c>
      <c r="J1053" s="8">
        <v>98626</v>
      </c>
      <c r="K1053" s="8" t="s">
        <v>1908</v>
      </c>
      <c r="L1053" s="8" t="s">
        <v>16758</v>
      </c>
      <c r="M1053" s="8" t="s">
        <v>27</v>
      </c>
      <c r="N1053" s="8" t="s">
        <v>29615</v>
      </c>
      <c r="O1053" s="8" t="s">
        <v>400</v>
      </c>
      <c r="P1053" s="8" t="s">
        <v>401</v>
      </c>
      <c r="Q1053" s="14" t="s">
        <v>25388</v>
      </c>
      <c r="R1053" s="16" t="s">
        <v>29</v>
      </c>
      <c r="S1053" s="8" t="s">
        <v>35</v>
      </c>
      <c r="T1053" s="68" t="s">
        <v>29448</v>
      </c>
      <c r="U1053" s="68" t="s">
        <v>29438</v>
      </c>
      <c r="V1053" s="68" t="s">
        <v>29439</v>
      </c>
      <c r="W1053" s="68" t="s">
        <v>100</v>
      </c>
      <c r="X1053" s="68">
        <v>1793</v>
      </c>
      <c r="AX1053" s="11"/>
      <c r="AY1053" s="11"/>
      <c r="BA1053" s="1"/>
      <c r="BB1053" s="1"/>
      <c r="BK1053" s="1"/>
    </row>
    <row r="1054" spans="1:63" s="44" customFormat="1" ht="12" customHeight="1" x14ac:dyDescent="0.2">
      <c r="A1054" s="8" t="s">
        <v>25421</v>
      </c>
      <c r="B1054" s="68">
        <v>18</v>
      </c>
      <c r="C1054" s="8" t="s">
        <v>20</v>
      </c>
      <c r="D1054" s="8" t="s">
        <v>85</v>
      </c>
      <c r="E1054" s="8"/>
      <c r="F1054" s="69">
        <v>42598</v>
      </c>
      <c r="G1054" s="8" t="s">
        <v>29547</v>
      </c>
      <c r="H1054" s="8" t="s">
        <v>98</v>
      </c>
      <c r="I1054" s="8" t="s">
        <v>45</v>
      </c>
      <c r="J1054" s="8">
        <v>90003</v>
      </c>
      <c r="K1054" s="8" t="s">
        <v>98</v>
      </c>
      <c r="L1054" s="8" t="s">
        <v>99</v>
      </c>
      <c r="M1054" s="8" t="s">
        <v>27</v>
      </c>
      <c r="N1054" s="8" t="s">
        <v>25422</v>
      </c>
      <c r="O1054" s="8" t="s">
        <v>400</v>
      </c>
      <c r="P1054" s="8" t="s">
        <v>401</v>
      </c>
      <c r="Q1054" s="14" t="s">
        <v>25423</v>
      </c>
      <c r="R1054" s="16" t="s">
        <v>100</v>
      </c>
      <c r="S1054" s="2" t="s">
        <v>28</v>
      </c>
      <c r="T1054" s="68" t="s">
        <v>27756</v>
      </c>
      <c r="U1054" s="68" t="s">
        <v>29436</v>
      </c>
      <c r="V1054" s="68" t="s">
        <v>29440</v>
      </c>
      <c r="W1054" s="68" t="s">
        <v>100</v>
      </c>
      <c r="X1054" s="68">
        <v>1795</v>
      </c>
      <c r="AW1054" s="70"/>
      <c r="AX1054" s="70"/>
      <c r="AY1054" s="70"/>
      <c r="BA1054" s="11"/>
      <c r="BB1054" s="11"/>
      <c r="BK1054" s="11"/>
    </row>
    <row r="1055" spans="1:63" s="44" customFormat="1" ht="12" customHeight="1" x14ac:dyDescent="0.15">
      <c r="A1055" s="8" t="s">
        <v>25389</v>
      </c>
      <c r="B1055" s="68">
        <v>30</v>
      </c>
      <c r="C1055" s="8" t="s">
        <v>20</v>
      </c>
      <c r="D1055" s="8" t="s">
        <v>85</v>
      </c>
      <c r="E1055" s="14" t="s">
        <v>25390</v>
      </c>
      <c r="F1055" s="69">
        <v>42598</v>
      </c>
      <c r="G1055" s="8" t="s">
        <v>25391</v>
      </c>
      <c r="H1055" s="8" t="s">
        <v>1760</v>
      </c>
      <c r="I1055" s="8" t="s">
        <v>45</v>
      </c>
      <c r="J1055" s="8">
        <v>95207</v>
      </c>
      <c r="K1055" s="8" t="s">
        <v>1762</v>
      </c>
      <c r="L1055" s="8" t="s">
        <v>1763</v>
      </c>
      <c r="M1055" s="8" t="s">
        <v>27</v>
      </c>
      <c r="N1055" s="8" t="s">
        <v>25392</v>
      </c>
      <c r="O1055" s="8" t="s">
        <v>400</v>
      </c>
      <c r="P1055" s="8" t="s">
        <v>401</v>
      </c>
      <c r="Q1055" s="14" t="s">
        <v>25393</v>
      </c>
      <c r="R1055" s="16" t="s">
        <v>100</v>
      </c>
      <c r="S1055" s="8" t="s">
        <v>28</v>
      </c>
      <c r="T1055" s="68" t="s">
        <v>27756</v>
      </c>
      <c r="U1055" s="68" t="s">
        <v>29436</v>
      </c>
      <c r="V1055" s="68" t="s">
        <v>29440</v>
      </c>
      <c r="W1055" s="68" t="s">
        <v>555</v>
      </c>
      <c r="X1055" s="68">
        <v>1791</v>
      </c>
      <c r="AX1055" s="11"/>
      <c r="AY1055" s="11"/>
      <c r="BA1055" s="11"/>
      <c r="BB1055" s="11"/>
      <c r="BK1055" s="11"/>
    </row>
    <row r="1056" spans="1:63" s="44" customFormat="1" ht="12" customHeight="1" x14ac:dyDescent="0.15">
      <c r="A1056" s="8" t="s">
        <v>25394</v>
      </c>
      <c r="B1056" s="68">
        <v>32</v>
      </c>
      <c r="C1056" s="8" t="s">
        <v>20</v>
      </c>
      <c r="D1056" s="8" t="s">
        <v>37</v>
      </c>
      <c r="E1056" s="14" t="s">
        <v>25395</v>
      </c>
      <c r="F1056" s="69">
        <v>42598</v>
      </c>
      <c r="G1056" s="8" t="s">
        <v>25396</v>
      </c>
      <c r="H1056" s="8" t="s">
        <v>21410</v>
      </c>
      <c r="I1056" s="8" t="s">
        <v>366</v>
      </c>
      <c r="J1056" s="8">
        <v>28645</v>
      </c>
      <c r="K1056" s="8" t="s">
        <v>8639</v>
      </c>
      <c r="L1056" s="8" t="s">
        <v>25397</v>
      </c>
      <c r="M1056" s="8" t="s">
        <v>27</v>
      </c>
      <c r="N1056" s="8" t="s">
        <v>25398</v>
      </c>
      <c r="O1056" s="8" t="s">
        <v>400</v>
      </c>
      <c r="P1056" s="8" t="s">
        <v>401</v>
      </c>
      <c r="Q1056" s="14" t="s">
        <v>25399</v>
      </c>
      <c r="R1056" s="16" t="s">
        <v>100</v>
      </c>
      <c r="S1056" s="8" t="s">
        <v>28</v>
      </c>
      <c r="T1056" s="68" t="s">
        <v>27756</v>
      </c>
      <c r="U1056" s="68" t="s">
        <v>29438</v>
      </c>
      <c r="V1056" s="68" t="s">
        <v>29440</v>
      </c>
      <c r="W1056" s="68" t="s">
        <v>555</v>
      </c>
      <c r="X1056" s="68">
        <v>1789</v>
      </c>
      <c r="AW1056" s="11"/>
      <c r="AX1056" s="1"/>
      <c r="AY1056" s="1"/>
      <c r="AZ1056" s="11"/>
      <c r="BA1056" s="11"/>
      <c r="BB1056" s="11"/>
      <c r="BC1056" s="1"/>
      <c r="BD1056" s="1"/>
      <c r="BE1056" s="1"/>
      <c r="BF1056" s="1"/>
      <c r="BG1056" s="1"/>
      <c r="BH1056" s="1"/>
      <c r="BI1056" s="1"/>
      <c r="BJ1056" s="1"/>
      <c r="BK1056" s="11"/>
    </row>
    <row r="1057" spans="1:63" s="44" customFormat="1" ht="12" customHeight="1" x14ac:dyDescent="0.15">
      <c r="A1057" s="8" t="s">
        <v>25406</v>
      </c>
      <c r="B1057" s="68">
        <v>25</v>
      </c>
      <c r="C1057" s="8" t="s">
        <v>20</v>
      </c>
      <c r="D1057" s="8" t="s">
        <v>48</v>
      </c>
      <c r="E1057" s="8"/>
      <c r="F1057" s="69">
        <v>42598</v>
      </c>
      <c r="G1057" s="8" t="s">
        <v>25407</v>
      </c>
      <c r="H1057" s="8" t="s">
        <v>561</v>
      </c>
      <c r="I1057" s="8" t="s">
        <v>123</v>
      </c>
      <c r="J1057" s="8">
        <v>85735</v>
      </c>
      <c r="K1057" s="8" t="s">
        <v>562</v>
      </c>
      <c r="L1057" s="8" t="s">
        <v>25408</v>
      </c>
      <c r="M1057" s="8" t="s">
        <v>27</v>
      </c>
      <c r="N1057" s="8" t="s">
        <v>25409</v>
      </c>
      <c r="O1057" s="8" t="s">
        <v>400</v>
      </c>
      <c r="P1057" s="8" t="s">
        <v>401</v>
      </c>
      <c r="Q1057" s="14" t="s">
        <v>25410</v>
      </c>
      <c r="R1057" s="16" t="s">
        <v>100</v>
      </c>
      <c r="S1057" s="8" t="s">
        <v>18</v>
      </c>
      <c r="T1057" s="68" t="s">
        <v>28345</v>
      </c>
      <c r="U1057" s="68" t="s">
        <v>29438</v>
      </c>
      <c r="V1057" s="68" t="s">
        <v>29439</v>
      </c>
      <c r="W1057" s="68" t="s">
        <v>100</v>
      </c>
      <c r="X1057" s="68">
        <v>1792</v>
      </c>
      <c r="AR1057" s="11"/>
      <c r="AS1057" s="11"/>
      <c r="AT1057" s="11"/>
      <c r="AW1057" s="11"/>
      <c r="AX1057" s="1"/>
      <c r="AY1057" s="1"/>
      <c r="BA1057" s="11"/>
      <c r="BB1057" s="11"/>
      <c r="BC1057" s="1"/>
      <c r="BD1057" s="1"/>
      <c r="BE1057" s="1"/>
      <c r="BF1057" s="1"/>
      <c r="BG1057" s="1"/>
      <c r="BH1057" s="1"/>
      <c r="BI1057" s="1"/>
      <c r="BJ1057" s="1"/>
      <c r="BK1057" s="1"/>
    </row>
    <row r="1058" spans="1:63" s="44" customFormat="1" ht="12" customHeight="1" x14ac:dyDescent="0.15">
      <c r="A1058" s="8" t="s">
        <v>25417</v>
      </c>
      <c r="B1058" s="68">
        <v>53</v>
      </c>
      <c r="C1058" s="8" t="s">
        <v>20</v>
      </c>
      <c r="D1058" s="8" t="s">
        <v>37</v>
      </c>
      <c r="E1058" s="8"/>
      <c r="F1058" s="69">
        <v>42598</v>
      </c>
      <c r="G1058" s="8" t="s">
        <v>25418</v>
      </c>
      <c r="H1058" s="8" t="s">
        <v>17192</v>
      </c>
      <c r="I1058" s="8" t="s">
        <v>123</v>
      </c>
      <c r="J1058" s="8">
        <v>85120</v>
      </c>
      <c r="K1058" s="8" t="s">
        <v>2390</v>
      </c>
      <c r="L1058" s="8" t="s">
        <v>1893</v>
      </c>
      <c r="M1058" s="8" t="s">
        <v>27</v>
      </c>
      <c r="N1058" s="8" t="s">
        <v>25419</v>
      </c>
      <c r="O1058" s="8" t="s">
        <v>400</v>
      </c>
      <c r="P1058" s="8" t="s">
        <v>401</v>
      </c>
      <c r="Q1058" s="14" t="s">
        <v>25420</v>
      </c>
      <c r="R1058" s="16" t="s">
        <v>100</v>
      </c>
      <c r="S1058" s="8" t="s">
        <v>18</v>
      </c>
      <c r="T1058" s="68" t="s">
        <v>29612</v>
      </c>
      <c r="U1058" s="68" t="s">
        <v>29436</v>
      </c>
      <c r="V1058" s="68" t="s">
        <v>29439</v>
      </c>
      <c r="W1058" s="68" t="s">
        <v>100</v>
      </c>
      <c r="X1058" s="68">
        <v>1790</v>
      </c>
      <c r="AW1058" s="1"/>
      <c r="AX1058" s="1"/>
      <c r="AY1058" s="1"/>
      <c r="BA1058" s="11"/>
      <c r="BB1058" s="11"/>
      <c r="BC1058" s="1"/>
      <c r="BD1058" s="1"/>
      <c r="BE1058" s="1"/>
      <c r="BF1058" s="1"/>
      <c r="BG1058" s="1"/>
      <c r="BH1058" s="1"/>
      <c r="BI1058" s="1"/>
      <c r="BJ1058" s="1"/>
      <c r="BK1058" s="1"/>
    </row>
    <row r="1059" spans="1:63" s="44" customFormat="1" ht="12" customHeight="1" x14ac:dyDescent="0.15">
      <c r="A1059" s="8" t="s">
        <v>25411</v>
      </c>
      <c r="B1059" s="68">
        <v>55</v>
      </c>
      <c r="C1059" s="8" t="s">
        <v>20</v>
      </c>
      <c r="D1059" s="8" t="s">
        <v>37</v>
      </c>
      <c r="E1059" s="8"/>
      <c r="F1059" s="69">
        <v>42598</v>
      </c>
      <c r="G1059" s="8" t="s">
        <v>25412</v>
      </c>
      <c r="H1059" s="8" t="s">
        <v>1647</v>
      </c>
      <c r="I1059" s="8" t="s">
        <v>150</v>
      </c>
      <c r="J1059" s="8">
        <v>26704</v>
      </c>
      <c r="K1059" s="8" t="s">
        <v>25413</v>
      </c>
      <c r="L1059" s="8" t="s">
        <v>25414</v>
      </c>
      <c r="M1059" s="8" t="s">
        <v>27</v>
      </c>
      <c r="N1059" s="8" t="s">
        <v>25415</v>
      </c>
      <c r="O1059" s="8" t="s">
        <v>400</v>
      </c>
      <c r="P1059" s="8" t="s">
        <v>401</v>
      </c>
      <c r="Q1059" s="14" t="s">
        <v>25416</v>
      </c>
      <c r="R1059" s="16" t="s">
        <v>100</v>
      </c>
      <c r="S1059" s="2" t="s">
        <v>18</v>
      </c>
      <c r="T1059" s="68" t="s">
        <v>28345</v>
      </c>
      <c r="U1059" s="68" t="s">
        <v>29436</v>
      </c>
      <c r="V1059" s="68" t="s">
        <v>29439</v>
      </c>
      <c r="W1059" s="68" t="s">
        <v>100</v>
      </c>
      <c r="X1059" s="68">
        <v>2145</v>
      </c>
      <c r="AW1059" s="1"/>
      <c r="AX1059" s="1"/>
      <c r="AY1059" s="1"/>
      <c r="BA1059" s="11"/>
      <c r="BB1059" s="11"/>
      <c r="BC1059" s="1"/>
      <c r="BD1059" s="1"/>
      <c r="BE1059" s="1"/>
      <c r="BF1059" s="1"/>
      <c r="BG1059" s="1"/>
      <c r="BH1059" s="1"/>
      <c r="BI1059" s="1"/>
      <c r="BJ1059" s="1"/>
      <c r="BK1059" s="1"/>
    </row>
    <row r="1060" spans="1:63" s="44" customFormat="1" ht="12" customHeight="1" x14ac:dyDescent="0.15">
      <c r="A1060" s="8" t="s">
        <v>25400</v>
      </c>
      <c r="B1060" s="68">
        <v>36</v>
      </c>
      <c r="C1060" s="8" t="s">
        <v>20</v>
      </c>
      <c r="D1060" s="8" t="s">
        <v>37</v>
      </c>
      <c r="E1060" s="8"/>
      <c r="F1060" s="69">
        <v>42598</v>
      </c>
      <c r="G1060" s="8" t="s">
        <v>25401</v>
      </c>
      <c r="H1060" s="8" t="s">
        <v>3523</v>
      </c>
      <c r="I1060" s="8" t="s">
        <v>69</v>
      </c>
      <c r="J1060" s="8">
        <v>44085</v>
      </c>
      <c r="K1060" s="8" t="s">
        <v>25402</v>
      </c>
      <c r="L1060" s="8" t="s">
        <v>25403</v>
      </c>
      <c r="M1060" s="8" t="s">
        <v>27</v>
      </c>
      <c r="N1060" s="8" t="s">
        <v>25404</v>
      </c>
      <c r="O1060" s="8" t="s">
        <v>400</v>
      </c>
      <c r="P1060" s="8" t="s">
        <v>401</v>
      </c>
      <c r="Q1060" s="14" t="s">
        <v>25405</v>
      </c>
      <c r="R1060" s="16" t="s">
        <v>29</v>
      </c>
      <c r="S1060" s="8" t="s">
        <v>28</v>
      </c>
      <c r="T1060" s="68" t="s">
        <v>27756</v>
      </c>
      <c r="U1060" s="68" t="s">
        <v>29436</v>
      </c>
      <c r="V1060" s="68" t="s">
        <v>29437</v>
      </c>
      <c r="W1060" s="68" t="s">
        <v>100</v>
      </c>
      <c r="X1060" s="68">
        <v>1787</v>
      </c>
      <c r="AW1060" s="11"/>
      <c r="AX1060" s="1"/>
      <c r="AY1060" s="1"/>
      <c r="BA1060" s="1"/>
      <c r="BB1060" s="1"/>
      <c r="BC1060" s="1"/>
      <c r="BD1060" s="1"/>
      <c r="BE1060" s="1"/>
      <c r="BF1060" s="1"/>
      <c r="BG1060" s="1"/>
      <c r="BH1060" s="1"/>
      <c r="BI1060" s="1"/>
      <c r="BJ1060" s="1"/>
    </row>
    <row r="1061" spans="1:63" s="44" customFormat="1" ht="12" customHeight="1" x14ac:dyDescent="0.15">
      <c r="A1061" s="8" t="s">
        <v>25424</v>
      </c>
      <c r="B1061" s="68">
        <v>42</v>
      </c>
      <c r="C1061" s="8" t="s">
        <v>20</v>
      </c>
      <c r="D1061" s="8" t="s">
        <v>37</v>
      </c>
      <c r="E1061" s="14" t="s">
        <v>25425</v>
      </c>
      <c r="F1061" s="69">
        <v>42597</v>
      </c>
      <c r="G1061" s="8" t="s">
        <v>25426</v>
      </c>
      <c r="H1061" s="8" t="s">
        <v>25427</v>
      </c>
      <c r="I1061" s="8" t="s">
        <v>319</v>
      </c>
      <c r="J1061" s="8">
        <v>38326</v>
      </c>
      <c r="K1061" s="8" t="s">
        <v>1406</v>
      </c>
      <c r="L1061" s="8" t="s">
        <v>5634</v>
      </c>
      <c r="M1061" s="8" t="s">
        <v>27</v>
      </c>
      <c r="N1061" s="8" t="s">
        <v>25428</v>
      </c>
      <c r="O1061" s="8" t="s">
        <v>400</v>
      </c>
      <c r="P1061" s="8" t="s">
        <v>401</v>
      </c>
      <c r="Q1061" s="14" t="s">
        <v>25429</v>
      </c>
      <c r="R1061" s="16" t="s">
        <v>29</v>
      </c>
      <c r="S1061" s="8" t="s">
        <v>28</v>
      </c>
      <c r="T1061" s="68" t="s">
        <v>27756</v>
      </c>
      <c r="U1061" s="68" t="s">
        <v>29438</v>
      </c>
      <c r="V1061" s="68" t="s">
        <v>21212</v>
      </c>
      <c r="W1061" s="68" t="s">
        <v>100</v>
      </c>
      <c r="X1061" s="68">
        <v>1788</v>
      </c>
      <c r="AW1061" s="1"/>
      <c r="AX1061" s="1"/>
      <c r="AY1061" s="1"/>
      <c r="BA1061" s="1"/>
      <c r="BB1061" s="1"/>
      <c r="BC1061" s="1"/>
      <c r="BD1061" s="1"/>
      <c r="BE1061" s="1"/>
      <c r="BF1061" s="1"/>
      <c r="BG1061" s="1"/>
      <c r="BH1061" s="1"/>
      <c r="BI1061" s="1"/>
      <c r="BJ1061" s="1"/>
      <c r="BK1061" s="11"/>
    </row>
    <row r="1062" spans="1:63" s="44" customFormat="1" ht="12" customHeight="1" x14ac:dyDescent="0.15">
      <c r="A1062" s="8" t="s">
        <v>25430</v>
      </c>
      <c r="B1062" s="68">
        <v>29</v>
      </c>
      <c r="C1062" s="8" t="s">
        <v>20</v>
      </c>
      <c r="D1062" s="8" t="s">
        <v>48</v>
      </c>
      <c r="E1062" s="8"/>
      <c r="F1062" s="69">
        <v>42597</v>
      </c>
      <c r="G1062" s="8" t="s">
        <v>25431</v>
      </c>
      <c r="H1062" s="8" t="s">
        <v>25432</v>
      </c>
      <c r="I1062" s="8" t="s">
        <v>244</v>
      </c>
      <c r="J1062" s="8">
        <v>22042</v>
      </c>
      <c r="K1062" s="8" t="s">
        <v>4411</v>
      </c>
      <c r="L1062" s="8" t="s">
        <v>4412</v>
      </c>
      <c r="M1062" s="8" t="s">
        <v>27</v>
      </c>
      <c r="N1062" s="8" t="s">
        <v>25433</v>
      </c>
      <c r="O1062" s="8" t="s">
        <v>400</v>
      </c>
      <c r="P1062" s="8" t="s">
        <v>401</v>
      </c>
      <c r="Q1062" s="14" t="s">
        <v>25434</v>
      </c>
      <c r="R1062" s="16" t="s">
        <v>555</v>
      </c>
      <c r="S1062" s="11" t="s">
        <v>28</v>
      </c>
      <c r="T1062" s="68" t="s">
        <v>29467</v>
      </c>
      <c r="U1062" s="68" t="s">
        <v>29436</v>
      </c>
      <c r="V1062" s="68" t="s">
        <v>29439</v>
      </c>
      <c r="W1062" s="68" t="s">
        <v>100</v>
      </c>
      <c r="X1062" s="68">
        <v>1786</v>
      </c>
      <c r="AX1062" s="1"/>
      <c r="AY1062" s="1"/>
      <c r="BA1062" s="11"/>
      <c r="BB1062" s="11"/>
      <c r="BC1062" s="1"/>
      <c r="BD1062" s="1"/>
      <c r="BE1062" s="1"/>
      <c r="BF1062" s="1"/>
      <c r="BG1062" s="1"/>
      <c r="BH1062" s="1"/>
      <c r="BI1062" s="1"/>
      <c r="BJ1062" s="1"/>
      <c r="BK1062" s="11"/>
    </row>
    <row r="1063" spans="1:63" s="44" customFormat="1" ht="12" customHeight="1" x14ac:dyDescent="0.15">
      <c r="A1063" s="8" t="s">
        <v>25435</v>
      </c>
      <c r="B1063" s="68">
        <v>23</v>
      </c>
      <c r="C1063" s="8" t="s">
        <v>20</v>
      </c>
      <c r="D1063" s="8" t="s">
        <v>85</v>
      </c>
      <c r="E1063" s="14" t="s">
        <v>25436</v>
      </c>
      <c r="F1063" s="69">
        <v>42595</v>
      </c>
      <c r="G1063" s="8" t="s">
        <v>25437</v>
      </c>
      <c r="H1063" s="8" t="s">
        <v>887</v>
      </c>
      <c r="I1063" s="8" t="s">
        <v>438</v>
      </c>
      <c r="J1063" s="8">
        <v>53216</v>
      </c>
      <c r="K1063" s="8" t="s">
        <v>887</v>
      </c>
      <c r="L1063" s="8" t="s">
        <v>3865</v>
      </c>
      <c r="M1063" s="8" t="s">
        <v>27</v>
      </c>
      <c r="N1063" s="16" t="s">
        <v>25438</v>
      </c>
      <c r="O1063" s="8" t="s">
        <v>30974</v>
      </c>
      <c r="P1063" s="8" t="s">
        <v>20489</v>
      </c>
      <c r="Q1063" s="14" t="s">
        <v>25439</v>
      </c>
      <c r="R1063" s="8" t="s">
        <v>100</v>
      </c>
      <c r="S1063" s="8" t="s">
        <v>28</v>
      </c>
      <c r="T1063" s="68" t="s">
        <v>27756</v>
      </c>
      <c r="U1063" s="68" t="s">
        <v>29436</v>
      </c>
      <c r="V1063" s="68" t="s">
        <v>29440</v>
      </c>
      <c r="W1063" s="68" t="s">
        <v>555</v>
      </c>
      <c r="X1063" s="68">
        <v>1780</v>
      </c>
      <c r="AU1063" s="11"/>
      <c r="AV1063" s="11"/>
      <c r="BA1063" s="11"/>
      <c r="BB1063" s="11"/>
      <c r="BK1063" s="11"/>
    </row>
    <row r="1064" spans="1:63" s="44" customFormat="1" ht="12" customHeight="1" x14ac:dyDescent="0.15">
      <c r="A1064" s="8" t="s">
        <v>25440</v>
      </c>
      <c r="B1064" s="68">
        <v>53</v>
      </c>
      <c r="C1064" s="8" t="s">
        <v>20</v>
      </c>
      <c r="D1064" s="11" t="s">
        <v>37</v>
      </c>
      <c r="E1064" s="8"/>
      <c r="F1064" s="69">
        <v>42595</v>
      </c>
      <c r="G1064" s="8" t="s">
        <v>25441</v>
      </c>
      <c r="H1064" s="8" t="s">
        <v>1433</v>
      </c>
      <c r="I1064" s="8" t="s">
        <v>209</v>
      </c>
      <c r="J1064" s="8">
        <v>80226</v>
      </c>
      <c r="K1064" s="8" t="s">
        <v>1778</v>
      </c>
      <c r="L1064" s="8" t="s">
        <v>29</v>
      </c>
      <c r="M1064" s="8" t="s">
        <v>27</v>
      </c>
      <c r="N1064" s="16" t="s">
        <v>25442</v>
      </c>
      <c r="O1064" s="8" t="s">
        <v>400</v>
      </c>
      <c r="P1064" s="8" t="s">
        <v>401</v>
      </c>
      <c r="Q1064" s="14" t="s">
        <v>25443</v>
      </c>
      <c r="R1064" s="8" t="s">
        <v>100</v>
      </c>
      <c r="S1064" s="8" t="s">
        <v>28</v>
      </c>
      <c r="T1064" s="68" t="s">
        <v>27756</v>
      </c>
      <c r="U1064" s="68" t="s">
        <v>29436</v>
      </c>
      <c r="V1064" s="68" t="s">
        <v>29439</v>
      </c>
      <c r="W1064" s="68" t="s">
        <v>100</v>
      </c>
      <c r="X1064" s="68">
        <v>1784</v>
      </c>
      <c r="AW1064" s="1"/>
      <c r="AX1064" s="1"/>
      <c r="AY1064" s="1"/>
      <c r="BA1064" s="11"/>
      <c r="BC1064" s="1"/>
      <c r="BD1064" s="1"/>
      <c r="BE1064" s="1"/>
      <c r="BF1064" s="1"/>
      <c r="BG1064" s="1"/>
      <c r="BH1064" s="1"/>
      <c r="BI1064" s="1"/>
      <c r="BJ1064" s="1"/>
      <c r="BK1064" s="11"/>
    </row>
    <row r="1065" spans="1:63" s="44" customFormat="1" ht="12" customHeight="1" x14ac:dyDescent="0.15">
      <c r="A1065" s="8" t="s">
        <v>25454</v>
      </c>
      <c r="B1065" s="8">
        <v>44</v>
      </c>
      <c r="C1065" s="8" t="s">
        <v>20</v>
      </c>
      <c r="D1065" s="11" t="s">
        <v>37</v>
      </c>
      <c r="E1065" s="8" t="s">
        <v>26273</v>
      </c>
      <c r="F1065" s="72">
        <v>42595</v>
      </c>
      <c r="G1065" s="8" t="s">
        <v>25455</v>
      </c>
      <c r="H1065" s="8" t="s">
        <v>9167</v>
      </c>
      <c r="I1065" s="8" t="s">
        <v>44</v>
      </c>
      <c r="J1065" s="8">
        <v>61611</v>
      </c>
      <c r="K1065" s="8" t="s">
        <v>9169</v>
      </c>
      <c r="L1065" s="8" t="s">
        <v>22029</v>
      </c>
      <c r="M1065" s="8" t="s">
        <v>379</v>
      </c>
      <c r="N1065" s="16" t="s">
        <v>25456</v>
      </c>
      <c r="O1065" s="8" t="s">
        <v>400</v>
      </c>
      <c r="P1065" s="8" t="s">
        <v>401</v>
      </c>
      <c r="Q1065" s="14" t="s">
        <v>25457</v>
      </c>
      <c r="R1065" s="8" t="s">
        <v>100</v>
      </c>
      <c r="S1065" s="8" t="s">
        <v>18</v>
      </c>
      <c r="T1065" s="8"/>
      <c r="AX1065" s="1"/>
      <c r="AY1065" s="1"/>
      <c r="AZ1065" s="1"/>
      <c r="BA1065" s="1"/>
      <c r="BB1065" s="1"/>
      <c r="BC1065" s="1"/>
      <c r="BD1065" s="1"/>
      <c r="BE1065" s="1"/>
      <c r="BF1065" s="1"/>
      <c r="BG1065" s="1"/>
      <c r="BH1065" s="1"/>
      <c r="BI1065" s="1"/>
      <c r="BJ1065" s="1"/>
      <c r="BK1065" s="1"/>
    </row>
    <row r="1066" spans="1:63" s="44" customFormat="1" ht="12" customHeight="1" x14ac:dyDescent="0.15">
      <c r="A1066" s="8" t="s">
        <v>25462</v>
      </c>
      <c r="B1066" s="8">
        <v>30</v>
      </c>
      <c r="C1066" s="8" t="s">
        <v>20</v>
      </c>
      <c r="D1066" s="11" t="s">
        <v>85</v>
      </c>
      <c r="E1066" s="8" t="s">
        <v>27744</v>
      </c>
      <c r="F1066" s="72">
        <v>42595</v>
      </c>
      <c r="G1066" s="8" t="s">
        <v>29548</v>
      </c>
      <c r="H1066" s="8" t="s">
        <v>548</v>
      </c>
      <c r="I1066" s="8" t="s">
        <v>81</v>
      </c>
      <c r="J1066" s="8" t="s">
        <v>13055</v>
      </c>
      <c r="K1066" s="8" t="s">
        <v>2902</v>
      </c>
      <c r="L1066" s="8" t="s">
        <v>23600</v>
      </c>
      <c r="M1066" s="8" t="s">
        <v>27</v>
      </c>
      <c r="N1066" s="8" t="s">
        <v>25463</v>
      </c>
      <c r="O1066" s="8" t="s">
        <v>400</v>
      </c>
      <c r="P1066" s="8" t="s">
        <v>401</v>
      </c>
      <c r="Q1066" s="14" t="s">
        <v>25464</v>
      </c>
      <c r="R1066" s="16" t="s">
        <v>100</v>
      </c>
      <c r="S1066" s="8" t="s">
        <v>35</v>
      </c>
      <c r="T1066" s="68"/>
      <c r="U1066" s="68"/>
      <c r="V1066" s="68"/>
      <c r="W1066" s="68"/>
      <c r="X1066" s="68"/>
      <c r="AW1066" s="1"/>
      <c r="AZ1066" s="1"/>
      <c r="BA1066" s="1"/>
      <c r="BB1066" s="1"/>
      <c r="BK1066" s="1"/>
    </row>
    <row r="1067" spans="1:63" s="44" customFormat="1" ht="12" customHeight="1" x14ac:dyDescent="0.15">
      <c r="A1067" s="8" t="s">
        <v>25458</v>
      </c>
      <c r="B1067" s="68">
        <v>36</v>
      </c>
      <c r="C1067" s="8" t="s">
        <v>20</v>
      </c>
      <c r="D1067" s="68" t="s">
        <v>48</v>
      </c>
      <c r="E1067" s="8"/>
      <c r="F1067" s="69">
        <v>42595</v>
      </c>
      <c r="G1067" s="8" t="s">
        <v>25459</v>
      </c>
      <c r="H1067" s="8" t="s">
        <v>8718</v>
      </c>
      <c r="I1067" s="8" t="s">
        <v>45</v>
      </c>
      <c r="J1067" s="8">
        <v>94544</v>
      </c>
      <c r="K1067" s="8" t="s">
        <v>602</v>
      </c>
      <c r="L1067" s="8" t="s">
        <v>8720</v>
      </c>
      <c r="M1067" s="8" t="s">
        <v>27</v>
      </c>
      <c r="N1067" s="8" t="s">
        <v>25460</v>
      </c>
      <c r="O1067" s="8" t="s">
        <v>400</v>
      </c>
      <c r="P1067" s="8" t="s">
        <v>401</v>
      </c>
      <c r="Q1067" s="14" t="s">
        <v>25461</v>
      </c>
      <c r="R1067" s="16" t="s">
        <v>100</v>
      </c>
      <c r="S1067" s="68" t="s">
        <v>379</v>
      </c>
      <c r="T1067" s="68" t="s">
        <v>379</v>
      </c>
      <c r="U1067" s="68" t="s">
        <v>29436</v>
      </c>
      <c r="V1067" s="68" t="s">
        <v>29437</v>
      </c>
      <c r="W1067" s="68" t="s">
        <v>100</v>
      </c>
      <c r="X1067" s="68">
        <v>1832</v>
      </c>
      <c r="AW1067" s="11"/>
      <c r="AX1067" s="1"/>
      <c r="AY1067" s="1"/>
      <c r="BA1067" s="11"/>
      <c r="BB1067" s="11"/>
      <c r="BC1067" s="1"/>
      <c r="BD1067" s="1"/>
      <c r="BE1067" s="1"/>
      <c r="BF1067" s="1"/>
      <c r="BG1067" s="1"/>
      <c r="BH1067" s="1"/>
      <c r="BI1067" s="1"/>
      <c r="BJ1067" s="1"/>
    </row>
    <row r="1068" spans="1:63" s="44" customFormat="1" ht="12" customHeight="1" x14ac:dyDescent="0.15">
      <c r="A1068" s="8" t="s">
        <v>7419</v>
      </c>
      <c r="B1068" s="11">
        <v>18</v>
      </c>
      <c r="C1068" s="8" t="s">
        <v>20</v>
      </c>
      <c r="D1068" s="11" t="s">
        <v>85</v>
      </c>
      <c r="E1068" s="8"/>
      <c r="F1068" s="72">
        <v>42595</v>
      </c>
      <c r="G1068" s="8" t="s">
        <v>25448</v>
      </c>
      <c r="H1068" s="8" t="s">
        <v>25449</v>
      </c>
      <c r="I1068" s="8" t="s">
        <v>978</v>
      </c>
      <c r="J1068" s="8">
        <v>71655</v>
      </c>
      <c r="K1068" s="8" t="s">
        <v>25450</v>
      </c>
      <c r="L1068" s="8" t="s">
        <v>25451</v>
      </c>
      <c r="M1068" s="1" t="s">
        <v>391</v>
      </c>
      <c r="N1068" s="16" t="s">
        <v>25452</v>
      </c>
      <c r="O1068" s="8" t="s">
        <v>400</v>
      </c>
      <c r="P1068" s="8" t="s">
        <v>401</v>
      </c>
      <c r="Q1068" s="14" t="s">
        <v>25453</v>
      </c>
      <c r="R1068" s="8" t="s">
        <v>29</v>
      </c>
      <c r="S1068" s="8" t="s">
        <v>18</v>
      </c>
      <c r="T1068" s="8"/>
      <c r="AU1068" s="11"/>
      <c r="AV1068" s="11"/>
      <c r="AW1068" s="1"/>
      <c r="AZ1068" s="1"/>
      <c r="BA1068" s="1"/>
      <c r="BB1068" s="1"/>
      <c r="BK1068" s="1"/>
    </row>
    <row r="1069" spans="1:63" s="44" customFormat="1" ht="12" customHeight="1" x14ac:dyDescent="0.2">
      <c r="A1069" s="8" t="s">
        <v>25444</v>
      </c>
      <c r="B1069" s="68">
        <v>38</v>
      </c>
      <c r="C1069" s="8" t="s">
        <v>20</v>
      </c>
      <c r="D1069" s="68" t="s">
        <v>48</v>
      </c>
      <c r="E1069" s="8"/>
      <c r="F1069" s="69">
        <v>42595</v>
      </c>
      <c r="G1069" s="8" t="s">
        <v>25445</v>
      </c>
      <c r="H1069" s="8" t="s">
        <v>632</v>
      </c>
      <c r="I1069" s="8" t="s">
        <v>123</v>
      </c>
      <c r="J1069" s="8">
        <v>85031</v>
      </c>
      <c r="K1069" s="8" t="s">
        <v>633</v>
      </c>
      <c r="L1069" s="8" t="s">
        <v>634</v>
      </c>
      <c r="M1069" s="8" t="s">
        <v>27</v>
      </c>
      <c r="N1069" s="16" t="s">
        <v>25446</v>
      </c>
      <c r="O1069" s="8" t="s">
        <v>400</v>
      </c>
      <c r="P1069" s="8" t="s">
        <v>401</v>
      </c>
      <c r="Q1069" s="14" t="s">
        <v>25447</v>
      </c>
      <c r="R1069" s="68" t="s">
        <v>555</v>
      </c>
      <c r="S1069" s="8" t="s">
        <v>28</v>
      </c>
      <c r="T1069" s="68" t="s">
        <v>29493</v>
      </c>
      <c r="U1069" s="68" t="s">
        <v>29438</v>
      </c>
      <c r="V1069" s="68" t="s">
        <v>29439</v>
      </c>
      <c r="W1069" s="68" t="s">
        <v>100</v>
      </c>
      <c r="X1069" s="68">
        <v>1781</v>
      </c>
      <c r="AX1069" s="1"/>
      <c r="AY1069" s="1"/>
      <c r="BA1069" s="70"/>
      <c r="BC1069" s="1"/>
      <c r="BD1069" s="1"/>
      <c r="BE1069" s="1"/>
      <c r="BF1069" s="1"/>
      <c r="BG1069" s="1"/>
      <c r="BH1069" s="1"/>
      <c r="BI1069" s="1"/>
      <c r="BJ1069" s="1"/>
      <c r="BK1069" s="11"/>
    </row>
    <row r="1070" spans="1:63" s="44" customFormat="1" ht="12" customHeight="1" x14ac:dyDescent="0.15">
      <c r="A1070" s="8" t="s">
        <v>25472</v>
      </c>
      <c r="B1070" s="8">
        <v>36</v>
      </c>
      <c r="C1070" s="8" t="s">
        <v>20</v>
      </c>
      <c r="D1070" s="8" t="s">
        <v>37</v>
      </c>
      <c r="E1070" s="14" t="s">
        <v>25473</v>
      </c>
      <c r="F1070" s="72">
        <v>42594</v>
      </c>
      <c r="G1070" s="8" t="s">
        <v>25474</v>
      </c>
      <c r="H1070" s="8" t="s">
        <v>874</v>
      </c>
      <c r="I1070" s="8" t="s">
        <v>73</v>
      </c>
      <c r="J1070" s="8">
        <v>77407</v>
      </c>
      <c r="K1070" s="8" t="s">
        <v>1386</v>
      </c>
      <c r="L1070" s="8" t="s">
        <v>724</v>
      </c>
      <c r="M1070" s="8" t="s">
        <v>379</v>
      </c>
      <c r="N1070" s="8" t="s">
        <v>25475</v>
      </c>
      <c r="O1070" s="8" t="s">
        <v>25476</v>
      </c>
      <c r="P1070" s="8" t="s">
        <v>1159</v>
      </c>
      <c r="Q1070" s="51" t="s">
        <v>25477</v>
      </c>
      <c r="R1070" s="11" t="s">
        <v>964</v>
      </c>
      <c r="S1070" s="66" t="s">
        <v>379</v>
      </c>
      <c r="T1070" s="66" t="s">
        <v>30738</v>
      </c>
      <c r="U1070" s="1"/>
      <c r="AX1070" s="1"/>
      <c r="AY1070" s="1"/>
      <c r="AZ1070" s="1"/>
      <c r="BA1070" s="1"/>
      <c r="BB1070" s="1"/>
      <c r="BC1070" s="1"/>
      <c r="BD1070" s="1"/>
      <c r="BE1070" s="1"/>
      <c r="BF1070" s="1"/>
      <c r="BG1070" s="1"/>
      <c r="BH1070" s="1"/>
      <c r="BI1070" s="1"/>
      <c r="BJ1070" s="1"/>
      <c r="BK1070" s="1"/>
    </row>
    <row r="1071" spans="1:63" s="44" customFormat="1" ht="12" customHeight="1" x14ac:dyDescent="0.15">
      <c r="A1071" s="8" t="s">
        <v>25465</v>
      </c>
      <c r="B1071" s="8">
        <v>33</v>
      </c>
      <c r="C1071" s="8" t="s">
        <v>114</v>
      </c>
      <c r="D1071" s="8" t="s">
        <v>37</v>
      </c>
      <c r="E1071" s="14" t="s">
        <v>25466</v>
      </c>
      <c r="F1071" s="72">
        <v>42594</v>
      </c>
      <c r="G1071" s="8" t="s">
        <v>25467</v>
      </c>
      <c r="H1071" s="8" t="s">
        <v>25468</v>
      </c>
      <c r="I1071" s="8" t="s">
        <v>62</v>
      </c>
      <c r="J1071" s="8">
        <v>34744</v>
      </c>
      <c r="K1071" s="8" t="s">
        <v>1251</v>
      </c>
      <c r="L1071" s="8" t="s">
        <v>17134</v>
      </c>
      <c r="M1071" s="8" t="s">
        <v>27</v>
      </c>
      <c r="N1071" s="16" t="s">
        <v>25469</v>
      </c>
      <c r="O1071" s="8" t="s">
        <v>25470</v>
      </c>
      <c r="P1071" s="8" t="s">
        <v>401</v>
      </c>
      <c r="Q1071" s="14" t="s">
        <v>25471</v>
      </c>
      <c r="R1071" s="8" t="s">
        <v>100</v>
      </c>
      <c r="S1071" s="8" t="s">
        <v>18</v>
      </c>
      <c r="T1071" s="68"/>
      <c r="U1071" s="68"/>
      <c r="V1071" s="68"/>
      <c r="W1071" s="68"/>
      <c r="X1071" s="68"/>
      <c r="AW1071" s="1"/>
      <c r="AX1071" s="1"/>
      <c r="AY1071" s="1"/>
      <c r="AZ1071" s="1"/>
      <c r="BA1071" s="1"/>
      <c r="BB1071" s="1"/>
      <c r="BC1071" s="1"/>
      <c r="BD1071" s="1"/>
      <c r="BE1071" s="1"/>
      <c r="BF1071" s="1"/>
      <c r="BG1071" s="1"/>
      <c r="BH1071" s="1"/>
      <c r="BI1071" s="1"/>
      <c r="BJ1071" s="1"/>
      <c r="BK1071" s="1"/>
    </row>
    <row r="1072" spans="1:63" s="44" customFormat="1" ht="12" customHeight="1" x14ac:dyDescent="0.15">
      <c r="A1072" s="8" t="s">
        <v>25483</v>
      </c>
      <c r="B1072" s="68">
        <v>22</v>
      </c>
      <c r="C1072" s="8" t="s">
        <v>20</v>
      </c>
      <c r="D1072" s="8" t="s">
        <v>48</v>
      </c>
      <c r="E1072" s="8"/>
      <c r="F1072" s="69">
        <v>42594</v>
      </c>
      <c r="G1072" s="8" t="s">
        <v>25484</v>
      </c>
      <c r="H1072" s="8" t="s">
        <v>1428</v>
      </c>
      <c r="I1072" s="8" t="s">
        <v>123</v>
      </c>
      <c r="J1072" s="8">
        <v>85201</v>
      </c>
      <c r="K1072" s="8" t="s">
        <v>633</v>
      </c>
      <c r="L1072" s="8" t="s">
        <v>1429</v>
      </c>
      <c r="M1072" s="8" t="s">
        <v>27</v>
      </c>
      <c r="N1072" s="16" t="s">
        <v>25485</v>
      </c>
      <c r="O1072" s="8" t="s">
        <v>400</v>
      </c>
      <c r="P1072" s="8" t="s">
        <v>401</v>
      </c>
      <c r="Q1072" s="14" t="s">
        <v>25486</v>
      </c>
      <c r="R1072" s="8" t="s">
        <v>100</v>
      </c>
      <c r="S1072" s="8" t="s">
        <v>35</v>
      </c>
      <c r="T1072" s="66" t="s">
        <v>29441</v>
      </c>
      <c r="U1072" s="68" t="s">
        <v>29436</v>
      </c>
      <c r="V1072" s="68" t="s">
        <v>29437</v>
      </c>
      <c r="W1072" s="68" t="s">
        <v>100</v>
      </c>
      <c r="X1072" s="68">
        <v>1782</v>
      </c>
      <c r="AX1072" s="1"/>
      <c r="AY1072" s="1"/>
      <c r="BA1072" s="11"/>
      <c r="BB1072" s="11"/>
      <c r="BC1072" s="1"/>
      <c r="BD1072" s="1"/>
      <c r="BE1072" s="1"/>
      <c r="BF1072" s="1"/>
      <c r="BG1072" s="1"/>
      <c r="BH1072" s="1"/>
      <c r="BI1072" s="1"/>
      <c r="BJ1072" s="1"/>
      <c r="BK1072" s="1"/>
    </row>
    <row r="1073" spans="1:63" s="44" customFormat="1" ht="12" customHeight="1" x14ac:dyDescent="0.2">
      <c r="A1073" s="8" t="s">
        <v>25478</v>
      </c>
      <c r="B1073" s="68">
        <v>49</v>
      </c>
      <c r="C1073" s="8" t="s">
        <v>20</v>
      </c>
      <c r="D1073" s="8" t="s">
        <v>37</v>
      </c>
      <c r="E1073" s="14" t="s">
        <v>25479</v>
      </c>
      <c r="F1073" s="69">
        <v>42594</v>
      </c>
      <c r="G1073" s="8" t="s">
        <v>25480</v>
      </c>
      <c r="H1073" s="8" t="s">
        <v>1573</v>
      </c>
      <c r="I1073" s="8" t="s">
        <v>395</v>
      </c>
      <c r="J1073" s="8">
        <v>74464</v>
      </c>
      <c r="K1073" s="8" t="s">
        <v>1575</v>
      </c>
      <c r="L1073" s="8" t="s">
        <v>1576</v>
      </c>
      <c r="M1073" s="68" t="s">
        <v>5411</v>
      </c>
      <c r="N1073" s="16" t="s">
        <v>25481</v>
      </c>
      <c r="O1073" s="8" t="s">
        <v>400</v>
      </c>
      <c r="P1073" s="8" t="s">
        <v>401</v>
      </c>
      <c r="Q1073" s="14" t="s">
        <v>25482</v>
      </c>
      <c r="R1073" s="68" t="s">
        <v>555</v>
      </c>
      <c r="S1073" s="8" t="s">
        <v>28</v>
      </c>
      <c r="T1073" s="68" t="s">
        <v>29460</v>
      </c>
      <c r="U1073" s="68" t="s">
        <v>29436</v>
      </c>
      <c r="V1073" s="68" t="s">
        <v>29439</v>
      </c>
      <c r="W1073" s="68" t="s">
        <v>555</v>
      </c>
      <c r="X1073" s="68">
        <v>1783</v>
      </c>
      <c r="AW1073" s="1"/>
      <c r="AX1073" s="1"/>
      <c r="AY1073" s="1"/>
      <c r="BA1073" s="70"/>
      <c r="BB1073" s="70"/>
      <c r="BC1073" s="1"/>
      <c r="BD1073" s="1"/>
      <c r="BE1073" s="1"/>
      <c r="BF1073" s="1"/>
      <c r="BG1073" s="1"/>
      <c r="BH1073" s="1"/>
      <c r="BI1073" s="1"/>
      <c r="BJ1073" s="1"/>
      <c r="BK1073" s="1"/>
    </row>
    <row r="1074" spans="1:63" s="44" customFormat="1" ht="12" customHeight="1" x14ac:dyDescent="0.15">
      <c r="A1074" s="8" t="s">
        <v>25491</v>
      </c>
      <c r="B1074" s="68">
        <v>33</v>
      </c>
      <c r="C1074" s="8" t="s">
        <v>20</v>
      </c>
      <c r="D1074" s="8" t="s">
        <v>48</v>
      </c>
      <c r="E1074" s="14" t="s">
        <v>25492</v>
      </c>
      <c r="F1074" s="69">
        <v>42593</v>
      </c>
      <c r="G1074" s="8" t="s">
        <v>25493</v>
      </c>
      <c r="H1074" s="8" t="s">
        <v>11792</v>
      </c>
      <c r="I1074" s="8" t="s">
        <v>45</v>
      </c>
      <c r="J1074" s="8">
        <v>92083</v>
      </c>
      <c r="K1074" s="8" t="s">
        <v>156</v>
      </c>
      <c r="L1074" s="8" t="s">
        <v>25373</v>
      </c>
      <c r="M1074" s="8" t="s">
        <v>27</v>
      </c>
      <c r="N1074" s="16" t="s">
        <v>25494</v>
      </c>
      <c r="O1074" s="8" t="s">
        <v>400</v>
      </c>
      <c r="P1074" s="8" t="s">
        <v>401</v>
      </c>
      <c r="Q1074" s="14" t="s">
        <v>25495</v>
      </c>
      <c r="R1074" s="8" t="s">
        <v>100</v>
      </c>
      <c r="S1074" s="13" t="s">
        <v>28</v>
      </c>
      <c r="T1074" s="68" t="s">
        <v>29493</v>
      </c>
      <c r="U1074" s="68" t="s">
        <v>29441</v>
      </c>
      <c r="V1074" s="68" t="s">
        <v>21212</v>
      </c>
      <c r="W1074" s="68" t="s">
        <v>100</v>
      </c>
      <c r="X1074" s="68">
        <v>1785</v>
      </c>
      <c r="AW1074" s="11"/>
      <c r="AX1074" s="1"/>
      <c r="AY1074" s="1"/>
      <c r="BA1074" s="11"/>
      <c r="BB1074" s="11"/>
      <c r="BC1074" s="1"/>
      <c r="BD1074" s="1"/>
      <c r="BE1074" s="1"/>
      <c r="BF1074" s="1"/>
      <c r="BG1074" s="1"/>
      <c r="BH1074" s="1"/>
      <c r="BI1074" s="1"/>
      <c r="BJ1074" s="1"/>
      <c r="BK1074" s="11"/>
    </row>
    <row r="1075" spans="1:63" s="44" customFormat="1" ht="12" customHeight="1" x14ac:dyDescent="0.15">
      <c r="A1075" s="66" t="s">
        <v>29597</v>
      </c>
      <c r="B1075" s="66">
        <v>54</v>
      </c>
      <c r="C1075" s="66" t="s">
        <v>20</v>
      </c>
      <c r="D1075" s="66" t="s">
        <v>37</v>
      </c>
      <c r="E1075" s="66"/>
      <c r="F1075" s="67">
        <v>42593</v>
      </c>
      <c r="G1075" s="67"/>
      <c r="H1075" s="66" t="s">
        <v>6530</v>
      </c>
      <c r="I1075" s="66" t="s">
        <v>25</v>
      </c>
      <c r="J1075" s="66"/>
      <c r="K1075" s="66"/>
      <c r="L1075" s="66"/>
      <c r="M1075" s="66" t="s">
        <v>27</v>
      </c>
      <c r="N1075" s="66"/>
      <c r="O1075" s="66" t="s">
        <v>400</v>
      </c>
      <c r="P1075" s="66" t="s">
        <v>401</v>
      </c>
      <c r="Q1075" s="66"/>
      <c r="R1075" s="66" t="s">
        <v>100</v>
      </c>
      <c r="S1075" s="66" t="s">
        <v>28</v>
      </c>
      <c r="T1075" s="66" t="s">
        <v>27756</v>
      </c>
      <c r="U1075" s="66" t="s">
        <v>29438</v>
      </c>
      <c r="V1075" s="66" t="s">
        <v>29439</v>
      </c>
      <c r="W1075" s="66" t="s">
        <v>100</v>
      </c>
      <c r="X1075" s="66">
        <v>2149</v>
      </c>
      <c r="Y1075" s="66"/>
      <c r="Z1075" s="66"/>
      <c r="AA1075" s="66"/>
      <c r="AB1075" s="66"/>
      <c r="AC1075" s="66"/>
      <c r="AD1075" s="66"/>
      <c r="AE1075" s="66"/>
      <c r="AF1075" s="66"/>
      <c r="AG1075" s="66"/>
      <c r="AH1075" s="66"/>
      <c r="AI1075" s="66"/>
      <c r="AJ1075" s="66"/>
      <c r="AK1075" s="66"/>
      <c r="AL1075" s="66"/>
      <c r="AM1075" s="66"/>
      <c r="AN1075" s="66"/>
      <c r="AO1075" s="66"/>
      <c r="AP1075" s="66"/>
      <c r="AQ1075" s="66"/>
      <c r="AR1075" s="66"/>
      <c r="AS1075" s="66"/>
      <c r="AT1075" s="66"/>
      <c r="AU1075" s="66"/>
      <c r="AV1075" s="66"/>
      <c r="AW1075" s="66"/>
      <c r="AX1075" s="66"/>
      <c r="AY1075" s="66"/>
      <c r="AZ1075" s="66"/>
      <c r="BA1075" s="66"/>
      <c r="BB1075" s="66"/>
      <c r="BC1075" s="1"/>
      <c r="BD1075" s="1"/>
      <c r="BE1075" s="1"/>
      <c r="BF1075" s="1"/>
      <c r="BG1075" s="1"/>
      <c r="BH1075" s="1"/>
      <c r="BI1075" s="1"/>
      <c r="BJ1075" s="1"/>
      <c r="BK1075" s="11"/>
    </row>
    <row r="1076" spans="1:63" s="44" customFormat="1" ht="12" customHeight="1" x14ac:dyDescent="0.15">
      <c r="A1076" s="8" t="s">
        <v>25496</v>
      </c>
      <c r="B1076" s="8">
        <v>39</v>
      </c>
      <c r="C1076" s="8" t="s">
        <v>20</v>
      </c>
      <c r="D1076" s="8" t="s">
        <v>37</v>
      </c>
      <c r="E1076" s="14" t="s">
        <v>25497</v>
      </c>
      <c r="F1076" s="72">
        <v>42593</v>
      </c>
      <c r="G1076" s="8" t="s">
        <v>25498</v>
      </c>
      <c r="H1076" s="8" t="s">
        <v>25499</v>
      </c>
      <c r="I1076" s="8" t="s">
        <v>315</v>
      </c>
      <c r="J1076" s="8">
        <v>40831</v>
      </c>
      <c r="K1076" s="8" t="s">
        <v>25499</v>
      </c>
      <c r="L1076" s="8" t="s">
        <v>15777</v>
      </c>
      <c r="M1076" s="8" t="s">
        <v>27</v>
      </c>
      <c r="N1076" s="16" t="s">
        <v>25500</v>
      </c>
      <c r="O1076" s="8" t="s">
        <v>400</v>
      </c>
      <c r="P1076" s="8" t="s">
        <v>401</v>
      </c>
      <c r="Q1076" s="14" t="s">
        <v>25501</v>
      </c>
      <c r="R1076" s="8" t="s">
        <v>100</v>
      </c>
      <c r="S1076" s="8" t="s">
        <v>35</v>
      </c>
      <c r="T1076" s="68"/>
      <c r="U1076" s="68"/>
      <c r="V1076" s="68"/>
      <c r="W1076" s="68"/>
      <c r="X1076" s="68"/>
      <c r="AW1076" s="1"/>
      <c r="AX1076" s="1"/>
      <c r="AY1076" s="1"/>
      <c r="AZ1076" s="1"/>
      <c r="BA1076" s="1"/>
      <c r="BB1076" s="1"/>
      <c r="BC1076" s="1"/>
      <c r="BD1076" s="1"/>
      <c r="BE1076" s="1"/>
      <c r="BF1076" s="1"/>
      <c r="BG1076" s="1"/>
      <c r="BH1076" s="1"/>
      <c r="BI1076" s="1"/>
      <c r="BJ1076" s="1"/>
      <c r="BK1076" s="1"/>
    </row>
    <row r="1077" spans="1:63" s="44" customFormat="1" ht="12" customHeight="1" x14ac:dyDescent="0.2">
      <c r="A1077" s="8" t="s">
        <v>25487</v>
      </c>
      <c r="B1077" s="68">
        <v>59</v>
      </c>
      <c r="C1077" s="8" t="s">
        <v>20</v>
      </c>
      <c r="D1077" s="68" t="s">
        <v>37</v>
      </c>
      <c r="E1077" s="8"/>
      <c r="F1077" s="69">
        <v>42593</v>
      </c>
      <c r="G1077" s="8" t="s">
        <v>25488</v>
      </c>
      <c r="H1077" s="8" t="s">
        <v>12667</v>
      </c>
      <c r="I1077" s="8" t="s">
        <v>303</v>
      </c>
      <c r="J1077" s="8">
        <v>98188</v>
      </c>
      <c r="K1077" s="8" t="s">
        <v>1209</v>
      </c>
      <c r="L1077" s="8" t="s">
        <v>12669</v>
      </c>
      <c r="M1077" s="8" t="s">
        <v>27</v>
      </c>
      <c r="N1077" s="16" t="s">
        <v>25489</v>
      </c>
      <c r="O1077" s="8" t="s">
        <v>400</v>
      </c>
      <c r="P1077" s="8" t="s">
        <v>401</v>
      </c>
      <c r="Q1077" s="14" t="s">
        <v>25490</v>
      </c>
      <c r="R1077" s="68" t="s">
        <v>555</v>
      </c>
      <c r="S1077" s="8" t="s">
        <v>28</v>
      </c>
      <c r="T1077" s="68" t="s">
        <v>27756</v>
      </c>
      <c r="U1077" s="68" t="s">
        <v>29438</v>
      </c>
      <c r="V1077" s="68" t="s">
        <v>29439</v>
      </c>
      <c r="W1077" s="68" t="s">
        <v>100</v>
      </c>
      <c r="X1077" s="68">
        <v>1778</v>
      </c>
      <c r="AW1077" s="1"/>
      <c r="AX1077" s="1"/>
      <c r="AY1077" s="1"/>
      <c r="BA1077" s="70"/>
      <c r="BC1077" s="1"/>
      <c r="BD1077" s="1"/>
      <c r="BE1077" s="1"/>
      <c r="BF1077" s="1"/>
      <c r="BG1077" s="1"/>
      <c r="BH1077" s="1"/>
      <c r="BI1077" s="1"/>
      <c r="BJ1077" s="1"/>
      <c r="BK1077" s="11"/>
    </row>
    <row r="1078" spans="1:63" s="44" customFormat="1" ht="12" customHeight="1" x14ac:dyDescent="0.2">
      <c r="A1078" s="8" t="s">
        <v>25507</v>
      </c>
      <c r="B1078" s="68">
        <v>14</v>
      </c>
      <c r="C1078" s="8" t="s">
        <v>20</v>
      </c>
      <c r="D1078" s="8" t="s">
        <v>48</v>
      </c>
      <c r="E1078" s="14" t="s">
        <v>25508</v>
      </c>
      <c r="F1078" s="69">
        <v>42591</v>
      </c>
      <c r="G1078" s="8" t="s">
        <v>25509</v>
      </c>
      <c r="H1078" s="8" t="s">
        <v>98</v>
      </c>
      <c r="I1078" s="8" t="s">
        <v>45</v>
      </c>
      <c r="J1078" s="8">
        <v>90033</v>
      </c>
      <c r="K1078" s="8" t="s">
        <v>98</v>
      </c>
      <c r="L1078" s="8" t="s">
        <v>99</v>
      </c>
      <c r="M1078" s="8" t="s">
        <v>27</v>
      </c>
      <c r="N1078" s="16" t="s">
        <v>25510</v>
      </c>
      <c r="O1078" s="8" t="s">
        <v>400</v>
      </c>
      <c r="P1078" s="8" t="s">
        <v>401</v>
      </c>
      <c r="Q1078" s="14" t="s">
        <v>25511</v>
      </c>
      <c r="R1078" s="8" t="s">
        <v>100</v>
      </c>
      <c r="S1078" s="8" t="s">
        <v>28</v>
      </c>
      <c r="T1078" s="68" t="s">
        <v>27756</v>
      </c>
      <c r="U1078" s="68" t="s">
        <v>29438</v>
      </c>
      <c r="V1078" s="68" t="s">
        <v>29440</v>
      </c>
      <c r="W1078" s="68" t="s">
        <v>555</v>
      </c>
      <c r="X1078" s="68">
        <v>1776</v>
      </c>
      <c r="AW1078" s="70"/>
      <c r="AX1078" s="1"/>
      <c r="AY1078" s="1"/>
      <c r="BA1078" s="11"/>
      <c r="BB1078" s="11"/>
      <c r="BC1078" s="1"/>
      <c r="BD1078" s="1"/>
      <c r="BE1078" s="1"/>
      <c r="BF1078" s="1"/>
      <c r="BG1078" s="1"/>
      <c r="BH1078" s="1"/>
      <c r="BI1078" s="1"/>
      <c r="BJ1078" s="1"/>
      <c r="BK1078" s="11"/>
    </row>
    <row r="1079" spans="1:63" s="44" customFormat="1" ht="12" customHeight="1" x14ac:dyDescent="0.15">
      <c r="A1079" s="8" t="s">
        <v>25523</v>
      </c>
      <c r="B1079" s="8">
        <v>73</v>
      </c>
      <c r="C1079" s="8" t="s">
        <v>114</v>
      </c>
      <c r="D1079" s="8" t="s">
        <v>37</v>
      </c>
      <c r="E1079" s="14" t="s">
        <v>25524</v>
      </c>
      <c r="F1079" s="72">
        <v>42591</v>
      </c>
      <c r="G1079" s="8" t="s">
        <v>25525</v>
      </c>
      <c r="H1079" s="8" t="s">
        <v>10544</v>
      </c>
      <c r="I1079" s="8" t="s">
        <v>62</v>
      </c>
      <c r="J1079" s="8">
        <v>33950</v>
      </c>
      <c r="K1079" s="8" t="s">
        <v>4191</v>
      </c>
      <c r="L1079" s="8" t="s">
        <v>25526</v>
      </c>
      <c r="M1079" s="8" t="s">
        <v>27</v>
      </c>
      <c r="N1079" s="16" t="s">
        <v>25527</v>
      </c>
      <c r="O1079" s="8" t="s">
        <v>25476</v>
      </c>
      <c r="P1079" s="8" t="s">
        <v>1159</v>
      </c>
      <c r="Q1079" s="14" t="s">
        <v>25528</v>
      </c>
      <c r="R1079" s="8" t="s">
        <v>100</v>
      </c>
      <c r="S1079" s="8" t="s">
        <v>18</v>
      </c>
      <c r="T1079" s="68"/>
      <c r="U1079" s="68"/>
      <c r="V1079" s="68"/>
      <c r="W1079" s="68"/>
      <c r="X1079" s="68"/>
      <c r="AW1079" s="1"/>
      <c r="AX1079" s="1"/>
      <c r="AY1079" s="1"/>
      <c r="AZ1079" s="1"/>
      <c r="BA1079" s="1"/>
      <c r="BB1079" s="1"/>
      <c r="BC1079" s="1"/>
      <c r="BD1079" s="1"/>
      <c r="BE1079" s="1"/>
      <c r="BF1079" s="1"/>
      <c r="BG1079" s="1"/>
      <c r="BH1079" s="1"/>
      <c r="BI1079" s="1"/>
      <c r="BJ1079" s="1"/>
      <c r="BK1079" s="1"/>
    </row>
    <row r="1080" spans="1:63" s="44" customFormat="1" ht="12" customHeight="1" x14ac:dyDescent="0.15">
      <c r="A1080" s="8" t="s">
        <v>25502</v>
      </c>
      <c r="B1080" s="68">
        <v>44</v>
      </c>
      <c r="C1080" s="8" t="s">
        <v>20</v>
      </c>
      <c r="D1080" s="8" t="s">
        <v>37</v>
      </c>
      <c r="E1080" s="14" t="s">
        <v>25503</v>
      </c>
      <c r="F1080" s="69">
        <v>42591</v>
      </c>
      <c r="G1080" s="8" t="s">
        <v>25504</v>
      </c>
      <c r="H1080" s="8" t="s">
        <v>9447</v>
      </c>
      <c r="I1080" s="8" t="s">
        <v>32</v>
      </c>
      <c r="J1080" s="8">
        <v>29673</v>
      </c>
      <c r="K1080" s="8" t="s">
        <v>33</v>
      </c>
      <c r="L1080" s="8" t="s">
        <v>5700</v>
      </c>
      <c r="M1080" s="8" t="s">
        <v>27</v>
      </c>
      <c r="N1080" s="16" t="s">
        <v>25505</v>
      </c>
      <c r="O1080" s="8" t="s">
        <v>400</v>
      </c>
      <c r="P1080" s="8" t="s">
        <v>401</v>
      </c>
      <c r="Q1080" s="14" t="s">
        <v>25506</v>
      </c>
      <c r="R1080" s="8" t="s">
        <v>100</v>
      </c>
      <c r="S1080" s="8" t="s">
        <v>35</v>
      </c>
      <c r="T1080" s="66" t="s">
        <v>29441</v>
      </c>
      <c r="U1080" s="68" t="s">
        <v>29436</v>
      </c>
      <c r="V1080" s="68" t="s">
        <v>29439</v>
      </c>
      <c r="W1080" s="68" t="s">
        <v>100</v>
      </c>
      <c r="X1080" s="68">
        <v>1777</v>
      </c>
      <c r="AW1080" s="1"/>
      <c r="AX1080" s="1"/>
      <c r="AY1080" s="1"/>
      <c r="BA1080" s="11"/>
      <c r="BB1080" s="11"/>
      <c r="BC1080" s="1"/>
      <c r="BD1080" s="1"/>
      <c r="BE1080" s="1"/>
      <c r="BF1080" s="1"/>
      <c r="BG1080" s="1"/>
      <c r="BH1080" s="1"/>
      <c r="BI1080" s="1"/>
      <c r="BJ1080" s="1"/>
      <c r="BK1080" s="1"/>
    </row>
    <row r="1081" spans="1:63" s="44" customFormat="1" ht="12" customHeight="1" x14ac:dyDescent="0.15">
      <c r="A1081" s="8" t="s">
        <v>25519</v>
      </c>
      <c r="B1081" s="8">
        <v>61</v>
      </c>
      <c r="C1081" s="8" t="s">
        <v>20</v>
      </c>
      <c r="D1081" s="11" t="s">
        <v>85</v>
      </c>
      <c r="E1081" s="8"/>
      <c r="F1081" s="72">
        <v>42591</v>
      </c>
      <c r="G1081" s="8" t="s">
        <v>25520</v>
      </c>
      <c r="H1081" s="8" t="s">
        <v>4883</v>
      </c>
      <c r="I1081" s="8" t="s">
        <v>45</v>
      </c>
      <c r="J1081" s="8">
        <v>94533</v>
      </c>
      <c r="K1081" s="8" t="s">
        <v>3423</v>
      </c>
      <c r="L1081" s="8" t="s">
        <v>4885</v>
      </c>
      <c r="M1081" s="1" t="s">
        <v>14359</v>
      </c>
      <c r="N1081" s="16" t="s">
        <v>25521</v>
      </c>
      <c r="O1081" s="8" t="s">
        <v>400</v>
      </c>
      <c r="P1081" s="8" t="s">
        <v>401</v>
      </c>
      <c r="Q1081" s="14" t="s">
        <v>25522</v>
      </c>
      <c r="R1081" s="8" t="s">
        <v>29</v>
      </c>
      <c r="S1081" s="8" t="s">
        <v>18</v>
      </c>
      <c r="T1081" s="8"/>
      <c r="AU1081" s="1"/>
      <c r="AV1081" s="1"/>
      <c r="AW1081" s="1"/>
      <c r="AZ1081" s="1"/>
      <c r="BA1081" s="1"/>
      <c r="BB1081" s="1"/>
      <c r="BK1081" s="1"/>
    </row>
    <row r="1082" spans="1:63" s="44" customFormat="1" ht="12" customHeight="1" x14ac:dyDescent="0.15">
      <c r="A1082" s="8" t="s">
        <v>25512</v>
      </c>
      <c r="B1082" s="68">
        <v>45</v>
      </c>
      <c r="C1082" s="8" t="s">
        <v>20</v>
      </c>
      <c r="D1082" s="8" t="s">
        <v>37</v>
      </c>
      <c r="E1082" s="14" t="s">
        <v>25513</v>
      </c>
      <c r="F1082" s="69">
        <v>42591</v>
      </c>
      <c r="G1082" s="8" t="s">
        <v>25514</v>
      </c>
      <c r="H1082" s="8" t="s">
        <v>25515</v>
      </c>
      <c r="I1082" s="8" t="s">
        <v>69</v>
      </c>
      <c r="J1082" s="8">
        <v>43143</v>
      </c>
      <c r="K1082" s="8" t="s">
        <v>2160</v>
      </c>
      <c r="L1082" s="8" t="s">
        <v>25516</v>
      </c>
      <c r="M1082" s="8" t="s">
        <v>27</v>
      </c>
      <c r="N1082" s="16" t="s">
        <v>25517</v>
      </c>
      <c r="O1082" s="8" t="s">
        <v>400</v>
      </c>
      <c r="P1082" s="8" t="s">
        <v>401</v>
      </c>
      <c r="Q1082" s="14" t="s">
        <v>25518</v>
      </c>
      <c r="R1082" s="8" t="s">
        <v>555</v>
      </c>
      <c r="S1082" s="8" t="s">
        <v>28</v>
      </c>
      <c r="T1082" s="68" t="s">
        <v>27756</v>
      </c>
      <c r="U1082" s="68" t="s">
        <v>29436</v>
      </c>
      <c r="V1082" s="68" t="s">
        <v>29439</v>
      </c>
      <c r="W1082" s="68" t="s">
        <v>100</v>
      </c>
      <c r="X1082" s="68">
        <v>1775</v>
      </c>
      <c r="AW1082" s="1"/>
      <c r="AX1082" s="1"/>
      <c r="AY1082" s="1"/>
      <c r="BA1082" s="11"/>
      <c r="BB1082" s="11"/>
      <c r="BC1082" s="1"/>
      <c r="BD1082" s="1"/>
      <c r="BE1082" s="1"/>
      <c r="BF1082" s="1"/>
      <c r="BG1082" s="1"/>
      <c r="BH1082" s="1"/>
      <c r="BI1082" s="1"/>
      <c r="BJ1082" s="1"/>
      <c r="BK1082" s="11"/>
    </row>
    <row r="1083" spans="1:63" s="44" customFormat="1" ht="12" customHeight="1" x14ac:dyDescent="0.15">
      <c r="A1083" s="8" t="s">
        <v>25547</v>
      </c>
      <c r="B1083" s="68">
        <v>57</v>
      </c>
      <c r="C1083" s="8" t="s">
        <v>20</v>
      </c>
      <c r="D1083" s="8" t="s">
        <v>85</v>
      </c>
      <c r="E1083" s="14" t="s">
        <v>25548</v>
      </c>
      <c r="F1083" s="69">
        <v>42590</v>
      </c>
      <c r="G1083" s="8" t="s">
        <v>29550</v>
      </c>
      <c r="H1083" s="8" t="s">
        <v>890</v>
      </c>
      <c r="I1083" s="8" t="s">
        <v>315</v>
      </c>
      <c r="J1083" s="8" t="s">
        <v>10806</v>
      </c>
      <c r="K1083" s="8" t="s">
        <v>1778</v>
      </c>
      <c r="L1083" s="8" t="s">
        <v>891</v>
      </c>
      <c r="M1083" s="8" t="s">
        <v>27</v>
      </c>
      <c r="N1083" s="8" t="s">
        <v>25549</v>
      </c>
      <c r="O1083" s="8" t="s">
        <v>400</v>
      </c>
      <c r="P1083" s="8" t="s">
        <v>401</v>
      </c>
      <c r="Q1083" s="14" t="s">
        <v>25550</v>
      </c>
      <c r="R1083" s="8" t="s">
        <v>100</v>
      </c>
      <c r="S1083" s="8" t="s">
        <v>28</v>
      </c>
      <c r="T1083" s="68" t="s">
        <v>29493</v>
      </c>
      <c r="U1083" s="68" t="s">
        <v>29436</v>
      </c>
      <c r="V1083" s="68" t="s">
        <v>29439</v>
      </c>
      <c r="W1083" s="68" t="s">
        <v>555</v>
      </c>
      <c r="X1083" s="68">
        <v>1766</v>
      </c>
      <c r="AW1083" s="1"/>
      <c r="BA1083" s="11"/>
      <c r="BB1083" s="11"/>
      <c r="BK1083" s="11"/>
    </row>
    <row r="1084" spans="1:63" s="44" customFormat="1" ht="12" customHeight="1" x14ac:dyDescent="0.15">
      <c r="A1084" s="8" t="s">
        <v>25551</v>
      </c>
      <c r="B1084" s="68">
        <v>34</v>
      </c>
      <c r="C1084" s="8" t="s">
        <v>20</v>
      </c>
      <c r="D1084" s="8" t="s">
        <v>48</v>
      </c>
      <c r="E1084" s="8"/>
      <c r="F1084" s="69">
        <v>42590</v>
      </c>
      <c r="G1084" s="8" t="s">
        <v>25552</v>
      </c>
      <c r="H1084" s="8" t="s">
        <v>8600</v>
      </c>
      <c r="I1084" s="8" t="s">
        <v>315</v>
      </c>
      <c r="J1084" s="8" t="s">
        <v>10202</v>
      </c>
      <c r="K1084" s="8" t="s">
        <v>25553</v>
      </c>
      <c r="L1084" s="8" t="s">
        <v>20114</v>
      </c>
      <c r="M1084" s="8" t="s">
        <v>27</v>
      </c>
      <c r="N1084" s="8" t="s">
        <v>25554</v>
      </c>
      <c r="O1084" s="8" t="s">
        <v>400</v>
      </c>
      <c r="P1084" s="8" t="s">
        <v>401</v>
      </c>
      <c r="Q1084" s="14" t="s">
        <v>25555</v>
      </c>
      <c r="R1084" s="8" t="s">
        <v>100</v>
      </c>
      <c r="S1084" s="8" t="s">
        <v>35</v>
      </c>
      <c r="T1084" s="66" t="s">
        <v>29441</v>
      </c>
      <c r="U1084" s="68" t="s">
        <v>29438</v>
      </c>
      <c r="V1084" s="68" t="s">
        <v>21212</v>
      </c>
      <c r="W1084" s="68" t="s">
        <v>100</v>
      </c>
      <c r="X1084" s="68">
        <v>1774</v>
      </c>
      <c r="AW1084" s="11"/>
      <c r="AX1084" s="1"/>
      <c r="AY1084" s="1"/>
      <c r="BA1084" s="11"/>
      <c r="BB1084" s="11"/>
      <c r="BC1084" s="1"/>
      <c r="BD1084" s="1"/>
      <c r="BE1084" s="1"/>
      <c r="BF1084" s="1"/>
      <c r="BG1084" s="1"/>
      <c r="BH1084" s="1"/>
      <c r="BI1084" s="1"/>
      <c r="BJ1084" s="1"/>
      <c r="BK1084" s="1"/>
    </row>
    <row r="1085" spans="1:63" s="11" customFormat="1" ht="12" customHeight="1" x14ac:dyDescent="0.15">
      <c r="A1085" s="8" t="s">
        <v>25529</v>
      </c>
      <c r="B1085" s="68">
        <v>56</v>
      </c>
      <c r="C1085" s="8" t="s">
        <v>20</v>
      </c>
      <c r="D1085" s="11" t="s">
        <v>37</v>
      </c>
      <c r="E1085" s="8"/>
      <c r="F1085" s="69">
        <v>42590</v>
      </c>
      <c r="G1085" s="8" t="s">
        <v>29549</v>
      </c>
      <c r="H1085" s="8" t="s">
        <v>1640</v>
      </c>
      <c r="I1085" s="8" t="s">
        <v>45</v>
      </c>
      <c r="J1085" s="8">
        <v>95621</v>
      </c>
      <c r="K1085" s="8" t="s">
        <v>1642</v>
      </c>
      <c r="L1085" s="8" t="s">
        <v>1643</v>
      </c>
      <c r="M1085" s="8" t="s">
        <v>27</v>
      </c>
      <c r="N1085" s="16" t="s">
        <v>25530</v>
      </c>
      <c r="O1085" s="8" t="s">
        <v>400</v>
      </c>
      <c r="P1085" s="8" t="s">
        <v>401</v>
      </c>
      <c r="Q1085" s="14" t="s">
        <v>25531</v>
      </c>
      <c r="R1085" s="8" t="s">
        <v>29</v>
      </c>
      <c r="S1085" s="8" t="s">
        <v>28</v>
      </c>
      <c r="T1085" s="68" t="s">
        <v>27756</v>
      </c>
      <c r="U1085" s="68" t="s">
        <v>29438</v>
      </c>
      <c r="V1085" s="68" t="s">
        <v>29439</v>
      </c>
      <c r="W1085" s="68" t="s">
        <v>100</v>
      </c>
      <c r="X1085" s="68">
        <v>1771</v>
      </c>
      <c r="Y1085" s="44"/>
      <c r="Z1085" s="44"/>
      <c r="AA1085" s="44"/>
      <c r="AB1085" s="44"/>
      <c r="AC1085" s="44"/>
      <c r="AD1085" s="44"/>
      <c r="AE1085" s="44"/>
      <c r="AF1085" s="44"/>
      <c r="AG1085" s="44"/>
      <c r="AH1085" s="44"/>
      <c r="AI1085" s="44"/>
      <c r="AJ1085" s="44"/>
      <c r="AK1085" s="44"/>
      <c r="AL1085" s="44"/>
      <c r="AM1085" s="44"/>
      <c r="AN1085" s="44"/>
      <c r="AO1085" s="44"/>
      <c r="AP1085" s="44"/>
      <c r="AQ1085" s="44"/>
      <c r="AR1085" s="44"/>
      <c r="AS1085" s="44"/>
      <c r="AT1085" s="44"/>
      <c r="AU1085" s="44"/>
      <c r="AV1085" s="44"/>
      <c r="AW1085" s="1"/>
      <c r="AX1085" s="1"/>
      <c r="AY1085" s="1"/>
      <c r="AZ1085" s="44"/>
      <c r="BA1085" s="1"/>
      <c r="BB1085" s="1"/>
      <c r="BC1085" s="1"/>
      <c r="BD1085" s="1"/>
      <c r="BE1085" s="1"/>
      <c r="BF1085" s="1"/>
      <c r="BG1085" s="1"/>
      <c r="BH1085" s="1"/>
      <c r="BI1085" s="1"/>
      <c r="BJ1085" s="1"/>
    </row>
    <row r="1086" spans="1:63" s="44" customFormat="1" ht="12" customHeight="1" x14ac:dyDescent="0.15">
      <c r="A1086" s="8" t="s">
        <v>25532</v>
      </c>
      <c r="B1086" s="68">
        <v>64</v>
      </c>
      <c r="C1086" s="8" t="s">
        <v>20</v>
      </c>
      <c r="D1086" s="11" t="s">
        <v>37</v>
      </c>
      <c r="E1086" s="8"/>
      <c r="F1086" s="69">
        <v>42590</v>
      </c>
      <c r="G1086" s="8" t="s">
        <v>25533</v>
      </c>
      <c r="H1086" s="8" t="s">
        <v>25534</v>
      </c>
      <c r="I1086" s="8" t="s">
        <v>366</v>
      </c>
      <c r="J1086" s="8" t="s">
        <v>25535</v>
      </c>
      <c r="K1086" s="8" t="s">
        <v>25536</v>
      </c>
      <c r="L1086" s="8" t="s">
        <v>1656</v>
      </c>
      <c r="M1086" s="8" t="s">
        <v>27</v>
      </c>
      <c r="N1086" s="8" t="s">
        <v>25537</v>
      </c>
      <c r="O1086" s="8" t="s">
        <v>400</v>
      </c>
      <c r="P1086" s="8" t="s">
        <v>401</v>
      </c>
      <c r="Q1086" s="14" t="s">
        <v>25538</v>
      </c>
      <c r="R1086" s="8" t="s">
        <v>29</v>
      </c>
      <c r="S1086" s="8" t="s">
        <v>28</v>
      </c>
      <c r="T1086" s="68" t="s">
        <v>27756</v>
      </c>
      <c r="U1086" s="68" t="s">
        <v>29438</v>
      </c>
      <c r="V1086" s="68" t="s">
        <v>29439</v>
      </c>
      <c r="W1086" s="68" t="s">
        <v>100</v>
      </c>
      <c r="X1086" s="68">
        <v>1773</v>
      </c>
      <c r="AW1086" s="1"/>
      <c r="AX1086" s="1"/>
      <c r="AY1086" s="1"/>
      <c r="BA1086" s="1"/>
      <c r="BB1086" s="1"/>
      <c r="BC1086" s="1"/>
      <c r="BD1086" s="1"/>
      <c r="BE1086" s="1"/>
      <c r="BF1086" s="1"/>
      <c r="BG1086" s="1"/>
      <c r="BH1086" s="1"/>
      <c r="BI1086" s="1"/>
      <c r="BJ1086" s="1"/>
      <c r="BK1086" s="11"/>
    </row>
    <row r="1087" spans="1:63" s="44" customFormat="1" ht="12" customHeight="1" x14ac:dyDescent="0.2">
      <c r="A1087" s="8" t="s">
        <v>25539</v>
      </c>
      <c r="B1087" s="68">
        <v>69</v>
      </c>
      <c r="C1087" s="8" t="s">
        <v>20</v>
      </c>
      <c r="D1087" s="11" t="s">
        <v>37</v>
      </c>
      <c r="E1087" s="8"/>
      <c r="F1087" s="69">
        <v>42590</v>
      </c>
      <c r="G1087" s="8" t="s">
        <v>25540</v>
      </c>
      <c r="H1087" s="8" t="s">
        <v>25541</v>
      </c>
      <c r="I1087" s="8" t="s">
        <v>32</v>
      </c>
      <c r="J1087" s="8" t="s">
        <v>25542</v>
      </c>
      <c r="K1087" s="8" t="s">
        <v>25543</v>
      </c>
      <c r="L1087" s="8" t="s">
        <v>25544</v>
      </c>
      <c r="M1087" s="8" t="s">
        <v>27</v>
      </c>
      <c r="N1087" s="8" t="s">
        <v>25545</v>
      </c>
      <c r="O1087" s="8" t="s">
        <v>400</v>
      </c>
      <c r="P1087" s="8" t="s">
        <v>401</v>
      </c>
      <c r="Q1087" s="14" t="s">
        <v>25546</v>
      </c>
      <c r="R1087" s="68" t="s">
        <v>555</v>
      </c>
      <c r="S1087" s="8" t="s">
        <v>28</v>
      </c>
      <c r="T1087" s="68" t="s">
        <v>27756</v>
      </c>
      <c r="U1087" s="68" t="s">
        <v>29438</v>
      </c>
      <c r="V1087" s="68" t="s">
        <v>29439</v>
      </c>
      <c r="W1087" s="68" t="s">
        <v>100</v>
      </c>
      <c r="X1087" s="68">
        <v>1833</v>
      </c>
      <c r="AW1087" s="1"/>
      <c r="AX1087" s="1"/>
      <c r="AY1087" s="1"/>
      <c r="BA1087" s="70"/>
      <c r="BB1087" s="70"/>
      <c r="BC1087" s="1"/>
      <c r="BD1087" s="1"/>
      <c r="BE1087" s="1"/>
      <c r="BF1087" s="1"/>
      <c r="BG1087" s="1"/>
      <c r="BH1087" s="1"/>
      <c r="BI1087" s="1"/>
      <c r="BJ1087" s="1"/>
      <c r="BK1087" s="11"/>
    </row>
    <row r="1088" spans="1:63" s="44" customFormat="1" ht="12" customHeight="1" x14ac:dyDescent="0.2">
      <c r="A1088" s="8" t="s">
        <v>25556</v>
      </c>
      <c r="B1088" s="68">
        <v>25</v>
      </c>
      <c r="C1088" s="8" t="s">
        <v>20</v>
      </c>
      <c r="D1088" s="8" t="s">
        <v>85</v>
      </c>
      <c r="E1088" s="14" t="s">
        <v>25557</v>
      </c>
      <c r="F1088" s="69">
        <v>42589</v>
      </c>
      <c r="G1088" s="8" t="s">
        <v>25558</v>
      </c>
      <c r="H1088" s="8" t="s">
        <v>547</v>
      </c>
      <c r="I1088" s="8" t="s">
        <v>69</v>
      </c>
      <c r="J1088" s="8" t="s">
        <v>19665</v>
      </c>
      <c r="K1088" s="8" t="s">
        <v>548</v>
      </c>
      <c r="L1088" s="8" t="s">
        <v>549</v>
      </c>
      <c r="M1088" s="8" t="s">
        <v>27</v>
      </c>
      <c r="N1088" s="8" t="s">
        <v>25559</v>
      </c>
      <c r="O1088" s="8" t="s">
        <v>550</v>
      </c>
      <c r="P1088" s="8" t="s">
        <v>401</v>
      </c>
      <c r="Q1088" s="14" t="s">
        <v>25560</v>
      </c>
      <c r="R1088" s="68" t="s">
        <v>555</v>
      </c>
      <c r="S1088" s="8" t="s">
        <v>28</v>
      </c>
      <c r="T1088" s="68" t="s">
        <v>29493</v>
      </c>
      <c r="U1088" s="68" t="s">
        <v>29438</v>
      </c>
      <c r="V1088" s="68" t="s">
        <v>29439</v>
      </c>
      <c r="W1088" s="68" t="s">
        <v>100</v>
      </c>
      <c r="X1088" s="68">
        <v>1763</v>
      </c>
      <c r="AW1088" s="11"/>
      <c r="BA1088" s="70"/>
      <c r="BK1088" s="11"/>
    </row>
    <row r="1089" spans="1:63" s="44" customFormat="1" ht="12" customHeight="1" x14ac:dyDescent="0.2">
      <c r="A1089" s="8" t="s">
        <v>25561</v>
      </c>
      <c r="B1089" s="68">
        <v>20</v>
      </c>
      <c r="C1089" s="8" t="s">
        <v>20</v>
      </c>
      <c r="D1089" s="8" t="s">
        <v>85</v>
      </c>
      <c r="E1089" s="14" t="s">
        <v>25562</v>
      </c>
      <c r="F1089" s="69">
        <v>42589</v>
      </c>
      <c r="G1089" s="8" t="s">
        <v>25563</v>
      </c>
      <c r="H1089" s="8" t="s">
        <v>12304</v>
      </c>
      <c r="I1089" s="8" t="s">
        <v>404</v>
      </c>
      <c r="J1089" s="8" t="s">
        <v>12305</v>
      </c>
      <c r="K1089" s="8" t="s">
        <v>4537</v>
      </c>
      <c r="L1089" s="8" t="s">
        <v>12306</v>
      </c>
      <c r="M1089" s="8" t="s">
        <v>27</v>
      </c>
      <c r="N1089" s="8" t="s">
        <v>25564</v>
      </c>
      <c r="O1089" s="8" t="s">
        <v>400</v>
      </c>
      <c r="P1089" s="8" t="s">
        <v>401</v>
      </c>
      <c r="Q1089" s="14" t="s">
        <v>25565</v>
      </c>
      <c r="R1089" s="68" t="s">
        <v>555</v>
      </c>
      <c r="S1089" s="8" t="s">
        <v>28</v>
      </c>
      <c r="T1089" s="68" t="s">
        <v>29493</v>
      </c>
      <c r="U1089" s="68" t="s">
        <v>29436</v>
      </c>
      <c r="V1089" s="68" t="s">
        <v>29439</v>
      </c>
      <c r="W1089" s="68" t="s">
        <v>100</v>
      </c>
      <c r="X1089" s="68">
        <v>1764</v>
      </c>
      <c r="AW1089" s="70"/>
      <c r="AX1089" s="70"/>
      <c r="AY1089" s="70"/>
      <c r="BB1089" s="11"/>
      <c r="BK1089" s="11"/>
    </row>
    <row r="1090" spans="1:63" s="44" customFormat="1" ht="12" customHeight="1" x14ac:dyDescent="0.15">
      <c r="A1090" s="8" t="s">
        <v>25584</v>
      </c>
      <c r="B1090" s="8">
        <v>30</v>
      </c>
      <c r="C1090" s="8" t="s">
        <v>20</v>
      </c>
      <c r="D1090" s="8" t="s">
        <v>37</v>
      </c>
      <c r="E1090" s="14" t="s">
        <v>25585</v>
      </c>
      <c r="F1090" s="72">
        <v>42587</v>
      </c>
      <c r="G1090" s="8" t="s">
        <v>25586</v>
      </c>
      <c r="H1090" s="8" t="s">
        <v>25587</v>
      </c>
      <c r="I1090" s="8" t="s">
        <v>62</v>
      </c>
      <c r="J1090" s="8" t="s">
        <v>25588</v>
      </c>
      <c r="K1090" s="8" t="s">
        <v>4353</v>
      </c>
      <c r="L1090" s="8" t="s">
        <v>23207</v>
      </c>
      <c r="M1090" s="8" t="s">
        <v>27</v>
      </c>
      <c r="N1090" s="8" t="s">
        <v>25589</v>
      </c>
      <c r="O1090" s="8" t="s">
        <v>400</v>
      </c>
      <c r="P1090" s="8" t="s">
        <v>401</v>
      </c>
      <c r="Q1090" s="14" t="s">
        <v>25590</v>
      </c>
      <c r="R1090" s="8" t="s">
        <v>29</v>
      </c>
      <c r="S1090" s="8" t="s">
        <v>18</v>
      </c>
      <c r="T1090" s="68"/>
      <c r="U1090" s="68"/>
      <c r="V1090" s="68"/>
      <c r="W1090" s="68"/>
      <c r="X1090" s="68"/>
      <c r="AW1090" s="1"/>
      <c r="AX1090" s="1"/>
      <c r="AY1090" s="1"/>
      <c r="AZ1090" s="1"/>
      <c r="BA1090" s="1"/>
      <c r="BB1090" s="1"/>
      <c r="BC1090" s="1"/>
      <c r="BD1090" s="1"/>
      <c r="BE1090" s="1"/>
      <c r="BF1090" s="1"/>
      <c r="BG1090" s="1"/>
      <c r="BH1090" s="1"/>
      <c r="BI1090" s="1"/>
      <c r="BJ1090" s="1"/>
      <c r="BK1090" s="1"/>
    </row>
    <row r="1091" spans="1:63" s="44" customFormat="1" ht="12" customHeight="1" x14ac:dyDescent="0.2">
      <c r="A1091" s="8" t="s">
        <v>25566</v>
      </c>
      <c r="B1091" s="68">
        <v>26</v>
      </c>
      <c r="C1091" s="8" t="s">
        <v>20</v>
      </c>
      <c r="D1091" s="8" t="s">
        <v>85</v>
      </c>
      <c r="E1091" s="14" t="s">
        <v>25567</v>
      </c>
      <c r="F1091" s="69">
        <v>42587</v>
      </c>
      <c r="G1091" s="8" t="s">
        <v>25568</v>
      </c>
      <c r="H1091" s="8" t="s">
        <v>8224</v>
      </c>
      <c r="I1091" s="8" t="s">
        <v>173</v>
      </c>
      <c r="J1091" s="8" t="s">
        <v>10556</v>
      </c>
      <c r="K1091" s="8" t="s">
        <v>1556</v>
      </c>
      <c r="L1091" s="8" t="s">
        <v>5634</v>
      </c>
      <c r="M1091" s="8" t="s">
        <v>27</v>
      </c>
      <c r="N1091" s="8" t="s">
        <v>25569</v>
      </c>
      <c r="O1091" s="8" t="s">
        <v>400</v>
      </c>
      <c r="P1091" s="8" t="s">
        <v>401</v>
      </c>
      <c r="Q1091" s="14" t="s">
        <v>25570</v>
      </c>
      <c r="R1091" s="68" t="s">
        <v>555</v>
      </c>
      <c r="S1091" s="8" t="s">
        <v>28</v>
      </c>
      <c r="T1091" s="68" t="s">
        <v>27756</v>
      </c>
      <c r="U1091" s="68" t="s">
        <v>29438</v>
      </c>
      <c r="V1091" s="68" t="s">
        <v>29439</v>
      </c>
      <c r="W1091" s="68" t="s">
        <v>100</v>
      </c>
      <c r="X1091" s="68">
        <v>1767</v>
      </c>
      <c r="BA1091" s="70"/>
      <c r="BK1091" s="11"/>
    </row>
    <row r="1092" spans="1:63" s="44" customFormat="1" ht="12" customHeight="1" x14ac:dyDescent="0.2">
      <c r="A1092" s="8" t="s">
        <v>25591</v>
      </c>
      <c r="B1092" s="68">
        <v>31</v>
      </c>
      <c r="C1092" s="8" t="s">
        <v>20</v>
      </c>
      <c r="D1092" s="11" t="s">
        <v>48</v>
      </c>
      <c r="E1092" s="8"/>
      <c r="F1092" s="69">
        <v>42587</v>
      </c>
      <c r="G1092" s="8" t="s">
        <v>29551</v>
      </c>
      <c r="H1092" s="8" t="s">
        <v>25592</v>
      </c>
      <c r="I1092" s="8" t="s">
        <v>45</v>
      </c>
      <c r="J1092" s="8" t="s">
        <v>25593</v>
      </c>
      <c r="K1092" s="8" t="s">
        <v>156</v>
      </c>
      <c r="L1092" s="8" t="s">
        <v>25373</v>
      </c>
      <c r="M1092" s="8" t="s">
        <v>27</v>
      </c>
      <c r="N1092" s="8" t="s">
        <v>25594</v>
      </c>
      <c r="O1092" s="8" t="s">
        <v>400</v>
      </c>
      <c r="P1092" s="8" t="s">
        <v>401</v>
      </c>
      <c r="Q1092" s="14" t="s">
        <v>25595</v>
      </c>
      <c r="R1092" s="68" t="s">
        <v>555</v>
      </c>
      <c r="S1092" s="8" t="s">
        <v>28</v>
      </c>
      <c r="T1092" s="68" t="s">
        <v>29453</v>
      </c>
      <c r="U1092" s="68" t="s">
        <v>29438</v>
      </c>
      <c r="V1092" s="68" t="s">
        <v>29439</v>
      </c>
      <c r="W1092" s="68" t="s">
        <v>100</v>
      </c>
      <c r="X1092" s="68">
        <v>1769</v>
      </c>
      <c r="AW1092" s="11"/>
      <c r="AX1092" s="1"/>
      <c r="AY1092" s="1"/>
      <c r="BA1092" s="70"/>
      <c r="BC1092" s="1"/>
      <c r="BD1092" s="1"/>
      <c r="BE1092" s="1"/>
      <c r="BF1092" s="1"/>
      <c r="BG1092" s="1"/>
      <c r="BH1092" s="1"/>
      <c r="BI1092" s="1"/>
      <c r="BJ1092" s="1"/>
      <c r="BK1092" s="11"/>
    </row>
    <row r="1093" spans="1:63" s="44" customFormat="1" ht="12" customHeight="1" x14ac:dyDescent="0.15">
      <c r="A1093" s="8" t="s">
        <v>25579</v>
      </c>
      <c r="B1093" s="68">
        <v>58</v>
      </c>
      <c r="C1093" s="8" t="s">
        <v>20</v>
      </c>
      <c r="D1093" s="11" t="s">
        <v>37</v>
      </c>
      <c r="E1093" s="8"/>
      <c r="F1093" s="69">
        <v>42587</v>
      </c>
      <c r="G1093" s="8" t="s">
        <v>29552</v>
      </c>
      <c r="H1093" s="8" t="s">
        <v>25580</v>
      </c>
      <c r="I1093" s="8" t="s">
        <v>244</v>
      </c>
      <c r="J1093" s="8" t="s">
        <v>25581</v>
      </c>
      <c r="K1093" s="8" t="s">
        <v>9634</v>
      </c>
      <c r="L1093" s="8" t="s">
        <v>16379</v>
      </c>
      <c r="M1093" s="8" t="s">
        <v>27</v>
      </c>
      <c r="N1093" s="8" t="s">
        <v>25582</v>
      </c>
      <c r="O1093" s="8" t="s">
        <v>400</v>
      </c>
      <c r="P1093" s="8" t="s">
        <v>401</v>
      </c>
      <c r="Q1093" s="14" t="s">
        <v>25583</v>
      </c>
      <c r="R1093" s="68" t="s">
        <v>555</v>
      </c>
      <c r="S1093" s="8" t="s">
        <v>28</v>
      </c>
      <c r="T1093" s="68" t="s">
        <v>29493</v>
      </c>
      <c r="U1093" s="68" t="s">
        <v>29436</v>
      </c>
      <c r="V1093" s="68" t="s">
        <v>29439</v>
      </c>
      <c r="W1093" s="68" t="s">
        <v>100</v>
      </c>
      <c r="X1093" s="68">
        <v>1762</v>
      </c>
      <c r="AW1093" s="1"/>
      <c r="AX1093" s="1"/>
      <c r="AY1093" s="1"/>
      <c r="BB1093" s="11"/>
      <c r="BC1093" s="1"/>
      <c r="BD1093" s="1"/>
      <c r="BE1093" s="1"/>
      <c r="BF1093" s="1"/>
      <c r="BG1093" s="1"/>
      <c r="BH1093" s="1"/>
      <c r="BI1093" s="1"/>
      <c r="BJ1093" s="1"/>
      <c r="BK1093" s="11"/>
    </row>
    <row r="1094" spans="1:63" s="44" customFormat="1" ht="12" customHeight="1" x14ac:dyDescent="0.15">
      <c r="A1094" s="8" t="s">
        <v>25571</v>
      </c>
      <c r="B1094" s="68">
        <v>59</v>
      </c>
      <c r="C1094" s="8" t="s">
        <v>20</v>
      </c>
      <c r="D1094" s="11" t="s">
        <v>37</v>
      </c>
      <c r="E1094" s="8"/>
      <c r="F1094" s="69">
        <v>42587</v>
      </c>
      <c r="G1094" s="8" t="s">
        <v>25572</v>
      </c>
      <c r="H1094" s="8" t="s">
        <v>25573</v>
      </c>
      <c r="I1094" s="8" t="s">
        <v>438</v>
      </c>
      <c r="J1094" s="8" t="s">
        <v>25574</v>
      </c>
      <c r="K1094" s="8" t="s">
        <v>25575</v>
      </c>
      <c r="L1094" s="8" t="s">
        <v>25576</v>
      </c>
      <c r="M1094" s="8" t="s">
        <v>27</v>
      </c>
      <c r="N1094" s="8" t="s">
        <v>25577</v>
      </c>
      <c r="O1094" s="8" t="s">
        <v>400</v>
      </c>
      <c r="P1094" s="8" t="s">
        <v>401</v>
      </c>
      <c r="Q1094" s="14" t="s">
        <v>25578</v>
      </c>
      <c r="R1094" s="8" t="s">
        <v>555</v>
      </c>
      <c r="S1094" s="8" t="s">
        <v>28</v>
      </c>
      <c r="T1094" s="68" t="s">
        <v>27756</v>
      </c>
      <c r="U1094" s="68" t="s">
        <v>29438</v>
      </c>
      <c r="V1094" s="68" t="s">
        <v>29439</v>
      </c>
      <c r="W1094" s="68" t="s">
        <v>100</v>
      </c>
      <c r="X1094" s="68">
        <v>1770</v>
      </c>
      <c r="AW1094" s="1"/>
      <c r="AX1094" s="1"/>
      <c r="AY1094" s="1"/>
      <c r="BA1094" s="11"/>
      <c r="BB1094" s="11"/>
      <c r="BC1094" s="1"/>
      <c r="BD1094" s="1"/>
      <c r="BE1094" s="1"/>
      <c r="BF1094" s="1"/>
      <c r="BG1094" s="1"/>
      <c r="BH1094" s="1"/>
      <c r="BI1094" s="1"/>
      <c r="BJ1094" s="1"/>
      <c r="BK1094" s="11"/>
    </row>
    <row r="1095" spans="1:63" s="44" customFormat="1" ht="12" customHeight="1" x14ac:dyDescent="0.15">
      <c r="A1095" s="8" t="s">
        <v>25609</v>
      </c>
      <c r="B1095" s="8">
        <v>56</v>
      </c>
      <c r="C1095" s="8" t="s">
        <v>20</v>
      </c>
      <c r="D1095" s="8" t="s">
        <v>48</v>
      </c>
      <c r="E1095" s="14" t="s">
        <v>25610</v>
      </c>
      <c r="F1095" s="72">
        <v>42586</v>
      </c>
      <c r="G1095" s="8" t="s">
        <v>25611</v>
      </c>
      <c r="H1095" s="8" t="s">
        <v>1953</v>
      </c>
      <c r="I1095" s="8" t="s">
        <v>45</v>
      </c>
      <c r="J1095" s="8" t="s">
        <v>25612</v>
      </c>
      <c r="K1095" s="8" t="s">
        <v>1953</v>
      </c>
      <c r="L1095" s="8" t="s">
        <v>25613</v>
      </c>
      <c r="M1095" s="44" t="s">
        <v>2291</v>
      </c>
      <c r="N1095" s="8" t="s">
        <v>25614</v>
      </c>
      <c r="O1095" s="8" t="s">
        <v>400</v>
      </c>
      <c r="P1095" s="8" t="s">
        <v>401</v>
      </c>
      <c r="Q1095" s="14" t="s">
        <v>25615</v>
      </c>
      <c r="R1095" s="11" t="s">
        <v>964</v>
      </c>
      <c r="S1095" s="8" t="s">
        <v>18</v>
      </c>
      <c r="T1095" s="8"/>
      <c r="AU1095" s="1"/>
      <c r="AV1095" s="1"/>
      <c r="AW1095" s="1"/>
      <c r="AX1095" s="1"/>
      <c r="AY1095" s="1"/>
      <c r="AZ1095" s="1"/>
      <c r="BA1095" s="1"/>
      <c r="BB1095" s="1"/>
      <c r="BC1095" s="1"/>
      <c r="BD1095" s="1"/>
      <c r="BE1095" s="1"/>
      <c r="BF1095" s="1"/>
      <c r="BG1095" s="1"/>
      <c r="BH1095" s="1"/>
      <c r="BI1095" s="1"/>
      <c r="BJ1095" s="1"/>
      <c r="BK1095" s="1"/>
    </row>
    <row r="1096" spans="1:63" s="44" customFormat="1" ht="12" customHeight="1" x14ac:dyDescent="0.2">
      <c r="A1096" s="8" t="s">
        <v>25603</v>
      </c>
      <c r="B1096" s="8">
        <v>22</v>
      </c>
      <c r="C1096" s="8" t="s">
        <v>20</v>
      </c>
      <c r="D1096" s="11" t="s">
        <v>37</v>
      </c>
      <c r="E1096" s="14" t="s">
        <v>25604</v>
      </c>
      <c r="F1096" s="72">
        <v>42586</v>
      </c>
      <c r="G1096" s="8" t="s">
        <v>25605</v>
      </c>
      <c r="H1096" s="8" t="s">
        <v>9752</v>
      </c>
      <c r="I1096" s="8" t="s">
        <v>978</v>
      </c>
      <c r="J1096" s="8" t="s">
        <v>25606</v>
      </c>
      <c r="K1096" s="8" t="s">
        <v>2495</v>
      </c>
      <c r="L1096" s="8" t="s">
        <v>9754</v>
      </c>
      <c r="M1096" s="8" t="s">
        <v>25366</v>
      </c>
      <c r="N1096" s="8" t="s">
        <v>25607</v>
      </c>
      <c r="O1096" s="8" t="s">
        <v>400</v>
      </c>
      <c r="P1096" s="8" t="s">
        <v>401</v>
      </c>
      <c r="Q1096" s="14" t="s">
        <v>25608</v>
      </c>
      <c r="R1096" s="8" t="s">
        <v>100</v>
      </c>
      <c r="S1096" s="8" t="s">
        <v>18</v>
      </c>
      <c r="T1096" s="8"/>
      <c r="AT1096" s="70"/>
      <c r="AU1096" s="70"/>
      <c r="AV1096" s="1"/>
      <c r="AZ1096" s="1"/>
      <c r="BA1096" s="1"/>
      <c r="BB1096" s="1"/>
      <c r="BC1096" s="1"/>
      <c r="BD1096" s="1"/>
      <c r="BE1096" s="1"/>
      <c r="BF1096" s="1"/>
      <c r="BG1096" s="1"/>
      <c r="BH1096" s="1"/>
      <c r="BI1096" s="1"/>
      <c r="BJ1096" s="1"/>
      <c r="BK1096" s="78"/>
    </row>
    <row r="1097" spans="1:63" s="44" customFormat="1" ht="12" customHeight="1" x14ac:dyDescent="0.15">
      <c r="A1097" s="8" t="s">
        <v>25596</v>
      </c>
      <c r="B1097" s="68">
        <v>69</v>
      </c>
      <c r="C1097" s="8" t="s">
        <v>20</v>
      </c>
      <c r="D1097" s="11" t="s">
        <v>37</v>
      </c>
      <c r="E1097" s="8"/>
      <c r="F1097" s="69">
        <v>42585</v>
      </c>
      <c r="G1097" s="8" t="s">
        <v>25597</v>
      </c>
      <c r="H1097" s="8" t="s">
        <v>25598</v>
      </c>
      <c r="I1097" s="8" t="s">
        <v>244</v>
      </c>
      <c r="J1097" s="8" t="s">
        <v>25599</v>
      </c>
      <c r="K1097" s="8" t="s">
        <v>7055</v>
      </c>
      <c r="L1097" s="8" t="s">
        <v>25600</v>
      </c>
      <c r="M1097" s="8" t="s">
        <v>27</v>
      </c>
      <c r="N1097" s="8" t="s">
        <v>25601</v>
      </c>
      <c r="O1097" s="8" t="s">
        <v>400</v>
      </c>
      <c r="P1097" s="8" t="s">
        <v>401</v>
      </c>
      <c r="Q1097" s="14" t="s">
        <v>25602</v>
      </c>
      <c r="R1097" s="11" t="s">
        <v>964</v>
      </c>
      <c r="S1097" s="8" t="s">
        <v>28</v>
      </c>
      <c r="T1097" s="68" t="s">
        <v>27756</v>
      </c>
      <c r="U1097" s="68" t="s">
        <v>29436</v>
      </c>
      <c r="V1097" s="68" t="s">
        <v>29437</v>
      </c>
      <c r="W1097" s="68" t="s">
        <v>100</v>
      </c>
      <c r="X1097" s="68">
        <v>1761</v>
      </c>
      <c r="AW1097" s="1"/>
      <c r="AX1097" s="1"/>
      <c r="AY1097" s="1"/>
      <c r="BC1097" s="1"/>
      <c r="BD1097" s="1"/>
      <c r="BE1097" s="1"/>
      <c r="BF1097" s="1"/>
      <c r="BG1097" s="1"/>
      <c r="BH1097" s="1"/>
      <c r="BI1097" s="1"/>
      <c r="BJ1097" s="1"/>
      <c r="BK1097" s="11"/>
    </row>
    <row r="1098" spans="1:63" s="44" customFormat="1" ht="12" customHeight="1" x14ac:dyDescent="0.15">
      <c r="A1098" s="8" t="s">
        <v>25624</v>
      </c>
      <c r="B1098" s="68">
        <v>54</v>
      </c>
      <c r="C1098" s="8" t="s">
        <v>20</v>
      </c>
      <c r="D1098" s="8" t="s">
        <v>37</v>
      </c>
      <c r="E1098" s="14" t="s">
        <v>25625</v>
      </c>
      <c r="F1098" s="69">
        <v>42585</v>
      </c>
      <c r="G1098" s="8" t="s">
        <v>25626</v>
      </c>
      <c r="H1098" s="8" t="s">
        <v>444</v>
      </c>
      <c r="I1098" s="8" t="s">
        <v>57</v>
      </c>
      <c r="J1098" s="8" t="s">
        <v>25627</v>
      </c>
      <c r="K1098" s="8" t="s">
        <v>1128</v>
      </c>
      <c r="L1098" s="8" t="s">
        <v>25628</v>
      </c>
      <c r="M1098" s="8" t="s">
        <v>27</v>
      </c>
      <c r="N1098" s="8" t="s">
        <v>25629</v>
      </c>
      <c r="O1098" s="8" t="s">
        <v>400</v>
      </c>
      <c r="P1098" s="8" t="s">
        <v>401</v>
      </c>
      <c r="Q1098" s="14" t="s">
        <v>25630</v>
      </c>
      <c r="R1098" s="8" t="s">
        <v>100</v>
      </c>
      <c r="S1098" s="8" t="s">
        <v>28</v>
      </c>
      <c r="T1098" s="68" t="s">
        <v>29493</v>
      </c>
      <c r="U1098" s="68" t="s">
        <v>29438</v>
      </c>
      <c r="V1098" s="68" t="s">
        <v>29439</v>
      </c>
      <c r="W1098" s="68" t="s">
        <v>100</v>
      </c>
      <c r="X1098" s="68">
        <v>1756</v>
      </c>
      <c r="AW1098" s="1"/>
      <c r="AX1098" s="1"/>
      <c r="AY1098" s="1"/>
      <c r="BA1098" s="11"/>
      <c r="BB1098" s="11"/>
      <c r="BC1098" s="1"/>
      <c r="BD1098" s="1"/>
      <c r="BE1098" s="1"/>
      <c r="BF1098" s="1"/>
      <c r="BG1098" s="1"/>
      <c r="BH1098" s="1"/>
      <c r="BI1098" s="1"/>
      <c r="BJ1098" s="1"/>
      <c r="BK1098" s="11"/>
    </row>
    <row r="1099" spans="1:63" s="44" customFormat="1" ht="12" customHeight="1" x14ac:dyDescent="0.15">
      <c r="A1099" s="8" t="s">
        <v>25616</v>
      </c>
      <c r="B1099" s="68">
        <v>31</v>
      </c>
      <c r="C1099" s="8" t="s">
        <v>20</v>
      </c>
      <c r="D1099" s="8" t="s">
        <v>37</v>
      </c>
      <c r="E1099" s="14" t="s">
        <v>25617</v>
      </c>
      <c r="F1099" s="69">
        <v>42585</v>
      </c>
      <c r="G1099" s="8" t="s">
        <v>25618</v>
      </c>
      <c r="H1099" s="8" t="s">
        <v>25619</v>
      </c>
      <c r="I1099" s="8" t="s">
        <v>240</v>
      </c>
      <c r="J1099" s="8" t="s">
        <v>25620</v>
      </c>
      <c r="K1099" s="8" t="s">
        <v>5002</v>
      </c>
      <c r="L1099" s="8" t="s">
        <v>25621</v>
      </c>
      <c r="M1099" s="8" t="s">
        <v>27</v>
      </c>
      <c r="N1099" s="8" t="s">
        <v>25622</v>
      </c>
      <c r="O1099" s="8" t="s">
        <v>400</v>
      </c>
      <c r="P1099" s="8" t="s">
        <v>401</v>
      </c>
      <c r="Q1099" s="14" t="s">
        <v>25623</v>
      </c>
      <c r="R1099" s="8" t="s">
        <v>100</v>
      </c>
      <c r="S1099" s="8" t="s">
        <v>28</v>
      </c>
      <c r="T1099" s="68" t="s">
        <v>27756</v>
      </c>
      <c r="U1099" s="68" t="s">
        <v>29438</v>
      </c>
      <c r="V1099" s="68" t="s">
        <v>29440</v>
      </c>
      <c r="W1099" s="68" t="s">
        <v>100</v>
      </c>
      <c r="X1099" s="68">
        <v>1755</v>
      </c>
      <c r="AW1099" s="11"/>
      <c r="AX1099" s="1"/>
      <c r="AY1099" s="1"/>
      <c r="BA1099" s="11"/>
      <c r="BB1099" s="11"/>
      <c r="BC1099" s="1"/>
      <c r="BD1099" s="1"/>
      <c r="BE1099" s="1"/>
      <c r="BF1099" s="1"/>
      <c r="BG1099" s="1"/>
      <c r="BH1099" s="1"/>
      <c r="BI1099" s="1"/>
      <c r="BJ1099" s="1"/>
      <c r="BK1099" s="11"/>
    </row>
    <row r="1100" spans="1:63" s="44" customFormat="1" ht="12" customHeight="1" x14ac:dyDescent="0.15">
      <c r="A1100" s="8" t="s">
        <v>25655</v>
      </c>
      <c r="B1100" s="68">
        <v>51</v>
      </c>
      <c r="C1100" s="8" t="s">
        <v>20</v>
      </c>
      <c r="D1100" s="8" t="s">
        <v>37</v>
      </c>
      <c r="E1100" s="14" t="s">
        <v>25656</v>
      </c>
      <c r="F1100" s="69">
        <v>42584</v>
      </c>
      <c r="G1100" s="8" t="s">
        <v>29554</v>
      </c>
      <c r="H1100" s="8" t="s">
        <v>13819</v>
      </c>
      <c r="I1100" s="8" t="s">
        <v>45</v>
      </c>
      <c r="J1100" s="8" t="s">
        <v>13820</v>
      </c>
      <c r="K1100" s="8" t="s">
        <v>98</v>
      </c>
      <c r="L1100" s="11" t="s">
        <v>414</v>
      </c>
      <c r="M1100" s="8" t="s">
        <v>27</v>
      </c>
      <c r="N1100" s="8" t="s">
        <v>25657</v>
      </c>
      <c r="O1100" s="8" t="s">
        <v>400</v>
      </c>
      <c r="P1100" s="8" t="s">
        <v>401</v>
      </c>
      <c r="Q1100" s="14" t="s">
        <v>25658</v>
      </c>
      <c r="R1100" s="11" t="s">
        <v>964</v>
      </c>
      <c r="S1100" s="11" t="s">
        <v>35</v>
      </c>
      <c r="T1100" s="66" t="s">
        <v>29441</v>
      </c>
      <c r="U1100" s="68" t="s">
        <v>29436</v>
      </c>
      <c r="V1100" s="68" t="s">
        <v>29440</v>
      </c>
      <c r="W1100" s="68" t="s">
        <v>100</v>
      </c>
      <c r="X1100" s="68">
        <v>1760</v>
      </c>
      <c r="AW1100" s="1"/>
      <c r="AX1100" s="1"/>
      <c r="AY1100" s="1"/>
      <c r="AZ1100" s="11"/>
      <c r="BC1100" s="1"/>
      <c r="BD1100" s="1"/>
      <c r="BE1100" s="1"/>
      <c r="BF1100" s="1"/>
      <c r="BG1100" s="1"/>
      <c r="BH1100" s="1"/>
      <c r="BI1100" s="1"/>
      <c r="BJ1100" s="1"/>
      <c r="BK1100" s="1"/>
    </row>
    <row r="1101" spans="1:63" s="44" customFormat="1" ht="12" customHeight="1" x14ac:dyDescent="0.15">
      <c r="A1101" s="8" t="s">
        <v>25650</v>
      </c>
      <c r="B1101" s="68">
        <v>31</v>
      </c>
      <c r="C1101" s="8" t="s">
        <v>20</v>
      </c>
      <c r="D1101" s="8" t="s">
        <v>37</v>
      </c>
      <c r="E1101" s="14" t="s">
        <v>25651</v>
      </c>
      <c r="F1101" s="69">
        <v>42584</v>
      </c>
      <c r="G1101" s="8" t="s">
        <v>29553</v>
      </c>
      <c r="H1101" s="8" t="s">
        <v>339</v>
      </c>
      <c r="I1101" s="8" t="s">
        <v>133</v>
      </c>
      <c r="J1101" s="8" t="s">
        <v>25652</v>
      </c>
      <c r="K1101" s="8" t="s">
        <v>938</v>
      </c>
      <c r="L1101" s="8" t="s">
        <v>4914</v>
      </c>
      <c r="M1101" s="8" t="s">
        <v>27</v>
      </c>
      <c r="N1101" s="8" t="s">
        <v>25653</v>
      </c>
      <c r="O1101" s="8" t="s">
        <v>400</v>
      </c>
      <c r="P1101" s="8" t="s">
        <v>401</v>
      </c>
      <c r="Q1101" s="14" t="s">
        <v>25654</v>
      </c>
      <c r="R1101" s="8" t="s">
        <v>100</v>
      </c>
      <c r="S1101" s="8" t="s">
        <v>28</v>
      </c>
      <c r="T1101" s="68" t="s">
        <v>29493</v>
      </c>
      <c r="U1101" s="68" t="s">
        <v>29436</v>
      </c>
      <c r="V1101" s="68" t="s">
        <v>29439</v>
      </c>
      <c r="W1101" s="68" t="s">
        <v>100</v>
      </c>
      <c r="X1101" s="68">
        <v>1757</v>
      </c>
      <c r="AW1101" s="11"/>
      <c r="AX1101" s="1"/>
      <c r="AY1101" s="1"/>
      <c r="BA1101" s="11"/>
      <c r="BB1101" s="11"/>
      <c r="BC1101" s="1"/>
      <c r="BD1101" s="1"/>
      <c r="BE1101" s="1"/>
      <c r="BF1101" s="1"/>
      <c r="BG1101" s="1"/>
      <c r="BH1101" s="1"/>
      <c r="BI1101" s="1"/>
      <c r="BJ1101" s="1"/>
      <c r="BK1101" s="11"/>
    </row>
    <row r="1102" spans="1:63" s="44" customFormat="1" ht="12" customHeight="1" x14ac:dyDescent="0.15">
      <c r="A1102" s="8" t="s">
        <v>25644</v>
      </c>
      <c r="B1102" s="68">
        <v>22</v>
      </c>
      <c r="C1102" s="8" t="s">
        <v>20</v>
      </c>
      <c r="D1102" s="8" t="s">
        <v>37</v>
      </c>
      <c r="E1102" s="14" t="s">
        <v>25645</v>
      </c>
      <c r="F1102" s="69">
        <v>42584</v>
      </c>
      <c r="G1102" s="8" t="s">
        <v>25646</v>
      </c>
      <c r="H1102" s="8" t="s">
        <v>7654</v>
      </c>
      <c r="I1102" s="8" t="s">
        <v>32</v>
      </c>
      <c r="J1102" s="8" t="s">
        <v>25647</v>
      </c>
      <c r="K1102" s="8" t="s">
        <v>3296</v>
      </c>
      <c r="L1102" s="8" t="s">
        <v>11091</v>
      </c>
      <c r="M1102" s="8" t="s">
        <v>27</v>
      </c>
      <c r="N1102" s="8" t="s">
        <v>25648</v>
      </c>
      <c r="O1102" s="8" t="s">
        <v>400</v>
      </c>
      <c r="P1102" s="8" t="s">
        <v>401</v>
      </c>
      <c r="Q1102" s="14" t="s">
        <v>25649</v>
      </c>
      <c r="R1102" s="8" t="s">
        <v>100</v>
      </c>
      <c r="S1102" s="8" t="s">
        <v>28</v>
      </c>
      <c r="T1102" s="68" t="s">
        <v>27756</v>
      </c>
      <c r="U1102" s="68" t="s">
        <v>29438</v>
      </c>
      <c r="V1102" s="68" t="s">
        <v>29437</v>
      </c>
      <c r="W1102" s="68" t="s">
        <v>100</v>
      </c>
      <c r="X1102" s="68">
        <v>1754</v>
      </c>
      <c r="AX1102" s="1"/>
      <c r="AY1102" s="1"/>
      <c r="BA1102" s="11"/>
      <c r="BC1102" s="1"/>
      <c r="BD1102" s="1"/>
      <c r="BE1102" s="1"/>
      <c r="BF1102" s="1"/>
      <c r="BG1102" s="1"/>
      <c r="BH1102" s="1"/>
      <c r="BI1102" s="1"/>
      <c r="BJ1102" s="1"/>
      <c r="BK1102" s="11"/>
    </row>
    <row r="1103" spans="1:63" s="44" customFormat="1" ht="12" customHeight="1" x14ac:dyDescent="0.2">
      <c r="A1103" s="8" t="s">
        <v>25631</v>
      </c>
      <c r="B1103" s="68">
        <v>43</v>
      </c>
      <c r="C1103" s="8" t="s">
        <v>20</v>
      </c>
      <c r="D1103" s="8" t="s">
        <v>85</v>
      </c>
      <c r="E1103" s="14" t="s">
        <v>25632</v>
      </c>
      <c r="F1103" s="69">
        <v>42584</v>
      </c>
      <c r="G1103" s="8" t="s">
        <v>25633</v>
      </c>
      <c r="H1103" s="8" t="s">
        <v>4115</v>
      </c>
      <c r="I1103" s="8" t="s">
        <v>62</v>
      </c>
      <c r="J1103" s="8" t="s">
        <v>4116</v>
      </c>
      <c r="K1103" s="8" t="s">
        <v>1769</v>
      </c>
      <c r="L1103" s="8" t="s">
        <v>4117</v>
      </c>
      <c r="M1103" s="8" t="s">
        <v>27</v>
      </c>
      <c r="N1103" s="8" t="s">
        <v>25634</v>
      </c>
      <c r="O1103" s="8" t="s">
        <v>400</v>
      </c>
      <c r="P1103" s="8" t="s">
        <v>401</v>
      </c>
      <c r="Q1103" s="14" t="s">
        <v>25635</v>
      </c>
      <c r="R1103" s="68" t="s">
        <v>555</v>
      </c>
      <c r="S1103" s="8" t="s">
        <v>28</v>
      </c>
      <c r="T1103" s="68" t="s">
        <v>27756</v>
      </c>
      <c r="U1103" s="68" t="s">
        <v>29438</v>
      </c>
      <c r="V1103" s="68" t="s">
        <v>29439</v>
      </c>
      <c r="W1103" s="68" t="s">
        <v>100</v>
      </c>
      <c r="X1103" s="68">
        <v>1758</v>
      </c>
      <c r="AW1103" s="1"/>
      <c r="BA1103" s="70"/>
      <c r="BK1103" s="11"/>
    </row>
    <row r="1104" spans="1:63" s="44" customFormat="1" ht="12" customHeight="1" x14ac:dyDescent="0.2">
      <c r="A1104" s="8" t="s">
        <v>25636</v>
      </c>
      <c r="B1104" s="68">
        <v>34</v>
      </c>
      <c r="C1104" s="8" t="s">
        <v>20</v>
      </c>
      <c r="D1104" s="8" t="s">
        <v>37</v>
      </c>
      <c r="E1104" s="14" t="s">
        <v>25637</v>
      </c>
      <c r="F1104" s="69">
        <v>42584</v>
      </c>
      <c r="G1104" s="8" t="s">
        <v>25638</v>
      </c>
      <c r="H1104" s="8" t="s">
        <v>25639</v>
      </c>
      <c r="I1104" s="8" t="s">
        <v>790</v>
      </c>
      <c r="J1104" s="8" t="s">
        <v>25640</v>
      </c>
      <c r="K1104" s="8" t="s">
        <v>4070</v>
      </c>
      <c r="L1104" s="8" t="s">
        <v>25641</v>
      </c>
      <c r="M1104" s="8" t="s">
        <v>27</v>
      </c>
      <c r="N1104" s="8" t="s">
        <v>25642</v>
      </c>
      <c r="O1104" s="8" t="s">
        <v>400</v>
      </c>
      <c r="P1104" s="8" t="s">
        <v>401</v>
      </c>
      <c r="Q1104" s="14" t="s">
        <v>25643</v>
      </c>
      <c r="R1104" s="68" t="s">
        <v>555</v>
      </c>
      <c r="S1104" s="8" t="s">
        <v>28</v>
      </c>
      <c r="T1104" s="68" t="s">
        <v>27756</v>
      </c>
      <c r="U1104" s="68" t="s">
        <v>29438</v>
      </c>
      <c r="V1104" s="68" t="s">
        <v>29437</v>
      </c>
      <c r="W1104" s="68" t="s">
        <v>100</v>
      </c>
      <c r="X1104" s="68">
        <v>1759</v>
      </c>
      <c r="AW1104" s="11"/>
      <c r="AX1104" s="1"/>
      <c r="AY1104" s="1"/>
      <c r="BA1104" s="70"/>
      <c r="BC1104" s="1"/>
      <c r="BD1104" s="1"/>
      <c r="BE1104" s="1"/>
      <c r="BF1104" s="1"/>
      <c r="BG1104" s="1"/>
      <c r="BH1104" s="1"/>
      <c r="BI1104" s="1"/>
      <c r="BJ1104" s="1"/>
      <c r="BK1104" s="11"/>
    </row>
    <row r="1105" spans="1:63" s="44" customFormat="1" ht="12" customHeight="1" x14ac:dyDescent="0.15">
      <c r="A1105" s="8" t="s">
        <v>25659</v>
      </c>
      <c r="B1105" s="68">
        <v>23</v>
      </c>
      <c r="C1105" s="8" t="s">
        <v>114</v>
      </c>
      <c r="D1105" s="8" t="s">
        <v>85</v>
      </c>
      <c r="E1105" s="14" t="s">
        <v>25660</v>
      </c>
      <c r="F1105" s="69">
        <v>42583</v>
      </c>
      <c r="G1105" s="8" t="s">
        <v>29555</v>
      </c>
      <c r="H1105" s="8" t="s">
        <v>4566</v>
      </c>
      <c r="I1105" s="8" t="s">
        <v>52</v>
      </c>
      <c r="J1105" s="8">
        <v>21133</v>
      </c>
      <c r="K1105" s="8" t="s">
        <v>1592</v>
      </c>
      <c r="L1105" s="16" t="s">
        <v>231</v>
      </c>
      <c r="M1105" s="8" t="s">
        <v>27</v>
      </c>
      <c r="N1105" s="8" t="s">
        <v>25661</v>
      </c>
      <c r="O1105" s="8" t="s">
        <v>400</v>
      </c>
      <c r="P1105" s="8" t="s">
        <v>401</v>
      </c>
      <c r="Q1105" s="14" t="s">
        <v>25662</v>
      </c>
      <c r="R1105" s="8" t="s">
        <v>100</v>
      </c>
      <c r="S1105" s="8" t="s">
        <v>28</v>
      </c>
      <c r="T1105" s="68" t="s">
        <v>27756</v>
      </c>
      <c r="U1105" s="68" t="s">
        <v>29438</v>
      </c>
      <c r="V1105" s="68" t="s">
        <v>29439</v>
      </c>
      <c r="W1105" s="68" t="s">
        <v>100</v>
      </c>
      <c r="X1105" s="68">
        <v>1750</v>
      </c>
      <c r="BA1105" s="11"/>
      <c r="BB1105" s="11"/>
      <c r="BK1105" s="11"/>
    </row>
    <row r="1106" spans="1:63" s="44" customFormat="1" ht="12" customHeight="1" x14ac:dyDescent="0.15">
      <c r="A1106" s="8" t="s">
        <v>25663</v>
      </c>
      <c r="B1106" s="68">
        <v>67</v>
      </c>
      <c r="C1106" s="8" t="s">
        <v>20</v>
      </c>
      <c r="D1106" s="8" t="s">
        <v>37</v>
      </c>
      <c r="E1106" s="14" t="s">
        <v>25664</v>
      </c>
      <c r="F1106" s="69">
        <v>42583</v>
      </c>
      <c r="G1106" s="8" t="s">
        <v>25665</v>
      </c>
      <c r="H1106" s="8" t="s">
        <v>22718</v>
      </c>
      <c r="I1106" s="8" t="s">
        <v>244</v>
      </c>
      <c r="J1106" s="8" t="s">
        <v>25666</v>
      </c>
      <c r="K1106" s="8" t="s">
        <v>17214</v>
      </c>
      <c r="L1106" s="8" t="s">
        <v>25667</v>
      </c>
      <c r="M1106" s="8" t="s">
        <v>27</v>
      </c>
      <c r="N1106" s="8" t="s">
        <v>25668</v>
      </c>
      <c r="O1106" s="8" t="s">
        <v>400</v>
      </c>
      <c r="P1106" s="8" t="s">
        <v>401</v>
      </c>
      <c r="Q1106" s="14" t="s">
        <v>25669</v>
      </c>
      <c r="R1106" s="8" t="s">
        <v>100</v>
      </c>
      <c r="S1106" s="8" t="s">
        <v>28</v>
      </c>
      <c r="T1106" s="68" t="s">
        <v>27756</v>
      </c>
      <c r="U1106" s="68" t="s">
        <v>29438</v>
      </c>
      <c r="V1106" s="68" t="s">
        <v>29439</v>
      </c>
      <c r="W1106" s="68" t="s">
        <v>100</v>
      </c>
      <c r="X1106" s="68">
        <v>1753</v>
      </c>
      <c r="AW1106" s="1"/>
      <c r="AX1106" s="1"/>
      <c r="AY1106" s="1"/>
      <c r="BA1106" s="11"/>
      <c r="BB1106" s="11"/>
      <c r="BC1106" s="1"/>
      <c r="BD1106" s="1"/>
      <c r="BE1106" s="1"/>
      <c r="BF1106" s="1"/>
      <c r="BG1106" s="1"/>
      <c r="BH1106" s="1"/>
      <c r="BI1106" s="1"/>
      <c r="BJ1106" s="1"/>
      <c r="BK1106" s="11"/>
    </row>
    <row r="1107" spans="1:63" s="44" customFormat="1" ht="12" customHeight="1" x14ac:dyDescent="0.15">
      <c r="A1107" s="8" t="s">
        <v>25680</v>
      </c>
      <c r="B1107" s="68">
        <v>43</v>
      </c>
      <c r="C1107" s="8" t="s">
        <v>20</v>
      </c>
      <c r="D1107" s="8" t="s">
        <v>37</v>
      </c>
      <c r="E1107" s="8"/>
      <c r="F1107" s="69">
        <v>42583</v>
      </c>
      <c r="G1107" s="8" t="s">
        <v>29556</v>
      </c>
      <c r="H1107" s="8" t="s">
        <v>1007</v>
      </c>
      <c r="I1107" s="8" t="s">
        <v>32</v>
      </c>
      <c r="J1107" s="8">
        <v>29073</v>
      </c>
      <c r="K1107" s="8" t="s">
        <v>1007</v>
      </c>
      <c r="L1107" s="8" t="s">
        <v>2724</v>
      </c>
      <c r="M1107" s="8" t="s">
        <v>27</v>
      </c>
      <c r="N1107" s="8" t="s">
        <v>25681</v>
      </c>
      <c r="O1107" s="8" t="s">
        <v>400</v>
      </c>
      <c r="P1107" s="8" t="s">
        <v>401</v>
      </c>
      <c r="Q1107" s="14" t="s">
        <v>25682</v>
      </c>
      <c r="R1107" s="8" t="s">
        <v>100</v>
      </c>
      <c r="S1107" s="11" t="s">
        <v>379</v>
      </c>
      <c r="T1107" s="68" t="s">
        <v>379</v>
      </c>
      <c r="U1107" s="68" t="s">
        <v>29438</v>
      </c>
      <c r="V1107" s="68" t="s">
        <v>29437</v>
      </c>
      <c r="W1107" s="68" t="s">
        <v>100</v>
      </c>
      <c r="X1107" s="68">
        <v>1751</v>
      </c>
      <c r="AW1107" s="1"/>
      <c r="AX1107" s="1"/>
      <c r="AY1107" s="1"/>
      <c r="BA1107" s="11"/>
      <c r="BB1107" s="11"/>
      <c r="BC1107" s="1"/>
      <c r="BD1107" s="1"/>
      <c r="BE1107" s="1"/>
      <c r="BF1107" s="1"/>
      <c r="BG1107" s="1"/>
      <c r="BH1107" s="1"/>
      <c r="BI1107" s="1"/>
      <c r="BJ1107" s="1"/>
    </row>
    <row r="1108" spans="1:63" s="44" customFormat="1" ht="12" customHeight="1" x14ac:dyDescent="0.15">
      <c r="A1108" s="8" t="s">
        <v>25670</v>
      </c>
      <c r="B1108" s="68">
        <v>32</v>
      </c>
      <c r="C1108" s="8" t="s">
        <v>20</v>
      </c>
      <c r="D1108" s="8" t="s">
        <v>85</v>
      </c>
      <c r="E1108" s="8"/>
      <c r="F1108" s="69">
        <v>42583</v>
      </c>
      <c r="G1108" s="8" t="s">
        <v>25671</v>
      </c>
      <c r="H1108" s="8" t="s">
        <v>3690</v>
      </c>
      <c r="I1108" s="8" t="s">
        <v>45</v>
      </c>
      <c r="J1108" s="8" t="s">
        <v>3691</v>
      </c>
      <c r="K1108" s="8" t="s">
        <v>1061</v>
      </c>
      <c r="L1108" s="8" t="s">
        <v>3692</v>
      </c>
      <c r="M1108" s="8" t="s">
        <v>27</v>
      </c>
      <c r="N1108" s="8" t="s">
        <v>25672</v>
      </c>
      <c r="O1108" s="8" t="s">
        <v>400</v>
      </c>
      <c r="P1108" s="8" t="s">
        <v>401</v>
      </c>
      <c r="Q1108" s="14" t="s">
        <v>25673</v>
      </c>
      <c r="R1108" s="8" t="s">
        <v>29</v>
      </c>
      <c r="S1108" s="11" t="s">
        <v>35</v>
      </c>
      <c r="T1108" s="66" t="s">
        <v>29441</v>
      </c>
      <c r="U1108" s="68" t="s">
        <v>29441</v>
      </c>
      <c r="V1108" s="68" t="s">
        <v>29439</v>
      </c>
      <c r="W1108" s="68" t="s">
        <v>100</v>
      </c>
      <c r="X1108" s="68">
        <v>2148</v>
      </c>
      <c r="AW1108" s="11"/>
      <c r="BA1108" s="1"/>
      <c r="BB1108" s="1"/>
      <c r="BK1108" s="1"/>
    </row>
    <row r="1109" spans="1:63" s="44" customFormat="1" ht="12" customHeight="1" x14ac:dyDescent="0.15">
      <c r="A1109" s="8" t="s">
        <v>25674</v>
      </c>
      <c r="B1109" s="8">
        <v>26</v>
      </c>
      <c r="C1109" s="8" t="s">
        <v>20</v>
      </c>
      <c r="D1109" s="8" t="s">
        <v>48</v>
      </c>
      <c r="E1109" s="14" t="s">
        <v>25675</v>
      </c>
      <c r="F1109" s="72">
        <v>42583</v>
      </c>
      <c r="G1109" s="8" t="s">
        <v>25676</v>
      </c>
      <c r="H1109" s="8" t="s">
        <v>7939</v>
      </c>
      <c r="I1109" s="8" t="s">
        <v>73</v>
      </c>
      <c r="J1109" s="8" t="s">
        <v>25677</v>
      </c>
      <c r="K1109" s="8" t="s">
        <v>1778</v>
      </c>
      <c r="L1109" s="8" t="s">
        <v>7940</v>
      </c>
      <c r="M1109" s="1" t="s">
        <v>391</v>
      </c>
      <c r="N1109" s="8" t="s">
        <v>25678</v>
      </c>
      <c r="O1109" s="8" t="s">
        <v>400</v>
      </c>
      <c r="P1109" s="8" t="s">
        <v>401</v>
      </c>
      <c r="Q1109" s="14" t="s">
        <v>25679</v>
      </c>
      <c r="R1109" s="8" t="s">
        <v>555</v>
      </c>
      <c r="S1109" s="8" t="s">
        <v>18</v>
      </c>
      <c r="T1109" s="8"/>
      <c r="AU1109" s="11"/>
      <c r="AV1109" s="11"/>
      <c r="AX1109" s="1"/>
      <c r="AY1109" s="1"/>
      <c r="AZ1109" s="1"/>
      <c r="BA1109" s="1"/>
      <c r="BB1109" s="1"/>
      <c r="BC1109" s="1"/>
      <c r="BD1109" s="1"/>
      <c r="BE1109" s="1"/>
      <c r="BF1109" s="1"/>
      <c r="BG1109" s="1"/>
      <c r="BH1109" s="1"/>
      <c r="BI1109" s="1"/>
      <c r="BJ1109" s="1"/>
      <c r="BK1109" s="1"/>
    </row>
    <row r="1110" spans="1:63" s="44" customFormat="1" ht="12" customHeight="1" x14ac:dyDescent="0.15">
      <c r="A1110" s="8" t="s">
        <v>25690</v>
      </c>
      <c r="B1110" s="8">
        <v>40</v>
      </c>
      <c r="C1110" s="8" t="s">
        <v>20</v>
      </c>
      <c r="D1110" s="11" t="s">
        <v>37</v>
      </c>
      <c r="E1110" s="8" t="s">
        <v>26287</v>
      </c>
      <c r="F1110" s="72">
        <v>42582</v>
      </c>
      <c r="G1110" s="8" t="s">
        <v>25691</v>
      </c>
      <c r="H1110" s="8" t="s">
        <v>5528</v>
      </c>
      <c r="I1110" s="8" t="s">
        <v>62</v>
      </c>
      <c r="J1110" s="8">
        <v>33418</v>
      </c>
      <c r="K1110" s="8" t="s">
        <v>5318</v>
      </c>
      <c r="L1110" s="8" t="s">
        <v>25692</v>
      </c>
      <c r="M1110" s="8" t="s">
        <v>379</v>
      </c>
      <c r="N1110" s="8" t="s">
        <v>25693</v>
      </c>
      <c r="O1110" s="8" t="s">
        <v>400</v>
      </c>
      <c r="P1110" s="8" t="s">
        <v>401</v>
      </c>
      <c r="Q1110" s="14" t="s">
        <v>25694</v>
      </c>
      <c r="R1110" s="8" t="s">
        <v>100</v>
      </c>
      <c r="S1110" s="8" t="s">
        <v>18</v>
      </c>
      <c r="T1110" s="8"/>
      <c r="AX1110" s="1"/>
      <c r="AY1110" s="1"/>
      <c r="AZ1110" s="1"/>
      <c r="BA1110" s="1"/>
      <c r="BB1110" s="1"/>
      <c r="BC1110" s="1"/>
      <c r="BD1110" s="1"/>
      <c r="BE1110" s="1"/>
      <c r="BF1110" s="1"/>
      <c r="BG1110" s="1"/>
      <c r="BH1110" s="1"/>
      <c r="BI1110" s="1"/>
      <c r="BJ1110" s="1"/>
      <c r="BK1110" s="1"/>
    </row>
    <row r="1111" spans="1:63" s="44" customFormat="1" ht="12" customHeight="1" x14ac:dyDescent="0.15">
      <c r="A1111" s="8" t="s">
        <v>25701</v>
      </c>
      <c r="B1111" s="68">
        <v>38</v>
      </c>
      <c r="C1111" s="8" t="s">
        <v>20</v>
      </c>
      <c r="D1111" s="8" t="s">
        <v>48</v>
      </c>
      <c r="E1111" s="8"/>
      <c r="F1111" s="69">
        <v>42582</v>
      </c>
      <c r="G1111" s="8" t="s">
        <v>26246</v>
      </c>
      <c r="H1111" s="8" t="s">
        <v>8623</v>
      </c>
      <c r="I1111" s="8" t="s">
        <v>303</v>
      </c>
      <c r="J1111" s="8">
        <v>98951</v>
      </c>
      <c r="K1111" s="8" t="s">
        <v>6250</v>
      </c>
      <c r="L1111" s="8" t="s">
        <v>25702</v>
      </c>
      <c r="M1111" s="8" t="s">
        <v>27</v>
      </c>
      <c r="N1111" s="8" t="s">
        <v>25703</v>
      </c>
      <c r="O1111" s="8" t="s">
        <v>400</v>
      </c>
      <c r="P1111" s="8" t="s">
        <v>401</v>
      </c>
      <c r="Q1111" s="14" t="s">
        <v>25704</v>
      </c>
      <c r="R1111" s="8" t="s">
        <v>100</v>
      </c>
      <c r="S1111" s="8" t="s">
        <v>35</v>
      </c>
      <c r="T1111" s="66" t="s">
        <v>29441</v>
      </c>
      <c r="U1111" s="68" t="s">
        <v>29441</v>
      </c>
      <c r="V1111" s="68" t="s">
        <v>29439</v>
      </c>
      <c r="W1111" s="68" t="s">
        <v>100</v>
      </c>
      <c r="X1111" s="68">
        <v>1749</v>
      </c>
      <c r="AX1111" s="1"/>
      <c r="AY1111" s="1"/>
      <c r="BA1111" s="11"/>
      <c r="BB1111" s="11"/>
      <c r="BC1111" s="1"/>
      <c r="BD1111" s="1"/>
      <c r="BE1111" s="1"/>
      <c r="BF1111" s="1"/>
      <c r="BG1111" s="1"/>
      <c r="BH1111" s="1"/>
      <c r="BI1111" s="1"/>
      <c r="BJ1111" s="1"/>
      <c r="BK1111" s="1"/>
    </row>
    <row r="1112" spans="1:63" s="44" customFormat="1" ht="12" customHeight="1" x14ac:dyDescent="0.15">
      <c r="A1112" s="8" t="s">
        <v>25695</v>
      </c>
      <c r="B1112" s="68">
        <v>32</v>
      </c>
      <c r="C1112" s="8" t="s">
        <v>20</v>
      </c>
      <c r="D1112" s="8" t="s">
        <v>37</v>
      </c>
      <c r="E1112" s="14" t="s">
        <v>25696</v>
      </c>
      <c r="F1112" s="69">
        <v>42582</v>
      </c>
      <c r="G1112" s="8" t="s">
        <v>25697</v>
      </c>
      <c r="H1112" s="8" t="s">
        <v>25698</v>
      </c>
      <c r="I1112" s="8" t="s">
        <v>315</v>
      </c>
      <c r="J1112" s="8">
        <v>41553</v>
      </c>
      <c r="K1112" s="8" t="s">
        <v>3223</v>
      </c>
      <c r="L1112" s="8" t="s">
        <v>20114</v>
      </c>
      <c r="M1112" s="8" t="s">
        <v>27</v>
      </c>
      <c r="N1112" s="8" t="s">
        <v>25699</v>
      </c>
      <c r="O1112" s="8" t="s">
        <v>400</v>
      </c>
      <c r="P1112" s="8" t="s">
        <v>401</v>
      </c>
      <c r="Q1112" s="14" t="s">
        <v>25700</v>
      </c>
      <c r="R1112" s="8" t="s">
        <v>100</v>
      </c>
      <c r="S1112" s="2" t="s">
        <v>35</v>
      </c>
      <c r="T1112" s="68" t="s">
        <v>29456</v>
      </c>
      <c r="U1112" s="68" t="s">
        <v>29438</v>
      </c>
      <c r="V1112" s="68" t="s">
        <v>29440</v>
      </c>
      <c r="W1112" s="68" t="s">
        <v>100</v>
      </c>
      <c r="X1112" s="68">
        <v>1748</v>
      </c>
      <c r="AW1112" s="11"/>
      <c r="AX1112" s="1"/>
      <c r="AY1112" s="1"/>
      <c r="BA1112" s="11"/>
      <c r="BB1112" s="11"/>
      <c r="BC1112" s="1"/>
      <c r="BD1112" s="1"/>
      <c r="BE1112" s="1"/>
      <c r="BF1112" s="1"/>
      <c r="BG1112" s="1"/>
      <c r="BH1112" s="1"/>
      <c r="BI1112" s="1"/>
      <c r="BJ1112" s="1"/>
      <c r="BK1112" s="1"/>
    </row>
    <row r="1113" spans="1:63" s="44" customFormat="1" ht="12" customHeight="1" x14ac:dyDescent="0.2">
      <c r="A1113" s="8" t="s">
        <v>25683</v>
      </c>
      <c r="B1113" s="68">
        <v>18</v>
      </c>
      <c r="C1113" s="8" t="s">
        <v>20</v>
      </c>
      <c r="D1113" s="11" t="s">
        <v>85</v>
      </c>
      <c r="E1113" s="14"/>
      <c r="F1113" s="69">
        <v>42582</v>
      </c>
      <c r="G1113" s="8" t="s">
        <v>25684</v>
      </c>
      <c r="H1113" s="8" t="s">
        <v>25685</v>
      </c>
      <c r="I1113" s="8" t="s">
        <v>81</v>
      </c>
      <c r="J1113" s="8" t="s">
        <v>25686</v>
      </c>
      <c r="K1113" s="8" t="s">
        <v>643</v>
      </c>
      <c r="L1113" s="8" t="s">
        <v>25687</v>
      </c>
      <c r="M1113" s="8" t="s">
        <v>27</v>
      </c>
      <c r="N1113" s="8" t="s">
        <v>25688</v>
      </c>
      <c r="O1113" s="8" t="s">
        <v>400</v>
      </c>
      <c r="P1113" s="8" t="s">
        <v>401</v>
      </c>
      <c r="Q1113" s="14" t="s">
        <v>25689</v>
      </c>
      <c r="R1113" s="8" t="s">
        <v>555</v>
      </c>
      <c r="S1113" s="8" t="s">
        <v>28</v>
      </c>
      <c r="T1113" s="68" t="s">
        <v>29493</v>
      </c>
      <c r="U1113" s="68" t="s">
        <v>29436</v>
      </c>
      <c r="V1113" s="68" t="s">
        <v>29439</v>
      </c>
      <c r="W1113" s="68" t="s">
        <v>555</v>
      </c>
      <c r="X1113" s="68">
        <v>1752</v>
      </c>
      <c r="AW1113" s="70"/>
      <c r="AX1113" s="70"/>
      <c r="AY1113" s="70"/>
      <c r="BA1113" s="11"/>
      <c r="BB1113" s="11"/>
      <c r="BK1113" s="11"/>
    </row>
    <row r="1114" spans="1:63" s="44" customFormat="1" ht="12" customHeight="1" x14ac:dyDescent="0.15">
      <c r="A1114" s="8" t="s">
        <v>25705</v>
      </c>
      <c r="B1114" s="68">
        <v>40</v>
      </c>
      <c r="C1114" s="8" t="s">
        <v>114</v>
      </c>
      <c r="D1114" s="8" t="s">
        <v>37</v>
      </c>
      <c r="E1114" s="14" t="s">
        <v>25706</v>
      </c>
      <c r="F1114" s="69">
        <v>42580</v>
      </c>
      <c r="G1114" s="8" t="s">
        <v>25707</v>
      </c>
      <c r="H1114" s="8" t="s">
        <v>18192</v>
      </c>
      <c r="I1114" s="8" t="s">
        <v>94</v>
      </c>
      <c r="J1114" s="8">
        <v>35209</v>
      </c>
      <c r="K1114" s="8" t="s">
        <v>1778</v>
      </c>
      <c r="L1114" s="16" t="s">
        <v>4146</v>
      </c>
      <c r="M1114" s="8" t="s">
        <v>27</v>
      </c>
      <c r="N1114" s="8" t="s">
        <v>25708</v>
      </c>
      <c r="O1114" s="8" t="s">
        <v>400</v>
      </c>
      <c r="P1114" s="8" t="s">
        <v>401</v>
      </c>
      <c r="Q1114" s="14" t="s">
        <v>25709</v>
      </c>
      <c r="R1114" s="8" t="s">
        <v>100</v>
      </c>
      <c r="S1114" s="8" t="s">
        <v>28</v>
      </c>
      <c r="T1114" s="68" t="s">
        <v>27756</v>
      </c>
      <c r="U1114" s="68" t="s">
        <v>29438</v>
      </c>
      <c r="V1114" s="68" t="s">
        <v>29439</v>
      </c>
      <c r="W1114" s="68" t="s">
        <v>100</v>
      </c>
      <c r="X1114" s="68">
        <v>1747</v>
      </c>
      <c r="AU1114" s="11"/>
      <c r="AV1114" s="11"/>
      <c r="AX1114" s="1"/>
      <c r="AY1114" s="1"/>
      <c r="BA1114" s="11"/>
      <c r="BB1114" s="11"/>
      <c r="BC1114" s="1"/>
      <c r="BD1114" s="1"/>
      <c r="BE1114" s="1"/>
      <c r="BF1114" s="1"/>
      <c r="BG1114" s="1"/>
      <c r="BH1114" s="1"/>
      <c r="BI1114" s="1"/>
      <c r="BJ1114" s="1"/>
      <c r="BK1114" s="11"/>
    </row>
    <row r="1115" spans="1:63" s="44" customFormat="1" ht="12" customHeight="1" x14ac:dyDescent="0.15">
      <c r="A1115" s="8" t="s">
        <v>25710</v>
      </c>
      <c r="B1115" s="68">
        <v>59</v>
      </c>
      <c r="C1115" s="8" t="s">
        <v>20</v>
      </c>
      <c r="D1115" s="8" t="s">
        <v>37</v>
      </c>
      <c r="E1115" s="14" t="s">
        <v>25711</v>
      </c>
      <c r="F1115" s="69">
        <v>42580</v>
      </c>
      <c r="G1115" s="8" t="s">
        <v>25712</v>
      </c>
      <c r="H1115" s="8" t="s">
        <v>25713</v>
      </c>
      <c r="I1115" s="8" t="s">
        <v>366</v>
      </c>
      <c r="J1115" s="8">
        <v>27866</v>
      </c>
      <c r="K1115" s="8" t="s">
        <v>6514</v>
      </c>
      <c r="L1115" s="8" t="s">
        <v>25714</v>
      </c>
      <c r="M1115" s="8" t="s">
        <v>27</v>
      </c>
      <c r="N1115" s="8" t="s">
        <v>25715</v>
      </c>
      <c r="O1115" s="8" t="s">
        <v>400</v>
      </c>
      <c r="P1115" s="8" t="s">
        <v>401</v>
      </c>
      <c r="Q1115" s="14" t="s">
        <v>25716</v>
      </c>
      <c r="R1115" s="8" t="s">
        <v>100</v>
      </c>
      <c r="S1115" s="8" t="s">
        <v>28</v>
      </c>
      <c r="T1115" s="68" t="s">
        <v>27756</v>
      </c>
      <c r="U1115" s="68" t="s">
        <v>29438</v>
      </c>
      <c r="V1115" s="68" t="s">
        <v>29439</v>
      </c>
      <c r="W1115" s="68" t="s">
        <v>100</v>
      </c>
      <c r="X1115" s="68">
        <v>1834</v>
      </c>
      <c r="AW1115" s="1"/>
      <c r="AX1115" s="1"/>
      <c r="AY1115" s="1"/>
      <c r="BA1115" s="11"/>
      <c r="BB1115" s="11"/>
      <c r="BC1115" s="1"/>
      <c r="BD1115" s="1"/>
      <c r="BE1115" s="1"/>
      <c r="BF1115" s="1"/>
      <c r="BG1115" s="1"/>
      <c r="BH1115" s="1"/>
      <c r="BI1115" s="1"/>
      <c r="BJ1115" s="1"/>
      <c r="BK1115" s="11"/>
    </row>
    <row r="1116" spans="1:63" s="44" customFormat="1" ht="12" customHeight="1" x14ac:dyDescent="0.15">
      <c r="A1116" s="8" t="s">
        <v>25717</v>
      </c>
      <c r="B1116" s="8">
        <v>33</v>
      </c>
      <c r="C1116" s="8" t="s">
        <v>20</v>
      </c>
      <c r="D1116" s="11" t="s">
        <v>30</v>
      </c>
      <c r="E1116" s="8"/>
      <c r="F1116" s="72">
        <v>42580</v>
      </c>
      <c r="G1116" s="8" t="s">
        <v>25718</v>
      </c>
      <c r="H1116" s="8" t="s">
        <v>25719</v>
      </c>
      <c r="I1116" s="8" t="s">
        <v>25</v>
      </c>
      <c r="J1116" s="8">
        <v>70357</v>
      </c>
      <c r="K1116" s="8" t="s">
        <v>25720</v>
      </c>
      <c r="L1116" s="16" t="s">
        <v>14810</v>
      </c>
      <c r="M1116" s="8" t="s">
        <v>379</v>
      </c>
      <c r="N1116" s="8" t="s">
        <v>25721</v>
      </c>
      <c r="O1116" s="8" t="s">
        <v>400</v>
      </c>
      <c r="P1116" s="8" t="s">
        <v>401</v>
      </c>
      <c r="Q1116" s="14" t="s">
        <v>25722</v>
      </c>
      <c r="R1116" s="8" t="s">
        <v>100</v>
      </c>
      <c r="S1116" s="8" t="s">
        <v>18</v>
      </c>
      <c r="T1116" s="8"/>
      <c r="AX1116" s="1"/>
      <c r="AY1116" s="1"/>
      <c r="AZ1116" s="1"/>
      <c r="BA1116" s="1"/>
      <c r="BB1116" s="1"/>
      <c r="BC1116" s="1"/>
      <c r="BD1116" s="1"/>
      <c r="BE1116" s="1"/>
      <c r="BF1116" s="1"/>
      <c r="BG1116" s="1"/>
      <c r="BH1116" s="1"/>
      <c r="BI1116" s="1"/>
      <c r="BJ1116" s="1"/>
      <c r="BK1116" s="1"/>
    </row>
    <row r="1117" spans="1:63" s="44" customFormat="1" ht="12" customHeight="1" x14ac:dyDescent="0.15">
      <c r="A1117" s="8" t="s">
        <v>25723</v>
      </c>
      <c r="B1117" s="68">
        <v>31</v>
      </c>
      <c r="C1117" s="8" t="s">
        <v>20</v>
      </c>
      <c r="D1117" s="8" t="s">
        <v>48</v>
      </c>
      <c r="E1117" s="14" t="s">
        <v>25724</v>
      </c>
      <c r="F1117" s="69">
        <v>42579</v>
      </c>
      <c r="G1117" s="8" t="s">
        <v>25725</v>
      </c>
      <c r="H1117" s="8" t="s">
        <v>561</v>
      </c>
      <c r="I1117" s="8" t="s">
        <v>123</v>
      </c>
      <c r="J1117" s="8">
        <v>85719</v>
      </c>
      <c r="K1117" s="8" t="s">
        <v>562</v>
      </c>
      <c r="L1117" s="8" t="s">
        <v>563</v>
      </c>
      <c r="M1117" s="8" t="s">
        <v>27</v>
      </c>
      <c r="N1117" s="8" t="s">
        <v>25726</v>
      </c>
      <c r="O1117" s="8" t="s">
        <v>400</v>
      </c>
      <c r="P1117" s="8" t="s">
        <v>401</v>
      </c>
      <c r="Q1117" s="14" t="s">
        <v>25727</v>
      </c>
      <c r="R1117" s="8" t="s">
        <v>100</v>
      </c>
      <c r="S1117" s="8" t="s">
        <v>28</v>
      </c>
      <c r="T1117" s="68" t="s">
        <v>27756</v>
      </c>
      <c r="U1117" s="68" t="s">
        <v>29438</v>
      </c>
      <c r="V1117" s="68" t="s">
        <v>21212</v>
      </c>
      <c r="W1117" s="68" t="s">
        <v>100</v>
      </c>
      <c r="X1117" s="68">
        <v>1743</v>
      </c>
      <c r="AW1117" s="11"/>
      <c r="AX1117" s="1"/>
      <c r="AY1117" s="1"/>
      <c r="BA1117" s="11"/>
      <c r="BB1117" s="11"/>
      <c r="BC1117" s="1"/>
      <c r="BD1117" s="1"/>
      <c r="BE1117" s="1"/>
      <c r="BF1117" s="1"/>
      <c r="BG1117" s="1"/>
      <c r="BH1117" s="1"/>
      <c r="BI1117" s="1"/>
      <c r="BJ1117" s="1"/>
      <c r="BK1117" s="11"/>
    </row>
    <row r="1118" spans="1:63" s="44" customFormat="1" ht="12" customHeight="1" x14ac:dyDescent="0.15">
      <c r="A1118" s="8" t="s">
        <v>25736</v>
      </c>
      <c r="B1118" s="68">
        <v>27</v>
      </c>
      <c r="C1118" s="8" t="s">
        <v>20</v>
      </c>
      <c r="D1118" s="8" t="s">
        <v>85</v>
      </c>
      <c r="E1118" s="8"/>
      <c r="F1118" s="69">
        <v>42579</v>
      </c>
      <c r="G1118" s="8" t="s">
        <v>29557</v>
      </c>
      <c r="H1118" s="8" t="s">
        <v>5191</v>
      </c>
      <c r="I1118" s="8" t="s">
        <v>45</v>
      </c>
      <c r="J1118" s="8">
        <v>90222</v>
      </c>
      <c r="K1118" s="8" t="s">
        <v>98</v>
      </c>
      <c r="L1118" s="11" t="s">
        <v>414</v>
      </c>
      <c r="M1118" s="8" t="s">
        <v>27</v>
      </c>
      <c r="N1118" s="8" t="s">
        <v>25737</v>
      </c>
      <c r="O1118" s="8" t="s">
        <v>400</v>
      </c>
      <c r="P1118" s="8" t="s">
        <v>401</v>
      </c>
      <c r="Q1118" s="14" t="s">
        <v>25738</v>
      </c>
      <c r="R1118" s="8" t="s">
        <v>100</v>
      </c>
      <c r="S1118" s="8" t="s">
        <v>18</v>
      </c>
      <c r="T1118" s="68" t="s">
        <v>28345</v>
      </c>
      <c r="U1118" s="68" t="s">
        <v>29438</v>
      </c>
      <c r="V1118" s="68" t="s">
        <v>21212</v>
      </c>
      <c r="W1118" s="68" t="s">
        <v>100</v>
      </c>
      <c r="X1118" s="68">
        <v>1744</v>
      </c>
      <c r="AX1118" s="11"/>
      <c r="AY1118" s="11"/>
      <c r="BA1118" s="11"/>
      <c r="BB1118" s="11"/>
      <c r="BK1118" s="1"/>
    </row>
    <row r="1119" spans="1:63" s="44" customFormat="1" ht="12" customHeight="1" x14ac:dyDescent="0.15">
      <c r="A1119" s="8" t="s">
        <v>25743</v>
      </c>
      <c r="B1119" s="68">
        <v>47</v>
      </c>
      <c r="C1119" s="8" t="s">
        <v>20</v>
      </c>
      <c r="D1119" s="8" t="s">
        <v>85</v>
      </c>
      <c r="E1119" s="8"/>
      <c r="F1119" s="69">
        <v>42579</v>
      </c>
      <c r="G1119" s="8" t="s">
        <v>29559</v>
      </c>
      <c r="H1119" s="8" t="s">
        <v>25744</v>
      </c>
      <c r="I1119" s="8" t="s">
        <v>45</v>
      </c>
      <c r="J1119" s="8">
        <v>92253</v>
      </c>
      <c r="K1119" s="8" t="s">
        <v>783</v>
      </c>
      <c r="L1119" s="8" t="s">
        <v>25745</v>
      </c>
      <c r="M1119" s="8" t="s">
        <v>27</v>
      </c>
      <c r="N1119" s="8" t="s">
        <v>25746</v>
      </c>
      <c r="O1119" s="8" t="s">
        <v>400</v>
      </c>
      <c r="P1119" s="8" t="s">
        <v>401</v>
      </c>
      <c r="Q1119" s="14" t="s">
        <v>25747</v>
      </c>
      <c r="R1119" s="8" t="s">
        <v>100</v>
      </c>
      <c r="S1119" s="8" t="s">
        <v>35</v>
      </c>
      <c r="T1119" s="68"/>
      <c r="U1119" s="68" t="s">
        <v>29436</v>
      </c>
      <c r="V1119" s="68" t="s">
        <v>29437</v>
      </c>
      <c r="W1119" s="68" t="s">
        <v>100</v>
      </c>
      <c r="X1119" s="68">
        <v>1741</v>
      </c>
      <c r="AW1119" s="1"/>
      <c r="BA1119" s="11"/>
      <c r="BB1119" s="11"/>
      <c r="BK1119" s="1"/>
    </row>
    <row r="1120" spans="1:63" s="11" customFormat="1" ht="12" customHeight="1" x14ac:dyDescent="0.15">
      <c r="A1120" s="8" t="s">
        <v>25728</v>
      </c>
      <c r="B1120" s="68">
        <v>36</v>
      </c>
      <c r="C1120" s="8" t="s">
        <v>20</v>
      </c>
      <c r="D1120" s="8" t="s">
        <v>48</v>
      </c>
      <c r="E1120" s="8"/>
      <c r="F1120" s="69">
        <v>42579</v>
      </c>
      <c r="G1120" s="8" t="s">
        <v>25729</v>
      </c>
      <c r="H1120" s="8" t="s">
        <v>98</v>
      </c>
      <c r="I1120" s="8" t="s">
        <v>45</v>
      </c>
      <c r="J1120" s="8">
        <v>90063</v>
      </c>
      <c r="K1120" s="8" t="s">
        <v>98</v>
      </c>
      <c r="L1120" s="8" t="s">
        <v>99</v>
      </c>
      <c r="M1120" s="8" t="s">
        <v>27</v>
      </c>
      <c r="N1120" s="8" t="s">
        <v>25730</v>
      </c>
      <c r="O1120" s="8" t="s">
        <v>400</v>
      </c>
      <c r="P1120" s="8" t="s">
        <v>401</v>
      </c>
      <c r="Q1120" s="14" t="s">
        <v>25731</v>
      </c>
      <c r="R1120" s="8" t="s">
        <v>100</v>
      </c>
      <c r="S1120" s="11" t="s">
        <v>35</v>
      </c>
      <c r="T1120" s="66" t="s">
        <v>29441</v>
      </c>
      <c r="U1120" s="68" t="s">
        <v>29436</v>
      </c>
      <c r="V1120" s="68" t="s">
        <v>29437</v>
      </c>
      <c r="W1120" s="68" t="s">
        <v>555</v>
      </c>
      <c r="X1120" s="68">
        <v>1745</v>
      </c>
      <c r="Y1120" s="44"/>
      <c r="Z1120" s="44"/>
      <c r="AA1120" s="44"/>
      <c r="AB1120" s="44"/>
      <c r="AC1120" s="44"/>
      <c r="AD1120" s="44"/>
      <c r="AE1120" s="44"/>
      <c r="AF1120" s="44"/>
      <c r="AG1120" s="44"/>
      <c r="AH1120" s="44"/>
      <c r="AI1120" s="44"/>
      <c r="AJ1120" s="44"/>
      <c r="AK1120" s="44"/>
      <c r="AL1120" s="44"/>
      <c r="AM1120" s="44"/>
      <c r="AN1120" s="44"/>
      <c r="AO1120" s="44"/>
      <c r="AP1120" s="44"/>
      <c r="AQ1120" s="44"/>
      <c r="AR1120" s="44"/>
      <c r="AS1120" s="44"/>
      <c r="AT1120" s="44"/>
      <c r="AU1120" s="44"/>
      <c r="AV1120" s="44"/>
      <c r="AX1120" s="1"/>
      <c r="AY1120" s="1"/>
      <c r="AZ1120" s="44"/>
      <c r="BC1120" s="1"/>
      <c r="BD1120" s="1"/>
      <c r="BE1120" s="1"/>
      <c r="BF1120" s="1"/>
      <c r="BG1120" s="1"/>
      <c r="BH1120" s="1"/>
      <c r="BI1120" s="1"/>
      <c r="BJ1120" s="1"/>
      <c r="BK1120" s="1"/>
    </row>
    <row r="1121" spans="1:63" s="44" customFormat="1" ht="12" customHeight="1" x14ac:dyDescent="0.15">
      <c r="A1121" s="8" t="s">
        <v>25732</v>
      </c>
      <c r="B1121" s="68">
        <v>41</v>
      </c>
      <c r="C1121" s="8" t="s">
        <v>20</v>
      </c>
      <c r="D1121" s="11" t="s">
        <v>48</v>
      </c>
      <c r="E1121" s="8"/>
      <c r="F1121" s="69">
        <v>42579</v>
      </c>
      <c r="G1121" s="8" t="s">
        <v>25733</v>
      </c>
      <c r="H1121" s="8" t="s">
        <v>13743</v>
      </c>
      <c r="I1121" s="8" t="s">
        <v>269</v>
      </c>
      <c r="J1121" s="8">
        <v>89431</v>
      </c>
      <c r="K1121" s="8" t="s">
        <v>6245</v>
      </c>
      <c r="L1121" s="8" t="s">
        <v>13745</v>
      </c>
      <c r="M1121" s="8" t="s">
        <v>27</v>
      </c>
      <c r="N1121" s="8" t="s">
        <v>25734</v>
      </c>
      <c r="O1121" s="8" t="s">
        <v>400</v>
      </c>
      <c r="P1121" s="8" t="s">
        <v>401</v>
      </c>
      <c r="Q1121" s="14" t="s">
        <v>25735</v>
      </c>
      <c r="R1121" s="8" t="s">
        <v>100</v>
      </c>
      <c r="S1121" s="11" t="s">
        <v>35</v>
      </c>
      <c r="T1121" s="66" t="s">
        <v>29441</v>
      </c>
      <c r="U1121" s="68" t="s">
        <v>29441</v>
      </c>
      <c r="V1121" s="68" t="s">
        <v>29439</v>
      </c>
      <c r="W1121" s="68" t="s">
        <v>100</v>
      </c>
      <c r="X1121" s="68">
        <v>1737</v>
      </c>
      <c r="AW1121" s="1"/>
      <c r="AX1121" s="1"/>
      <c r="AY1121" s="1"/>
      <c r="BA1121" s="11"/>
      <c r="BB1121" s="11"/>
      <c r="BC1121" s="1"/>
      <c r="BD1121" s="1"/>
      <c r="BE1121" s="1"/>
      <c r="BF1121" s="1"/>
      <c r="BG1121" s="1"/>
      <c r="BH1121" s="1"/>
      <c r="BI1121" s="1"/>
      <c r="BJ1121" s="1"/>
      <c r="BK1121" s="1"/>
    </row>
    <row r="1122" spans="1:63" s="44" customFormat="1" ht="12" customHeight="1" x14ac:dyDescent="0.2">
      <c r="A1122" s="8" t="s">
        <v>25739</v>
      </c>
      <c r="B1122" s="68">
        <v>18</v>
      </c>
      <c r="C1122" s="8" t="s">
        <v>20</v>
      </c>
      <c r="D1122" s="8" t="s">
        <v>85</v>
      </c>
      <c r="E1122" s="8" t="s">
        <v>25740</v>
      </c>
      <c r="F1122" s="69">
        <v>42579</v>
      </c>
      <c r="G1122" s="8" t="s">
        <v>29558</v>
      </c>
      <c r="H1122" s="8" t="s">
        <v>87</v>
      </c>
      <c r="I1122" s="8" t="s">
        <v>44</v>
      </c>
      <c r="J1122" s="8">
        <v>60649</v>
      </c>
      <c r="K1122" s="8" t="s">
        <v>88</v>
      </c>
      <c r="L1122" s="8" t="s">
        <v>89</v>
      </c>
      <c r="M1122" s="8" t="s">
        <v>27</v>
      </c>
      <c r="N1122" s="8" t="s">
        <v>25741</v>
      </c>
      <c r="O1122" s="8" t="s">
        <v>400</v>
      </c>
      <c r="P1122" s="8" t="s">
        <v>401</v>
      </c>
      <c r="Q1122" s="14" t="s">
        <v>25742</v>
      </c>
      <c r="R1122" s="8" t="s">
        <v>100</v>
      </c>
      <c r="S1122" s="8" t="s">
        <v>379</v>
      </c>
      <c r="T1122" s="68" t="s">
        <v>379</v>
      </c>
      <c r="U1122" s="68" t="s">
        <v>29436</v>
      </c>
      <c r="V1122" s="68" t="s">
        <v>29437</v>
      </c>
      <c r="W1122" s="68" t="s">
        <v>555</v>
      </c>
      <c r="X1122" s="68">
        <v>1742</v>
      </c>
      <c r="AW1122" s="70"/>
      <c r="AX1122" s="70"/>
      <c r="AY1122" s="70"/>
      <c r="BA1122" s="11"/>
      <c r="BB1122" s="11"/>
    </row>
    <row r="1123" spans="1:63" s="44" customFormat="1" ht="12" customHeight="1" x14ac:dyDescent="0.2">
      <c r="A1123" s="8" t="s">
        <v>25777</v>
      </c>
      <c r="B1123" s="68">
        <v>17</v>
      </c>
      <c r="C1123" s="8" t="s">
        <v>20</v>
      </c>
      <c r="D1123" s="8" t="s">
        <v>85</v>
      </c>
      <c r="E1123" s="8"/>
      <c r="F1123" s="69">
        <v>42578</v>
      </c>
      <c r="G1123" s="8" t="s">
        <v>25778</v>
      </c>
      <c r="H1123" s="8" t="s">
        <v>9816</v>
      </c>
      <c r="I1123" s="8" t="s">
        <v>25</v>
      </c>
      <c r="J1123" s="8">
        <v>70002</v>
      </c>
      <c r="K1123" s="8" t="s">
        <v>1778</v>
      </c>
      <c r="L1123" s="8" t="s">
        <v>2425</v>
      </c>
      <c r="M1123" s="8" t="s">
        <v>27</v>
      </c>
      <c r="N1123" s="8" t="s">
        <v>25779</v>
      </c>
      <c r="O1123" s="8" t="s">
        <v>400</v>
      </c>
      <c r="P1123" s="8" t="s">
        <v>401</v>
      </c>
      <c r="Q1123" s="14" t="s">
        <v>25780</v>
      </c>
      <c r="R1123" s="8" t="s">
        <v>100</v>
      </c>
      <c r="S1123" s="8" t="s">
        <v>28</v>
      </c>
      <c r="T1123" s="68" t="s">
        <v>27756</v>
      </c>
      <c r="U1123" s="68" t="s">
        <v>29438</v>
      </c>
      <c r="V1123" s="68" t="s">
        <v>29440</v>
      </c>
      <c r="W1123" s="68" t="s">
        <v>100</v>
      </c>
      <c r="X1123" s="68">
        <v>1735</v>
      </c>
      <c r="AW1123" s="70"/>
      <c r="AX1123" s="70"/>
      <c r="AY1123" s="70"/>
      <c r="BA1123" s="11"/>
      <c r="BB1123" s="11"/>
      <c r="BK1123" s="11"/>
    </row>
    <row r="1124" spans="1:63" s="44" customFormat="1" ht="12" customHeight="1" x14ac:dyDescent="0.2">
      <c r="A1124" s="8" t="s">
        <v>25756</v>
      </c>
      <c r="B1124" s="68">
        <v>20</v>
      </c>
      <c r="C1124" s="8" t="s">
        <v>20</v>
      </c>
      <c r="D1124" s="8" t="s">
        <v>37</v>
      </c>
      <c r="E1124" s="8"/>
      <c r="F1124" s="69">
        <v>42578</v>
      </c>
      <c r="G1124" s="8" t="s">
        <v>25757</v>
      </c>
      <c r="H1124" s="8" t="s">
        <v>25758</v>
      </c>
      <c r="I1124" s="8" t="s">
        <v>854</v>
      </c>
      <c r="J1124" s="8">
        <v>59538</v>
      </c>
      <c r="K1124" s="8" t="s">
        <v>25759</v>
      </c>
      <c r="L1124" s="8" t="s">
        <v>25760</v>
      </c>
      <c r="M1124" s="8" t="s">
        <v>27</v>
      </c>
      <c r="N1124" s="8" t="s">
        <v>25761</v>
      </c>
      <c r="O1124" s="8" t="s">
        <v>400</v>
      </c>
      <c r="P1124" s="8" t="s">
        <v>401</v>
      </c>
      <c r="Q1124" s="14" t="s">
        <v>25762</v>
      </c>
      <c r="R1124" s="8" t="s">
        <v>100</v>
      </c>
      <c r="S1124" s="8" t="s">
        <v>28</v>
      </c>
      <c r="T1124" s="68" t="s">
        <v>29493</v>
      </c>
      <c r="U1124" s="68" t="s">
        <v>29438</v>
      </c>
      <c r="V1124" s="68" t="s">
        <v>29439</v>
      </c>
      <c r="W1124" s="68" t="s">
        <v>100</v>
      </c>
      <c r="X1124" s="68">
        <v>1746</v>
      </c>
      <c r="AW1124" s="70"/>
      <c r="AX1124" s="1"/>
      <c r="AY1124" s="1"/>
      <c r="BA1124" s="11"/>
      <c r="BB1124" s="11"/>
      <c r="BC1124" s="1"/>
      <c r="BD1124" s="1"/>
      <c r="BE1124" s="1"/>
      <c r="BF1124" s="1"/>
      <c r="BG1124" s="1"/>
      <c r="BH1124" s="1"/>
      <c r="BI1124" s="1"/>
      <c r="BJ1124" s="1"/>
      <c r="BK1124" s="11"/>
    </row>
    <row r="1125" spans="1:63" s="44" customFormat="1" ht="12" customHeight="1" x14ac:dyDescent="0.15">
      <c r="A1125" s="8" t="s">
        <v>25763</v>
      </c>
      <c r="B1125" s="68">
        <v>33</v>
      </c>
      <c r="C1125" s="8" t="s">
        <v>20</v>
      </c>
      <c r="D1125" s="8" t="s">
        <v>37</v>
      </c>
      <c r="E1125" s="8"/>
      <c r="F1125" s="69">
        <v>42578</v>
      </c>
      <c r="G1125" s="8" t="s">
        <v>29561</v>
      </c>
      <c r="H1125" s="8" t="s">
        <v>25764</v>
      </c>
      <c r="I1125" s="8" t="s">
        <v>319</v>
      </c>
      <c r="J1125" s="8">
        <v>37330</v>
      </c>
      <c r="K1125" s="8" t="s">
        <v>1288</v>
      </c>
      <c r="L1125" s="8" t="s">
        <v>1289</v>
      </c>
      <c r="M1125" s="8" t="s">
        <v>27</v>
      </c>
      <c r="N1125" s="8" t="s">
        <v>25765</v>
      </c>
      <c r="O1125" s="8" t="s">
        <v>400</v>
      </c>
      <c r="P1125" s="8" t="s">
        <v>401</v>
      </c>
      <c r="Q1125" s="14" t="s">
        <v>25766</v>
      </c>
      <c r="R1125" s="8" t="s">
        <v>100</v>
      </c>
      <c r="S1125" s="8" t="s">
        <v>28</v>
      </c>
      <c r="T1125" s="68" t="s">
        <v>29493</v>
      </c>
      <c r="U1125" s="68" t="s">
        <v>29436</v>
      </c>
      <c r="V1125" s="68" t="s">
        <v>29440</v>
      </c>
      <c r="W1125" s="68" t="s">
        <v>555</v>
      </c>
      <c r="X1125" s="68">
        <v>1835</v>
      </c>
      <c r="AW1125" s="11"/>
      <c r="AX1125" s="1"/>
      <c r="AY1125" s="1"/>
      <c r="BA1125" s="11"/>
      <c r="BB1125" s="11"/>
      <c r="BC1125" s="1"/>
      <c r="BD1125" s="1"/>
      <c r="BE1125" s="1"/>
      <c r="BF1125" s="1"/>
      <c r="BG1125" s="1"/>
      <c r="BH1125" s="1"/>
      <c r="BI1125" s="1"/>
      <c r="BJ1125" s="1"/>
      <c r="BK1125" s="11"/>
    </row>
    <row r="1126" spans="1:63" s="44" customFormat="1" ht="12" customHeight="1" x14ac:dyDescent="0.15">
      <c r="A1126" s="8" t="s">
        <v>25771</v>
      </c>
      <c r="B1126" s="8">
        <v>37</v>
      </c>
      <c r="C1126" s="8" t="s">
        <v>20</v>
      </c>
      <c r="D1126" s="8" t="s">
        <v>85</v>
      </c>
      <c r="E1126" s="14" t="s">
        <v>25772</v>
      </c>
      <c r="F1126" s="72">
        <v>42578</v>
      </c>
      <c r="G1126" s="8" t="s">
        <v>25773</v>
      </c>
      <c r="H1126" s="8" t="s">
        <v>632</v>
      </c>
      <c r="I1126" s="8" t="s">
        <v>123</v>
      </c>
      <c r="J1126" s="8" t="s">
        <v>25774</v>
      </c>
      <c r="K1126" s="8" t="s">
        <v>633</v>
      </c>
      <c r="L1126" s="8" t="s">
        <v>634</v>
      </c>
      <c r="M1126" s="8" t="s">
        <v>27</v>
      </c>
      <c r="N1126" s="16" t="s">
        <v>25775</v>
      </c>
      <c r="O1126" s="8" t="s">
        <v>400</v>
      </c>
      <c r="P1126" s="8" t="s">
        <v>401</v>
      </c>
      <c r="Q1126" s="14" t="s">
        <v>25776</v>
      </c>
      <c r="R1126" s="8" t="s">
        <v>100</v>
      </c>
      <c r="S1126" s="8" t="s">
        <v>35</v>
      </c>
      <c r="T1126" s="68"/>
      <c r="U1126" s="68"/>
      <c r="V1126" s="68"/>
      <c r="W1126" s="68"/>
      <c r="X1126" s="68"/>
      <c r="AW1126" s="1"/>
      <c r="AZ1126" s="1"/>
      <c r="BA1126" s="1"/>
      <c r="BB1126" s="1"/>
      <c r="BK1126" s="1"/>
    </row>
    <row r="1127" spans="1:63" s="44" customFormat="1" ht="12" customHeight="1" x14ac:dyDescent="0.15">
      <c r="A1127" s="8" t="s">
        <v>25748</v>
      </c>
      <c r="B1127" s="68">
        <v>24</v>
      </c>
      <c r="C1127" s="8" t="s">
        <v>20</v>
      </c>
      <c r="D1127" s="8" t="s">
        <v>48</v>
      </c>
      <c r="E1127" s="8"/>
      <c r="F1127" s="69">
        <v>42578</v>
      </c>
      <c r="G1127" s="8" t="s">
        <v>29560</v>
      </c>
      <c r="H1127" s="8" t="s">
        <v>309</v>
      </c>
      <c r="I1127" s="8" t="s">
        <v>45</v>
      </c>
      <c r="J1127" s="8">
        <v>92411</v>
      </c>
      <c r="K1127" s="8" t="s">
        <v>309</v>
      </c>
      <c r="L1127" s="8" t="s">
        <v>4320</v>
      </c>
      <c r="M1127" s="8" t="s">
        <v>27</v>
      </c>
      <c r="N1127" s="8" t="s">
        <v>25749</v>
      </c>
      <c r="O1127" s="8" t="s">
        <v>400</v>
      </c>
      <c r="P1127" s="8" t="s">
        <v>401</v>
      </c>
      <c r="Q1127" s="14" t="s">
        <v>25750</v>
      </c>
      <c r="R1127" s="68" t="s">
        <v>555</v>
      </c>
      <c r="S1127" s="8" t="s">
        <v>28</v>
      </c>
      <c r="T1127" s="68" t="s">
        <v>29493</v>
      </c>
      <c r="U1127" s="68" t="s">
        <v>29436</v>
      </c>
      <c r="V1127" s="68" t="s">
        <v>29439</v>
      </c>
      <c r="W1127" s="68" t="s">
        <v>100</v>
      </c>
      <c r="X1127" s="68">
        <v>1740</v>
      </c>
      <c r="AW1127" s="11"/>
      <c r="AX1127" s="1"/>
      <c r="AY1127" s="1"/>
      <c r="BB1127" s="11"/>
      <c r="BC1127" s="1"/>
      <c r="BD1127" s="1"/>
      <c r="BE1127" s="1"/>
      <c r="BF1127" s="1"/>
      <c r="BG1127" s="1"/>
      <c r="BH1127" s="1"/>
      <c r="BI1127" s="1"/>
      <c r="BJ1127" s="1"/>
      <c r="BK1127" s="11"/>
    </row>
    <row r="1128" spans="1:63" s="44" customFormat="1" ht="12" customHeight="1" x14ac:dyDescent="0.15">
      <c r="A1128" s="8" t="s">
        <v>25751</v>
      </c>
      <c r="B1128" s="68">
        <v>24</v>
      </c>
      <c r="C1128" s="8" t="s">
        <v>20</v>
      </c>
      <c r="D1128" s="8" t="s">
        <v>37</v>
      </c>
      <c r="E1128" s="14" t="s">
        <v>25752</v>
      </c>
      <c r="F1128" s="69">
        <v>42578</v>
      </c>
      <c r="G1128" s="8" t="s">
        <v>25753</v>
      </c>
      <c r="H1128" s="8" t="s">
        <v>687</v>
      </c>
      <c r="I1128" s="8" t="s">
        <v>123</v>
      </c>
      <c r="J1128" s="8">
        <v>85260</v>
      </c>
      <c r="K1128" s="8" t="s">
        <v>633</v>
      </c>
      <c r="L1128" s="8" t="s">
        <v>4878</v>
      </c>
      <c r="M1128" s="8" t="s">
        <v>27</v>
      </c>
      <c r="N1128" s="8" t="s">
        <v>25754</v>
      </c>
      <c r="O1128" s="8" t="s">
        <v>400</v>
      </c>
      <c r="P1128" s="8" t="s">
        <v>401</v>
      </c>
      <c r="Q1128" s="14" t="s">
        <v>25755</v>
      </c>
      <c r="R1128" s="8" t="s">
        <v>555</v>
      </c>
      <c r="S1128" s="8" t="s">
        <v>28</v>
      </c>
      <c r="T1128" s="68" t="s">
        <v>29493</v>
      </c>
      <c r="U1128" s="68" t="s">
        <v>29436</v>
      </c>
      <c r="V1128" s="68" t="s">
        <v>29440</v>
      </c>
      <c r="W1128" s="68" t="s">
        <v>555</v>
      </c>
      <c r="X1128" s="68">
        <v>1739</v>
      </c>
      <c r="AW1128" s="11"/>
      <c r="AX1128" s="1"/>
      <c r="AY1128" s="1"/>
      <c r="BA1128" s="1"/>
      <c r="BB1128" s="1"/>
      <c r="BC1128" s="1"/>
      <c r="BD1128" s="1"/>
      <c r="BE1128" s="1"/>
      <c r="BF1128" s="1"/>
      <c r="BG1128" s="1"/>
      <c r="BH1128" s="1"/>
      <c r="BI1128" s="1"/>
      <c r="BJ1128" s="1"/>
      <c r="BK1128" s="11"/>
    </row>
    <row r="1129" spans="1:63" s="44" customFormat="1" ht="12" customHeight="1" x14ac:dyDescent="0.2">
      <c r="A1129" s="8" t="s">
        <v>25767</v>
      </c>
      <c r="B1129" s="68">
        <v>19</v>
      </c>
      <c r="C1129" s="8" t="s">
        <v>20</v>
      </c>
      <c r="D1129" s="8" t="s">
        <v>85</v>
      </c>
      <c r="E1129" s="14" t="s">
        <v>25768</v>
      </c>
      <c r="F1129" s="69">
        <v>42578</v>
      </c>
      <c r="G1129" s="8" t="s">
        <v>29562</v>
      </c>
      <c r="H1129" s="8" t="s">
        <v>3905</v>
      </c>
      <c r="I1129" s="8" t="s">
        <v>123</v>
      </c>
      <c r="J1129" s="8">
        <v>85283</v>
      </c>
      <c r="K1129" s="8" t="s">
        <v>633</v>
      </c>
      <c r="L1129" s="16" t="s">
        <v>3907</v>
      </c>
      <c r="M1129" s="8" t="s">
        <v>27</v>
      </c>
      <c r="N1129" s="8" t="s">
        <v>25769</v>
      </c>
      <c r="O1129" s="8" t="s">
        <v>400</v>
      </c>
      <c r="P1129" s="8" t="s">
        <v>401</v>
      </c>
      <c r="Q1129" s="14" t="s">
        <v>25770</v>
      </c>
      <c r="R1129" s="68" t="s">
        <v>555</v>
      </c>
      <c r="S1129" s="8" t="s">
        <v>18</v>
      </c>
      <c r="T1129" s="68" t="s">
        <v>28345</v>
      </c>
      <c r="U1129" s="68" t="s">
        <v>29438</v>
      </c>
      <c r="V1129" s="68" t="s">
        <v>29440</v>
      </c>
      <c r="W1129" s="68" t="s">
        <v>100</v>
      </c>
      <c r="X1129" s="68">
        <v>1736</v>
      </c>
      <c r="AW1129" s="70"/>
      <c r="AX1129" s="70"/>
      <c r="AY1129" s="70"/>
      <c r="BA1129" s="70"/>
      <c r="BK1129" s="1"/>
    </row>
    <row r="1130" spans="1:63" s="44" customFormat="1" ht="12" customHeight="1" x14ac:dyDescent="0.15">
      <c r="A1130" s="8" t="s">
        <v>25781</v>
      </c>
      <c r="B1130" s="68">
        <v>36</v>
      </c>
      <c r="C1130" s="8" t="s">
        <v>20</v>
      </c>
      <c r="D1130" s="8" t="s">
        <v>48</v>
      </c>
      <c r="E1130" s="8"/>
      <c r="F1130" s="69">
        <v>42577</v>
      </c>
      <c r="G1130" s="8" t="s">
        <v>25782</v>
      </c>
      <c r="H1130" s="8" t="s">
        <v>534</v>
      </c>
      <c r="I1130" s="8" t="s">
        <v>195</v>
      </c>
      <c r="J1130" s="8">
        <v>88210</v>
      </c>
      <c r="K1130" s="8" t="s">
        <v>9301</v>
      </c>
      <c r="L1130" s="8" t="s">
        <v>25783</v>
      </c>
      <c r="M1130" s="8" t="s">
        <v>27</v>
      </c>
      <c r="N1130" s="8" t="s">
        <v>25784</v>
      </c>
      <c r="O1130" s="8" t="s">
        <v>400</v>
      </c>
      <c r="P1130" s="8" t="s">
        <v>401</v>
      </c>
      <c r="Q1130" s="14" t="s">
        <v>25785</v>
      </c>
      <c r="R1130" s="8" t="s">
        <v>100</v>
      </c>
      <c r="S1130" s="8" t="s">
        <v>28</v>
      </c>
      <c r="T1130" s="68" t="s">
        <v>27756</v>
      </c>
      <c r="U1130" s="68" t="s">
        <v>29436</v>
      </c>
      <c r="V1130" s="68"/>
      <c r="W1130" s="68" t="s">
        <v>100</v>
      </c>
      <c r="X1130" s="68">
        <v>1734</v>
      </c>
      <c r="AW1130" s="11"/>
      <c r="AX1130" s="1"/>
      <c r="AY1130" s="1"/>
      <c r="BA1130" s="11"/>
      <c r="BB1130" s="11"/>
      <c r="BC1130" s="1"/>
      <c r="BD1130" s="1"/>
      <c r="BE1130" s="1"/>
      <c r="BF1130" s="1"/>
      <c r="BG1130" s="1"/>
      <c r="BH1130" s="1"/>
      <c r="BI1130" s="1"/>
      <c r="BJ1130" s="1"/>
      <c r="BK1130" s="11"/>
    </row>
    <row r="1131" spans="1:63" s="44" customFormat="1" ht="12" customHeight="1" x14ac:dyDescent="0.2">
      <c r="A1131" s="52" t="s">
        <v>25786</v>
      </c>
      <c r="B1131" s="68">
        <v>50</v>
      </c>
      <c r="C1131" s="8" t="s">
        <v>20</v>
      </c>
      <c r="D1131" s="8" t="s">
        <v>37</v>
      </c>
      <c r="E1131" s="8"/>
      <c r="F1131" s="69">
        <v>42577</v>
      </c>
      <c r="G1131" s="8" t="s">
        <v>25787</v>
      </c>
      <c r="H1131" s="8" t="s">
        <v>25788</v>
      </c>
      <c r="I1131" s="8" t="s">
        <v>438</v>
      </c>
      <c r="J1131" s="8">
        <v>54452</v>
      </c>
      <c r="K1131" s="16" t="s">
        <v>2316</v>
      </c>
      <c r="L1131" s="8" t="s">
        <v>10818</v>
      </c>
      <c r="M1131" s="8" t="s">
        <v>27</v>
      </c>
      <c r="N1131" s="8" t="s">
        <v>25789</v>
      </c>
      <c r="O1131" s="8" t="s">
        <v>400</v>
      </c>
      <c r="P1131" s="8" t="s">
        <v>401</v>
      </c>
      <c r="Q1131" s="14" t="s">
        <v>25790</v>
      </c>
      <c r="R1131" s="8" t="s">
        <v>100</v>
      </c>
      <c r="S1131" s="8" t="s">
        <v>28</v>
      </c>
      <c r="T1131" s="68" t="s">
        <v>27756</v>
      </c>
      <c r="U1131" s="68" t="s">
        <v>29438</v>
      </c>
      <c r="V1131" s="68" t="s">
        <v>29437</v>
      </c>
      <c r="W1131" s="68" t="s">
        <v>100</v>
      </c>
      <c r="X1131" s="68">
        <v>1733</v>
      </c>
      <c r="AW1131" s="1"/>
      <c r="AX1131" s="1"/>
      <c r="AY1131" s="1"/>
      <c r="BA1131" s="11"/>
      <c r="BB1131" s="11"/>
      <c r="BC1131" s="1"/>
      <c r="BD1131" s="1"/>
      <c r="BE1131" s="1"/>
      <c r="BF1131" s="1"/>
      <c r="BG1131" s="1"/>
      <c r="BH1131" s="1"/>
      <c r="BI1131" s="1"/>
      <c r="BJ1131" s="1"/>
      <c r="BK1131" s="11"/>
    </row>
    <row r="1132" spans="1:63" s="44" customFormat="1" ht="12" customHeight="1" x14ac:dyDescent="0.2">
      <c r="A1132" s="8" t="s">
        <v>25791</v>
      </c>
      <c r="B1132" s="8">
        <v>32</v>
      </c>
      <c r="C1132" s="8" t="s">
        <v>20</v>
      </c>
      <c r="D1132" s="8" t="s">
        <v>48</v>
      </c>
      <c r="E1132" s="14" t="s">
        <v>25792</v>
      </c>
      <c r="F1132" s="72">
        <v>42577</v>
      </c>
      <c r="G1132" s="8" t="s">
        <v>29563</v>
      </c>
      <c r="H1132" s="8" t="s">
        <v>14231</v>
      </c>
      <c r="I1132" s="8" t="s">
        <v>45</v>
      </c>
      <c r="J1132" s="8">
        <v>94565</v>
      </c>
      <c r="K1132" s="8" t="s">
        <v>4500</v>
      </c>
      <c r="L1132" s="8" t="s">
        <v>25793</v>
      </c>
      <c r="M1132" s="8" t="s">
        <v>25366</v>
      </c>
      <c r="N1132" s="8" t="s">
        <v>25794</v>
      </c>
      <c r="O1132" s="8" t="s">
        <v>400</v>
      </c>
      <c r="P1132" s="8" t="s">
        <v>401</v>
      </c>
      <c r="Q1132" s="14" t="s">
        <v>25795</v>
      </c>
      <c r="R1132" s="8" t="s">
        <v>100</v>
      </c>
      <c r="S1132" s="8" t="s">
        <v>18</v>
      </c>
      <c r="T1132" s="8"/>
      <c r="AT1132" s="70"/>
      <c r="AU1132" s="70"/>
      <c r="AV1132" s="1"/>
      <c r="AW1132" s="1"/>
      <c r="AX1132" s="1"/>
      <c r="AY1132" s="1"/>
      <c r="AZ1132" s="1"/>
      <c r="BA1132" s="1"/>
      <c r="BB1132" s="1"/>
      <c r="BC1132" s="1"/>
      <c r="BD1132" s="1"/>
      <c r="BE1132" s="1"/>
      <c r="BF1132" s="1"/>
      <c r="BG1132" s="1"/>
      <c r="BH1132" s="1"/>
      <c r="BI1132" s="1"/>
      <c r="BJ1132" s="1"/>
      <c r="BK1132" s="78"/>
    </row>
    <row r="1133" spans="1:63" s="44" customFormat="1" ht="12" customHeight="1" x14ac:dyDescent="0.2">
      <c r="A1133" s="8" t="s">
        <v>25796</v>
      </c>
      <c r="B1133" s="8">
        <v>58</v>
      </c>
      <c r="C1133" s="8" t="s">
        <v>20</v>
      </c>
      <c r="D1133" s="8" t="s">
        <v>37</v>
      </c>
      <c r="E1133" s="8"/>
      <c r="F1133" s="72">
        <v>42577</v>
      </c>
      <c r="G1133" s="8" t="s">
        <v>29564</v>
      </c>
      <c r="H1133" s="8" t="s">
        <v>2333</v>
      </c>
      <c r="I1133" s="8" t="s">
        <v>44</v>
      </c>
      <c r="J1133" s="8">
        <v>61103</v>
      </c>
      <c r="K1133" s="8" t="s">
        <v>2335</v>
      </c>
      <c r="L1133" s="16" t="s">
        <v>25797</v>
      </c>
      <c r="M1133" s="8" t="s">
        <v>25366</v>
      </c>
      <c r="N1133" s="8" t="s">
        <v>25798</v>
      </c>
      <c r="O1133" s="8" t="s">
        <v>400</v>
      </c>
      <c r="P1133" s="8" t="s">
        <v>401</v>
      </c>
      <c r="Q1133" s="14" t="s">
        <v>25799</v>
      </c>
      <c r="R1133" s="8" t="s">
        <v>555</v>
      </c>
      <c r="S1133" s="8" t="s">
        <v>18</v>
      </c>
      <c r="T1133" s="8"/>
      <c r="AT1133" s="70"/>
      <c r="AU1133" s="70"/>
      <c r="AV1133" s="1"/>
      <c r="AZ1133" s="1"/>
      <c r="BA1133" s="1"/>
      <c r="BB1133" s="1"/>
      <c r="BC1133" s="1"/>
      <c r="BD1133" s="1"/>
      <c r="BE1133" s="1"/>
      <c r="BF1133" s="1"/>
      <c r="BG1133" s="1"/>
      <c r="BH1133" s="1"/>
      <c r="BI1133" s="1"/>
      <c r="BJ1133" s="1"/>
      <c r="BK1133" s="78"/>
    </row>
    <row r="1134" spans="1:63" s="44" customFormat="1" ht="12" customHeight="1" x14ac:dyDescent="0.2">
      <c r="A1134" s="8" t="s">
        <v>25816</v>
      </c>
      <c r="B1134" s="68">
        <v>18</v>
      </c>
      <c r="C1134" s="8" t="s">
        <v>20</v>
      </c>
      <c r="D1134" s="8" t="s">
        <v>85</v>
      </c>
      <c r="E1134" s="8"/>
      <c r="F1134" s="69">
        <v>42576</v>
      </c>
      <c r="G1134" s="8" t="s">
        <v>25817</v>
      </c>
      <c r="H1134" s="8" t="s">
        <v>98</v>
      </c>
      <c r="I1134" s="8" t="s">
        <v>45</v>
      </c>
      <c r="J1134" s="8">
        <v>90059</v>
      </c>
      <c r="K1134" s="16" t="s">
        <v>98</v>
      </c>
      <c r="L1134" s="8" t="s">
        <v>99</v>
      </c>
      <c r="M1134" s="8" t="s">
        <v>27</v>
      </c>
      <c r="N1134" s="8" t="s">
        <v>25818</v>
      </c>
      <c r="O1134" s="8" t="s">
        <v>400</v>
      </c>
      <c r="P1134" s="8" t="s">
        <v>401</v>
      </c>
      <c r="Q1134" s="14" t="s">
        <v>25819</v>
      </c>
      <c r="R1134" s="8" t="s">
        <v>100</v>
      </c>
      <c r="S1134" s="8" t="s">
        <v>28</v>
      </c>
      <c r="T1134" s="68" t="s">
        <v>27756</v>
      </c>
      <c r="U1134" s="68" t="s">
        <v>29438</v>
      </c>
      <c r="V1134" s="68" t="s">
        <v>29440</v>
      </c>
      <c r="W1134" s="68" t="s">
        <v>100</v>
      </c>
      <c r="X1134" s="68">
        <v>1732</v>
      </c>
      <c r="AW1134" s="70"/>
      <c r="AX1134" s="70"/>
      <c r="AY1134" s="70"/>
      <c r="BA1134" s="11"/>
      <c r="BB1134" s="11"/>
      <c r="BK1134" s="11"/>
    </row>
    <row r="1135" spans="1:63" s="44" customFormat="1" ht="12" customHeight="1" x14ac:dyDescent="0.15">
      <c r="A1135" s="8" t="s">
        <v>25800</v>
      </c>
      <c r="B1135" s="68">
        <v>32</v>
      </c>
      <c r="C1135" s="8" t="s">
        <v>20</v>
      </c>
      <c r="D1135" s="8" t="s">
        <v>85</v>
      </c>
      <c r="E1135" s="14" t="s">
        <v>25801</v>
      </c>
      <c r="F1135" s="69">
        <v>42576</v>
      </c>
      <c r="G1135" s="8" t="s">
        <v>29565</v>
      </c>
      <c r="H1135" s="8" t="s">
        <v>216</v>
      </c>
      <c r="I1135" s="8" t="s">
        <v>217</v>
      </c>
      <c r="J1135" s="8">
        <v>46201</v>
      </c>
      <c r="K1135" s="16" t="s">
        <v>420</v>
      </c>
      <c r="L1135" s="8" t="s">
        <v>218</v>
      </c>
      <c r="M1135" s="8" t="s">
        <v>27</v>
      </c>
      <c r="N1135" s="8" t="s">
        <v>25802</v>
      </c>
      <c r="O1135" s="8" t="s">
        <v>400</v>
      </c>
      <c r="P1135" s="8" t="s">
        <v>401</v>
      </c>
      <c r="Q1135" s="14" t="s">
        <v>25803</v>
      </c>
      <c r="R1135" s="8" t="s">
        <v>100</v>
      </c>
      <c r="S1135" s="8" t="s">
        <v>28</v>
      </c>
      <c r="T1135" s="68" t="s">
        <v>27756</v>
      </c>
      <c r="U1135" s="68" t="s">
        <v>29438</v>
      </c>
      <c r="V1135" s="68" t="s">
        <v>29437</v>
      </c>
      <c r="W1135" s="68" t="s">
        <v>100</v>
      </c>
      <c r="X1135" s="68">
        <v>1731</v>
      </c>
      <c r="AW1135" s="11"/>
      <c r="AX1135" s="11"/>
      <c r="AY1135" s="11"/>
      <c r="BA1135" s="11"/>
      <c r="BB1135" s="11"/>
      <c r="BK1135" s="11"/>
    </row>
    <row r="1136" spans="1:63" s="44" customFormat="1" ht="12" customHeight="1" x14ac:dyDescent="0.15">
      <c r="A1136" s="8" t="s">
        <v>25810</v>
      </c>
      <c r="B1136" s="8">
        <v>25</v>
      </c>
      <c r="C1136" s="8" t="s">
        <v>20</v>
      </c>
      <c r="D1136" s="8" t="s">
        <v>37</v>
      </c>
      <c r="E1136" s="14" t="s">
        <v>25811</v>
      </c>
      <c r="F1136" s="72">
        <v>42576</v>
      </c>
      <c r="G1136" s="8" t="s">
        <v>25812</v>
      </c>
      <c r="H1136" s="8" t="s">
        <v>25813</v>
      </c>
      <c r="I1136" s="8" t="s">
        <v>319</v>
      </c>
      <c r="J1136" s="8">
        <v>37886</v>
      </c>
      <c r="K1136" s="8" t="s">
        <v>6291</v>
      </c>
      <c r="L1136" s="16" t="s">
        <v>6292</v>
      </c>
      <c r="M1136" s="1" t="s">
        <v>391</v>
      </c>
      <c r="N1136" s="8" t="s">
        <v>25814</v>
      </c>
      <c r="O1136" s="8" t="s">
        <v>400</v>
      </c>
      <c r="P1136" s="8" t="s">
        <v>401</v>
      </c>
      <c r="Q1136" s="14" t="s">
        <v>25815</v>
      </c>
      <c r="R1136" s="8" t="s">
        <v>100</v>
      </c>
      <c r="S1136" s="8" t="s">
        <v>18</v>
      </c>
      <c r="T1136" s="8"/>
      <c r="AU1136" s="11"/>
      <c r="AV1136" s="11"/>
      <c r="AX1136" s="1"/>
      <c r="AY1136" s="1"/>
      <c r="AZ1136" s="1"/>
      <c r="BA1136" s="1"/>
      <c r="BB1136" s="1"/>
      <c r="BC1136" s="1"/>
      <c r="BD1136" s="1"/>
      <c r="BE1136" s="1"/>
      <c r="BF1136" s="1"/>
      <c r="BG1136" s="1"/>
      <c r="BH1136" s="1"/>
      <c r="BI1136" s="1"/>
      <c r="BJ1136" s="1"/>
      <c r="BK1136" s="1"/>
    </row>
    <row r="1137" spans="1:63" s="44" customFormat="1" ht="12" customHeight="1" x14ac:dyDescent="0.15">
      <c r="A1137" s="8" t="s">
        <v>25804</v>
      </c>
      <c r="B1137" s="8">
        <v>23</v>
      </c>
      <c r="C1137" s="8" t="s">
        <v>114</v>
      </c>
      <c r="D1137" s="8" t="s">
        <v>37</v>
      </c>
      <c r="E1137" s="14" t="s">
        <v>25805</v>
      </c>
      <c r="F1137" s="72">
        <v>42576</v>
      </c>
      <c r="G1137" s="8" t="s">
        <v>25806</v>
      </c>
      <c r="H1137" s="8" t="s">
        <v>12906</v>
      </c>
      <c r="I1137" s="8" t="s">
        <v>117</v>
      </c>
      <c r="J1137" s="8">
        <v>97701</v>
      </c>
      <c r="K1137" s="8" t="s">
        <v>12908</v>
      </c>
      <c r="L1137" s="16" t="s">
        <v>25807</v>
      </c>
      <c r="M1137" s="8" t="s">
        <v>379</v>
      </c>
      <c r="N1137" s="8" t="s">
        <v>25808</v>
      </c>
      <c r="O1137" s="8" t="s">
        <v>400</v>
      </c>
      <c r="P1137" s="8" t="s">
        <v>401</v>
      </c>
      <c r="Q1137" s="14" t="s">
        <v>25809</v>
      </c>
      <c r="R1137" s="8" t="s">
        <v>100</v>
      </c>
      <c r="S1137" s="8" t="s">
        <v>18</v>
      </c>
      <c r="T1137" s="8"/>
      <c r="AX1137" s="1"/>
      <c r="AY1137" s="1"/>
      <c r="AZ1137" s="1"/>
      <c r="BA1137" s="1"/>
      <c r="BB1137" s="1"/>
      <c r="BC1137" s="1"/>
      <c r="BD1137" s="1"/>
      <c r="BE1137" s="1"/>
      <c r="BF1137" s="1"/>
      <c r="BG1137" s="1"/>
      <c r="BH1137" s="1"/>
      <c r="BI1137" s="1"/>
      <c r="BJ1137" s="1"/>
      <c r="BK1137" s="1"/>
    </row>
    <row r="1138" spans="1:63" s="44" customFormat="1" ht="12" customHeight="1" x14ac:dyDescent="0.2">
      <c r="A1138" s="8" t="s">
        <v>25825</v>
      </c>
      <c r="B1138" s="68">
        <v>29</v>
      </c>
      <c r="C1138" s="8" t="s">
        <v>20</v>
      </c>
      <c r="D1138" s="8" t="s">
        <v>139</v>
      </c>
      <c r="E1138" s="14" t="s">
        <v>25826</v>
      </c>
      <c r="F1138" s="69">
        <v>42575</v>
      </c>
      <c r="G1138" s="8" t="s">
        <v>29566</v>
      </c>
      <c r="H1138" s="8" t="s">
        <v>25827</v>
      </c>
      <c r="I1138" s="8" t="s">
        <v>195</v>
      </c>
      <c r="J1138" s="8">
        <v>87301</v>
      </c>
      <c r="K1138" s="16" t="s">
        <v>25828</v>
      </c>
      <c r="L1138" s="8" t="s">
        <v>25829</v>
      </c>
      <c r="M1138" s="8" t="s">
        <v>27</v>
      </c>
      <c r="N1138" s="8" t="s">
        <v>25830</v>
      </c>
      <c r="O1138" s="8" t="s">
        <v>400</v>
      </c>
      <c r="P1138" s="8" t="s">
        <v>401</v>
      </c>
      <c r="Q1138" s="14" t="s">
        <v>25831</v>
      </c>
      <c r="R1138" s="68" t="s">
        <v>555</v>
      </c>
      <c r="S1138" s="8" t="s">
        <v>28</v>
      </c>
      <c r="T1138" s="68" t="s">
        <v>29493</v>
      </c>
      <c r="U1138" s="68" t="s">
        <v>29436</v>
      </c>
      <c r="V1138" s="68" t="s">
        <v>29439</v>
      </c>
      <c r="W1138" s="68" t="s">
        <v>100</v>
      </c>
      <c r="X1138" s="68">
        <v>1730</v>
      </c>
      <c r="AX1138" s="1"/>
      <c r="AY1138" s="1"/>
      <c r="BA1138" s="70"/>
      <c r="BC1138" s="1"/>
      <c r="BD1138" s="1"/>
      <c r="BE1138" s="1"/>
      <c r="BF1138" s="1"/>
      <c r="BG1138" s="1"/>
      <c r="BH1138" s="1"/>
      <c r="BI1138" s="1"/>
      <c r="BJ1138" s="1"/>
      <c r="BK1138" s="11"/>
    </row>
    <row r="1139" spans="1:63" s="44" customFormat="1" ht="12" customHeight="1" x14ac:dyDescent="0.2">
      <c r="A1139" s="8" t="s">
        <v>25820</v>
      </c>
      <c r="B1139" s="68">
        <v>36</v>
      </c>
      <c r="C1139" s="8" t="s">
        <v>20</v>
      </c>
      <c r="D1139" s="11" t="s">
        <v>37</v>
      </c>
      <c r="E1139" s="8"/>
      <c r="F1139" s="69">
        <v>42575</v>
      </c>
      <c r="G1139" s="8" t="s">
        <v>25821</v>
      </c>
      <c r="H1139" s="8" t="s">
        <v>3102</v>
      </c>
      <c r="I1139" s="8" t="s">
        <v>45</v>
      </c>
      <c r="J1139" s="8">
        <v>92545</v>
      </c>
      <c r="K1139" s="16" t="s">
        <v>783</v>
      </c>
      <c r="L1139" s="8" t="s">
        <v>25822</v>
      </c>
      <c r="M1139" s="8" t="s">
        <v>27</v>
      </c>
      <c r="N1139" s="8" t="s">
        <v>25823</v>
      </c>
      <c r="O1139" s="8" t="s">
        <v>400</v>
      </c>
      <c r="P1139" s="8" t="s">
        <v>401</v>
      </c>
      <c r="Q1139" s="14" t="s">
        <v>25824</v>
      </c>
      <c r="R1139" s="68" t="s">
        <v>555</v>
      </c>
      <c r="S1139" s="8" t="s">
        <v>28</v>
      </c>
      <c r="T1139" s="68" t="s">
        <v>29489</v>
      </c>
      <c r="U1139" s="68" t="s">
        <v>29438</v>
      </c>
      <c r="V1139" s="68" t="s">
        <v>29439</v>
      </c>
      <c r="W1139" s="68" t="s">
        <v>100</v>
      </c>
      <c r="X1139" s="68">
        <v>1729</v>
      </c>
      <c r="AW1139" s="11"/>
      <c r="AX1139" s="1"/>
      <c r="AY1139" s="1"/>
      <c r="BA1139" s="70"/>
      <c r="BC1139" s="1"/>
      <c r="BD1139" s="1"/>
      <c r="BE1139" s="1"/>
      <c r="BF1139" s="1"/>
      <c r="BG1139" s="1"/>
      <c r="BH1139" s="1"/>
      <c r="BI1139" s="1"/>
      <c r="BJ1139" s="1"/>
      <c r="BK1139" s="11"/>
    </row>
    <row r="1140" spans="1:63" s="44" customFormat="1" ht="12" customHeight="1" x14ac:dyDescent="0.15">
      <c r="A1140" s="8" t="s">
        <v>25832</v>
      </c>
      <c r="B1140" s="68">
        <v>31</v>
      </c>
      <c r="C1140" s="8" t="s">
        <v>20</v>
      </c>
      <c r="D1140" s="11" t="s">
        <v>85</v>
      </c>
      <c r="E1140" s="8"/>
      <c r="F1140" s="69">
        <v>42574</v>
      </c>
      <c r="G1140" s="8" t="s">
        <v>29567</v>
      </c>
      <c r="H1140" s="8" t="s">
        <v>4491</v>
      </c>
      <c r="I1140" s="8" t="s">
        <v>45</v>
      </c>
      <c r="J1140" s="8">
        <v>91710</v>
      </c>
      <c r="K1140" s="16" t="s">
        <v>309</v>
      </c>
      <c r="L1140" s="8" t="s">
        <v>25833</v>
      </c>
      <c r="M1140" s="8" t="s">
        <v>27</v>
      </c>
      <c r="N1140" s="8" t="s">
        <v>25834</v>
      </c>
      <c r="O1140" s="8" t="s">
        <v>400</v>
      </c>
      <c r="P1140" s="8" t="s">
        <v>401</v>
      </c>
      <c r="Q1140" s="14" t="s">
        <v>25835</v>
      </c>
      <c r="R1140" s="8" t="s">
        <v>100</v>
      </c>
      <c r="S1140" s="8" t="s">
        <v>28</v>
      </c>
      <c r="T1140" s="68" t="s">
        <v>27756</v>
      </c>
      <c r="U1140" s="68" t="s">
        <v>29438</v>
      </c>
      <c r="V1140" s="68" t="s">
        <v>29440</v>
      </c>
      <c r="W1140" s="68" t="s">
        <v>100</v>
      </c>
      <c r="X1140" s="68">
        <v>1727</v>
      </c>
      <c r="AW1140" s="11"/>
      <c r="AX1140" s="11"/>
      <c r="AY1140" s="11"/>
      <c r="BA1140" s="11"/>
      <c r="BB1140" s="11"/>
      <c r="BK1140" s="11"/>
    </row>
    <row r="1141" spans="1:63" s="44" customFormat="1" ht="12" customHeight="1" x14ac:dyDescent="0.15">
      <c r="A1141" s="8" t="s">
        <v>25839</v>
      </c>
      <c r="B1141" s="68">
        <v>49</v>
      </c>
      <c r="C1141" s="8" t="s">
        <v>20</v>
      </c>
      <c r="D1141" s="11" t="s">
        <v>85</v>
      </c>
      <c r="E1141" s="8"/>
      <c r="F1141" s="69">
        <v>42574</v>
      </c>
      <c r="G1141" s="8" t="s">
        <v>29569</v>
      </c>
      <c r="H1141" s="8" t="s">
        <v>887</v>
      </c>
      <c r="I1141" s="8" t="s">
        <v>438</v>
      </c>
      <c r="J1141" s="8">
        <v>53212</v>
      </c>
      <c r="K1141" s="16" t="s">
        <v>887</v>
      </c>
      <c r="L1141" s="8" t="s">
        <v>3865</v>
      </c>
      <c r="M1141" s="8" t="s">
        <v>27</v>
      </c>
      <c r="N1141" s="8" t="s">
        <v>25840</v>
      </c>
      <c r="O1141" s="8" t="s">
        <v>400</v>
      </c>
      <c r="P1141" s="8" t="s">
        <v>401</v>
      </c>
      <c r="Q1141" s="14" t="s">
        <v>25841</v>
      </c>
      <c r="R1141" s="8" t="s">
        <v>100</v>
      </c>
      <c r="S1141" s="8" t="s">
        <v>28</v>
      </c>
      <c r="T1141" s="68" t="s">
        <v>29493</v>
      </c>
      <c r="U1141" s="68" t="s">
        <v>29438</v>
      </c>
      <c r="V1141" s="68" t="s">
        <v>29439</v>
      </c>
      <c r="W1141" s="68" t="s">
        <v>100</v>
      </c>
      <c r="X1141" s="68">
        <v>1726</v>
      </c>
      <c r="AW1141" s="1"/>
      <c r="BA1141" s="11"/>
      <c r="BB1141" s="11"/>
      <c r="BK1141" s="11"/>
    </row>
    <row r="1142" spans="1:63" s="44" customFormat="1" ht="12" customHeight="1" x14ac:dyDescent="0.15">
      <c r="A1142" s="8" t="s">
        <v>25836</v>
      </c>
      <c r="B1142" s="68">
        <v>34</v>
      </c>
      <c r="C1142" s="8" t="s">
        <v>20</v>
      </c>
      <c r="D1142" s="8" t="s">
        <v>48</v>
      </c>
      <c r="E1142" s="8"/>
      <c r="F1142" s="69">
        <v>42574</v>
      </c>
      <c r="G1142" s="8" t="s">
        <v>29568</v>
      </c>
      <c r="H1142" s="8" t="s">
        <v>575</v>
      </c>
      <c r="I1142" s="8" t="s">
        <v>73</v>
      </c>
      <c r="J1142" s="8">
        <v>78237</v>
      </c>
      <c r="K1142" s="16" t="s">
        <v>576</v>
      </c>
      <c r="L1142" s="8" t="s">
        <v>577</v>
      </c>
      <c r="M1142" s="8" t="s">
        <v>27</v>
      </c>
      <c r="N1142" s="8" t="s">
        <v>25837</v>
      </c>
      <c r="O1142" s="8" t="s">
        <v>400</v>
      </c>
      <c r="P1142" s="8" t="s">
        <v>401</v>
      </c>
      <c r="Q1142" s="14" t="s">
        <v>25838</v>
      </c>
      <c r="R1142" s="8" t="s">
        <v>100</v>
      </c>
      <c r="S1142" s="8" t="s">
        <v>28</v>
      </c>
      <c r="T1142" s="68" t="s">
        <v>27756</v>
      </c>
      <c r="U1142" s="68" t="s">
        <v>29438</v>
      </c>
      <c r="V1142" s="68" t="s">
        <v>29439</v>
      </c>
      <c r="W1142" s="68" t="s">
        <v>100</v>
      </c>
      <c r="X1142" s="68">
        <v>1836</v>
      </c>
      <c r="AW1142" s="11"/>
      <c r="AX1142" s="1"/>
      <c r="AY1142" s="1"/>
      <c r="BA1142" s="11"/>
      <c r="BB1142" s="11"/>
      <c r="BC1142" s="1"/>
      <c r="BD1142" s="1"/>
      <c r="BE1142" s="1"/>
      <c r="BF1142" s="1"/>
      <c r="BG1142" s="1"/>
      <c r="BH1142" s="1"/>
      <c r="BI1142" s="1"/>
      <c r="BJ1142" s="1"/>
      <c r="BK1142" s="11"/>
    </row>
    <row r="1143" spans="1:63" s="44" customFormat="1" ht="12" customHeight="1" x14ac:dyDescent="0.15">
      <c r="A1143" s="8" t="s">
        <v>25853</v>
      </c>
      <c r="B1143" s="68">
        <v>50</v>
      </c>
      <c r="C1143" s="8" t="s">
        <v>20</v>
      </c>
      <c r="D1143" s="11" t="s">
        <v>37</v>
      </c>
      <c r="E1143" s="8"/>
      <c r="F1143" s="69">
        <v>42573</v>
      </c>
      <c r="G1143" s="8" t="s">
        <v>25854</v>
      </c>
      <c r="H1143" s="8" t="s">
        <v>25855</v>
      </c>
      <c r="I1143" s="8" t="s">
        <v>150</v>
      </c>
      <c r="J1143" s="8">
        <v>26201</v>
      </c>
      <c r="K1143" s="16" t="s">
        <v>25856</v>
      </c>
      <c r="L1143" s="8" t="s">
        <v>25857</v>
      </c>
      <c r="M1143" s="8" t="s">
        <v>27</v>
      </c>
      <c r="N1143" s="8" t="s">
        <v>25858</v>
      </c>
      <c r="O1143" s="8" t="s">
        <v>400</v>
      </c>
      <c r="P1143" s="8" t="s">
        <v>401</v>
      </c>
      <c r="Q1143" s="14" t="s">
        <v>25859</v>
      </c>
      <c r="R1143" s="11" t="s">
        <v>964</v>
      </c>
      <c r="S1143" s="8" t="s">
        <v>28</v>
      </c>
      <c r="T1143" s="68" t="s">
        <v>27756</v>
      </c>
      <c r="U1143" s="68" t="s">
        <v>29438</v>
      </c>
      <c r="V1143" s="68"/>
      <c r="W1143" s="68" t="s">
        <v>100</v>
      </c>
      <c r="X1143" s="68">
        <v>1725</v>
      </c>
      <c r="AW1143" s="1"/>
      <c r="AX1143" s="1"/>
      <c r="AY1143" s="1"/>
      <c r="BC1143" s="1"/>
      <c r="BD1143" s="1"/>
      <c r="BE1143" s="1"/>
      <c r="BF1143" s="1"/>
      <c r="BG1143" s="1"/>
      <c r="BH1143" s="1"/>
      <c r="BI1143" s="1"/>
      <c r="BJ1143" s="1"/>
      <c r="BK1143" s="11"/>
    </row>
    <row r="1144" spans="1:63" s="44" customFormat="1" ht="12" customHeight="1" x14ac:dyDescent="0.15">
      <c r="A1144" s="8" t="s">
        <v>25849</v>
      </c>
      <c r="B1144" s="68">
        <v>50</v>
      </c>
      <c r="C1144" s="8" t="s">
        <v>20</v>
      </c>
      <c r="D1144" s="11" t="s">
        <v>85</v>
      </c>
      <c r="E1144" s="8"/>
      <c r="F1144" s="69">
        <v>42572</v>
      </c>
      <c r="G1144" s="8" t="s">
        <v>25850</v>
      </c>
      <c r="H1144" s="8" t="s">
        <v>87</v>
      </c>
      <c r="I1144" s="8" t="s">
        <v>44</v>
      </c>
      <c r="J1144" s="8">
        <v>60616</v>
      </c>
      <c r="K1144" s="16" t="s">
        <v>88</v>
      </c>
      <c r="L1144" s="8" t="s">
        <v>89</v>
      </c>
      <c r="M1144" s="8" t="s">
        <v>27</v>
      </c>
      <c r="N1144" s="8" t="s">
        <v>25851</v>
      </c>
      <c r="O1144" s="8" t="s">
        <v>400</v>
      </c>
      <c r="P1144" s="8" t="s">
        <v>401</v>
      </c>
      <c r="Q1144" s="14" t="s">
        <v>25852</v>
      </c>
      <c r="R1144" s="8" t="s">
        <v>555</v>
      </c>
      <c r="S1144" s="8" t="s">
        <v>28</v>
      </c>
      <c r="T1144" s="68" t="s">
        <v>27756</v>
      </c>
      <c r="U1144" s="68" t="s">
        <v>29438</v>
      </c>
      <c r="V1144" s="68" t="s">
        <v>29439</v>
      </c>
      <c r="W1144" s="68" t="s">
        <v>100</v>
      </c>
      <c r="X1144" s="68">
        <v>1723</v>
      </c>
      <c r="AW1144" s="1"/>
      <c r="BA1144" s="1"/>
      <c r="BB1144" s="1"/>
      <c r="BK1144" s="11"/>
    </row>
    <row r="1145" spans="1:63" s="44" customFormat="1" ht="12" customHeight="1" x14ac:dyDescent="0.15">
      <c r="A1145" s="8" t="s">
        <v>25842</v>
      </c>
      <c r="B1145" s="68">
        <v>36</v>
      </c>
      <c r="C1145" s="8" t="s">
        <v>20</v>
      </c>
      <c r="D1145" s="8" t="s">
        <v>942</v>
      </c>
      <c r="E1145" s="14" t="s">
        <v>25843</v>
      </c>
      <c r="F1145" s="69">
        <v>42572</v>
      </c>
      <c r="G1145" s="8" t="s">
        <v>25844</v>
      </c>
      <c r="H1145" s="8" t="s">
        <v>25845</v>
      </c>
      <c r="I1145" s="8" t="s">
        <v>870</v>
      </c>
      <c r="J1145" s="8" t="s">
        <v>25846</v>
      </c>
      <c r="K1145" s="16" t="s">
        <v>3943</v>
      </c>
      <c r="L1145" s="8" t="s">
        <v>3944</v>
      </c>
      <c r="M1145" s="8" t="s">
        <v>27</v>
      </c>
      <c r="N1145" s="8" t="s">
        <v>25847</v>
      </c>
      <c r="O1145" s="8" t="s">
        <v>400</v>
      </c>
      <c r="P1145" s="8" t="s">
        <v>401</v>
      </c>
      <c r="Q1145" s="14" t="s">
        <v>25848</v>
      </c>
      <c r="R1145" s="8" t="s">
        <v>555</v>
      </c>
      <c r="S1145" s="8" t="s">
        <v>28</v>
      </c>
      <c r="T1145" s="68" t="s">
        <v>27756</v>
      </c>
      <c r="U1145" s="68" t="s">
        <v>29438</v>
      </c>
      <c r="V1145" s="68" t="s">
        <v>29439</v>
      </c>
      <c r="W1145" s="68" t="s">
        <v>100</v>
      </c>
      <c r="X1145" s="68">
        <v>1724</v>
      </c>
      <c r="AU1145" s="11"/>
      <c r="AV1145" s="11"/>
      <c r="AW1145" s="11"/>
      <c r="AX1145" s="1"/>
      <c r="AY1145" s="1"/>
      <c r="BA1145" s="11"/>
      <c r="BB1145" s="11"/>
      <c r="BC1145" s="1"/>
      <c r="BD1145" s="1"/>
      <c r="BE1145" s="1"/>
      <c r="BF1145" s="1"/>
      <c r="BG1145" s="1"/>
      <c r="BH1145" s="1"/>
      <c r="BI1145" s="1"/>
      <c r="BJ1145" s="1"/>
      <c r="BK1145" s="11"/>
    </row>
    <row r="1146" spans="1:63" s="44" customFormat="1" ht="12" customHeight="1" x14ac:dyDescent="0.15">
      <c r="A1146" s="8" t="s">
        <v>25864</v>
      </c>
      <c r="B1146" s="8">
        <v>39</v>
      </c>
      <c r="C1146" s="8" t="s">
        <v>20</v>
      </c>
      <c r="D1146" s="8" t="s">
        <v>37</v>
      </c>
      <c r="E1146" s="14" t="s">
        <v>25865</v>
      </c>
      <c r="F1146" s="72">
        <v>42571</v>
      </c>
      <c r="G1146" s="8" t="s">
        <v>25866</v>
      </c>
      <c r="H1146" s="8" t="s">
        <v>25867</v>
      </c>
      <c r="I1146" s="8" t="s">
        <v>41</v>
      </c>
      <c r="J1146" s="8" t="s">
        <v>25868</v>
      </c>
      <c r="K1146" s="16" t="s">
        <v>3601</v>
      </c>
      <c r="L1146" s="8" t="s">
        <v>25869</v>
      </c>
      <c r="M1146" s="8" t="s">
        <v>27</v>
      </c>
      <c r="N1146" s="8" t="s">
        <v>25870</v>
      </c>
      <c r="O1146" s="8" t="s">
        <v>25470</v>
      </c>
      <c r="P1146" s="8" t="s">
        <v>401</v>
      </c>
      <c r="Q1146" s="14" t="s">
        <v>25871</v>
      </c>
      <c r="R1146" s="8" t="s">
        <v>100</v>
      </c>
      <c r="S1146" s="8" t="s">
        <v>35</v>
      </c>
      <c r="T1146" s="68"/>
      <c r="U1146" s="68"/>
      <c r="V1146" s="68"/>
      <c r="W1146" s="68"/>
      <c r="X1146" s="68"/>
      <c r="AW1146" s="1"/>
      <c r="AX1146" s="1"/>
      <c r="AY1146" s="1"/>
      <c r="AZ1146" s="1"/>
      <c r="BA1146" s="1"/>
      <c r="BB1146" s="1"/>
      <c r="BC1146" s="1"/>
      <c r="BD1146" s="1"/>
      <c r="BE1146" s="1"/>
      <c r="BF1146" s="1"/>
      <c r="BG1146" s="1"/>
      <c r="BH1146" s="1"/>
      <c r="BI1146" s="1"/>
      <c r="BJ1146" s="1"/>
      <c r="BK1146" s="1"/>
    </row>
    <row r="1147" spans="1:63" s="44" customFormat="1" ht="12" customHeight="1" x14ac:dyDescent="0.15">
      <c r="A1147" s="8" t="s">
        <v>25860</v>
      </c>
      <c r="B1147" s="68">
        <v>31</v>
      </c>
      <c r="C1147" s="8" t="s">
        <v>20</v>
      </c>
      <c r="D1147" s="8" t="s">
        <v>48</v>
      </c>
      <c r="E1147" s="8"/>
      <c r="F1147" s="69">
        <v>42571</v>
      </c>
      <c r="G1147" s="8" t="s">
        <v>25861</v>
      </c>
      <c r="H1147" s="8" t="s">
        <v>1951</v>
      </c>
      <c r="I1147" s="8" t="s">
        <v>45</v>
      </c>
      <c r="J1147" s="8">
        <v>93454</v>
      </c>
      <c r="K1147" s="16" t="s">
        <v>1953</v>
      </c>
      <c r="L1147" s="8" t="s">
        <v>1954</v>
      </c>
      <c r="M1147" s="8" t="s">
        <v>27</v>
      </c>
      <c r="N1147" s="8" t="s">
        <v>25862</v>
      </c>
      <c r="O1147" s="8" t="s">
        <v>400</v>
      </c>
      <c r="P1147" s="8" t="s">
        <v>401</v>
      </c>
      <c r="Q1147" s="14" t="s">
        <v>25863</v>
      </c>
      <c r="R1147" s="8" t="s">
        <v>555</v>
      </c>
      <c r="S1147" s="8" t="s">
        <v>28</v>
      </c>
      <c r="T1147" s="68" t="s">
        <v>29493</v>
      </c>
      <c r="U1147" s="68" t="s">
        <v>29436</v>
      </c>
      <c r="V1147" s="68" t="s">
        <v>29439</v>
      </c>
      <c r="W1147" s="68" t="s">
        <v>100</v>
      </c>
      <c r="X1147" s="68">
        <v>1722</v>
      </c>
      <c r="AW1147" s="11"/>
      <c r="AX1147" s="1"/>
      <c r="AY1147" s="1"/>
      <c r="BA1147" s="11"/>
      <c r="BB1147" s="11"/>
      <c r="BC1147" s="1"/>
      <c r="BD1147" s="1"/>
      <c r="BE1147" s="1"/>
      <c r="BF1147" s="1"/>
      <c r="BG1147" s="1"/>
      <c r="BH1147" s="1"/>
      <c r="BI1147" s="1"/>
      <c r="BJ1147" s="1"/>
      <c r="BK1147" s="11"/>
    </row>
    <row r="1148" spans="1:63" s="44" customFormat="1" ht="12" customHeight="1" x14ac:dyDescent="0.15">
      <c r="A1148" s="8" t="s">
        <v>25872</v>
      </c>
      <c r="B1148" s="68">
        <v>56</v>
      </c>
      <c r="C1148" s="8" t="s">
        <v>20</v>
      </c>
      <c r="D1148" s="8" t="s">
        <v>37</v>
      </c>
      <c r="E1148" s="8"/>
      <c r="F1148" s="69">
        <v>42569</v>
      </c>
      <c r="G1148" s="8" t="s">
        <v>29570</v>
      </c>
      <c r="H1148" s="8" t="s">
        <v>2487</v>
      </c>
      <c r="I1148" s="8" t="s">
        <v>395</v>
      </c>
      <c r="J1148" s="8">
        <v>74107</v>
      </c>
      <c r="K1148" s="16" t="s">
        <v>2487</v>
      </c>
      <c r="L1148" s="8" t="s">
        <v>3379</v>
      </c>
      <c r="M1148" s="8" t="s">
        <v>27</v>
      </c>
      <c r="N1148" s="8" t="s">
        <v>25873</v>
      </c>
      <c r="O1148" s="8" t="s">
        <v>400</v>
      </c>
      <c r="P1148" s="8" t="s">
        <v>401</v>
      </c>
      <c r="Q1148" s="14" t="s">
        <v>25874</v>
      </c>
      <c r="R1148" s="8" t="s">
        <v>555</v>
      </c>
      <c r="S1148" s="8" t="s">
        <v>28</v>
      </c>
      <c r="T1148" s="68" t="s">
        <v>29500</v>
      </c>
      <c r="U1148" s="68" t="s">
        <v>29436</v>
      </c>
      <c r="V1148" s="68" t="s">
        <v>29439</v>
      </c>
      <c r="W1148" s="68" t="s">
        <v>100</v>
      </c>
      <c r="X1148" s="68">
        <v>1721</v>
      </c>
      <c r="AR1148" s="11"/>
      <c r="AS1148" s="11"/>
      <c r="AT1148" s="11"/>
      <c r="AW1148" s="1"/>
      <c r="AX1148" s="1"/>
      <c r="AY1148" s="1"/>
      <c r="BA1148" s="11"/>
      <c r="BB1148" s="11"/>
      <c r="BC1148" s="1"/>
      <c r="BD1148" s="1"/>
      <c r="BE1148" s="1"/>
      <c r="BF1148" s="1"/>
      <c r="BG1148" s="1"/>
      <c r="BH1148" s="1"/>
      <c r="BI1148" s="1"/>
      <c r="BJ1148" s="1"/>
      <c r="BK1148" s="11"/>
    </row>
    <row r="1149" spans="1:63" s="44" customFormat="1" ht="12" customHeight="1" x14ac:dyDescent="0.15">
      <c r="A1149" s="8" t="s">
        <v>25884</v>
      </c>
      <c r="B1149" s="68">
        <v>39</v>
      </c>
      <c r="C1149" s="8" t="s">
        <v>20</v>
      </c>
      <c r="D1149" s="11" t="s">
        <v>37</v>
      </c>
      <c r="E1149" s="8"/>
      <c r="F1149" s="69">
        <v>42568</v>
      </c>
      <c r="G1149" s="8" t="s">
        <v>25885</v>
      </c>
      <c r="H1149" s="8" t="s">
        <v>25886</v>
      </c>
      <c r="I1149" s="8" t="s">
        <v>438</v>
      </c>
      <c r="J1149" s="8">
        <v>53081</v>
      </c>
      <c r="K1149" s="8" t="s">
        <v>25886</v>
      </c>
      <c r="L1149" s="8" t="s">
        <v>25887</v>
      </c>
      <c r="M1149" s="8" t="s">
        <v>27</v>
      </c>
      <c r="N1149" s="8" t="s">
        <v>25888</v>
      </c>
      <c r="O1149" s="8" t="s">
        <v>400</v>
      </c>
      <c r="P1149" s="8" t="s">
        <v>401</v>
      </c>
      <c r="Q1149" s="14" t="s">
        <v>25889</v>
      </c>
      <c r="R1149" s="8" t="s">
        <v>100</v>
      </c>
      <c r="S1149" s="8" t="s">
        <v>28</v>
      </c>
      <c r="T1149" s="68" t="s">
        <v>27756</v>
      </c>
      <c r="U1149" s="68" t="s">
        <v>29436</v>
      </c>
      <c r="V1149" s="68" t="s">
        <v>29439</v>
      </c>
      <c r="W1149" s="68" t="s">
        <v>100</v>
      </c>
      <c r="X1149" s="68">
        <v>1712</v>
      </c>
      <c r="AX1149" s="1"/>
      <c r="AY1149" s="1"/>
      <c r="AZ1149" s="11"/>
      <c r="BA1149" s="11"/>
      <c r="BB1149" s="11"/>
      <c r="BC1149" s="1"/>
      <c r="BD1149" s="1"/>
      <c r="BE1149" s="1"/>
      <c r="BF1149" s="1"/>
      <c r="BG1149" s="1"/>
      <c r="BH1149" s="1"/>
      <c r="BI1149" s="1"/>
      <c r="BJ1149" s="1"/>
      <c r="BK1149" s="11"/>
    </row>
    <row r="1150" spans="1:63" s="44" customFormat="1" ht="12" customHeight="1" x14ac:dyDescent="0.15">
      <c r="A1150" s="8" t="s">
        <v>25893</v>
      </c>
      <c r="B1150" s="8">
        <v>20</v>
      </c>
      <c r="C1150" s="8" t="s">
        <v>20</v>
      </c>
      <c r="D1150" s="8" t="s">
        <v>48</v>
      </c>
      <c r="E1150" s="8"/>
      <c r="F1150" s="72">
        <v>42568</v>
      </c>
      <c r="G1150" s="8" t="s">
        <v>29572</v>
      </c>
      <c r="H1150" s="8" t="s">
        <v>25894</v>
      </c>
      <c r="I1150" s="8" t="s">
        <v>52</v>
      </c>
      <c r="J1150" s="8">
        <v>20783</v>
      </c>
      <c r="K1150" s="8" t="s">
        <v>6546</v>
      </c>
      <c r="L1150" s="8" t="s">
        <v>759</v>
      </c>
      <c r="M1150" s="8" t="s">
        <v>379</v>
      </c>
      <c r="N1150" s="8" t="s">
        <v>25895</v>
      </c>
      <c r="O1150" s="8" t="s">
        <v>400</v>
      </c>
      <c r="P1150" s="8" t="s">
        <v>401</v>
      </c>
      <c r="Q1150" s="14" t="s">
        <v>25896</v>
      </c>
      <c r="R1150" s="8" t="s">
        <v>100</v>
      </c>
      <c r="S1150" s="8" t="s">
        <v>18</v>
      </c>
      <c r="T1150" s="8"/>
      <c r="AX1150" s="1"/>
      <c r="AY1150" s="1"/>
      <c r="AZ1150" s="1"/>
      <c r="BA1150" s="1"/>
      <c r="BB1150" s="1"/>
      <c r="BC1150" s="1"/>
      <c r="BD1150" s="1"/>
      <c r="BE1150" s="1"/>
      <c r="BF1150" s="1"/>
      <c r="BG1150" s="1"/>
      <c r="BH1150" s="1"/>
      <c r="BI1150" s="1"/>
      <c r="BJ1150" s="1"/>
      <c r="BK1150" s="1"/>
    </row>
    <row r="1151" spans="1:63" s="44" customFormat="1" ht="12" customHeight="1" x14ac:dyDescent="0.15">
      <c r="A1151" s="8" t="s">
        <v>25880</v>
      </c>
      <c r="B1151" s="68">
        <v>42</v>
      </c>
      <c r="C1151" s="8" t="s">
        <v>20</v>
      </c>
      <c r="D1151" s="8" t="s">
        <v>85</v>
      </c>
      <c r="E1151" s="8"/>
      <c r="F1151" s="69">
        <v>42568</v>
      </c>
      <c r="G1151" s="8" t="s">
        <v>25881</v>
      </c>
      <c r="H1151" s="8" t="s">
        <v>1710</v>
      </c>
      <c r="I1151" s="8" t="s">
        <v>423</v>
      </c>
      <c r="J1151" s="8">
        <v>11211</v>
      </c>
      <c r="K1151" s="8" t="s">
        <v>1712</v>
      </c>
      <c r="L1151" s="8" t="s">
        <v>582</v>
      </c>
      <c r="M1151" s="8" t="s">
        <v>27</v>
      </c>
      <c r="N1151" s="8" t="s">
        <v>25882</v>
      </c>
      <c r="O1151" s="8" t="s">
        <v>400</v>
      </c>
      <c r="P1151" s="8" t="s">
        <v>401</v>
      </c>
      <c r="Q1151" s="14" t="s">
        <v>25883</v>
      </c>
      <c r="R1151" s="8" t="s">
        <v>29</v>
      </c>
      <c r="S1151" s="8" t="s">
        <v>28</v>
      </c>
      <c r="T1151" s="68" t="s">
        <v>27756</v>
      </c>
      <c r="U1151" s="68" t="s">
        <v>29438</v>
      </c>
      <c r="V1151" s="68" t="s">
        <v>29439</v>
      </c>
      <c r="W1151" s="68" t="s">
        <v>100</v>
      </c>
      <c r="X1151" s="68">
        <v>1717</v>
      </c>
      <c r="AW1151" s="1"/>
      <c r="BA1151" s="1"/>
      <c r="BB1151" s="1"/>
      <c r="BK1151" s="11"/>
    </row>
    <row r="1152" spans="1:63" s="44" customFormat="1" ht="12" customHeight="1" x14ac:dyDescent="0.15">
      <c r="A1152" s="8" t="s">
        <v>25897</v>
      </c>
      <c r="B1152" s="8">
        <v>50</v>
      </c>
      <c r="C1152" s="8" t="s">
        <v>20</v>
      </c>
      <c r="D1152" s="11" t="s">
        <v>30</v>
      </c>
      <c r="E1152" s="8"/>
      <c r="F1152" s="72">
        <v>42568</v>
      </c>
      <c r="G1152" s="8" t="s">
        <v>25898</v>
      </c>
      <c r="H1152" s="8" t="s">
        <v>25899</v>
      </c>
      <c r="I1152" s="8" t="s">
        <v>25</v>
      </c>
      <c r="J1152" s="8">
        <v>70726</v>
      </c>
      <c r="K1152" s="16" t="s">
        <v>4078</v>
      </c>
      <c r="L1152" s="8" t="s">
        <v>14810</v>
      </c>
      <c r="M1152" s="1" t="s">
        <v>391</v>
      </c>
      <c r="N1152" s="8" t="s">
        <v>25900</v>
      </c>
      <c r="O1152" s="8" t="s">
        <v>400</v>
      </c>
      <c r="P1152" s="8" t="s">
        <v>401</v>
      </c>
      <c r="Q1152" s="14" t="s">
        <v>25901</v>
      </c>
      <c r="R1152" s="8" t="s">
        <v>29</v>
      </c>
      <c r="S1152" s="8" t="s">
        <v>28</v>
      </c>
      <c r="T1152" s="8"/>
      <c r="AU1152" s="11"/>
      <c r="AV1152" s="11"/>
      <c r="AX1152" s="1"/>
      <c r="AY1152" s="1"/>
      <c r="AZ1152" s="1"/>
      <c r="BA1152" s="1"/>
      <c r="BB1152" s="1"/>
      <c r="BC1152" s="1"/>
      <c r="BD1152" s="1"/>
      <c r="BE1152" s="1"/>
      <c r="BF1152" s="1"/>
      <c r="BG1152" s="1"/>
      <c r="BH1152" s="1"/>
      <c r="BI1152" s="1"/>
      <c r="BJ1152" s="1"/>
      <c r="BK1152" s="1"/>
    </row>
    <row r="1153" spans="1:63" s="44" customFormat="1" ht="12" customHeight="1" x14ac:dyDescent="0.2">
      <c r="A1153" s="8" t="s">
        <v>25890</v>
      </c>
      <c r="B1153" s="68">
        <v>43</v>
      </c>
      <c r="C1153" s="8" t="s">
        <v>20</v>
      </c>
      <c r="D1153" s="8" t="s">
        <v>37</v>
      </c>
      <c r="E1153" s="8"/>
      <c r="F1153" s="69">
        <v>42568</v>
      </c>
      <c r="G1153" s="8" t="s">
        <v>29571</v>
      </c>
      <c r="H1153" s="8" t="s">
        <v>2487</v>
      </c>
      <c r="I1153" s="8" t="s">
        <v>395</v>
      </c>
      <c r="J1153" s="8">
        <v>74110</v>
      </c>
      <c r="K1153" s="8" t="s">
        <v>2487</v>
      </c>
      <c r="L1153" s="8" t="s">
        <v>3379</v>
      </c>
      <c r="M1153" s="68" t="s">
        <v>5411</v>
      </c>
      <c r="N1153" s="8" t="s">
        <v>25891</v>
      </c>
      <c r="O1153" s="8" t="s">
        <v>400</v>
      </c>
      <c r="P1153" s="8" t="s">
        <v>401</v>
      </c>
      <c r="Q1153" s="14" t="s">
        <v>25892</v>
      </c>
      <c r="R1153" s="8" t="s">
        <v>29</v>
      </c>
      <c r="S1153" s="2" t="s">
        <v>35</v>
      </c>
      <c r="T1153" s="68" t="s">
        <v>29452</v>
      </c>
      <c r="U1153" s="68" t="s">
        <v>29438</v>
      </c>
      <c r="V1153" s="68" t="s">
        <v>29439</v>
      </c>
      <c r="W1153" s="68" t="s">
        <v>100</v>
      </c>
      <c r="X1153" s="68">
        <v>1714</v>
      </c>
      <c r="AW1153" s="1"/>
      <c r="AX1153" s="1"/>
      <c r="AY1153" s="1"/>
      <c r="BA1153" s="1"/>
      <c r="BB1153" s="70"/>
      <c r="BC1153" s="1"/>
      <c r="BD1153" s="1"/>
      <c r="BE1153" s="1"/>
      <c r="BF1153" s="1"/>
      <c r="BG1153" s="1"/>
      <c r="BH1153" s="1"/>
      <c r="BI1153" s="1"/>
      <c r="BJ1153" s="1"/>
      <c r="BK1153" s="11"/>
    </row>
    <row r="1154" spans="1:63" s="44" customFormat="1" ht="12" customHeight="1" x14ac:dyDescent="0.2">
      <c r="A1154" s="8" t="s">
        <v>25875</v>
      </c>
      <c r="B1154" s="68">
        <v>29</v>
      </c>
      <c r="C1154" s="8" t="s">
        <v>20</v>
      </c>
      <c r="D1154" s="8" t="s">
        <v>85</v>
      </c>
      <c r="E1154" s="14" t="s">
        <v>25876</v>
      </c>
      <c r="F1154" s="69">
        <v>42568</v>
      </c>
      <c r="G1154" s="8" t="s">
        <v>25877</v>
      </c>
      <c r="H1154" s="8" t="s">
        <v>189</v>
      </c>
      <c r="I1154" s="8" t="s">
        <v>25</v>
      </c>
      <c r="J1154" s="8">
        <v>70815</v>
      </c>
      <c r="K1154" s="8" t="s">
        <v>3743</v>
      </c>
      <c r="L1154" s="8" t="s">
        <v>1683</v>
      </c>
      <c r="M1154" s="8" t="s">
        <v>27</v>
      </c>
      <c r="N1154" s="8" t="s">
        <v>25878</v>
      </c>
      <c r="O1154" s="8" t="s">
        <v>400</v>
      </c>
      <c r="P1154" s="8" t="s">
        <v>401</v>
      </c>
      <c r="Q1154" s="14" t="s">
        <v>25879</v>
      </c>
      <c r="R1154" s="68" t="s">
        <v>555</v>
      </c>
      <c r="S1154" s="8" t="s">
        <v>28</v>
      </c>
      <c r="T1154" s="68" t="s">
        <v>27756</v>
      </c>
      <c r="U1154" s="68" t="s">
        <v>29438</v>
      </c>
      <c r="V1154" s="68" t="s">
        <v>29439</v>
      </c>
      <c r="W1154" s="68" t="s">
        <v>100</v>
      </c>
      <c r="X1154" s="68">
        <v>1718</v>
      </c>
      <c r="AX1154" s="11"/>
      <c r="AY1154" s="11"/>
      <c r="BA1154" s="70"/>
      <c r="BK1154" s="11"/>
    </row>
    <row r="1155" spans="1:63" s="44" customFormat="1" ht="12" customHeight="1" x14ac:dyDescent="0.2">
      <c r="A1155" s="8" t="s">
        <v>25907</v>
      </c>
      <c r="B1155" s="68">
        <v>26</v>
      </c>
      <c r="C1155" s="8" t="s">
        <v>20</v>
      </c>
      <c r="D1155" s="8" t="s">
        <v>37</v>
      </c>
      <c r="E1155" s="14" t="s">
        <v>25908</v>
      </c>
      <c r="F1155" s="69">
        <v>42567</v>
      </c>
      <c r="G1155" s="8" t="s">
        <v>25909</v>
      </c>
      <c r="H1155" s="8" t="s">
        <v>309</v>
      </c>
      <c r="I1155" s="8" t="s">
        <v>45</v>
      </c>
      <c r="J1155" s="8">
        <v>92405</v>
      </c>
      <c r="K1155" s="8" t="s">
        <v>309</v>
      </c>
      <c r="L1155" s="8" t="s">
        <v>4320</v>
      </c>
      <c r="M1155" s="68" t="s">
        <v>5411</v>
      </c>
      <c r="N1155" s="8" t="s">
        <v>25910</v>
      </c>
      <c r="O1155" s="8" t="s">
        <v>400</v>
      </c>
      <c r="P1155" s="8" t="s">
        <v>401</v>
      </c>
      <c r="Q1155" s="14" t="s">
        <v>25911</v>
      </c>
      <c r="R1155" s="8" t="s">
        <v>100</v>
      </c>
      <c r="S1155" s="8" t="s">
        <v>28</v>
      </c>
      <c r="T1155" s="68" t="s">
        <v>27756</v>
      </c>
      <c r="U1155" s="68" t="s">
        <v>29438</v>
      </c>
      <c r="V1155" s="68" t="s">
        <v>21212</v>
      </c>
      <c r="W1155" s="68" t="s">
        <v>100</v>
      </c>
      <c r="X1155" s="68">
        <v>1719</v>
      </c>
      <c r="AX1155" s="1"/>
      <c r="AY1155" s="1"/>
      <c r="BA1155" s="11"/>
      <c r="BB1155" s="70"/>
      <c r="BC1155" s="1"/>
      <c r="BD1155" s="1"/>
      <c r="BE1155" s="1"/>
      <c r="BF1155" s="1"/>
      <c r="BG1155" s="1"/>
      <c r="BH1155" s="1"/>
      <c r="BI1155" s="1"/>
      <c r="BJ1155" s="1"/>
      <c r="BK1155" s="1"/>
    </row>
    <row r="1156" spans="1:63" s="44" customFormat="1" ht="12" customHeight="1" x14ac:dyDescent="0.15">
      <c r="A1156" s="8" t="s">
        <v>25919</v>
      </c>
      <c r="B1156" s="44">
        <v>21</v>
      </c>
      <c r="C1156" s="8" t="s">
        <v>20</v>
      </c>
      <c r="D1156" s="8" t="s">
        <v>37</v>
      </c>
      <c r="E1156" s="14" t="s">
        <v>25920</v>
      </c>
      <c r="F1156" s="72">
        <v>42567</v>
      </c>
      <c r="G1156" s="8" t="s">
        <v>25921</v>
      </c>
      <c r="H1156" s="8" t="s">
        <v>1710</v>
      </c>
      <c r="I1156" s="8" t="s">
        <v>423</v>
      </c>
      <c r="J1156" s="8">
        <v>11211</v>
      </c>
      <c r="K1156" s="8" t="s">
        <v>1712</v>
      </c>
      <c r="L1156" s="8" t="s">
        <v>582</v>
      </c>
      <c r="M1156" s="8" t="s">
        <v>379</v>
      </c>
      <c r="N1156" s="8" t="s">
        <v>25922</v>
      </c>
      <c r="O1156" s="8" t="s">
        <v>25476</v>
      </c>
      <c r="P1156" s="8" t="s">
        <v>1159</v>
      </c>
      <c r="Q1156" s="14" t="s">
        <v>25923</v>
      </c>
      <c r="R1156" s="8" t="s">
        <v>100</v>
      </c>
      <c r="S1156" s="8" t="s">
        <v>18</v>
      </c>
      <c r="T1156" s="8"/>
      <c r="AX1156" s="1"/>
      <c r="AY1156" s="1"/>
      <c r="AZ1156" s="1"/>
      <c r="BA1156" s="1"/>
      <c r="BB1156" s="1"/>
      <c r="BC1156" s="1"/>
      <c r="BD1156" s="1"/>
      <c r="BE1156" s="1"/>
      <c r="BF1156" s="1"/>
      <c r="BG1156" s="1"/>
      <c r="BH1156" s="1"/>
      <c r="BI1156" s="1"/>
      <c r="BJ1156" s="1"/>
      <c r="BK1156" s="1"/>
    </row>
    <row r="1157" spans="1:63" s="44" customFormat="1" ht="12" customHeight="1" x14ac:dyDescent="0.15">
      <c r="A1157" s="8" t="s">
        <v>25912</v>
      </c>
      <c r="B1157" s="68">
        <v>57</v>
      </c>
      <c r="C1157" s="8" t="s">
        <v>20</v>
      </c>
      <c r="D1157" s="8" t="s">
        <v>37</v>
      </c>
      <c r="E1157" s="14" t="s">
        <v>25913</v>
      </c>
      <c r="F1157" s="69">
        <v>42567</v>
      </c>
      <c r="G1157" s="8" t="s">
        <v>25914</v>
      </c>
      <c r="H1157" s="8" t="s">
        <v>19219</v>
      </c>
      <c r="I1157" s="8" t="s">
        <v>81</v>
      </c>
      <c r="J1157" s="8" t="s">
        <v>25915</v>
      </c>
      <c r="K1157" s="8" t="s">
        <v>643</v>
      </c>
      <c r="L1157" s="8" t="s">
        <v>25916</v>
      </c>
      <c r="M1157" s="8" t="s">
        <v>27</v>
      </c>
      <c r="N1157" s="8" t="s">
        <v>25917</v>
      </c>
      <c r="O1157" s="8" t="s">
        <v>400</v>
      </c>
      <c r="P1157" s="8" t="s">
        <v>401</v>
      </c>
      <c r="Q1157" s="14" t="s">
        <v>25918</v>
      </c>
      <c r="R1157" s="8" t="s">
        <v>29</v>
      </c>
      <c r="S1157" s="8" t="s">
        <v>28</v>
      </c>
      <c r="T1157" s="68" t="s">
        <v>27756</v>
      </c>
      <c r="U1157" s="68" t="s">
        <v>29436</v>
      </c>
      <c r="V1157" s="68" t="s">
        <v>29440</v>
      </c>
      <c r="W1157" s="68" t="s">
        <v>100</v>
      </c>
      <c r="X1157" s="68">
        <v>1720</v>
      </c>
      <c r="AW1157" s="1"/>
      <c r="AX1157" s="1"/>
      <c r="AY1157" s="1"/>
      <c r="BA1157" s="1"/>
      <c r="BB1157" s="1"/>
      <c r="BC1157" s="1"/>
      <c r="BD1157" s="1"/>
      <c r="BE1157" s="1"/>
      <c r="BF1157" s="1"/>
      <c r="BG1157" s="1"/>
      <c r="BH1157" s="1"/>
      <c r="BI1157" s="1"/>
      <c r="BJ1157" s="1"/>
      <c r="BK1157" s="11"/>
    </row>
    <row r="1158" spans="1:63" s="11" customFormat="1" ht="12" customHeight="1" x14ac:dyDescent="0.15">
      <c r="A1158" s="8" t="s">
        <v>25902</v>
      </c>
      <c r="B1158" s="68">
        <v>31</v>
      </c>
      <c r="C1158" s="8" t="s">
        <v>20</v>
      </c>
      <c r="D1158" s="11" t="s">
        <v>37</v>
      </c>
      <c r="E1158" s="8"/>
      <c r="F1158" s="69">
        <v>42567</v>
      </c>
      <c r="G1158" s="8" t="s">
        <v>25903</v>
      </c>
      <c r="H1158" s="8" t="s">
        <v>25904</v>
      </c>
      <c r="I1158" s="8" t="s">
        <v>62</v>
      </c>
      <c r="J1158" s="8">
        <v>32043</v>
      </c>
      <c r="K1158" s="8" t="s">
        <v>3395</v>
      </c>
      <c r="L1158" s="8" t="s">
        <v>3396</v>
      </c>
      <c r="M1158" s="8" t="s">
        <v>27</v>
      </c>
      <c r="N1158" s="8" t="s">
        <v>25905</v>
      </c>
      <c r="O1158" s="8" t="s">
        <v>400</v>
      </c>
      <c r="P1158" s="8" t="s">
        <v>401</v>
      </c>
      <c r="Q1158" s="14" t="s">
        <v>25906</v>
      </c>
      <c r="R1158" s="68" t="s">
        <v>555</v>
      </c>
      <c r="S1158" s="8" t="s">
        <v>28</v>
      </c>
      <c r="T1158" s="68" t="s">
        <v>27756</v>
      </c>
      <c r="U1158" s="68" t="s">
        <v>29438</v>
      </c>
      <c r="V1158" s="68" t="s">
        <v>29439</v>
      </c>
      <c r="W1158" s="68" t="s">
        <v>100</v>
      </c>
      <c r="X1158" s="68">
        <v>1716</v>
      </c>
      <c r="Y1158" s="44"/>
      <c r="Z1158" s="44"/>
      <c r="AA1158" s="44"/>
      <c r="AB1158" s="44"/>
      <c r="AC1158" s="44"/>
      <c r="AD1158" s="44"/>
      <c r="AE1158" s="44"/>
      <c r="AF1158" s="44"/>
      <c r="AG1158" s="44"/>
      <c r="AH1158" s="44"/>
      <c r="AI1158" s="44"/>
      <c r="AJ1158" s="44"/>
      <c r="AK1158" s="44"/>
      <c r="AL1158" s="44"/>
      <c r="AM1158" s="44"/>
      <c r="AN1158" s="44"/>
      <c r="AO1158" s="44"/>
      <c r="AP1158" s="44"/>
      <c r="AQ1158" s="44"/>
      <c r="AR1158" s="44"/>
      <c r="AS1158" s="44"/>
      <c r="AT1158" s="44"/>
      <c r="AU1158" s="44"/>
      <c r="AV1158" s="44"/>
      <c r="AX1158" s="1"/>
      <c r="AY1158" s="1"/>
      <c r="AZ1158" s="44"/>
      <c r="BA1158" s="44"/>
      <c r="BC1158" s="1"/>
      <c r="BD1158" s="1"/>
      <c r="BE1158" s="1"/>
      <c r="BF1158" s="1"/>
      <c r="BG1158" s="1"/>
      <c r="BH1158" s="1"/>
      <c r="BI1158" s="1"/>
      <c r="BJ1158" s="1"/>
    </row>
    <row r="1159" spans="1:63" s="44" customFormat="1" ht="12" customHeight="1" x14ac:dyDescent="0.15">
      <c r="A1159" s="8" t="s">
        <v>25924</v>
      </c>
      <c r="B1159" s="68">
        <v>63</v>
      </c>
      <c r="C1159" s="8" t="s">
        <v>20</v>
      </c>
      <c r="D1159" s="8" t="s">
        <v>37</v>
      </c>
      <c r="E1159" s="14" t="s">
        <v>25925</v>
      </c>
      <c r="F1159" s="69">
        <v>42566</v>
      </c>
      <c r="G1159" s="8" t="s">
        <v>25926</v>
      </c>
      <c r="H1159" s="8" t="s">
        <v>25927</v>
      </c>
      <c r="I1159" s="8" t="s">
        <v>366</v>
      </c>
      <c r="J1159" s="8">
        <v>28133</v>
      </c>
      <c r="K1159" s="8" t="s">
        <v>4434</v>
      </c>
      <c r="L1159" s="8" t="s">
        <v>19301</v>
      </c>
      <c r="M1159" s="8" t="s">
        <v>27</v>
      </c>
      <c r="N1159" s="8" t="s">
        <v>25928</v>
      </c>
      <c r="O1159" s="8" t="s">
        <v>400</v>
      </c>
      <c r="P1159" s="8" t="s">
        <v>401</v>
      </c>
      <c r="Q1159" s="14" t="s">
        <v>25929</v>
      </c>
      <c r="R1159" s="68" t="s">
        <v>555</v>
      </c>
      <c r="S1159" s="8" t="s">
        <v>28</v>
      </c>
      <c r="T1159" s="68" t="s">
        <v>27756</v>
      </c>
      <c r="U1159" s="68" t="s">
        <v>29438</v>
      </c>
      <c r="V1159" s="68" t="s">
        <v>29439</v>
      </c>
      <c r="W1159" s="68" t="s">
        <v>100</v>
      </c>
      <c r="X1159" s="68">
        <v>1713</v>
      </c>
      <c r="AW1159" s="1"/>
      <c r="AX1159" s="1"/>
      <c r="AY1159" s="1"/>
      <c r="BB1159" s="11"/>
      <c r="BC1159" s="1"/>
      <c r="BD1159" s="1"/>
      <c r="BE1159" s="1"/>
      <c r="BF1159" s="1"/>
      <c r="BG1159" s="1"/>
      <c r="BH1159" s="1"/>
      <c r="BI1159" s="1"/>
      <c r="BJ1159" s="1"/>
      <c r="BK1159" s="11"/>
    </row>
    <row r="1160" spans="1:63" s="44" customFormat="1" ht="12" customHeight="1" x14ac:dyDescent="0.15">
      <c r="A1160" s="8" t="s">
        <v>25930</v>
      </c>
      <c r="B1160" s="8">
        <v>18</v>
      </c>
      <c r="C1160" s="8" t="s">
        <v>20</v>
      </c>
      <c r="D1160" s="8" t="s">
        <v>85</v>
      </c>
      <c r="E1160" s="14" t="s">
        <v>25931</v>
      </c>
      <c r="F1160" s="72">
        <v>42565</v>
      </c>
      <c r="G1160" s="8" t="s">
        <v>25932</v>
      </c>
      <c r="H1160" s="8" t="s">
        <v>420</v>
      </c>
      <c r="I1160" s="8" t="s">
        <v>217</v>
      </c>
      <c r="J1160" s="8" t="s">
        <v>25933</v>
      </c>
      <c r="K1160" s="8" t="s">
        <v>397</v>
      </c>
      <c r="L1160" s="8" t="s">
        <v>25934</v>
      </c>
      <c r="M1160" s="8" t="s">
        <v>27</v>
      </c>
      <c r="N1160" s="16" t="s">
        <v>25935</v>
      </c>
      <c r="O1160" s="8" t="s">
        <v>400</v>
      </c>
      <c r="P1160" s="8" t="s">
        <v>401</v>
      </c>
      <c r="Q1160" s="14" t="s">
        <v>25936</v>
      </c>
      <c r="R1160" s="8" t="s">
        <v>100</v>
      </c>
      <c r="S1160" s="8" t="s">
        <v>28</v>
      </c>
      <c r="T1160" s="68"/>
      <c r="U1160" s="68"/>
      <c r="V1160" s="68"/>
      <c r="W1160" s="68"/>
      <c r="X1160" s="68"/>
      <c r="AW1160" s="1"/>
      <c r="AZ1160" s="1"/>
      <c r="BA1160" s="1"/>
      <c r="BB1160" s="1"/>
      <c r="BK1160" s="11"/>
    </row>
    <row r="1161" spans="1:63" s="44" customFormat="1" ht="12" customHeight="1" x14ac:dyDescent="0.15">
      <c r="A1161" s="8" t="s">
        <v>25937</v>
      </c>
      <c r="B1161" s="68">
        <v>33</v>
      </c>
      <c r="C1161" s="8" t="s">
        <v>20</v>
      </c>
      <c r="D1161" s="8" t="s">
        <v>85</v>
      </c>
      <c r="E1161" s="8"/>
      <c r="F1161" s="69">
        <v>42565</v>
      </c>
      <c r="G1161" s="8" t="s">
        <v>29573</v>
      </c>
      <c r="H1161" s="8" t="s">
        <v>1592</v>
      </c>
      <c r="I1161" s="8" t="s">
        <v>52</v>
      </c>
      <c r="J1161" s="8">
        <v>21216</v>
      </c>
      <c r="K1161" s="8" t="s">
        <v>4697</v>
      </c>
      <c r="L1161" s="8" t="s">
        <v>2770</v>
      </c>
      <c r="M1161" s="8" t="s">
        <v>27</v>
      </c>
      <c r="N1161" s="8" t="s">
        <v>25938</v>
      </c>
      <c r="O1161" s="8" t="s">
        <v>400</v>
      </c>
      <c r="P1161" s="8" t="s">
        <v>401</v>
      </c>
      <c r="Q1161" s="14" t="s">
        <v>25939</v>
      </c>
      <c r="R1161" s="8" t="s">
        <v>100</v>
      </c>
      <c r="S1161" s="8" t="s">
        <v>28</v>
      </c>
      <c r="T1161" s="68" t="s">
        <v>27756</v>
      </c>
      <c r="U1161" s="68" t="s">
        <v>29438</v>
      </c>
      <c r="V1161" s="68" t="s">
        <v>29439</v>
      </c>
      <c r="W1161" s="68" t="s">
        <v>100</v>
      </c>
      <c r="X1161" s="68">
        <v>1710</v>
      </c>
      <c r="AR1161" s="11"/>
      <c r="AS1161" s="11"/>
      <c r="AT1161" s="11"/>
      <c r="AW1161" s="11"/>
      <c r="AX1161" s="11"/>
      <c r="AY1161" s="11"/>
      <c r="BA1161" s="11"/>
      <c r="BB1161" s="11"/>
      <c r="BK1161" s="11"/>
    </row>
    <row r="1162" spans="1:63" s="44" customFormat="1" ht="12" customHeight="1" x14ac:dyDescent="0.15">
      <c r="A1162" s="8" t="s">
        <v>25940</v>
      </c>
      <c r="B1162" s="68">
        <v>32</v>
      </c>
      <c r="C1162" s="8" t="s">
        <v>20</v>
      </c>
      <c r="D1162" s="8" t="s">
        <v>37</v>
      </c>
      <c r="E1162" s="8"/>
      <c r="F1162" s="69">
        <v>42564</v>
      </c>
      <c r="G1162" s="8" t="s">
        <v>29574</v>
      </c>
      <c r="H1162" s="8" t="s">
        <v>6882</v>
      </c>
      <c r="I1162" s="8" t="s">
        <v>123</v>
      </c>
      <c r="J1162" s="8">
        <v>86001</v>
      </c>
      <c r="K1162" s="8" t="s">
        <v>23909</v>
      </c>
      <c r="L1162" s="8" t="s">
        <v>25941</v>
      </c>
      <c r="M1162" s="8" t="s">
        <v>27</v>
      </c>
      <c r="N1162" s="8" t="s">
        <v>25942</v>
      </c>
      <c r="O1162" s="8" t="s">
        <v>400</v>
      </c>
      <c r="P1162" s="8" t="s">
        <v>401</v>
      </c>
      <c r="Q1162" s="14" t="s">
        <v>25943</v>
      </c>
      <c r="R1162" s="8" t="s">
        <v>100</v>
      </c>
      <c r="S1162" s="8" t="s">
        <v>28</v>
      </c>
      <c r="T1162" s="68" t="s">
        <v>27756</v>
      </c>
      <c r="U1162" s="68" t="s">
        <v>29441</v>
      </c>
      <c r="V1162" s="68" t="s">
        <v>29440</v>
      </c>
      <c r="W1162" s="68" t="s">
        <v>555</v>
      </c>
      <c r="X1162" s="68">
        <v>1708</v>
      </c>
      <c r="AW1162" s="11"/>
      <c r="AX1162" s="1"/>
      <c r="AY1162" s="1"/>
      <c r="BA1162" s="11"/>
      <c r="BB1162" s="11"/>
      <c r="BC1162" s="1"/>
      <c r="BD1162" s="1"/>
      <c r="BE1162" s="1"/>
      <c r="BF1162" s="1"/>
      <c r="BG1162" s="1"/>
      <c r="BH1162" s="1"/>
      <c r="BI1162" s="1"/>
      <c r="BJ1162" s="1"/>
      <c r="BK1162" s="11"/>
    </row>
    <row r="1163" spans="1:63" s="44" customFormat="1" ht="12" customHeight="1" x14ac:dyDescent="0.15">
      <c r="A1163" s="8" t="s">
        <v>25944</v>
      </c>
      <c r="B1163" s="8">
        <v>35</v>
      </c>
      <c r="C1163" s="8" t="s">
        <v>20</v>
      </c>
      <c r="D1163" s="8" t="s">
        <v>85</v>
      </c>
      <c r="E1163" s="8"/>
      <c r="F1163" s="72">
        <v>42564</v>
      </c>
      <c r="G1163" s="8" t="s">
        <v>29575</v>
      </c>
      <c r="H1163" s="8" t="s">
        <v>1094</v>
      </c>
      <c r="I1163" s="8" t="s">
        <v>395</v>
      </c>
      <c r="J1163" s="8">
        <v>73118</v>
      </c>
      <c r="K1163" s="8" t="s">
        <v>1095</v>
      </c>
      <c r="L1163" s="8" t="s">
        <v>1096</v>
      </c>
      <c r="M1163" s="1" t="s">
        <v>391</v>
      </c>
      <c r="N1163" s="8" t="s">
        <v>25945</v>
      </c>
      <c r="O1163" s="8" t="s">
        <v>400</v>
      </c>
      <c r="P1163" s="8" t="s">
        <v>401</v>
      </c>
      <c r="Q1163" s="14" t="s">
        <v>25946</v>
      </c>
      <c r="R1163" s="8" t="s">
        <v>29</v>
      </c>
      <c r="S1163" s="8" t="s">
        <v>28</v>
      </c>
      <c r="T1163" s="8"/>
      <c r="AU1163" s="11"/>
      <c r="AV1163" s="11"/>
      <c r="AZ1163" s="1"/>
      <c r="BA1163" s="1"/>
      <c r="BB1163" s="1"/>
      <c r="BK1163" s="1"/>
    </row>
    <row r="1164" spans="1:63" s="44" customFormat="1" ht="12" customHeight="1" x14ac:dyDescent="0.15">
      <c r="A1164" s="8" t="s">
        <v>25947</v>
      </c>
      <c r="B1164" s="68">
        <v>56</v>
      </c>
      <c r="C1164" s="8" t="s">
        <v>20</v>
      </c>
      <c r="D1164" s="8" t="s">
        <v>37</v>
      </c>
      <c r="E1164" s="14" t="s">
        <v>25948</v>
      </c>
      <c r="F1164" s="69">
        <v>42564</v>
      </c>
      <c r="G1164" s="8" t="s">
        <v>25949</v>
      </c>
      <c r="H1164" s="8" t="s">
        <v>2125</v>
      </c>
      <c r="I1164" s="8" t="s">
        <v>423</v>
      </c>
      <c r="J1164" s="2">
        <v>10940</v>
      </c>
      <c r="K1164" s="2" t="s">
        <v>1061</v>
      </c>
      <c r="L1164" s="2" t="s">
        <v>12948</v>
      </c>
      <c r="M1164" s="8" t="s">
        <v>27</v>
      </c>
      <c r="N1164" s="8" t="s">
        <v>25950</v>
      </c>
      <c r="O1164" s="8" t="s">
        <v>400</v>
      </c>
      <c r="P1164" s="8" t="s">
        <v>401</v>
      </c>
      <c r="Q1164" s="14" t="s">
        <v>25951</v>
      </c>
      <c r="R1164" s="8" t="s">
        <v>555</v>
      </c>
      <c r="S1164" s="8" t="s">
        <v>18</v>
      </c>
      <c r="T1164" s="68" t="s">
        <v>29612</v>
      </c>
      <c r="U1164" s="68" t="s">
        <v>29436</v>
      </c>
      <c r="V1164" s="68" t="s">
        <v>29439</v>
      </c>
      <c r="W1164" s="68" t="s">
        <v>100</v>
      </c>
      <c r="X1164" s="68">
        <v>1709</v>
      </c>
      <c r="AW1164" s="1"/>
      <c r="AX1164" s="1"/>
      <c r="AY1164" s="1"/>
      <c r="BA1164" s="11"/>
      <c r="BB1164" s="11"/>
      <c r="BC1164" s="1"/>
      <c r="BD1164" s="1"/>
      <c r="BE1164" s="1"/>
      <c r="BF1164" s="1"/>
      <c r="BG1164" s="1"/>
      <c r="BH1164" s="1"/>
      <c r="BI1164" s="1"/>
      <c r="BJ1164" s="1"/>
      <c r="BK1164" s="1"/>
    </row>
    <row r="1165" spans="1:63" s="44" customFormat="1" ht="12" customHeight="1" x14ac:dyDescent="0.15">
      <c r="A1165" s="8" t="s">
        <v>25955</v>
      </c>
      <c r="B1165" s="8">
        <v>49</v>
      </c>
      <c r="C1165" s="8" t="s">
        <v>20</v>
      </c>
      <c r="D1165" s="8" t="s">
        <v>37</v>
      </c>
      <c r="E1165" s="8"/>
      <c r="F1165" s="72">
        <v>42563</v>
      </c>
      <c r="G1165" s="8" t="s">
        <v>25956</v>
      </c>
      <c r="H1165" s="8" t="s">
        <v>25957</v>
      </c>
      <c r="I1165" s="8" t="s">
        <v>25</v>
      </c>
      <c r="J1165" s="8">
        <v>70548</v>
      </c>
      <c r="K1165" s="8" t="s">
        <v>11440</v>
      </c>
      <c r="L1165" s="8" t="s">
        <v>25958</v>
      </c>
      <c r="M1165" s="44" t="s">
        <v>2291</v>
      </c>
      <c r="N1165" s="8" t="s">
        <v>25959</v>
      </c>
      <c r="O1165" s="8" t="s">
        <v>400</v>
      </c>
      <c r="P1165" s="8" t="s">
        <v>401</v>
      </c>
      <c r="Q1165" s="14" t="s">
        <v>25960</v>
      </c>
      <c r="R1165" s="8" t="s">
        <v>29</v>
      </c>
      <c r="S1165" s="8" t="s">
        <v>18</v>
      </c>
      <c r="T1165" s="8"/>
      <c r="AU1165" s="1"/>
      <c r="AV1165" s="1"/>
      <c r="AW1165" s="1"/>
      <c r="AX1165" s="1"/>
      <c r="AY1165" s="1"/>
      <c r="AZ1165" s="1"/>
      <c r="BA1165" s="1"/>
      <c r="BB1165" s="1"/>
      <c r="BC1165" s="1"/>
      <c r="BD1165" s="1"/>
      <c r="BE1165" s="1"/>
      <c r="BF1165" s="1"/>
      <c r="BG1165" s="1"/>
      <c r="BH1165" s="1"/>
      <c r="BI1165" s="1"/>
      <c r="BJ1165" s="1"/>
      <c r="BK1165" s="1"/>
    </row>
    <row r="1166" spans="1:63" s="44" customFormat="1" ht="12" customHeight="1" x14ac:dyDescent="0.15">
      <c r="A1166" s="8" t="s">
        <v>25952</v>
      </c>
      <c r="B1166" s="8">
        <v>36</v>
      </c>
      <c r="C1166" s="8" t="s">
        <v>20</v>
      </c>
      <c r="D1166" s="8" t="s">
        <v>37</v>
      </c>
      <c r="E1166" s="8"/>
      <c r="F1166" s="72">
        <v>42563</v>
      </c>
      <c r="G1166" s="8" t="s">
        <v>29576</v>
      </c>
      <c r="H1166" s="8" t="s">
        <v>4144</v>
      </c>
      <c r="I1166" s="8" t="s">
        <v>94</v>
      </c>
      <c r="J1166" s="8">
        <v>35207</v>
      </c>
      <c r="K1166" s="8" t="s">
        <v>1778</v>
      </c>
      <c r="L1166" s="8" t="s">
        <v>4169</v>
      </c>
      <c r="M1166" s="1" t="s">
        <v>391</v>
      </c>
      <c r="N1166" s="8" t="s">
        <v>25953</v>
      </c>
      <c r="O1166" s="8" t="s">
        <v>400</v>
      </c>
      <c r="P1166" s="8" t="s">
        <v>401</v>
      </c>
      <c r="Q1166" s="14" t="s">
        <v>25954</v>
      </c>
      <c r="R1166" s="8" t="s">
        <v>29</v>
      </c>
      <c r="S1166" s="8" t="s">
        <v>18</v>
      </c>
      <c r="T1166" s="8"/>
      <c r="AU1166" s="11"/>
      <c r="AV1166" s="11"/>
      <c r="AX1166" s="1"/>
      <c r="AY1166" s="1"/>
      <c r="AZ1166" s="1"/>
      <c r="BA1166" s="1"/>
      <c r="BB1166" s="1"/>
      <c r="BC1166" s="1"/>
      <c r="BD1166" s="1"/>
      <c r="BE1166" s="1"/>
      <c r="BF1166" s="1"/>
      <c r="BG1166" s="1"/>
      <c r="BH1166" s="1"/>
      <c r="BI1166" s="1"/>
      <c r="BJ1166" s="1"/>
      <c r="BK1166" s="1"/>
    </row>
    <row r="1167" spans="1:63" s="44" customFormat="1" ht="12" customHeight="1" x14ac:dyDescent="0.2">
      <c r="A1167" s="8" t="s">
        <v>25961</v>
      </c>
      <c r="B1167" s="68">
        <v>23</v>
      </c>
      <c r="C1167" s="8" t="s">
        <v>20</v>
      </c>
      <c r="D1167" s="8" t="s">
        <v>37</v>
      </c>
      <c r="E1167" s="8"/>
      <c r="F1167" s="69">
        <v>42563</v>
      </c>
      <c r="G1167" s="8" t="s">
        <v>25962</v>
      </c>
      <c r="H1167" s="8" t="s">
        <v>4417</v>
      </c>
      <c r="I1167" s="8" t="s">
        <v>330</v>
      </c>
      <c r="J1167" s="8">
        <v>99508</v>
      </c>
      <c r="K1167" s="8" t="s">
        <v>4417</v>
      </c>
      <c r="L1167" s="8" t="s">
        <v>4419</v>
      </c>
      <c r="M1167" s="8" t="s">
        <v>27</v>
      </c>
      <c r="N1167" s="8" t="s">
        <v>25963</v>
      </c>
      <c r="O1167" s="8" t="s">
        <v>400</v>
      </c>
      <c r="P1167" s="8" t="s">
        <v>401</v>
      </c>
      <c r="Q1167" s="14" t="s">
        <v>25964</v>
      </c>
      <c r="R1167" s="68" t="s">
        <v>555</v>
      </c>
      <c r="S1167" s="8" t="s">
        <v>28</v>
      </c>
      <c r="T1167" s="68" t="s">
        <v>29451</v>
      </c>
      <c r="U1167" s="68" t="s">
        <v>29438</v>
      </c>
      <c r="V1167" s="68" t="s">
        <v>29439</v>
      </c>
      <c r="W1167" s="68" t="s">
        <v>100</v>
      </c>
      <c r="X1167" s="68">
        <v>1707</v>
      </c>
      <c r="AX1167" s="1"/>
      <c r="AY1167" s="1"/>
      <c r="BA1167" s="70"/>
      <c r="BC1167" s="1"/>
      <c r="BD1167" s="1"/>
      <c r="BE1167" s="1"/>
      <c r="BF1167" s="1"/>
      <c r="BG1167" s="1"/>
      <c r="BH1167" s="1"/>
      <c r="BI1167" s="1"/>
      <c r="BJ1167" s="1"/>
      <c r="BK1167" s="11"/>
    </row>
    <row r="1168" spans="1:63" s="44" customFormat="1" ht="12" customHeight="1" x14ac:dyDescent="0.15">
      <c r="A1168" s="8" t="s">
        <v>25971</v>
      </c>
      <c r="B1168" s="68">
        <v>39</v>
      </c>
      <c r="C1168" s="8" t="s">
        <v>20</v>
      </c>
      <c r="D1168" s="8" t="s">
        <v>85</v>
      </c>
      <c r="E1168" s="8"/>
      <c r="F1168" s="69">
        <v>42562</v>
      </c>
      <c r="G1168" s="8" t="s">
        <v>25972</v>
      </c>
      <c r="H1168" s="8" t="s">
        <v>1710</v>
      </c>
      <c r="I1168" s="8" t="s">
        <v>423</v>
      </c>
      <c r="J1168" s="8">
        <v>11214</v>
      </c>
      <c r="K1168" s="8" t="s">
        <v>1712</v>
      </c>
      <c r="L1168" s="8" t="s">
        <v>582</v>
      </c>
      <c r="M1168" s="8" t="s">
        <v>27</v>
      </c>
      <c r="N1168" s="8" t="s">
        <v>25973</v>
      </c>
      <c r="O1168" s="8" t="s">
        <v>400</v>
      </c>
      <c r="P1168" s="8" t="s">
        <v>401</v>
      </c>
      <c r="Q1168" s="14" t="s">
        <v>25974</v>
      </c>
      <c r="R1168" s="8" t="s">
        <v>100</v>
      </c>
      <c r="S1168" s="8" t="s">
        <v>28</v>
      </c>
      <c r="T1168" s="68" t="s">
        <v>27756</v>
      </c>
      <c r="U1168" s="68" t="s">
        <v>29438</v>
      </c>
      <c r="V1168" s="68" t="s">
        <v>29440</v>
      </c>
      <c r="W1168" s="68" t="s">
        <v>100</v>
      </c>
      <c r="X1168" s="68">
        <v>1706</v>
      </c>
      <c r="BA1168" s="11"/>
      <c r="BB1168" s="11"/>
      <c r="BK1168" s="11"/>
    </row>
    <row r="1169" spans="1:63" s="44" customFormat="1" ht="12" customHeight="1" x14ac:dyDescent="0.15">
      <c r="A1169" s="8" t="s">
        <v>25975</v>
      </c>
      <c r="B1169" s="68">
        <v>41</v>
      </c>
      <c r="C1169" s="8" t="s">
        <v>20</v>
      </c>
      <c r="D1169" s="11" t="s">
        <v>48</v>
      </c>
      <c r="E1169" s="8"/>
      <c r="F1169" s="69">
        <v>42562</v>
      </c>
      <c r="G1169" s="8" t="s">
        <v>25976</v>
      </c>
      <c r="H1169" s="8" t="s">
        <v>25977</v>
      </c>
      <c r="I1169" s="8" t="s">
        <v>57</v>
      </c>
      <c r="J1169" s="8" t="s">
        <v>25978</v>
      </c>
      <c r="K1169" s="8" t="s">
        <v>1128</v>
      </c>
      <c r="L1169" s="8" t="s">
        <v>25979</v>
      </c>
      <c r="M1169" s="8" t="s">
        <v>27</v>
      </c>
      <c r="N1169" s="8" t="s">
        <v>25980</v>
      </c>
      <c r="O1169" s="8" t="s">
        <v>400</v>
      </c>
      <c r="P1169" s="8" t="s">
        <v>401</v>
      </c>
      <c r="Q1169" s="14" t="s">
        <v>25981</v>
      </c>
      <c r="R1169" s="8" t="s">
        <v>100</v>
      </c>
      <c r="S1169" s="8" t="s">
        <v>28</v>
      </c>
      <c r="T1169" s="68" t="s">
        <v>27756</v>
      </c>
      <c r="U1169" s="68" t="s">
        <v>29438</v>
      </c>
      <c r="V1169" s="68" t="s">
        <v>29439</v>
      </c>
      <c r="W1169" s="68" t="s">
        <v>100</v>
      </c>
      <c r="X1169" s="68">
        <v>1705</v>
      </c>
      <c r="AW1169" s="1"/>
      <c r="AX1169" s="1"/>
      <c r="AY1169" s="1"/>
      <c r="BA1169" s="11"/>
      <c r="BB1169" s="11"/>
      <c r="BC1169" s="1"/>
      <c r="BD1169" s="1"/>
      <c r="BE1169" s="1"/>
      <c r="BF1169" s="1"/>
      <c r="BG1169" s="1"/>
      <c r="BH1169" s="1"/>
      <c r="BI1169" s="1"/>
      <c r="BJ1169" s="1"/>
      <c r="BK1169" s="11"/>
    </row>
    <row r="1170" spans="1:63" s="44" customFormat="1" ht="12" customHeight="1" x14ac:dyDescent="0.15">
      <c r="A1170" s="8" t="s">
        <v>25982</v>
      </c>
      <c r="B1170" s="68">
        <v>44</v>
      </c>
      <c r="C1170" s="8" t="s">
        <v>20</v>
      </c>
      <c r="D1170" s="8" t="s">
        <v>37</v>
      </c>
      <c r="E1170" s="14" t="s">
        <v>25983</v>
      </c>
      <c r="F1170" s="69">
        <v>42562</v>
      </c>
      <c r="G1170" s="8" t="s">
        <v>25984</v>
      </c>
      <c r="H1170" s="8" t="s">
        <v>11152</v>
      </c>
      <c r="I1170" s="8" t="s">
        <v>57</v>
      </c>
      <c r="J1170" s="8" t="s">
        <v>25985</v>
      </c>
      <c r="K1170" s="8" t="s">
        <v>10125</v>
      </c>
      <c r="L1170" s="8" t="s">
        <v>25986</v>
      </c>
      <c r="M1170" s="8" t="s">
        <v>27</v>
      </c>
      <c r="N1170" s="8" t="s">
        <v>25987</v>
      </c>
      <c r="O1170" s="8" t="s">
        <v>400</v>
      </c>
      <c r="P1170" s="8" t="s">
        <v>401</v>
      </c>
      <c r="Q1170" s="14" t="s">
        <v>25988</v>
      </c>
      <c r="R1170" s="8" t="s">
        <v>100</v>
      </c>
      <c r="S1170" s="8" t="s">
        <v>28</v>
      </c>
      <c r="T1170" s="68" t="s">
        <v>27756</v>
      </c>
      <c r="U1170" s="68" t="s">
        <v>29438</v>
      </c>
      <c r="V1170" s="68" t="s">
        <v>29439</v>
      </c>
      <c r="W1170" s="68" t="s">
        <v>100</v>
      </c>
      <c r="X1170" s="68">
        <v>1711</v>
      </c>
      <c r="AW1170" s="1"/>
      <c r="AX1170" s="1"/>
      <c r="AY1170" s="1"/>
      <c r="BA1170" s="11"/>
      <c r="BB1170" s="11"/>
      <c r="BC1170" s="1"/>
      <c r="BD1170" s="1"/>
      <c r="BE1170" s="1"/>
      <c r="BF1170" s="1"/>
      <c r="BG1170" s="1"/>
      <c r="BH1170" s="1"/>
      <c r="BI1170" s="1"/>
      <c r="BJ1170" s="1"/>
      <c r="BK1170" s="11"/>
    </row>
    <row r="1171" spans="1:63" s="44" customFormat="1" ht="12" customHeight="1" x14ac:dyDescent="0.15">
      <c r="A1171" s="8" t="s">
        <v>25965</v>
      </c>
      <c r="B1171" s="68">
        <v>41</v>
      </c>
      <c r="C1171" s="8" t="s">
        <v>20</v>
      </c>
      <c r="D1171" s="8" t="s">
        <v>85</v>
      </c>
      <c r="E1171" s="8"/>
      <c r="F1171" s="69">
        <v>42562</v>
      </c>
      <c r="G1171" s="8" t="s">
        <v>25966</v>
      </c>
      <c r="H1171" s="8" t="s">
        <v>25967</v>
      </c>
      <c r="I1171" s="8" t="s">
        <v>44</v>
      </c>
      <c r="J1171" s="8">
        <v>62201</v>
      </c>
      <c r="K1171" s="8" t="s">
        <v>22231</v>
      </c>
      <c r="L1171" s="8" t="s">
        <v>25968</v>
      </c>
      <c r="M1171" s="8" t="s">
        <v>27</v>
      </c>
      <c r="N1171" s="8" t="s">
        <v>25969</v>
      </c>
      <c r="O1171" s="8" t="s">
        <v>400</v>
      </c>
      <c r="P1171" s="8" t="s">
        <v>401</v>
      </c>
      <c r="Q1171" s="14" t="s">
        <v>25970</v>
      </c>
      <c r="R1171" s="8" t="s">
        <v>29</v>
      </c>
      <c r="S1171" s="8" t="s">
        <v>28</v>
      </c>
      <c r="T1171" s="68" t="s">
        <v>27756</v>
      </c>
      <c r="U1171" s="68" t="s">
        <v>29438</v>
      </c>
      <c r="V1171" s="68" t="s">
        <v>29439</v>
      </c>
      <c r="W1171" s="68" t="s">
        <v>100</v>
      </c>
      <c r="X1171" s="68">
        <v>1704</v>
      </c>
      <c r="AW1171" s="1"/>
      <c r="BA1171" s="1"/>
      <c r="BB1171" s="1"/>
      <c r="BK1171" s="11"/>
    </row>
    <row r="1172" spans="1:63" s="44" customFormat="1" ht="12" customHeight="1" x14ac:dyDescent="0.15">
      <c r="A1172" s="8" t="s">
        <v>25989</v>
      </c>
      <c r="B1172" s="68">
        <v>50</v>
      </c>
      <c r="C1172" s="8" t="s">
        <v>20</v>
      </c>
      <c r="D1172" s="8" t="s">
        <v>85</v>
      </c>
      <c r="E1172" s="8"/>
      <c r="F1172" s="69">
        <v>42562</v>
      </c>
      <c r="G1172" s="8" t="s">
        <v>29577</v>
      </c>
      <c r="H1172" s="8" t="s">
        <v>1642</v>
      </c>
      <c r="I1172" s="8" t="s">
        <v>45</v>
      </c>
      <c r="J1172" s="8">
        <v>95815</v>
      </c>
      <c r="K1172" s="8" t="s">
        <v>1642</v>
      </c>
      <c r="L1172" s="8" t="s">
        <v>2323</v>
      </c>
      <c r="M1172" s="8" t="s">
        <v>27</v>
      </c>
      <c r="N1172" s="8" t="s">
        <v>25990</v>
      </c>
      <c r="O1172" s="8" t="s">
        <v>400</v>
      </c>
      <c r="P1172" s="8" t="s">
        <v>401</v>
      </c>
      <c r="Q1172" s="14" t="s">
        <v>25991</v>
      </c>
      <c r="R1172" s="68" t="s">
        <v>555</v>
      </c>
      <c r="S1172" s="8" t="s">
        <v>28</v>
      </c>
      <c r="T1172" s="68" t="s">
        <v>29493</v>
      </c>
      <c r="U1172" s="68" t="s">
        <v>29436</v>
      </c>
      <c r="V1172" s="68" t="s">
        <v>29439</v>
      </c>
      <c r="W1172" s="68" t="s">
        <v>555</v>
      </c>
      <c r="X1172" s="68">
        <v>1703</v>
      </c>
      <c r="AW1172" s="1"/>
      <c r="BB1172" s="11"/>
      <c r="BK1172" s="11"/>
    </row>
    <row r="1173" spans="1:63" s="44" customFormat="1" ht="12" customHeight="1" x14ac:dyDescent="0.15">
      <c r="A1173" s="8" t="s">
        <v>24956</v>
      </c>
      <c r="B1173" s="68">
        <v>38</v>
      </c>
      <c r="C1173" s="8" t="s">
        <v>20</v>
      </c>
      <c r="D1173" s="8" t="s">
        <v>85</v>
      </c>
      <c r="E1173" s="14" t="s">
        <v>25999</v>
      </c>
      <c r="F1173" s="69">
        <v>42561</v>
      </c>
      <c r="G1173" s="8" t="s">
        <v>26000</v>
      </c>
      <c r="H1173" s="8" t="s">
        <v>723</v>
      </c>
      <c r="I1173" s="8" t="s">
        <v>73</v>
      </c>
      <c r="J1173" s="8">
        <v>77021</v>
      </c>
      <c r="K1173" s="8" t="s">
        <v>558</v>
      </c>
      <c r="L1173" s="8" t="s">
        <v>724</v>
      </c>
      <c r="M1173" s="8" t="s">
        <v>27</v>
      </c>
      <c r="N1173" s="8" t="s">
        <v>26001</v>
      </c>
      <c r="O1173" s="8" t="s">
        <v>400</v>
      </c>
      <c r="P1173" s="8" t="s">
        <v>401</v>
      </c>
      <c r="Q1173" s="14" t="s">
        <v>26002</v>
      </c>
      <c r="R1173" s="8" t="s">
        <v>100</v>
      </c>
      <c r="S1173" s="8" t="s">
        <v>28</v>
      </c>
      <c r="T1173" s="68" t="s">
        <v>27756</v>
      </c>
      <c r="U1173" s="68" t="s">
        <v>29436</v>
      </c>
      <c r="V1173" s="68" t="s">
        <v>29439</v>
      </c>
      <c r="W1173" s="68" t="s">
        <v>555</v>
      </c>
      <c r="X1173" s="68">
        <v>1702</v>
      </c>
      <c r="BA1173" s="11"/>
      <c r="BB1173" s="11"/>
      <c r="BK1173" s="11"/>
    </row>
    <row r="1174" spans="1:63" s="44" customFormat="1" ht="12" customHeight="1" x14ac:dyDescent="0.15">
      <c r="A1174" s="8" t="s">
        <v>25992</v>
      </c>
      <c r="B1174" s="68">
        <v>40</v>
      </c>
      <c r="C1174" s="8" t="s">
        <v>20</v>
      </c>
      <c r="D1174" s="8" t="s">
        <v>85</v>
      </c>
      <c r="E1174" s="8"/>
      <c r="F1174" s="69">
        <v>42560</v>
      </c>
      <c r="G1174" s="8" t="s">
        <v>25993</v>
      </c>
      <c r="H1174" s="8" t="s">
        <v>25994</v>
      </c>
      <c r="I1174" s="8" t="s">
        <v>395</v>
      </c>
      <c r="J1174" s="8">
        <v>74728</v>
      </c>
      <c r="K1174" s="8" t="s">
        <v>25995</v>
      </c>
      <c r="L1174" s="8" t="s">
        <v>25996</v>
      </c>
      <c r="M1174" s="8" t="s">
        <v>27</v>
      </c>
      <c r="N1174" s="8" t="s">
        <v>25997</v>
      </c>
      <c r="O1174" s="8" t="s">
        <v>400</v>
      </c>
      <c r="P1174" s="8" t="s">
        <v>401</v>
      </c>
      <c r="Q1174" s="14" t="s">
        <v>25998</v>
      </c>
      <c r="R1174" s="8" t="s">
        <v>100</v>
      </c>
      <c r="S1174" s="8" t="s">
        <v>28</v>
      </c>
      <c r="T1174" s="68" t="s">
        <v>27756</v>
      </c>
      <c r="U1174" s="68" t="s">
        <v>29438</v>
      </c>
      <c r="V1174" s="68" t="s">
        <v>29437</v>
      </c>
      <c r="W1174" s="68" t="s">
        <v>100</v>
      </c>
      <c r="X1174" s="68">
        <v>1701</v>
      </c>
      <c r="AX1174" s="11"/>
      <c r="AY1174" s="11"/>
      <c r="BA1174" s="11"/>
      <c r="BB1174" s="11"/>
      <c r="BK1174" s="11"/>
    </row>
    <row r="1175" spans="1:63" s="44" customFormat="1" ht="12" customHeight="1" x14ac:dyDescent="0.15">
      <c r="A1175" s="8" t="s">
        <v>26003</v>
      </c>
      <c r="B1175" s="8">
        <v>20</v>
      </c>
      <c r="C1175" s="8" t="s">
        <v>20</v>
      </c>
      <c r="D1175" s="8" t="s">
        <v>85</v>
      </c>
      <c r="E1175" s="14" t="s">
        <v>26004</v>
      </c>
      <c r="F1175" s="72">
        <v>42560</v>
      </c>
      <c r="G1175" s="8" t="s">
        <v>29578</v>
      </c>
      <c r="H1175" s="8" t="s">
        <v>19322</v>
      </c>
      <c r="I1175" s="8" t="s">
        <v>431</v>
      </c>
      <c r="J1175" s="8">
        <v>63123</v>
      </c>
      <c r="K1175" s="8" t="s">
        <v>709</v>
      </c>
      <c r="L1175" s="8" t="s">
        <v>7158</v>
      </c>
      <c r="M1175" s="8" t="s">
        <v>27</v>
      </c>
      <c r="N1175" s="8" t="s">
        <v>26005</v>
      </c>
      <c r="O1175" s="8" t="s">
        <v>400</v>
      </c>
      <c r="P1175" s="8" t="s">
        <v>401</v>
      </c>
      <c r="Q1175" s="14" t="s">
        <v>26006</v>
      </c>
      <c r="R1175" s="8" t="s">
        <v>555</v>
      </c>
      <c r="S1175" s="8" t="s">
        <v>35</v>
      </c>
      <c r="T1175" s="68"/>
      <c r="U1175" s="68"/>
      <c r="V1175" s="68"/>
      <c r="W1175" s="68"/>
      <c r="X1175" s="68"/>
      <c r="AW1175" s="1"/>
      <c r="AZ1175" s="1"/>
      <c r="BA1175" s="1"/>
      <c r="BB1175" s="1"/>
      <c r="BK1175" s="1"/>
    </row>
    <row r="1176" spans="1:63" s="44" customFormat="1" ht="12" customHeight="1" x14ac:dyDescent="0.15">
      <c r="A1176" s="8" t="s">
        <v>26007</v>
      </c>
      <c r="B1176" s="68">
        <v>30</v>
      </c>
      <c r="C1176" s="8" t="s">
        <v>20</v>
      </c>
      <c r="D1176" s="8" t="s">
        <v>37</v>
      </c>
      <c r="E1176" s="8"/>
      <c r="F1176" s="69">
        <v>42559</v>
      </c>
      <c r="G1176" s="8" t="s">
        <v>26008</v>
      </c>
      <c r="H1176" s="8" t="s">
        <v>561</v>
      </c>
      <c r="I1176" s="8" t="s">
        <v>123</v>
      </c>
      <c r="J1176" s="8">
        <v>85705</v>
      </c>
      <c r="K1176" s="8" t="s">
        <v>562</v>
      </c>
      <c r="L1176" s="8" t="s">
        <v>563</v>
      </c>
      <c r="M1176" s="8" t="s">
        <v>27</v>
      </c>
      <c r="N1176" s="8" t="s">
        <v>26009</v>
      </c>
      <c r="O1176" s="8" t="s">
        <v>400</v>
      </c>
      <c r="P1176" s="8" t="s">
        <v>401</v>
      </c>
      <c r="Q1176" s="14" t="s">
        <v>26010</v>
      </c>
      <c r="R1176" s="8" t="s">
        <v>555</v>
      </c>
      <c r="S1176" s="8" t="s">
        <v>28</v>
      </c>
      <c r="T1176" s="68" t="s">
        <v>29493</v>
      </c>
      <c r="U1176" s="68" t="s">
        <v>29436</v>
      </c>
      <c r="V1176" s="68" t="s">
        <v>29439</v>
      </c>
      <c r="W1176" s="68" t="s">
        <v>100</v>
      </c>
      <c r="X1176" s="68">
        <v>1700</v>
      </c>
      <c r="AX1176" s="1"/>
      <c r="AY1176" s="1"/>
      <c r="BA1176" s="11"/>
      <c r="BB1176" s="11"/>
      <c r="BC1176" s="1"/>
      <c r="BD1176" s="1"/>
      <c r="BE1176" s="1"/>
      <c r="BF1176" s="1"/>
      <c r="BG1176" s="1"/>
      <c r="BH1176" s="1"/>
      <c r="BI1176" s="1"/>
      <c r="BJ1176" s="1"/>
      <c r="BK1176" s="11"/>
    </row>
    <row r="1177" spans="1:63" s="44" customFormat="1" ht="12" customHeight="1" x14ac:dyDescent="0.15">
      <c r="A1177" s="8" t="s">
        <v>26016</v>
      </c>
      <c r="B1177" s="68">
        <v>63</v>
      </c>
      <c r="C1177" s="8" t="s">
        <v>20</v>
      </c>
      <c r="D1177" s="11" t="s">
        <v>85</v>
      </c>
      <c r="E1177" s="8"/>
      <c r="F1177" s="69">
        <v>42558</v>
      </c>
      <c r="G1177" s="8" t="s">
        <v>26017</v>
      </c>
      <c r="H1177" s="8" t="s">
        <v>12702</v>
      </c>
      <c r="I1177" s="8" t="s">
        <v>94</v>
      </c>
      <c r="J1177" s="8">
        <v>36701</v>
      </c>
      <c r="K1177" s="8" t="s">
        <v>285</v>
      </c>
      <c r="L1177" s="8" t="s">
        <v>12704</v>
      </c>
      <c r="M1177" s="8" t="s">
        <v>27</v>
      </c>
      <c r="N1177" s="8" t="s">
        <v>26018</v>
      </c>
      <c r="O1177" s="8" t="s">
        <v>400</v>
      </c>
      <c r="P1177" s="8" t="s">
        <v>401</v>
      </c>
      <c r="Q1177" s="14" t="s">
        <v>26019</v>
      </c>
      <c r="R1177" s="8" t="s">
        <v>100</v>
      </c>
      <c r="S1177" s="8" t="s">
        <v>28</v>
      </c>
      <c r="T1177" s="68" t="s">
        <v>27756</v>
      </c>
      <c r="U1177" s="68" t="s">
        <v>29438</v>
      </c>
      <c r="V1177" s="68" t="s">
        <v>29439</v>
      </c>
      <c r="W1177" s="68" t="s">
        <v>555</v>
      </c>
      <c r="X1177" s="68">
        <v>1699</v>
      </c>
      <c r="AW1177" s="1"/>
      <c r="BA1177" s="11"/>
      <c r="BB1177" s="11"/>
      <c r="BC1177" s="11"/>
      <c r="BD1177" s="11"/>
      <c r="BE1177" s="11"/>
      <c r="BF1177" s="11"/>
      <c r="BG1177" s="11"/>
      <c r="BH1177" s="11"/>
      <c r="BI1177" s="11"/>
      <c r="BJ1177" s="11"/>
      <c r="BK1177" s="11"/>
    </row>
    <row r="1178" spans="1:63" s="44" customFormat="1" ht="12" customHeight="1" x14ac:dyDescent="0.15">
      <c r="A1178" s="8" t="s">
        <v>26020</v>
      </c>
      <c r="B1178" s="68">
        <v>37</v>
      </c>
      <c r="C1178" s="8" t="s">
        <v>20</v>
      </c>
      <c r="D1178" s="8" t="s">
        <v>48</v>
      </c>
      <c r="E1178" s="8"/>
      <c r="F1178" s="69">
        <v>42558</v>
      </c>
      <c r="G1178" s="8" t="s">
        <v>26021</v>
      </c>
      <c r="H1178" s="8" t="s">
        <v>8495</v>
      </c>
      <c r="I1178" s="8" t="s">
        <v>45</v>
      </c>
      <c r="J1178" s="8">
        <v>90201</v>
      </c>
      <c r="K1178" s="8" t="s">
        <v>98</v>
      </c>
      <c r="L1178" s="8" t="s">
        <v>26022</v>
      </c>
      <c r="M1178" s="8" t="s">
        <v>27</v>
      </c>
      <c r="N1178" s="8" t="s">
        <v>26023</v>
      </c>
      <c r="O1178" s="8" t="s">
        <v>400</v>
      </c>
      <c r="P1178" s="8" t="s">
        <v>401</v>
      </c>
      <c r="Q1178" s="14" t="s">
        <v>26024</v>
      </c>
      <c r="R1178" s="8" t="s">
        <v>100</v>
      </c>
      <c r="S1178" s="8" t="s">
        <v>28</v>
      </c>
      <c r="T1178" s="68" t="s">
        <v>29493</v>
      </c>
      <c r="U1178" s="68" t="s">
        <v>29436</v>
      </c>
      <c r="V1178" s="68" t="s">
        <v>29439</v>
      </c>
      <c r="W1178" s="68" t="s">
        <v>100</v>
      </c>
      <c r="X1178" s="68">
        <v>1697</v>
      </c>
      <c r="AX1178" s="1"/>
      <c r="AY1178" s="1"/>
      <c r="BA1178" s="11"/>
      <c r="BB1178" s="11"/>
      <c r="BC1178" s="1"/>
      <c r="BD1178" s="1"/>
      <c r="BE1178" s="1"/>
      <c r="BF1178" s="1"/>
      <c r="BG1178" s="1"/>
      <c r="BH1178" s="1"/>
      <c r="BI1178" s="1"/>
      <c r="BJ1178" s="1"/>
      <c r="BK1178" s="11"/>
    </row>
    <row r="1179" spans="1:63" s="44" customFormat="1" ht="12" customHeight="1" x14ac:dyDescent="0.15">
      <c r="A1179" s="8" t="s">
        <v>26025</v>
      </c>
      <c r="B1179" s="68">
        <v>33</v>
      </c>
      <c r="C1179" s="8" t="s">
        <v>20</v>
      </c>
      <c r="D1179" s="11" t="s">
        <v>37</v>
      </c>
      <c r="E1179" s="8"/>
      <c r="F1179" s="69">
        <v>42558</v>
      </c>
      <c r="G1179" s="8" t="s">
        <v>26026</v>
      </c>
      <c r="H1179" s="8" t="s">
        <v>10593</v>
      </c>
      <c r="I1179" s="8" t="s">
        <v>45</v>
      </c>
      <c r="J1179" s="8">
        <v>93612</v>
      </c>
      <c r="K1179" s="8" t="s">
        <v>200</v>
      </c>
      <c r="L1179" s="8" t="s">
        <v>26027</v>
      </c>
      <c r="M1179" s="8" t="s">
        <v>27</v>
      </c>
      <c r="N1179" s="8" t="s">
        <v>26028</v>
      </c>
      <c r="O1179" s="8" t="s">
        <v>400</v>
      </c>
      <c r="P1179" s="8" t="s">
        <v>401</v>
      </c>
      <c r="Q1179" s="14" t="s">
        <v>26029</v>
      </c>
      <c r="R1179" s="8" t="s">
        <v>100</v>
      </c>
      <c r="S1179" s="11" t="s">
        <v>379</v>
      </c>
      <c r="T1179" s="68" t="s">
        <v>379</v>
      </c>
      <c r="U1179" s="68" t="s">
        <v>29436</v>
      </c>
      <c r="V1179" s="68" t="s">
        <v>29437</v>
      </c>
      <c r="W1179" s="68" t="s">
        <v>100</v>
      </c>
      <c r="X1179" s="68">
        <v>1698</v>
      </c>
      <c r="AW1179" s="11"/>
      <c r="AX1179" s="1"/>
      <c r="AY1179" s="1"/>
      <c r="BA1179" s="11"/>
      <c r="BB1179" s="11"/>
      <c r="BC1179" s="1"/>
      <c r="BD1179" s="1"/>
      <c r="BE1179" s="1"/>
      <c r="BF1179" s="1"/>
      <c r="BG1179" s="1"/>
      <c r="BH1179" s="1"/>
      <c r="BI1179" s="1"/>
      <c r="BJ1179" s="1"/>
    </row>
    <row r="1180" spans="1:63" s="44" customFormat="1" ht="12" customHeight="1" x14ac:dyDescent="0.2">
      <c r="A1180" s="8" t="s">
        <v>26011</v>
      </c>
      <c r="B1180" s="8">
        <v>25</v>
      </c>
      <c r="C1180" s="8" t="s">
        <v>20</v>
      </c>
      <c r="D1180" s="8" t="s">
        <v>85</v>
      </c>
      <c r="E1180" s="14" t="s">
        <v>26012</v>
      </c>
      <c r="F1180" s="72">
        <v>42558</v>
      </c>
      <c r="G1180" s="8" t="s">
        <v>26013</v>
      </c>
      <c r="H1180" s="8" t="s">
        <v>285</v>
      </c>
      <c r="I1180" s="8" t="s">
        <v>73</v>
      </c>
      <c r="J1180" s="8">
        <v>75202</v>
      </c>
      <c r="K1180" s="8" t="s">
        <v>285</v>
      </c>
      <c r="L1180" s="8" t="s">
        <v>286</v>
      </c>
      <c r="M1180" s="8" t="s">
        <v>29611</v>
      </c>
      <c r="N1180" s="8" t="s">
        <v>26014</v>
      </c>
      <c r="O1180" s="8" t="s">
        <v>400</v>
      </c>
      <c r="P1180" s="8" t="s">
        <v>401</v>
      </c>
      <c r="Q1180" s="14" t="s">
        <v>26015</v>
      </c>
      <c r="R1180" s="8" t="s">
        <v>29</v>
      </c>
      <c r="S1180" s="8" t="s">
        <v>28</v>
      </c>
      <c r="T1180" s="8"/>
      <c r="AT1180" s="1"/>
      <c r="AU1180" s="1"/>
      <c r="AV1180" s="1"/>
      <c r="AY1180" s="1"/>
      <c r="AZ1180" s="1"/>
      <c r="BA1180" s="1"/>
      <c r="BB1180" s="11"/>
      <c r="BC1180" s="11"/>
      <c r="BD1180" s="11"/>
      <c r="BE1180" s="11"/>
      <c r="BF1180" s="11"/>
      <c r="BG1180" s="11"/>
      <c r="BH1180" s="11"/>
      <c r="BI1180" s="11"/>
      <c r="BJ1180" s="78"/>
      <c r="BK1180" s="78"/>
    </row>
    <row r="1181" spans="1:63" s="44" customFormat="1" ht="12" customHeight="1" x14ac:dyDescent="0.15">
      <c r="A1181" s="8" t="s">
        <v>24814</v>
      </c>
      <c r="B1181" s="68">
        <v>32</v>
      </c>
      <c r="C1181" s="8" t="s">
        <v>20</v>
      </c>
      <c r="D1181" s="8" t="s">
        <v>85</v>
      </c>
      <c r="E1181" s="14" t="s">
        <v>24815</v>
      </c>
      <c r="F1181" s="69">
        <v>42557</v>
      </c>
      <c r="G1181" s="8" t="s">
        <v>24955</v>
      </c>
      <c r="H1181" s="8" t="s">
        <v>26030</v>
      </c>
      <c r="I1181" s="8" t="s">
        <v>133</v>
      </c>
      <c r="J1181" s="8">
        <v>55113</v>
      </c>
      <c r="K1181" s="8" t="s">
        <v>3594</v>
      </c>
      <c r="L1181" s="8" t="s">
        <v>24842</v>
      </c>
      <c r="M1181" s="8" t="s">
        <v>27</v>
      </c>
      <c r="N1181" s="8" t="s">
        <v>24846</v>
      </c>
      <c r="O1181" s="8" t="s">
        <v>30973</v>
      </c>
      <c r="P1181" s="8" t="s">
        <v>20489</v>
      </c>
      <c r="Q1181" s="14" t="s">
        <v>24898</v>
      </c>
      <c r="R1181" s="8" t="s">
        <v>100</v>
      </c>
      <c r="S1181" s="2" t="s">
        <v>28</v>
      </c>
      <c r="T1181" s="68" t="s">
        <v>27756</v>
      </c>
      <c r="U1181" s="68" t="s">
        <v>29436</v>
      </c>
      <c r="V1181" s="68" t="s">
        <v>29439</v>
      </c>
      <c r="W1181" s="68" t="s">
        <v>100</v>
      </c>
      <c r="X1181" s="68">
        <v>1694</v>
      </c>
      <c r="AW1181" s="11"/>
      <c r="AX1181" s="11"/>
      <c r="AY1181" s="11"/>
      <c r="BA1181" s="11"/>
      <c r="BB1181" s="11"/>
      <c r="BC1181" s="11"/>
      <c r="BD1181" s="11"/>
      <c r="BE1181" s="11"/>
      <c r="BF1181" s="11"/>
      <c r="BG1181" s="11"/>
      <c r="BH1181" s="11"/>
      <c r="BI1181" s="11"/>
      <c r="BJ1181" s="11"/>
      <c r="BK1181" s="11"/>
    </row>
    <row r="1182" spans="1:63" s="11" customFormat="1" ht="12" customHeight="1" x14ac:dyDescent="0.15">
      <c r="A1182" s="8" t="s">
        <v>26031</v>
      </c>
      <c r="B1182" s="8">
        <v>36</v>
      </c>
      <c r="C1182" s="8" t="s">
        <v>20</v>
      </c>
      <c r="D1182" s="8" t="s">
        <v>85</v>
      </c>
      <c r="E1182" s="14" t="s">
        <v>26032</v>
      </c>
      <c r="F1182" s="72">
        <v>42557</v>
      </c>
      <c r="G1182" s="8" t="s">
        <v>26033</v>
      </c>
      <c r="H1182" s="8" t="s">
        <v>26034</v>
      </c>
      <c r="I1182" s="8" t="s">
        <v>669</v>
      </c>
      <c r="J1182" s="8" t="s">
        <v>26035</v>
      </c>
      <c r="K1182" s="8" t="s">
        <v>10073</v>
      </c>
      <c r="L1182" s="8" t="s">
        <v>5634</v>
      </c>
      <c r="M1182" s="8" t="s">
        <v>27</v>
      </c>
      <c r="N1182" s="8" t="s">
        <v>26036</v>
      </c>
      <c r="O1182" s="8" t="s">
        <v>400</v>
      </c>
      <c r="P1182" s="8" t="s">
        <v>401</v>
      </c>
      <c r="Q1182" s="14" t="s">
        <v>26037</v>
      </c>
      <c r="R1182" s="8" t="s">
        <v>100</v>
      </c>
      <c r="S1182" s="8" t="s">
        <v>28</v>
      </c>
      <c r="T1182" s="68"/>
      <c r="U1182" s="68"/>
      <c r="V1182" s="68"/>
      <c r="W1182" s="68"/>
      <c r="X1182" s="68"/>
      <c r="Y1182" s="44"/>
      <c r="Z1182" s="44"/>
      <c r="AA1182" s="44"/>
      <c r="AB1182" s="44"/>
      <c r="AC1182" s="44"/>
      <c r="AD1182" s="44"/>
      <c r="AE1182" s="44"/>
      <c r="AF1182" s="44"/>
      <c r="AG1182" s="44"/>
      <c r="AH1182" s="44"/>
      <c r="AI1182" s="44"/>
      <c r="AJ1182" s="44"/>
      <c r="AK1182" s="44"/>
      <c r="AL1182" s="44"/>
      <c r="AM1182" s="44"/>
      <c r="AN1182" s="44"/>
      <c r="AO1182" s="44"/>
      <c r="AP1182" s="44"/>
      <c r="AQ1182" s="44"/>
      <c r="AR1182" s="44"/>
      <c r="AS1182" s="44"/>
      <c r="AT1182" s="44"/>
      <c r="AU1182" s="44"/>
      <c r="AV1182" s="44"/>
      <c r="AW1182" s="1"/>
      <c r="AX1182" s="44"/>
      <c r="AY1182" s="44"/>
      <c r="AZ1182" s="1"/>
      <c r="BA1182" s="1"/>
      <c r="BB1182" s="1"/>
    </row>
    <row r="1183" spans="1:63" s="44" customFormat="1" ht="12" customHeight="1" x14ac:dyDescent="0.15">
      <c r="A1183" s="8" t="s">
        <v>26038</v>
      </c>
      <c r="B1183" s="8" t="s">
        <v>29</v>
      </c>
      <c r="C1183" s="8" t="s">
        <v>20</v>
      </c>
      <c r="D1183" s="8" t="s">
        <v>48</v>
      </c>
      <c r="E1183" s="8"/>
      <c r="F1183" s="72">
        <v>42557</v>
      </c>
      <c r="G1183" s="8" t="s">
        <v>26039</v>
      </c>
      <c r="H1183" s="8" t="s">
        <v>26040</v>
      </c>
      <c r="I1183" s="8" t="s">
        <v>45</v>
      </c>
      <c r="J1183" s="8">
        <v>91722</v>
      </c>
      <c r="K1183" s="8" t="s">
        <v>98</v>
      </c>
      <c r="L1183" s="8" t="s">
        <v>99</v>
      </c>
      <c r="M1183" s="8" t="s">
        <v>27</v>
      </c>
      <c r="N1183" s="8" t="s">
        <v>26041</v>
      </c>
      <c r="O1183" s="8" t="s">
        <v>400</v>
      </c>
      <c r="P1183" s="8" t="s">
        <v>401</v>
      </c>
      <c r="Q1183" s="14" t="s">
        <v>26042</v>
      </c>
      <c r="R1183" s="8" t="s">
        <v>100</v>
      </c>
      <c r="S1183" s="8" t="s">
        <v>28</v>
      </c>
      <c r="T1183" s="68"/>
      <c r="U1183" s="68"/>
      <c r="V1183" s="68"/>
      <c r="W1183" s="68"/>
      <c r="X1183" s="68"/>
      <c r="AW1183" s="1"/>
      <c r="AX1183" s="1"/>
      <c r="AY1183" s="1"/>
      <c r="AZ1183" s="1"/>
      <c r="BA1183" s="1"/>
      <c r="BB1183" s="1"/>
      <c r="BC1183" s="1"/>
      <c r="BD1183" s="1"/>
      <c r="BE1183" s="1"/>
      <c r="BF1183" s="1"/>
      <c r="BG1183" s="1"/>
      <c r="BH1183" s="1"/>
      <c r="BI1183" s="1"/>
      <c r="BJ1183" s="1"/>
      <c r="BK1183" s="11"/>
    </row>
    <row r="1184" spans="1:63" s="44" customFormat="1" ht="12" customHeight="1" x14ac:dyDescent="0.15">
      <c r="A1184" s="8" t="s">
        <v>26043</v>
      </c>
      <c r="B1184" s="68">
        <v>65</v>
      </c>
      <c r="C1184" s="8" t="s">
        <v>20</v>
      </c>
      <c r="D1184" s="11" t="s">
        <v>37</v>
      </c>
      <c r="E1184" s="8"/>
      <c r="F1184" s="69">
        <v>42557</v>
      </c>
      <c r="G1184" s="8" t="s">
        <v>26044</v>
      </c>
      <c r="H1184" s="8" t="s">
        <v>26045</v>
      </c>
      <c r="I1184" s="8" t="s">
        <v>395</v>
      </c>
      <c r="J1184" s="8">
        <v>73082</v>
      </c>
      <c r="K1184" s="8" t="s">
        <v>2567</v>
      </c>
      <c r="L1184" s="8" t="s">
        <v>26046</v>
      </c>
      <c r="M1184" s="8" t="s">
        <v>27</v>
      </c>
      <c r="N1184" s="8" t="s">
        <v>26047</v>
      </c>
      <c r="O1184" s="8" t="s">
        <v>400</v>
      </c>
      <c r="P1184" s="8" t="s">
        <v>401</v>
      </c>
      <c r="Q1184" s="14" t="s">
        <v>26048</v>
      </c>
      <c r="R1184" s="8" t="s">
        <v>100</v>
      </c>
      <c r="S1184" s="8" t="s">
        <v>28</v>
      </c>
      <c r="T1184" s="68" t="s">
        <v>27756</v>
      </c>
      <c r="U1184" s="68" t="s">
        <v>29436</v>
      </c>
      <c r="V1184" s="68" t="s">
        <v>29439</v>
      </c>
      <c r="W1184" s="68" t="s">
        <v>555</v>
      </c>
      <c r="X1184" s="68">
        <v>1696</v>
      </c>
      <c r="AW1184" s="1"/>
      <c r="AX1184" s="1"/>
      <c r="AY1184" s="1"/>
      <c r="BA1184" s="11"/>
      <c r="BB1184" s="11"/>
      <c r="BC1184" s="1"/>
      <c r="BD1184" s="1"/>
      <c r="BE1184" s="1"/>
      <c r="BF1184" s="1"/>
      <c r="BG1184" s="1"/>
      <c r="BH1184" s="1"/>
      <c r="BI1184" s="1"/>
      <c r="BJ1184" s="1"/>
      <c r="BK1184" s="11"/>
    </row>
    <row r="1185" spans="1:63" s="44" customFormat="1" ht="12" customHeight="1" x14ac:dyDescent="0.2">
      <c r="A1185" s="8" t="s">
        <v>24698</v>
      </c>
      <c r="B1185" s="68">
        <v>37</v>
      </c>
      <c r="C1185" s="8" t="s">
        <v>20</v>
      </c>
      <c r="D1185" s="8" t="s">
        <v>85</v>
      </c>
      <c r="E1185" s="14" t="s">
        <v>24816</v>
      </c>
      <c r="F1185" s="69">
        <v>42556</v>
      </c>
      <c r="G1185" s="8" t="s">
        <v>24699</v>
      </c>
      <c r="H1185" s="8" t="s">
        <v>189</v>
      </c>
      <c r="I1185" s="8" t="s">
        <v>25</v>
      </c>
      <c r="J1185" s="8">
        <v>70806</v>
      </c>
      <c r="K1185" s="8" t="s">
        <v>3743</v>
      </c>
      <c r="L1185" s="8" t="s">
        <v>1683</v>
      </c>
      <c r="M1185" s="68" t="s">
        <v>5411</v>
      </c>
      <c r="N1185" s="8" t="s">
        <v>24847</v>
      </c>
      <c r="O1185" s="8" t="s">
        <v>29663</v>
      </c>
      <c r="P1185" s="8" t="s">
        <v>401</v>
      </c>
      <c r="Q1185" s="14" t="s">
        <v>24899</v>
      </c>
      <c r="R1185" s="8" t="s">
        <v>100</v>
      </c>
      <c r="S1185" s="8" t="s">
        <v>35</v>
      </c>
      <c r="T1185" s="66" t="s">
        <v>29441</v>
      </c>
      <c r="U1185" s="68" t="s">
        <v>29441</v>
      </c>
      <c r="V1185" s="68" t="s">
        <v>29439</v>
      </c>
      <c r="W1185" s="68" t="s">
        <v>555</v>
      </c>
      <c r="X1185" s="68">
        <v>1680</v>
      </c>
      <c r="Y1185" s="8"/>
      <c r="Z1185" s="8"/>
      <c r="AA1185" s="8"/>
      <c r="AB1185" s="8"/>
      <c r="AC1185" s="8"/>
      <c r="AD1185" s="8"/>
      <c r="AE1185" s="8"/>
      <c r="AF1185" s="8"/>
      <c r="AG1185" s="8"/>
      <c r="AH1185" s="8"/>
      <c r="AI1185" s="8"/>
      <c r="AJ1185" s="8"/>
      <c r="AK1185" s="8"/>
      <c r="AL1185" s="8"/>
      <c r="BA1185" s="11"/>
      <c r="BB1185" s="70"/>
      <c r="BC1185" s="11"/>
      <c r="BD1185" s="11"/>
      <c r="BE1185" s="11"/>
      <c r="BF1185" s="11"/>
      <c r="BG1185" s="11"/>
      <c r="BH1185" s="11"/>
      <c r="BI1185" s="11"/>
      <c r="BJ1185" s="11"/>
      <c r="BK1185" s="11"/>
    </row>
    <row r="1186" spans="1:63" s="44" customFormat="1" ht="12" customHeight="1" x14ac:dyDescent="0.15">
      <c r="A1186" s="8" t="s">
        <v>26052</v>
      </c>
      <c r="B1186" s="68">
        <v>49</v>
      </c>
      <c r="C1186" s="8" t="s">
        <v>20</v>
      </c>
      <c r="D1186" s="8" t="s">
        <v>37</v>
      </c>
      <c r="E1186" s="8"/>
      <c r="F1186" s="69">
        <v>42556</v>
      </c>
      <c r="G1186" s="8" t="s">
        <v>24835</v>
      </c>
      <c r="H1186" s="8" t="s">
        <v>18037</v>
      </c>
      <c r="I1186" s="8" t="s">
        <v>45</v>
      </c>
      <c r="J1186" s="8">
        <v>92591</v>
      </c>
      <c r="K1186" s="8" t="s">
        <v>783</v>
      </c>
      <c r="L1186" s="8" t="s">
        <v>23627</v>
      </c>
      <c r="M1186" s="8" t="s">
        <v>27</v>
      </c>
      <c r="N1186" s="8" t="s">
        <v>24836</v>
      </c>
      <c r="O1186" s="8" t="s">
        <v>400</v>
      </c>
      <c r="P1186" s="8" t="s">
        <v>401</v>
      </c>
      <c r="Q1186" s="14" t="s">
        <v>24837</v>
      </c>
      <c r="R1186" s="8" t="s">
        <v>100</v>
      </c>
      <c r="S1186" s="8" t="s">
        <v>35</v>
      </c>
      <c r="T1186" s="66" t="s">
        <v>29441</v>
      </c>
      <c r="U1186" s="68" t="s">
        <v>29436</v>
      </c>
      <c r="V1186" s="68" t="s">
        <v>29437</v>
      </c>
      <c r="W1186" s="68" t="s">
        <v>100</v>
      </c>
      <c r="X1186" s="68">
        <v>1693</v>
      </c>
      <c r="AW1186" s="1"/>
      <c r="AX1186" s="1"/>
      <c r="AY1186" s="1"/>
      <c r="BA1186" s="11"/>
      <c r="BB1186" s="11"/>
      <c r="BC1186" s="1"/>
      <c r="BD1186" s="1"/>
      <c r="BE1186" s="1"/>
      <c r="BF1186" s="1"/>
      <c r="BG1186" s="1"/>
      <c r="BH1186" s="1"/>
      <c r="BI1186" s="1"/>
      <c r="BJ1186" s="1"/>
      <c r="BK1186" s="1"/>
    </row>
    <row r="1187" spans="1:63" s="44" customFormat="1" ht="12" customHeight="1" x14ac:dyDescent="0.15">
      <c r="A1187" s="8" t="s">
        <v>26053</v>
      </c>
      <c r="B1187" s="68">
        <v>29</v>
      </c>
      <c r="C1187" s="8" t="s">
        <v>20</v>
      </c>
      <c r="D1187" s="8" t="s">
        <v>37</v>
      </c>
      <c r="E1187" s="14" t="s">
        <v>26054</v>
      </c>
      <c r="F1187" s="69">
        <v>42556</v>
      </c>
      <c r="G1187" s="8" t="s">
        <v>26055</v>
      </c>
      <c r="H1187" s="8" t="s">
        <v>2651</v>
      </c>
      <c r="I1187" s="8" t="s">
        <v>117</v>
      </c>
      <c r="J1187" s="8">
        <v>97304</v>
      </c>
      <c r="K1187" s="8" t="s">
        <v>1864</v>
      </c>
      <c r="L1187" s="8" t="s">
        <v>257</v>
      </c>
      <c r="M1187" s="8" t="s">
        <v>27</v>
      </c>
      <c r="N1187" s="8" t="s">
        <v>26056</v>
      </c>
      <c r="O1187" s="8" t="s">
        <v>400</v>
      </c>
      <c r="P1187" s="8" t="s">
        <v>401</v>
      </c>
      <c r="Q1187" s="14" t="s">
        <v>26057</v>
      </c>
      <c r="R1187" s="8" t="s">
        <v>100</v>
      </c>
      <c r="S1187" s="8" t="s">
        <v>35</v>
      </c>
      <c r="T1187" s="66" t="s">
        <v>29441</v>
      </c>
      <c r="U1187" s="68" t="s">
        <v>29441</v>
      </c>
      <c r="V1187" s="68"/>
      <c r="W1187" s="68" t="s">
        <v>100</v>
      </c>
      <c r="X1187" s="68">
        <v>1692</v>
      </c>
      <c r="AX1187" s="1"/>
      <c r="AY1187" s="1"/>
      <c r="BA1187" s="11"/>
      <c r="BB1187" s="11"/>
      <c r="BC1187" s="1"/>
      <c r="BD1187" s="1"/>
      <c r="BE1187" s="1"/>
      <c r="BF1187" s="1"/>
      <c r="BG1187" s="1"/>
      <c r="BH1187" s="1"/>
      <c r="BI1187" s="1"/>
      <c r="BJ1187" s="1"/>
      <c r="BK1187" s="1"/>
    </row>
    <row r="1188" spans="1:63" s="44" customFormat="1" ht="12" customHeight="1" x14ac:dyDescent="0.15">
      <c r="A1188" s="8" t="s">
        <v>26049</v>
      </c>
      <c r="B1188" s="68">
        <v>24</v>
      </c>
      <c r="C1188" s="8" t="s">
        <v>114</v>
      </c>
      <c r="D1188" s="8" t="s">
        <v>48</v>
      </c>
      <c r="E1188" s="8"/>
      <c r="F1188" s="69">
        <v>42556</v>
      </c>
      <c r="G1188" s="8" t="s">
        <v>29579</v>
      </c>
      <c r="H1188" s="8" t="s">
        <v>13402</v>
      </c>
      <c r="I1188" s="8" t="s">
        <v>123</v>
      </c>
      <c r="J1188" s="8">
        <v>85364</v>
      </c>
      <c r="K1188" s="8" t="s">
        <v>13402</v>
      </c>
      <c r="L1188" s="8" t="s">
        <v>15441</v>
      </c>
      <c r="M1188" s="8" t="s">
        <v>27</v>
      </c>
      <c r="N1188" s="8" t="s">
        <v>26050</v>
      </c>
      <c r="O1188" s="8" t="s">
        <v>400</v>
      </c>
      <c r="P1188" s="8" t="s">
        <v>401</v>
      </c>
      <c r="Q1188" s="14" t="s">
        <v>26051</v>
      </c>
      <c r="R1188" s="8" t="s">
        <v>555</v>
      </c>
      <c r="S1188" s="8" t="s">
        <v>28</v>
      </c>
      <c r="T1188" s="68" t="s">
        <v>29493</v>
      </c>
      <c r="U1188" s="68" t="s">
        <v>29436</v>
      </c>
      <c r="V1188" s="68" t="s">
        <v>29439</v>
      </c>
      <c r="W1188" s="68" t="s">
        <v>100</v>
      </c>
      <c r="X1188" s="68">
        <v>1695</v>
      </c>
      <c r="AW1188" s="11"/>
      <c r="AX1188" s="1"/>
      <c r="AY1188" s="1"/>
      <c r="AZ1188" s="11"/>
      <c r="BA1188" s="1"/>
      <c r="BB1188" s="1"/>
      <c r="BC1188" s="1"/>
      <c r="BD1188" s="1"/>
      <c r="BE1188" s="1"/>
      <c r="BF1188" s="1"/>
      <c r="BG1188" s="1"/>
      <c r="BH1188" s="1"/>
      <c r="BI1188" s="1"/>
      <c r="BJ1188" s="1"/>
      <c r="BK1188" s="11"/>
    </row>
    <row r="1189" spans="1:63" s="44" customFormat="1" ht="12" customHeight="1" x14ac:dyDescent="0.2">
      <c r="A1189" s="8" t="s">
        <v>26058</v>
      </c>
      <c r="B1189" s="68">
        <v>21</v>
      </c>
      <c r="C1189" s="8" t="s">
        <v>20</v>
      </c>
      <c r="D1189" s="11" t="s">
        <v>85</v>
      </c>
      <c r="E1189" s="8"/>
      <c r="F1189" s="69">
        <v>42555</v>
      </c>
      <c r="G1189" s="8" t="s">
        <v>29581</v>
      </c>
      <c r="H1189" s="8" t="s">
        <v>118</v>
      </c>
      <c r="I1189" s="8" t="s">
        <v>3664</v>
      </c>
      <c r="J1189" s="8">
        <v>20019</v>
      </c>
      <c r="K1189" s="8" t="s">
        <v>3666</v>
      </c>
      <c r="L1189" s="8" t="s">
        <v>26059</v>
      </c>
      <c r="M1189" s="8" t="s">
        <v>27</v>
      </c>
      <c r="N1189" s="8" t="s">
        <v>24851</v>
      </c>
      <c r="O1189" s="8" t="s">
        <v>400</v>
      </c>
      <c r="P1189" s="8" t="s">
        <v>401</v>
      </c>
      <c r="Q1189" s="14" t="s">
        <v>24903</v>
      </c>
      <c r="R1189" s="8" t="s">
        <v>100</v>
      </c>
      <c r="S1189" s="8" t="s">
        <v>28</v>
      </c>
      <c r="T1189" s="68" t="s">
        <v>27756</v>
      </c>
      <c r="U1189" s="68" t="s">
        <v>29438</v>
      </c>
      <c r="V1189" s="68" t="s">
        <v>29439</v>
      </c>
      <c r="W1189" s="68" t="s">
        <v>100</v>
      </c>
      <c r="X1189" s="68">
        <v>1683</v>
      </c>
      <c r="Y1189" s="8"/>
      <c r="Z1189" s="8"/>
      <c r="AA1189" s="8"/>
      <c r="AB1189" s="8"/>
      <c r="AC1189" s="8"/>
      <c r="AD1189" s="8"/>
      <c r="AE1189" s="8"/>
      <c r="AF1189" s="8"/>
      <c r="AG1189" s="8"/>
      <c r="AH1189" s="8"/>
      <c r="AI1189" s="8"/>
      <c r="AJ1189" s="8"/>
      <c r="AK1189" s="8"/>
      <c r="AL1189" s="8"/>
      <c r="AU1189" s="11"/>
      <c r="AV1189" s="11"/>
      <c r="AX1189" s="70"/>
      <c r="AY1189" s="70"/>
      <c r="BA1189" s="11"/>
      <c r="BB1189" s="11"/>
      <c r="BC1189" s="11"/>
      <c r="BD1189" s="11"/>
      <c r="BE1189" s="11"/>
      <c r="BF1189" s="11"/>
      <c r="BG1189" s="11"/>
      <c r="BH1189" s="11"/>
      <c r="BI1189" s="11"/>
      <c r="BJ1189" s="11"/>
      <c r="BK1189" s="11"/>
    </row>
    <row r="1190" spans="1:63" s="44" customFormat="1" ht="12" customHeight="1" x14ac:dyDescent="0.15">
      <c r="A1190" s="8" t="s">
        <v>3252</v>
      </c>
      <c r="B1190" s="11">
        <v>29</v>
      </c>
      <c r="C1190" s="8"/>
      <c r="D1190" s="11" t="s">
        <v>85</v>
      </c>
      <c r="E1190" s="8"/>
      <c r="F1190" s="69">
        <v>42555</v>
      </c>
      <c r="G1190" s="8" t="s">
        <v>29582</v>
      </c>
      <c r="H1190" s="8" t="s">
        <v>26061</v>
      </c>
      <c r="I1190" s="8" t="s">
        <v>73</v>
      </c>
      <c r="J1190" s="8">
        <v>75158</v>
      </c>
      <c r="K1190" s="8" t="s">
        <v>17041</v>
      </c>
      <c r="L1190" s="8" t="s">
        <v>17042</v>
      </c>
      <c r="M1190" s="8" t="s">
        <v>27</v>
      </c>
      <c r="N1190" s="8" t="s">
        <v>24850</v>
      </c>
      <c r="O1190" s="8" t="s">
        <v>400</v>
      </c>
      <c r="P1190" s="8" t="s">
        <v>401</v>
      </c>
      <c r="Q1190" s="14" t="s">
        <v>24902</v>
      </c>
      <c r="R1190" s="8" t="s">
        <v>100</v>
      </c>
      <c r="S1190" s="13" t="s">
        <v>28</v>
      </c>
      <c r="T1190" s="68" t="s">
        <v>29493</v>
      </c>
      <c r="U1190" s="68" t="s">
        <v>29436</v>
      </c>
      <c r="V1190" s="68" t="s">
        <v>29439</v>
      </c>
      <c r="W1190" s="68" t="s">
        <v>555</v>
      </c>
      <c r="X1190" s="68">
        <v>1685</v>
      </c>
      <c r="Y1190" s="8"/>
      <c r="Z1190" s="8"/>
      <c r="AA1190" s="8"/>
      <c r="AB1190" s="8"/>
      <c r="AC1190" s="8"/>
      <c r="AD1190" s="8"/>
      <c r="AE1190" s="8"/>
      <c r="AF1190" s="8"/>
      <c r="AG1190" s="8"/>
      <c r="AH1190" s="8"/>
      <c r="AI1190" s="8"/>
      <c r="AJ1190" s="8"/>
      <c r="AK1190" s="8"/>
      <c r="AL1190" s="8"/>
      <c r="AU1190" s="11"/>
      <c r="AV1190" s="11"/>
      <c r="AW1190" s="1"/>
      <c r="BA1190" s="11"/>
      <c r="BB1190" s="11"/>
      <c r="BC1190" s="11"/>
      <c r="BD1190" s="11"/>
      <c r="BE1190" s="11"/>
      <c r="BF1190" s="11"/>
      <c r="BG1190" s="11"/>
      <c r="BH1190" s="11"/>
      <c r="BI1190" s="11"/>
      <c r="BJ1190" s="11"/>
      <c r="BK1190" s="11"/>
    </row>
    <row r="1191" spans="1:63" s="44" customFormat="1" ht="12" customHeight="1" x14ac:dyDescent="0.15">
      <c r="A1191" s="8" t="s">
        <v>24701</v>
      </c>
      <c r="B1191" s="8">
        <v>37</v>
      </c>
      <c r="C1191" s="8" t="s">
        <v>20</v>
      </c>
      <c r="D1191" s="8" t="s">
        <v>85</v>
      </c>
      <c r="E1191" s="14" t="s">
        <v>24819</v>
      </c>
      <c r="F1191" s="72">
        <v>42555</v>
      </c>
      <c r="G1191" s="8" t="s">
        <v>26060</v>
      </c>
      <c r="H1191" s="8" t="s">
        <v>1710</v>
      </c>
      <c r="I1191" s="8" t="s">
        <v>423</v>
      </c>
      <c r="J1191" s="8">
        <v>11207</v>
      </c>
      <c r="K1191" s="8" t="s">
        <v>1712</v>
      </c>
      <c r="L1191" s="8" t="s">
        <v>582</v>
      </c>
      <c r="M1191" s="8" t="s">
        <v>27</v>
      </c>
      <c r="N1191" s="8" t="s">
        <v>24849</v>
      </c>
      <c r="O1191" s="8" t="s">
        <v>24697</v>
      </c>
      <c r="P1191" s="8" t="s">
        <v>1159</v>
      </c>
      <c r="Q1191" s="14" t="s">
        <v>24901</v>
      </c>
      <c r="R1191" s="8" t="s">
        <v>100</v>
      </c>
      <c r="S1191" s="8" t="s">
        <v>18</v>
      </c>
      <c r="T1191" s="68"/>
      <c r="U1191" s="68"/>
      <c r="V1191" s="68"/>
      <c r="W1191" s="68"/>
      <c r="X1191" s="68"/>
      <c r="Y1191" s="8"/>
      <c r="Z1191" s="8"/>
      <c r="AA1191" s="8"/>
      <c r="AB1191" s="8"/>
      <c r="AC1191" s="8"/>
      <c r="AD1191" s="8"/>
      <c r="AE1191" s="8"/>
      <c r="AF1191" s="8"/>
      <c r="AG1191" s="8"/>
      <c r="AH1191" s="8"/>
      <c r="AI1191" s="8"/>
      <c r="AJ1191" s="8"/>
      <c r="AK1191" s="8"/>
      <c r="AL1191" s="8"/>
      <c r="AU1191" s="11"/>
      <c r="AV1191" s="11"/>
      <c r="AW1191" s="1"/>
      <c r="AZ1191" s="1"/>
      <c r="BA1191" s="1"/>
      <c r="BB1191" s="1"/>
      <c r="BC1191" s="11"/>
      <c r="BD1191" s="11"/>
      <c r="BE1191" s="11"/>
      <c r="BF1191" s="11"/>
      <c r="BG1191" s="11"/>
      <c r="BH1191" s="11"/>
      <c r="BI1191" s="11"/>
      <c r="BJ1191" s="11"/>
      <c r="BK1191" s="1"/>
    </row>
    <row r="1192" spans="1:63" s="44" customFormat="1" ht="12" customHeight="1" x14ac:dyDescent="0.15">
      <c r="A1192" s="8" t="s">
        <v>24838</v>
      </c>
      <c r="B1192" s="68">
        <v>34</v>
      </c>
      <c r="C1192" s="8" t="s">
        <v>20</v>
      </c>
      <c r="D1192" s="8" t="s">
        <v>37</v>
      </c>
      <c r="E1192" s="14" t="s">
        <v>24818</v>
      </c>
      <c r="F1192" s="69">
        <v>42555</v>
      </c>
      <c r="G1192" s="8" t="s">
        <v>24839</v>
      </c>
      <c r="H1192" s="8" t="s">
        <v>3077</v>
      </c>
      <c r="I1192" s="8" t="s">
        <v>32</v>
      </c>
      <c r="J1192" s="8">
        <v>29406</v>
      </c>
      <c r="K1192" s="8" t="s">
        <v>2216</v>
      </c>
      <c r="L1192" s="8" t="s">
        <v>2239</v>
      </c>
      <c r="M1192" s="8" t="s">
        <v>27</v>
      </c>
      <c r="N1192" s="8" t="s">
        <v>24840</v>
      </c>
      <c r="O1192" s="8" t="s">
        <v>400</v>
      </c>
      <c r="P1192" s="8" t="s">
        <v>401</v>
      </c>
      <c r="Q1192" s="14" t="s">
        <v>24841</v>
      </c>
      <c r="R1192" s="8" t="s">
        <v>29</v>
      </c>
      <c r="S1192" s="8" t="s">
        <v>28</v>
      </c>
      <c r="T1192" s="68" t="s">
        <v>27756</v>
      </c>
      <c r="U1192" s="68" t="s">
        <v>29438</v>
      </c>
      <c r="V1192" s="68" t="s">
        <v>29439</v>
      </c>
      <c r="W1192" s="68" t="s">
        <v>555</v>
      </c>
      <c r="X1192" s="68">
        <v>1679</v>
      </c>
      <c r="Y1192" s="8"/>
      <c r="Z1192" s="8"/>
      <c r="AA1192" s="8"/>
      <c r="AB1192" s="8"/>
      <c r="AC1192" s="8"/>
      <c r="AD1192" s="8"/>
      <c r="AE1192" s="8"/>
      <c r="AF1192" s="8"/>
      <c r="AG1192" s="8"/>
      <c r="AH1192" s="8"/>
      <c r="AI1192" s="8"/>
      <c r="AJ1192" s="8"/>
      <c r="AK1192" s="8"/>
      <c r="AL1192" s="8"/>
      <c r="AU1192" s="11"/>
      <c r="AV1192" s="11"/>
      <c r="AW1192" s="11"/>
      <c r="AX1192" s="1"/>
      <c r="AY1192" s="1"/>
      <c r="BA1192" s="1"/>
      <c r="BB1192" s="1"/>
      <c r="BC1192" s="1"/>
      <c r="BD1192" s="1"/>
      <c r="BE1192" s="1"/>
      <c r="BF1192" s="1"/>
      <c r="BG1192" s="1"/>
      <c r="BH1192" s="1"/>
      <c r="BI1192" s="1"/>
      <c r="BJ1192" s="1"/>
      <c r="BK1192" s="11"/>
    </row>
    <row r="1193" spans="1:63" s="44" customFormat="1" ht="12" customHeight="1" x14ac:dyDescent="0.2">
      <c r="A1193" s="8" t="s">
        <v>24700</v>
      </c>
      <c r="B1193" s="68">
        <v>18</v>
      </c>
      <c r="C1193" s="8" t="s">
        <v>20</v>
      </c>
      <c r="D1193" s="8" t="s">
        <v>48</v>
      </c>
      <c r="E1193" s="14" t="s">
        <v>24817</v>
      </c>
      <c r="F1193" s="69">
        <v>42555</v>
      </c>
      <c r="G1193" s="8" t="s">
        <v>29580</v>
      </c>
      <c r="H1193" s="8" t="s">
        <v>606</v>
      </c>
      <c r="I1193" s="8" t="s">
        <v>45</v>
      </c>
      <c r="J1193" s="8">
        <v>95127</v>
      </c>
      <c r="K1193" s="8" t="s">
        <v>607</v>
      </c>
      <c r="L1193" s="8" t="s">
        <v>727</v>
      </c>
      <c r="M1193" s="8" t="s">
        <v>27</v>
      </c>
      <c r="N1193" s="8" t="s">
        <v>24848</v>
      </c>
      <c r="O1193" s="8" t="s">
        <v>400</v>
      </c>
      <c r="P1193" s="8" t="s">
        <v>401</v>
      </c>
      <c r="Q1193" s="14" t="s">
        <v>24900</v>
      </c>
      <c r="R1193" s="8" t="s">
        <v>555</v>
      </c>
      <c r="S1193" s="8" t="s">
        <v>28</v>
      </c>
      <c r="T1193" s="68" t="s">
        <v>27756</v>
      </c>
      <c r="U1193" s="68" t="s">
        <v>29436</v>
      </c>
      <c r="V1193" s="68" t="s">
        <v>29439</v>
      </c>
      <c r="W1193" s="68" t="s">
        <v>100</v>
      </c>
      <c r="X1193" s="68">
        <v>1681</v>
      </c>
      <c r="Y1193" s="8"/>
      <c r="Z1193" s="8"/>
      <c r="AA1193" s="8"/>
      <c r="AB1193" s="8"/>
      <c r="AC1193" s="8"/>
      <c r="AD1193" s="8"/>
      <c r="AE1193" s="8"/>
      <c r="AF1193" s="8"/>
      <c r="AG1193" s="8"/>
      <c r="AH1193" s="8"/>
      <c r="AI1193" s="8"/>
      <c r="AJ1193" s="8"/>
      <c r="AK1193" s="8"/>
      <c r="AL1193" s="8"/>
      <c r="AW1193" s="70"/>
      <c r="AX1193" s="1"/>
      <c r="AY1193" s="1"/>
      <c r="BA1193" s="11"/>
      <c r="BB1193" s="11"/>
      <c r="BC1193" s="1"/>
      <c r="BD1193" s="1"/>
      <c r="BE1193" s="1"/>
      <c r="BF1193" s="1"/>
      <c r="BG1193" s="1"/>
      <c r="BH1193" s="1"/>
      <c r="BI1193" s="1"/>
      <c r="BJ1193" s="1"/>
      <c r="BK1193" s="11"/>
    </row>
    <row r="1194" spans="1:63" s="44" customFormat="1" ht="12" customHeight="1" x14ac:dyDescent="0.2">
      <c r="A1194" s="8" t="s">
        <v>24704</v>
      </c>
      <c r="B1194" s="68">
        <v>19</v>
      </c>
      <c r="C1194" s="8" t="s">
        <v>20</v>
      </c>
      <c r="D1194" s="8" t="s">
        <v>48</v>
      </c>
      <c r="E1194" s="8"/>
      <c r="F1194" s="69">
        <v>42554</v>
      </c>
      <c r="G1194" s="8" t="s">
        <v>29583</v>
      </c>
      <c r="H1194" s="8" t="s">
        <v>16043</v>
      </c>
      <c r="I1194" s="8" t="s">
        <v>45</v>
      </c>
      <c r="J1194" s="8">
        <v>92833</v>
      </c>
      <c r="K1194" s="8" t="s">
        <v>1061</v>
      </c>
      <c r="L1194" s="8" t="s">
        <v>957</v>
      </c>
      <c r="M1194" s="8" t="s">
        <v>27</v>
      </c>
      <c r="N1194" s="8" t="s">
        <v>24854</v>
      </c>
      <c r="O1194" s="8" t="s">
        <v>400</v>
      </c>
      <c r="P1194" s="8" t="s">
        <v>401</v>
      </c>
      <c r="Q1194" s="14" t="s">
        <v>24906</v>
      </c>
      <c r="R1194" s="8" t="s">
        <v>100</v>
      </c>
      <c r="S1194" s="68" t="s">
        <v>379</v>
      </c>
      <c r="T1194" s="68" t="s">
        <v>379</v>
      </c>
      <c r="U1194" s="68" t="s">
        <v>29436</v>
      </c>
      <c r="V1194" s="68" t="s">
        <v>29437</v>
      </c>
      <c r="W1194" s="68" t="s">
        <v>100</v>
      </c>
      <c r="X1194" s="68">
        <v>1691</v>
      </c>
      <c r="Y1194" s="8"/>
      <c r="Z1194" s="8"/>
      <c r="AA1194" s="8"/>
      <c r="AB1194" s="8"/>
      <c r="AC1194" s="8"/>
      <c r="AD1194" s="8"/>
      <c r="AE1194" s="8"/>
      <c r="AF1194" s="8"/>
      <c r="AG1194" s="8"/>
      <c r="AH1194" s="8"/>
      <c r="AI1194" s="8"/>
      <c r="AJ1194" s="8"/>
      <c r="AK1194" s="8"/>
      <c r="AL1194" s="8"/>
      <c r="AU1194" s="11"/>
      <c r="AV1194" s="11"/>
      <c r="AW1194" s="70"/>
      <c r="AX1194" s="1"/>
      <c r="AY1194" s="1"/>
      <c r="BA1194" s="11"/>
      <c r="BB1194" s="11"/>
      <c r="BC1194" s="1"/>
      <c r="BD1194" s="1"/>
      <c r="BE1194" s="1"/>
      <c r="BF1194" s="1"/>
      <c r="BG1194" s="1"/>
      <c r="BH1194" s="1"/>
      <c r="BI1194" s="1"/>
      <c r="BJ1194" s="1"/>
    </row>
    <row r="1195" spans="1:63" s="44" customFormat="1" ht="12" customHeight="1" x14ac:dyDescent="0.15">
      <c r="A1195" s="8" t="s">
        <v>24703</v>
      </c>
      <c r="B1195" s="8">
        <v>24</v>
      </c>
      <c r="C1195" s="8" t="s">
        <v>20</v>
      </c>
      <c r="D1195" s="8" t="s">
        <v>48</v>
      </c>
      <c r="E1195" s="8"/>
      <c r="F1195" s="69">
        <v>42554</v>
      </c>
      <c r="G1195" s="8" t="s">
        <v>26063</v>
      </c>
      <c r="H1195" s="8" t="s">
        <v>1611</v>
      </c>
      <c r="I1195" s="8" t="s">
        <v>269</v>
      </c>
      <c r="J1195" s="8">
        <v>89501</v>
      </c>
      <c r="K1195" s="8" t="s">
        <v>6245</v>
      </c>
      <c r="L1195" s="8" t="s">
        <v>7469</v>
      </c>
      <c r="M1195" s="8" t="s">
        <v>27</v>
      </c>
      <c r="N1195" s="8" t="s">
        <v>24853</v>
      </c>
      <c r="O1195" s="8" t="s">
        <v>400</v>
      </c>
      <c r="P1195" s="8" t="s">
        <v>401</v>
      </c>
      <c r="Q1195" s="14" t="s">
        <v>24905</v>
      </c>
      <c r="R1195" s="8" t="s">
        <v>29</v>
      </c>
      <c r="S1195" s="68" t="s">
        <v>379</v>
      </c>
      <c r="T1195" s="68" t="s">
        <v>379</v>
      </c>
      <c r="U1195" s="68" t="s">
        <v>29436</v>
      </c>
      <c r="V1195" s="68" t="s">
        <v>29437</v>
      </c>
      <c r="W1195" s="68" t="s">
        <v>100</v>
      </c>
      <c r="X1195" s="68">
        <v>1690</v>
      </c>
      <c r="Y1195" s="8"/>
      <c r="Z1195" s="8"/>
      <c r="AA1195" s="8"/>
      <c r="AB1195" s="8"/>
      <c r="AC1195" s="8"/>
      <c r="AD1195" s="8"/>
      <c r="AE1195" s="8"/>
      <c r="AF1195" s="8"/>
      <c r="AG1195" s="8"/>
      <c r="AH1195" s="8"/>
      <c r="AI1195" s="8"/>
      <c r="AJ1195" s="8"/>
      <c r="AK1195" s="8"/>
      <c r="AL1195" s="8"/>
      <c r="AU1195" s="11"/>
      <c r="AV1195" s="11"/>
      <c r="AW1195" s="1"/>
      <c r="AX1195" s="1"/>
      <c r="AY1195" s="1"/>
      <c r="BA1195" s="1"/>
      <c r="BB1195" s="1"/>
      <c r="BC1195" s="1"/>
      <c r="BD1195" s="1"/>
      <c r="BE1195" s="1"/>
      <c r="BF1195" s="1"/>
      <c r="BG1195" s="1"/>
      <c r="BH1195" s="1"/>
      <c r="BI1195" s="1"/>
      <c r="BJ1195" s="1"/>
    </row>
    <row r="1196" spans="1:63" s="44" customFormat="1" ht="12" customHeight="1" x14ac:dyDescent="0.2">
      <c r="A1196" s="8" t="s">
        <v>24702</v>
      </c>
      <c r="B1196" s="68">
        <v>40</v>
      </c>
      <c r="C1196" s="8" t="s">
        <v>20</v>
      </c>
      <c r="D1196" s="11" t="s">
        <v>37</v>
      </c>
      <c r="E1196" s="8"/>
      <c r="F1196" s="69">
        <v>42554</v>
      </c>
      <c r="G1196" s="8" t="s">
        <v>26062</v>
      </c>
      <c r="H1196" s="8" t="s">
        <v>8614</v>
      </c>
      <c r="I1196" s="8" t="s">
        <v>25</v>
      </c>
      <c r="J1196" s="8">
        <v>70563</v>
      </c>
      <c r="K1196" s="8" t="s">
        <v>8616</v>
      </c>
      <c r="L1196" s="8" t="s">
        <v>8617</v>
      </c>
      <c r="M1196" s="8" t="s">
        <v>27</v>
      </c>
      <c r="N1196" s="8" t="s">
        <v>24852</v>
      </c>
      <c r="O1196" s="8" t="s">
        <v>400</v>
      </c>
      <c r="P1196" s="8" t="s">
        <v>401</v>
      </c>
      <c r="Q1196" s="14" t="s">
        <v>24904</v>
      </c>
      <c r="R1196" s="68" t="s">
        <v>555</v>
      </c>
      <c r="S1196" s="8" t="s">
        <v>28</v>
      </c>
      <c r="T1196" s="68" t="s">
        <v>29493</v>
      </c>
      <c r="U1196" s="68" t="s">
        <v>29436</v>
      </c>
      <c r="V1196" s="68" t="s">
        <v>29439</v>
      </c>
      <c r="W1196" s="68" t="s">
        <v>100</v>
      </c>
      <c r="X1196" s="68">
        <v>1684</v>
      </c>
      <c r="Y1196" s="8"/>
      <c r="Z1196" s="8"/>
      <c r="AA1196" s="8"/>
      <c r="AB1196" s="8"/>
      <c r="AC1196" s="8"/>
      <c r="AD1196" s="8"/>
      <c r="AE1196" s="8"/>
      <c r="AF1196" s="8"/>
      <c r="AG1196" s="8"/>
      <c r="AH1196" s="8"/>
      <c r="AI1196" s="8"/>
      <c r="AJ1196" s="8"/>
      <c r="AK1196" s="8"/>
      <c r="AL1196" s="8"/>
      <c r="AU1196" s="11"/>
      <c r="AV1196" s="11"/>
      <c r="AX1196" s="1"/>
      <c r="AY1196" s="1"/>
      <c r="BA1196" s="70"/>
      <c r="BC1196" s="1"/>
      <c r="BD1196" s="1"/>
      <c r="BE1196" s="1"/>
      <c r="BF1196" s="1"/>
      <c r="BG1196" s="1"/>
      <c r="BH1196" s="1"/>
      <c r="BI1196" s="1"/>
      <c r="BJ1196" s="1"/>
      <c r="BK1196" s="11"/>
    </row>
    <row r="1197" spans="1:63" s="44" customFormat="1" ht="12" customHeight="1" x14ac:dyDescent="0.15">
      <c r="A1197" s="8" t="s">
        <v>26064</v>
      </c>
      <c r="B1197" s="68">
        <v>35</v>
      </c>
      <c r="C1197" s="8" t="s">
        <v>20</v>
      </c>
      <c r="D1197" s="8" t="s">
        <v>85</v>
      </c>
      <c r="E1197" s="14" t="s">
        <v>26065</v>
      </c>
      <c r="F1197" s="69">
        <v>42553</v>
      </c>
      <c r="G1197" s="8" t="s">
        <v>24708</v>
      </c>
      <c r="H1197" s="8" t="s">
        <v>13922</v>
      </c>
      <c r="I1197" s="8" t="s">
        <v>366</v>
      </c>
      <c r="J1197" s="8">
        <v>28806</v>
      </c>
      <c r="K1197" s="8" t="s">
        <v>13784</v>
      </c>
      <c r="L1197" s="8" t="s">
        <v>13924</v>
      </c>
      <c r="M1197" s="8" t="s">
        <v>27</v>
      </c>
      <c r="N1197" s="8" t="s">
        <v>26066</v>
      </c>
      <c r="O1197" s="8" t="s">
        <v>400</v>
      </c>
      <c r="P1197" s="8" t="s">
        <v>401</v>
      </c>
      <c r="Q1197" s="14" t="s">
        <v>26067</v>
      </c>
      <c r="R1197" s="8" t="s">
        <v>100</v>
      </c>
      <c r="S1197" s="8" t="s">
        <v>28</v>
      </c>
      <c r="T1197" s="68" t="s">
        <v>27756</v>
      </c>
      <c r="U1197" s="68" t="s">
        <v>29436</v>
      </c>
      <c r="V1197" s="68" t="s">
        <v>29437</v>
      </c>
      <c r="W1197" s="68" t="s">
        <v>100</v>
      </c>
      <c r="X1197" s="68">
        <v>1682</v>
      </c>
      <c r="AU1197" s="11"/>
      <c r="AV1197" s="11"/>
      <c r="AW1197" s="11"/>
      <c r="AX1197" s="11"/>
      <c r="AY1197" s="11"/>
      <c r="BA1197" s="11"/>
      <c r="BB1197" s="11"/>
      <c r="BC1197" s="11"/>
      <c r="BD1197" s="11"/>
      <c r="BE1197" s="11"/>
      <c r="BF1197" s="11"/>
      <c r="BG1197" s="11"/>
      <c r="BH1197" s="11"/>
      <c r="BI1197" s="11"/>
      <c r="BJ1197" s="11"/>
      <c r="BK1197" s="11"/>
    </row>
    <row r="1198" spans="1:63" s="44" customFormat="1" ht="12" customHeight="1" x14ac:dyDescent="0.15">
      <c r="A1198" s="8" t="s">
        <v>24705</v>
      </c>
      <c r="B1198" s="68">
        <v>50</v>
      </c>
      <c r="C1198" s="8" t="s">
        <v>20</v>
      </c>
      <c r="D1198" s="11" t="s">
        <v>37</v>
      </c>
      <c r="E1198" s="8"/>
      <c r="F1198" s="69">
        <v>42553</v>
      </c>
      <c r="G1198" s="8" t="s">
        <v>24706</v>
      </c>
      <c r="H1198" s="8" t="s">
        <v>6567</v>
      </c>
      <c r="I1198" s="8" t="s">
        <v>319</v>
      </c>
      <c r="J1198" s="8">
        <v>37620</v>
      </c>
      <c r="K1198" s="8" t="s">
        <v>2911</v>
      </c>
      <c r="L1198" s="8" t="s">
        <v>24707</v>
      </c>
      <c r="M1198" s="8" t="s">
        <v>27</v>
      </c>
      <c r="N1198" s="8" t="s">
        <v>24855</v>
      </c>
      <c r="O1198" s="8" t="s">
        <v>400</v>
      </c>
      <c r="P1198" s="8" t="s">
        <v>401</v>
      </c>
      <c r="Q1198" s="14" t="s">
        <v>24907</v>
      </c>
      <c r="R1198" s="8" t="s">
        <v>100</v>
      </c>
      <c r="S1198" s="8" t="s">
        <v>28</v>
      </c>
      <c r="T1198" s="68" t="s">
        <v>27756</v>
      </c>
      <c r="U1198" s="68" t="s">
        <v>29438</v>
      </c>
      <c r="V1198" s="68" t="s">
        <v>29439</v>
      </c>
      <c r="W1198" s="68" t="s">
        <v>100</v>
      </c>
      <c r="X1198" s="68">
        <v>1689</v>
      </c>
      <c r="Y1198" s="8"/>
      <c r="Z1198" s="8"/>
      <c r="AA1198" s="8"/>
      <c r="AB1198" s="8"/>
      <c r="AC1198" s="8"/>
      <c r="AD1198" s="8"/>
      <c r="AE1198" s="8"/>
      <c r="AF1198" s="8"/>
      <c r="AG1198" s="8"/>
      <c r="AH1198" s="8"/>
      <c r="AI1198" s="8"/>
      <c r="AJ1198" s="8"/>
      <c r="AK1198" s="8"/>
      <c r="AL1198" s="8"/>
      <c r="AU1198" s="11"/>
      <c r="AV1198" s="11"/>
      <c r="AW1198" s="1"/>
      <c r="AX1198" s="1"/>
      <c r="AY1198" s="1"/>
      <c r="BA1198" s="11"/>
      <c r="BB1198" s="11"/>
      <c r="BC1198" s="1"/>
      <c r="BD1198" s="1"/>
      <c r="BE1198" s="1"/>
      <c r="BF1198" s="1"/>
      <c r="BG1198" s="1"/>
      <c r="BH1198" s="1"/>
      <c r="BI1198" s="1"/>
      <c r="BJ1198" s="1"/>
      <c r="BK1198" s="11"/>
    </row>
    <row r="1199" spans="1:63" s="44" customFormat="1" ht="12" customHeight="1" x14ac:dyDescent="0.15">
      <c r="A1199" s="8" t="s">
        <v>26068</v>
      </c>
      <c r="B1199" s="8">
        <v>32</v>
      </c>
      <c r="C1199" s="8" t="s">
        <v>20</v>
      </c>
      <c r="D1199" s="8" t="s">
        <v>48</v>
      </c>
      <c r="E1199" s="14" t="s">
        <v>26069</v>
      </c>
      <c r="F1199" s="72">
        <v>42553</v>
      </c>
      <c r="G1199" s="8" t="s">
        <v>26070</v>
      </c>
      <c r="H1199" s="8" t="s">
        <v>1879</v>
      </c>
      <c r="I1199" s="8" t="s">
        <v>45</v>
      </c>
      <c r="J1199" s="8" t="s">
        <v>21880</v>
      </c>
      <c r="K1199" s="8" t="s">
        <v>1061</v>
      </c>
      <c r="L1199" s="8" t="s">
        <v>1881</v>
      </c>
      <c r="M1199" s="1" t="s">
        <v>391</v>
      </c>
      <c r="N1199" s="8" t="s">
        <v>26071</v>
      </c>
      <c r="O1199" s="8" t="s">
        <v>400</v>
      </c>
      <c r="P1199" s="8" t="s">
        <v>401</v>
      </c>
      <c r="Q1199" s="14" t="s">
        <v>26072</v>
      </c>
      <c r="R1199" s="8" t="s">
        <v>29</v>
      </c>
      <c r="S1199" s="8" t="s">
        <v>18</v>
      </c>
      <c r="T1199" s="8"/>
      <c r="AU1199" s="11"/>
      <c r="AV1199" s="11"/>
      <c r="AX1199" s="1"/>
      <c r="AY1199" s="1"/>
      <c r="AZ1199" s="1"/>
      <c r="BA1199" s="1"/>
      <c r="BB1199" s="1"/>
      <c r="BC1199" s="1"/>
      <c r="BD1199" s="1"/>
      <c r="BE1199" s="1"/>
      <c r="BF1199" s="1"/>
      <c r="BG1199" s="1"/>
      <c r="BH1199" s="1"/>
      <c r="BI1199" s="1"/>
      <c r="BJ1199" s="1"/>
      <c r="BK1199" s="1"/>
    </row>
    <row r="1200" spans="1:63" s="44" customFormat="1" ht="12" customHeight="1" x14ac:dyDescent="0.15">
      <c r="A1200" s="8" t="s">
        <v>26080</v>
      </c>
      <c r="B1200" s="68">
        <v>63</v>
      </c>
      <c r="C1200" s="8" t="s">
        <v>20</v>
      </c>
      <c r="D1200" s="11" t="s">
        <v>37</v>
      </c>
      <c r="E1200" s="8"/>
      <c r="F1200" s="69">
        <v>42552</v>
      </c>
      <c r="G1200" s="8" t="s">
        <v>29584</v>
      </c>
      <c r="H1200" s="8" t="s">
        <v>24711</v>
      </c>
      <c r="I1200" s="8" t="s">
        <v>32</v>
      </c>
      <c r="J1200" s="8">
        <v>29356</v>
      </c>
      <c r="K1200" s="8" t="s">
        <v>2863</v>
      </c>
      <c r="L1200" s="8" t="s">
        <v>2993</v>
      </c>
      <c r="M1200" s="8" t="s">
        <v>27</v>
      </c>
      <c r="N1200" s="8" t="s">
        <v>24857</v>
      </c>
      <c r="O1200" s="8" t="s">
        <v>400</v>
      </c>
      <c r="P1200" s="8" t="s">
        <v>401</v>
      </c>
      <c r="Q1200" s="14" t="s">
        <v>24909</v>
      </c>
      <c r="R1200" s="8" t="s">
        <v>100</v>
      </c>
      <c r="S1200" s="2" t="s">
        <v>28</v>
      </c>
      <c r="T1200" s="68" t="s">
        <v>27756</v>
      </c>
      <c r="U1200" s="68" t="s">
        <v>29438</v>
      </c>
      <c r="V1200" s="68" t="s">
        <v>29439</v>
      </c>
      <c r="W1200" s="68" t="s">
        <v>100</v>
      </c>
      <c r="X1200" s="68">
        <v>1686</v>
      </c>
      <c r="Y1200" s="8"/>
      <c r="Z1200" s="8"/>
      <c r="AA1200" s="8"/>
      <c r="AB1200" s="8"/>
      <c r="AC1200" s="8"/>
      <c r="AD1200" s="8"/>
      <c r="AE1200" s="8"/>
      <c r="AF1200" s="8"/>
      <c r="AG1200" s="8"/>
      <c r="AH1200" s="8"/>
      <c r="AI1200" s="8"/>
      <c r="AJ1200" s="8"/>
      <c r="AK1200" s="8"/>
      <c r="AL1200" s="8"/>
      <c r="AU1200" s="11"/>
      <c r="AV1200" s="11"/>
      <c r="AW1200" s="1"/>
      <c r="AX1200" s="1"/>
      <c r="AY1200" s="1"/>
      <c r="BA1200" s="11"/>
      <c r="BB1200" s="11"/>
      <c r="BC1200" s="1"/>
      <c r="BD1200" s="1"/>
      <c r="BE1200" s="1"/>
      <c r="BF1200" s="1"/>
      <c r="BG1200" s="1"/>
      <c r="BH1200" s="1"/>
      <c r="BI1200" s="1"/>
      <c r="BJ1200" s="1"/>
      <c r="BK1200" s="11"/>
    </row>
    <row r="1201" spans="1:63" s="44" customFormat="1" ht="12" customHeight="1" x14ac:dyDescent="0.15">
      <c r="A1201" s="8" t="s">
        <v>24950</v>
      </c>
      <c r="B1201" s="68">
        <v>58</v>
      </c>
      <c r="C1201" s="8" t="s">
        <v>20</v>
      </c>
      <c r="D1201" s="11" t="s">
        <v>37</v>
      </c>
      <c r="E1201" s="8"/>
      <c r="F1201" s="69">
        <v>42552</v>
      </c>
      <c r="G1201" s="8" t="s">
        <v>24951</v>
      </c>
      <c r="H1201" s="8" t="s">
        <v>433</v>
      </c>
      <c r="I1201" s="8" t="s">
        <v>438</v>
      </c>
      <c r="J1201" s="8">
        <v>53037</v>
      </c>
      <c r="K1201" s="8" t="s">
        <v>118</v>
      </c>
      <c r="L1201" s="8" t="s">
        <v>24952</v>
      </c>
      <c r="M1201" s="8" t="s">
        <v>27</v>
      </c>
      <c r="N1201" s="8" t="s">
        <v>24858</v>
      </c>
      <c r="O1201" s="8" t="s">
        <v>400</v>
      </c>
      <c r="P1201" s="8" t="s">
        <v>401</v>
      </c>
      <c r="Q1201" s="14" t="s">
        <v>24910</v>
      </c>
      <c r="R1201" s="8" t="s">
        <v>100</v>
      </c>
      <c r="S1201" s="8" t="s">
        <v>28</v>
      </c>
      <c r="T1201" s="68" t="s">
        <v>29493</v>
      </c>
      <c r="U1201" s="68" t="s">
        <v>29436</v>
      </c>
      <c r="V1201" s="68" t="s">
        <v>29439</v>
      </c>
      <c r="W1201" s="68" t="s">
        <v>100</v>
      </c>
      <c r="X1201" s="68">
        <v>1688</v>
      </c>
      <c r="Y1201" s="8"/>
      <c r="Z1201" s="8"/>
      <c r="AA1201" s="8"/>
      <c r="AB1201" s="8"/>
      <c r="AC1201" s="8"/>
      <c r="AD1201" s="8"/>
      <c r="AE1201" s="8"/>
      <c r="AF1201" s="8"/>
      <c r="AG1201" s="8"/>
      <c r="AH1201" s="8"/>
      <c r="AI1201" s="8"/>
      <c r="AJ1201" s="8"/>
      <c r="AK1201" s="8"/>
      <c r="AL1201" s="8"/>
      <c r="AU1201" s="11"/>
      <c r="AV1201" s="11"/>
      <c r="AW1201" s="1"/>
      <c r="AX1201" s="1"/>
      <c r="AY1201" s="1"/>
      <c r="BA1201" s="11"/>
      <c r="BB1201" s="11"/>
      <c r="BC1201" s="1"/>
      <c r="BD1201" s="1"/>
      <c r="BE1201" s="1"/>
      <c r="BF1201" s="1"/>
      <c r="BG1201" s="1"/>
      <c r="BH1201" s="1"/>
      <c r="BI1201" s="1"/>
      <c r="BJ1201" s="1"/>
      <c r="BK1201" s="11"/>
    </row>
    <row r="1202" spans="1:63" s="44" customFormat="1" ht="12" customHeight="1" x14ac:dyDescent="0.2">
      <c r="A1202" s="8" t="s">
        <v>24709</v>
      </c>
      <c r="B1202" s="68">
        <v>30</v>
      </c>
      <c r="C1202" s="8" t="s">
        <v>20</v>
      </c>
      <c r="D1202" s="11" t="s">
        <v>37</v>
      </c>
      <c r="E1202" s="8"/>
      <c r="F1202" s="69">
        <v>42552</v>
      </c>
      <c r="G1202" s="8" t="s">
        <v>26073</v>
      </c>
      <c r="H1202" s="8" t="s">
        <v>24710</v>
      </c>
      <c r="I1202" s="8" t="s">
        <v>173</v>
      </c>
      <c r="J1202" s="8">
        <v>30120</v>
      </c>
      <c r="K1202" s="8" t="s">
        <v>1117</v>
      </c>
      <c r="L1202" s="8" t="s">
        <v>26074</v>
      </c>
      <c r="M1202" s="68" t="s">
        <v>5411</v>
      </c>
      <c r="N1202" s="8" t="s">
        <v>24856</v>
      </c>
      <c r="O1202" s="8" t="s">
        <v>400</v>
      </c>
      <c r="P1202" s="8" t="s">
        <v>401</v>
      </c>
      <c r="Q1202" s="14" t="s">
        <v>24908</v>
      </c>
      <c r="R1202" s="8" t="s">
        <v>100</v>
      </c>
      <c r="S1202" s="8" t="s">
        <v>28</v>
      </c>
      <c r="T1202" s="68" t="s">
        <v>27756</v>
      </c>
      <c r="U1202" s="68" t="s">
        <v>29438</v>
      </c>
      <c r="V1202" s="68" t="s">
        <v>29439</v>
      </c>
      <c r="W1202" s="68" t="s">
        <v>100</v>
      </c>
      <c r="X1202" s="68">
        <v>1687</v>
      </c>
      <c r="Y1202" s="8"/>
      <c r="Z1202" s="8"/>
      <c r="AA1202" s="8"/>
      <c r="AB1202" s="8"/>
      <c r="AC1202" s="8"/>
      <c r="AD1202" s="8"/>
      <c r="AE1202" s="8"/>
      <c r="AF1202" s="8"/>
      <c r="AG1202" s="8"/>
      <c r="AH1202" s="8"/>
      <c r="AI1202" s="8"/>
      <c r="AJ1202" s="8"/>
      <c r="AK1202" s="8"/>
      <c r="AL1202" s="8"/>
      <c r="AU1202" s="11"/>
      <c r="AV1202" s="11"/>
      <c r="AX1202" s="1"/>
      <c r="AY1202" s="1"/>
      <c r="BA1202" s="11"/>
      <c r="BB1202" s="70"/>
      <c r="BC1202" s="1"/>
      <c r="BD1202" s="1"/>
      <c r="BE1202" s="1"/>
      <c r="BF1202" s="1"/>
      <c r="BG1202" s="1"/>
      <c r="BH1202" s="1"/>
      <c r="BI1202" s="1"/>
      <c r="BJ1202" s="1"/>
      <c r="BK1202" s="1"/>
    </row>
    <row r="1203" spans="1:63" s="44" customFormat="1" ht="12" customHeight="1" x14ac:dyDescent="0.15">
      <c r="A1203" s="8" t="s">
        <v>26079</v>
      </c>
      <c r="B1203" s="8">
        <v>26</v>
      </c>
      <c r="C1203" s="8" t="s">
        <v>20</v>
      </c>
      <c r="D1203" s="11" t="s">
        <v>85</v>
      </c>
      <c r="E1203" s="8" t="s">
        <v>26275</v>
      </c>
      <c r="F1203" s="72">
        <v>42552</v>
      </c>
      <c r="G1203" s="8" t="s">
        <v>26076</v>
      </c>
      <c r="H1203" s="8" t="s">
        <v>87</v>
      </c>
      <c r="I1203" s="8" t="s">
        <v>44</v>
      </c>
      <c r="J1203" s="8" t="s">
        <v>11658</v>
      </c>
      <c r="K1203" s="16" t="s">
        <v>88</v>
      </c>
      <c r="L1203" s="8" t="s">
        <v>89</v>
      </c>
      <c r="M1203" s="8" t="s">
        <v>379</v>
      </c>
      <c r="N1203" s="8" t="s">
        <v>26077</v>
      </c>
      <c r="O1203" s="8" t="s">
        <v>400</v>
      </c>
      <c r="P1203" s="8" t="s">
        <v>401</v>
      </c>
      <c r="Q1203" s="14" t="s">
        <v>26078</v>
      </c>
      <c r="R1203" s="8" t="s">
        <v>100</v>
      </c>
      <c r="S1203" s="8" t="s">
        <v>35</v>
      </c>
      <c r="T1203" s="8"/>
      <c r="AZ1203" s="1"/>
      <c r="BA1203" s="1"/>
      <c r="BB1203" s="1"/>
      <c r="BC1203" s="11"/>
      <c r="BD1203" s="11"/>
      <c r="BE1203" s="11"/>
      <c r="BF1203" s="11"/>
      <c r="BG1203" s="11"/>
      <c r="BH1203" s="11"/>
      <c r="BI1203" s="11"/>
      <c r="BJ1203" s="11"/>
      <c r="BK1203" s="11"/>
    </row>
    <row r="1204" spans="1:63" s="44" customFormat="1" ht="12" customHeight="1" x14ac:dyDescent="0.15">
      <c r="A1204" s="8" t="s">
        <v>26075</v>
      </c>
      <c r="B1204" s="8">
        <v>22</v>
      </c>
      <c r="C1204" s="8" t="s">
        <v>20</v>
      </c>
      <c r="D1204" s="11" t="s">
        <v>85</v>
      </c>
      <c r="E1204" s="8" t="s">
        <v>26274</v>
      </c>
      <c r="F1204" s="72">
        <v>42552</v>
      </c>
      <c r="G1204" s="8" t="s">
        <v>26076</v>
      </c>
      <c r="H1204" s="8" t="s">
        <v>87</v>
      </c>
      <c r="I1204" s="8" t="s">
        <v>44</v>
      </c>
      <c r="J1204" s="8" t="s">
        <v>11658</v>
      </c>
      <c r="K1204" s="16" t="s">
        <v>88</v>
      </c>
      <c r="L1204" s="8" t="s">
        <v>89</v>
      </c>
      <c r="M1204" s="8" t="s">
        <v>379</v>
      </c>
      <c r="N1204" s="8" t="s">
        <v>26077</v>
      </c>
      <c r="O1204" s="8" t="s">
        <v>400</v>
      </c>
      <c r="P1204" s="8" t="s">
        <v>401</v>
      </c>
      <c r="Q1204" s="14" t="s">
        <v>26078</v>
      </c>
      <c r="R1204" s="8" t="s">
        <v>100</v>
      </c>
      <c r="S1204" s="8" t="s">
        <v>35</v>
      </c>
      <c r="T1204" s="8"/>
      <c r="AZ1204" s="1"/>
      <c r="BA1204" s="1"/>
      <c r="BB1204" s="1"/>
      <c r="BC1204" s="11"/>
      <c r="BD1204" s="11"/>
      <c r="BE1204" s="11"/>
      <c r="BF1204" s="11"/>
      <c r="BG1204" s="11"/>
      <c r="BH1204" s="11"/>
      <c r="BI1204" s="11"/>
      <c r="BJ1204" s="11"/>
      <c r="BK1204" s="11"/>
    </row>
    <row r="1205" spans="1:63" s="44" customFormat="1" ht="12" customHeight="1" x14ac:dyDescent="0.2">
      <c r="A1205" s="44" t="s">
        <v>24714</v>
      </c>
      <c r="B1205" s="68">
        <v>25</v>
      </c>
      <c r="C1205" s="44" t="s">
        <v>20</v>
      </c>
      <c r="D1205" s="44" t="s">
        <v>85</v>
      </c>
      <c r="E1205" s="11"/>
      <c r="F1205" s="69">
        <v>42551</v>
      </c>
      <c r="G1205" s="44" t="s">
        <v>24715</v>
      </c>
      <c r="H1205" s="44" t="s">
        <v>1287</v>
      </c>
      <c r="I1205" s="44" t="s">
        <v>69</v>
      </c>
      <c r="J1205" s="11">
        <v>43207</v>
      </c>
      <c r="K1205" s="11" t="s">
        <v>1288</v>
      </c>
      <c r="L1205" s="44" t="s">
        <v>12562</v>
      </c>
      <c r="M1205" s="44" t="s">
        <v>27</v>
      </c>
      <c r="N1205" s="11" t="s">
        <v>24860</v>
      </c>
      <c r="O1205" s="11" t="s">
        <v>400</v>
      </c>
      <c r="P1205" s="11" t="s">
        <v>401</v>
      </c>
      <c r="Q1205" s="71" t="s">
        <v>24912</v>
      </c>
      <c r="R1205" s="11" t="s">
        <v>100</v>
      </c>
      <c r="S1205" s="44" t="s">
        <v>28</v>
      </c>
      <c r="T1205" s="68" t="s">
        <v>27756</v>
      </c>
      <c r="U1205" s="68" t="s">
        <v>29441</v>
      </c>
      <c r="V1205" s="68"/>
      <c r="W1205" s="68" t="s">
        <v>100</v>
      </c>
      <c r="X1205" s="68">
        <v>1676</v>
      </c>
      <c r="AU1205" s="11"/>
      <c r="AV1205" s="11"/>
      <c r="AW1205" s="11"/>
      <c r="BA1205" s="11"/>
      <c r="BB1205" s="11"/>
      <c r="BC1205" s="11"/>
      <c r="BD1205" s="11"/>
      <c r="BE1205" s="11"/>
      <c r="BF1205" s="11"/>
      <c r="BG1205" s="11"/>
      <c r="BH1205" s="11"/>
      <c r="BI1205" s="11"/>
      <c r="BJ1205" s="11"/>
      <c r="BK1205" s="11"/>
    </row>
    <row r="1206" spans="1:63" s="44" customFormat="1" ht="12" customHeight="1" x14ac:dyDescent="0.2">
      <c r="A1206" s="44" t="s">
        <v>24718</v>
      </c>
      <c r="B1206" s="68">
        <v>24</v>
      </c>
      <c r="C1206" s="44" t="s">
        <v>20</v>
      </c>
      <c r="D1206" s="44" t="s">
        <v>37</v>
      </c>
      <c r="E1206" s="71" t="s">
        <v>24820</v>
      </c>
      <c r="F1206" s="69">
        <v>42551</v>
      </c>
      <c r="H1206" s="44" t="s">
        <v>24719</v>
      </c>
      <c r="I1206" s="44" t="s">
        <v>209</v>
      </c>
      <c r="J1206" s="11">
        <v>80820</v>
      </c>
      <c r="K1206" s="11" t="s">
        <v>22122</v>
      </c>
      <c r="L1206" s="44" t="s">
        <v>22271</v>
      </c>
      <c r="M1206" s="44" t="s">
        <v>27</v>
      </c>
      <c r="N1206" s="11" t="s">
        <v>24862</v>
      </c>
      <c r="O1206" s="11" t="s">
        <v>400</v>
      </c>
      <c r="P1206" s="11" t="s">
        <v>401</v>
      </c>
      <c r="Q1206" s="71" t="s">
        <v>24914</v>
      </c>
      <c r="R1206" s="11" t="s">
        <v>100</v>
      </c>
      <c r="S1206" s="44" t="s">
        <v>28</v>
      </c>
      <c r="T1206" s="68" t="s">
        <v>27756</v>
      </c>
      <c r="U1206" s="68" t="s">
        <v>29438</v>
      </c>
      <c r="V1206" s="68" t="s">
        <v>29439</v>
      </c>
      <c r="W1206" s="68" t="s">
        <v>100</v>
      </c>
      <c r="X1206" s="68">
        <v>1677</v>
      </c>
      <c r="AU1206" s="11"/>
      <c r="AV1206" s="11"/>
      <c r="AW1206" s="11"/>
      <c r="AX1206" s="1"/>
      <c r="AY1206" s="1"/>
      <c r="BA1206" s="11"/>
      <c r="BB1206" s="11"/>
      <c r="BC1206" s="1"/>
      <c r="BD1206" s="1"/>
      <c r="BE1206" s="1"/>
      <c r="BF1206" s="1"/>
      <c r="BG1206" s="1"/>
      <c r="BH1206" s="1"/>
      <c r="BI1206" s="1"/>
      <c r="BJ1206" s="1"/>
      <c r="BK1206" s="11"/>
    </row>
    <row r="1207" spans="1:63" s="44" customFormat="1" ht="12" customHeight="1" x14ac:dyDescent="0.2">
      <c r="A1207" s="44" t="s">
        <v>24712</v>
      </c>
      <c r="B1207" s="68">
        <v>44</v>
      </c>
      <c r="C1207" s="44" t="s">
        <v>20</v>
      </c>
      <c r="D1207" s="44" t="s">
        <v>48</v>
      </c>
      <c r="E1207" s="11"/>
      <c r="F1207" s="69">
        <v>42551</v>
      </c>
      <c r="G1207" s="44" t="s">
        <v>24713</v>
      </c>
      <c r="H1207" s="44" t="s">
        <v>938</v>
      </c>
      <c r="I1207" s="44" t="s">
        <v>1083</v>
      </c>
      <c r="J1207" s="11">
        <v>82633</v>
      </c>
      <c r="K1207" s="11" t="s">
        <v>1084</v>
      </c>
      <c r="L1207" s="44" t="s">
        <v>5634</v>
      </c>
      <c r="M1207" s="44" t="s">
        <v>27</v>
      </c>
      <c r="N1207" s="11" t="s">
        <v>24859</v>
      </c>
      <c r="O1207" s="11" t="s">
        <v>400</v>
      </c>
      <c r="P1207" s="11" t="s">
        <v>401</v>
      </c>
      <c r="Q1207" s="71" t="s">
        <v>24911</v>
      </c>
      <c r="R1207" s="11" t="s">
        <v>100</v>
      </c>
      <c r="S1207" s="44" t="s">
        <v>35</v>
      </c>
      <c r="T1207" s="66" t="s">
        <v>29441</v>
      </c>
      <c r="U1207" s="68" t="s">
        <v>29441</v>
      </c>
      <c r="V1207" s="68" t="s">
        <v>29439</v>
      </c>
      <c r="W1207" s="68" t="s">
        <v>100</v>
      </c>
      <c r="X1207" s="68">
        <v>1678</v>
      </c>
      <c r="AU1207" s="11"/>
      <c r="AV1207" s="11"/>
      <c r="AW1207" s="1"/>
      <c r="AX1207" s="1"/>
      <c r="AY1207" s="1"/>
      <c r="BA1207" s="11"/>
      <c r="BB1207" s="11"/>
      <c r="BC1207" s="1"/>
      <c r="BD1207" s="1"/>
      <c r="BE1207" s="1"/>
      <c r="BF1207" s="1"/>
      <c r="BG1207" s="1"/>
      <c r="BH1207" s="1"/>
      <c r="BI1207" s="1"/>
      <c r="BJ1207" s="1"/>
      <c r="BK1207" s="1"/>
    </row>
    <row r="1208" spans="1:63" s="44" customFormat="1" ht="12" customHeight="1" x14ac:dyDescent="0.2">
      <c r="A1208" s="44" t="s">
        <v>24720</v>
      </c>
      <c r="B1208" s="68">
        <v>30</v>
      </c>
      <c r="C1208" s="44" t="s">
        <v>20</v>
      </c>
      <c r="D1208" s="44" t="s">
        <v>37</v>
      </c>
      <c r="E1208" s="71" t="s">
        <v>24821</v>
      </c>
      <c r="F1208" s="69">
        <v>42550</v>
      </c>
      <c r="G1208" s="44" t="s">
        <v>24721</v>
      </c>
      <c r="H1208" s="44" t="s">
        <v>24722</v>
      </c>
      <c r="I1208" s="44" t="s">
        <v>315</v>
      </c>
      <c r="J1208" s="11">
        <v>40935</v>
      </c>
      <c r="K1208" s="11" t="s">
        <v>2681</v>
      </c>
      <c r="L1208" s="44" t="s">
        <v>2682</v>
      </c>
      <c r="M1208" s="44" t="s">
        <v>27</v>
      </c>
      <c r="N1208" s="11" t="s">
        <v>24863</v>
      </c>
      <c r="O1208" s="11" t="s">
        <v>400</v>
      </c>
      <c r="P1208" s="11" t="s">
        <v>401</v>
      </c>
      <c r="Q1208" s="71" t="s">
        <v>24915</v>
      </c>
      <c r="R1208" s="11" t="s">
        <v>964</v>
      </c>
      <c r="S1208" s="44" t="s">
        <v>35</v>
      </c>
      <c r="T1208" s="66" t="s">
        <v>29441</v>
      </c>
      <c r="U1208" s="68" t="s">
        <v>29438</v>
      </c>
      <c r="V1208" s="68" t="s">
        <v>29439</v>
      </c>
      <c r="W1208" s="68" t="s">
        <v>100</v>
      </c>
      <c r="X1208" s="68">
        <v>1672</v>
      </c>
      <c r="AU1208" s="11"/>
      <c r="AV1208" s="11"/>
      <c r="AX1208" s="1"/>
      <c r="AY1208" s="1"/>
      <c r="BC1208" s="1"/>
      <c r="BD1208" s="1"/>
      <c r="BE1208" s="1"/>
      <c r="BF1208" s="1"/>
      <c r="BG1208" s="1"/>
      <c r="BH1208" s="1"/>
      <c r="BI1208" s="1"/>
      <c r="BJ1208" s="1"/>
      <c r="BK1208" s="1"/>
    </row>
    <row r="1209" spans="1:63" s="44" customFormat="1" ht="12" customHeight="1" x14ac:dyDescent="0.2">
      <c r="A1209" s="44" t="s">
        <v>24726</v>
      </c>
      <c r="B1209" s="68">
        <v>37</v>
      </c>
      <c r="C1209" s="44" t="s">
        <v>20</v>
      </c>
      <c r="D1209" s="44" t="s">
        <v>85</v>
      </c>
      <c r="E1209" s="11"/>
      <c r="F1209" s="69">
        <v>42550</v>
      </c>
      <c r="G1209" s="44" t="s">
        <v>24727</v>
      </c>
      <c r="H1209" s="44" t="s">
        <v>8172</v>
      </c>
      <c r="I1209" s="44" t="s">
        <v>370</v>
      </c>
      <c r="J1209" s="11">
        <v>52627</v>
      </c>
      <c r="K1209" s="11" t="s">
        <v>5538</v>
      </c>
      <c r="L1209" s="44" t="s">
        <v>8174</v>
      </c>
      <c r="M1209" s="44" t="s">
        <v>27</v>
      </c>
      <c r="N1209" s="11" t="s">
        <v>24865</v>
      </c>
      <c r="O1209" s="11" t="s">
        <v>400</v>
      </c>
      <c r="P1209" s="11" t="s">
        <v>401</v>
      </c>
      <c r="Q1209" s="71" t="s">
        <v>24917</v>
      </c>
      <c r="R1209" s="11" t="s">
        <v>100</v>
      </c>
      <c r="S1209" s="44" t="s">
        <v>28</v>
      </c>
      <c r="T1209" s="68" t="s">
        <v>27756</v>
      </c>
      <c r="U1209" s="68" t="s">
        <v>29438</v>
      </c>
      <c r="V1209" s="68" t="s">
        <v>29440</v>
      </c>
      <c r="W1209" s="68" t="s">
        <v>100</v>
      </c>
      <c r="X1209" s="68">
        <v>1674</v>
      </c>
      <c r="AU1209" s="11"/>
      <c r="AV1209" s="11"/>
      <c r="BA1209" s="11"/>
      <c r="BB1209" s="11"/>
      <c r="BC1209" s="11"/>
      <c r="BD1209" s="11"/>
      <c r="BE1209" s="11"/>
      <c r="BF1209" s="11"/>
      <c r="BG1209" s="11"/>
      <c r="BH1209" s="11"/>
      <c r="BI1209" s="11"/>
      <c r="BJ1209" s="11"/>
      <c r="BK1209" s="11"/>
    </row>
    <row r="1210" spans="1:63" s="44" customFormat="1" ht="12" customHeight="1" x14ac:dyDescent="0.2">
      <c r="A1210" s="44" t="s">
        <v>24723</v>
      </c>
      <c r="B1210" s="44">
        <v>50</v>
      </c>
      <c r="C1210" s="44" t="s">
        <v>20</v>
      </c>
      <c r="D1210" s="44" t="s">
        <v>85</v>
      </c>
      <c r="E1210" s="71" t="s">
        <v>24822</v>
      </c>
      <c r="F1210" s="69">
        <v>42550</v>
      </c>
      <c r="G1210" s="44" t="s">
        <v>24724</v>
      </c>
      <c r="H1210" s="44" t="s">
        <v>1104</v>
      </c>
      <c r="I1210" s="44" t="s">
        <v>25</v>
      </c>
      <c r="J1210" s="11">
        <v>71202</v>
      </c>
      <c r="K1210" s="11" t="s">
        <v>5647</v>
      </c>
      <c r="L1210" s="44" t="s">
        <v>24725</v>
      </c>
      <c r="M1210" s="44" t="s">
        <v>27</v>
      </c>
      <c r="N1210" s="11" t="s">
        <v>24864</v>
      </c>
      <c r="O1210" s="11" t="s">
        <v>400</v>
      </c>
      <c r="P1210" s="11" t="s">
        <v>401</v>
      </c>
      <c r="Q1210" s="71" t="s">
        <v>24916</v>
      </c>
      <c r="R1210" s="11" t="s">
        <v>100</v>
      </c>
      <c r="S1210" s="2" t="s">
        <v>28</v>
      </c>
      <c r="T1210" s="68" t="s">
        <v>27756</v>
      </c>
      <c r="U1210" s="68" t="s">
        <v>29438</v>
      </c>
      <c r="V1210" s="68" t="s">
        <v>29439</v>
      </c>
      <c r="W1210" s="68" t="s">
        <v>100</v>
      </c>
      <c r="X1210" s="68">
        <v>1673</v>
      </c>
      <c r="AU1210" s="11"/>
      <c r="AV1210" s="11"/>
      <c r="AW1210" s="1"/>
      <c r="BA1210" s="11"/>
      <c r="BB1210" s="11"/>
      <c r="BC1210" s="11"/>
      <c r="BD1210" s="11"/>
      <c r="BE1210" s="11"/>
      <c r="BF1210" s="11"/>
      <c r="BG1210" s="11"/>
      <c r="BH1210" s="11"/>
      <c r="BI1210" s="11"/>
      <c r="BJ1210" s="11"/>
      <c r="BK1210" s="11"/>
    </row>
    <row r="1211" spans="1:63" s="44" customFormat="1" ht="12" customHeight="1" x14ac:dyDescent="0.2">
      <c r="A1211" s="44" t="s">
        <v>24716</v>
      </c>
      <c r="B1211" s="68">
        <v>41</v>
      </c>
      <c r="C1211" s="44" t="s">
        <v>20</v>
      </c>
      <c r="D1211" s="44" t="s">
        <v>37</v>
      </c>
      <c r="E1211" s="11"/>
      <c r="F1211" s="69">
        <v>42550</v>
      </c>
      <c r="G1211" s="44" t="s">
        <v>24717</v>
      </c>
      <c r="H1211" s="44" t="s">
        <v>2160</v>
      </c>
      <c r="I1211" s="44" t="s">
        <v>438</v>
      </c>
      <c r="J1211" s="11">
        <v>53703</v>
      </c>
      <c r="K1211" s="11" t="s">
        <v>9771</v>
      </c>
      <c r="L1211" s="44" t="s">
        <v>3839</v>
      </c>
      <c r="M1211" s="44" t="s">
        <v>27</v>
      </c>
      <c r="N1211" s="11" t="s">
        <v>24861</v>
      </c>
      <c r="O1211" s="11" t="s">
        <v>400</v>
      </c>
      <c r="P1211" s="11" t="s">
        <v>401</v>
      </c>
      <c r="Q1211" s="71" t="s">
        <v>24913</v>
      </c>
      <c r="R1211" s="68" t="s">
        <v>555</v>
      </c>
      <c r="S1211" s="44" t="s">
        <v>28</v>
      </c>
      <c r="T1211" s="68" t="s">
        <v>29468</v>
      </c>
      <c r="U1211" s="68" t="s">
        <v>29436</v>
      </c>
      <c r="V1211" s="68" t="s">
        <v>29439</v>
      </c>
      <c r="W1211" s="68" t="s">
        <v>100</v>
      </c>
      <c r="X1211" s="68">
        <v>1675</v>
      </c>
      <c r="AU1211" s="11"/>
      <c r="AV1211" s="11"/>
      <c r="AW1211" s="1"/>
      <c r="AX1211" s="1"/>
      <c r="AY1211" s="1"/>
      <c r="BB1211" s="11"/>
      <c r="BC1211" s="1"/>
      <c r="BD1211" s="1"/>
      <c r="BE1211" s="1"/>
      <c r="BF1211" s="1"/>
      <c r="BG1211" s="1"/>
      <c r="BH1211" s="1"/>
      <c r="BI1211" s="1"/>
      <c r="BJ1211" s="1"/>
      <c r="BK1211" s="11"/>
    </row>
    <row r="1212" spans="1:63" s="44" customFormat="1" ht="12" customHeight="1" x14ac:dyDescent="0.2">
      <c r="A1212" s="44" t="s">
        <v>24730</v>
      </c>
      <c r="B1212" s="68">
        <v>27</v>
      </c>
      <c r="C1212" s="44" t="s">
        <v>20</v>
      </c>
      <c r="D1212" s="44" t="s">
        <v>21</v>
      </c>
      <c r="E1212" s="71" t="s">
        <v>24823</v>
      </c>
      <c r="F1212" s="69">
        <v>42549</v>
      </c>
      <c r="G1212" s="44" t="s">
        <v>24731</v>
      </c>
      <c r="H1212" s="44" t="s">
        <v>489</v>
      </c>
      <c r="I1212" s="44" t="s">
        <v>45</v>
      </c>
      <c r="J1212" s="11">
        <v>90804</v>
      </c>
      <c r="K1212" s="11" t="s">
        <v>98</v>
      </c>
      <c r="L1212" s="44" t="s">
        <v>29</v>
      </c>
      <c r="M1212" s="44" t="s">
        <v>27</v>
      </c>
      <c r="N1212" s="11" t="s">
        <v>24867</v>
      </c>
      <c r="O1212" s="11" t="s">
        <v>400</v>
      </c>
      <c r="P1212" s="11" t="s">
        <v>401</v>
      </c>
      <c r="Q1212" s="71" t="s">
        <v>24919</v>
      </c>
      <c r="R1212" s="11" t="s">
        <v>29</v>
      </c>
      <c r="S1212" s="44" t="s">
        <v>28</v>
      </c>
      <c r="T1212" s="68" t="s">
        <v>29493</v>
      </c>
      <c r="U1212" s="68" t="s">
        <v>29436</v>
      </c>
      <c r="V1212" s="68" t="s">
        <v>29440</v>
      </c>
      <c r="W1212" s="68" t="s">
        <v>100</v>
      </c>
      <c r="X1212" s="68">
        <v>1670</v>
      </c>
      <c r="AU1212" s="11"/>
      <c r="AV1212" s="11"/>
      <c r="AX1212" s="70"/>
      <c r="AY1212" s="70"/>
      <c r="BA1212" s="1"/>
      <c r="BB1212" s="1"/>
      <c r="BC1212" s="70"/>
      <c r="BD1212" s="70"/>
      <c r="BE1212" s="70"/>
      <c r="BF1212" s="70"/>
      <c r="BG1212" s="70"/>
      <c r="BH1212" s="70"/>
      <c r="BI1212" s="70"/>
      <c r="BJ1212" s="70"/>
      <c r="BK1212" s="11"/>
    </row>
    <row r="1213" spans="1:63" s="44" customFormat="1" ht="12" customHeight="1" x14ac:dyDescent="0.2">
      <c r="A1213" s="44" t="s">
        <v>24728</v>
      </c>
      <c r="B1213" s="68">
        <v>61</v>
      </c>
      <c r="C1213" s="44" t="s">
        <v>20</v>
      </c>
      <c r="D1213" s="68" t="s">
        <v>21</v>
      </c>
      <c r="E1213" s="11"/>
      <c r="F1213" s="69">
        <v>42549</v>
      </c>
      <c r="G1213" s="44" t="s">
        <v>24729</v>
      </c>
      <c r="H1213" s="44" t="s">
        <v>2362</v>
      </c>
      <c r="I1213" s="44" t="s">
        <v>870</v>
      </c>
      <c r="J1213" s="11">
        <v>96814</v>
      </c>
      <c r="K1213" s="11" t="s">
        <v>2362</v>
      </c>
      <c r="L1213" s="44" t="s">
        <v>3582</v>
      </c>
      <c r="M1213" s="44" t="s">
        <v>27</v>
      </c>
      <c r="N1213" s="11" t="s">
        <v>24866</v>
      </c>
      <c r="O1213" s="11" t="s">
        <v>400</v>
      </c>
      <c r="P1213" s="11" t="s">
        <v>401</v>
      </c>
      <c r="Q1213" s="71" t="s">
        <v>24918</v>
      </c>
      <c r="R1213" s="11" t="s">
        <v>555</v>
      </c>
      <c r="S1213" s="44" t="s">
        <v>28</v>
      </c>
      <c r="T1213" s="68" t="s">
        <v>29493</v>
      </c>
      <c r="U1213" s="68" t="s">
        <v>29438</v>
      </c>
      <c r="V1213" s="68" t="s">
        <v>29439</v>
      </c>
      <c r="W1213" s="68" t="s">
        <v>100</v>
      </c>
      <c r="X1213" s="68">
        <v>1671</v>
      </c>
      <c r="AU1213" s="11"/>
      <c r="AV1213" s="11"/>
      <c r="AW1213" s="1"/>
      <c r="AX1213" s="1"/>
      <c r="AY1213" s="1"/>
      <c r="BA1213" s="1"/>
      <c r="BB1213" s="1"/>
      <c r="BC1213" s="70"/>
      <c r="BD1213" s="70"/>
      <c r="BE1213" s="70"/>
      <c r="BF1213" s="70"/>
      <c r="BG1213" s="70"/>
      <c r="BH1213" s="70"/>
      <c r="BI1213" s="70"/>
      <c r="BJ1213" s="70"/>
      <c r="BK1213" s="11"/>
    </row>
    <row r="1214" spans="1:63" s="44" customFormat="1" ht="12" customHeight="1" x14ac:dyDescent="0.2">
      <c r="A1214" s="44" t="s">
        <v>24732</v>
      </c>
      <c r="B1214" s="68">
        <v>32</v>
      </c>
      <c r="C1214" s="44" t="s">
        <v>20</v>
      </c>
      <c r="D1214" s="68" t="s">
        <v>37</v>
      </c>
      <c r="E1214" s="11"/>
      <c r="F1214" s="69">
        <v>42548</v>
      </c>
      <c r="G1214" s="44" t="s">
        <v>24733</v>
      </c>
      <c r="H1214" s="44" t="s">
        <v>24734</v>
      </c>
      <c r="I1214" s="44" t="s">
        <v>173</v>
      </c>
      <c r="J1214" s="11">
        <v>31014</v>
      </c>
      <c r="K1214" s="11" t="s">
        <v>24843</v>
      </c>
      <c r="L1214" s="44" t="s">
        <v>24735</v>
      </c>
      <c r="M1214" s="44" t="s">
        <v>27</v>
      </c>
      <c r="N1214" s="11" t="s">
        <v>24868</v>
      </c>
      <c r="O1214" s="11" t="s">
        <v>400</v>
      </c>
      <c r="P1214" s="11" t="s">
        <v>401</v>
      </c>
      <c r="Q1214" s="71" t="s">
        <v>24920</v>
      </c>
      <c r="R1214" s="11" t="s">
        <v>100</v>
      </c>
      <c r="S1214" s="44" t="s">
        <v>28</v>
      </c>
      <c r="T1214" s="68" t="s">
        <v>27756</v>
      </c>
      <c r="U1214" s="68" t="s">
        <v>29438</v>
      </c>
      <c r="V1214" s="68" t="s">
        <v>29439</v>
      </c>
      <c r="W1214" s="68" t="s">
        <v>100</v>
      </c>
      <c r="X1214" s="68">
        <v>1667</v>
      </c>
      <c r="AU1214" s="11"/>
      <c r="AV1214" s="11"/>
      <c r="AW1214" s="11"/>
      <c r="AX1214" s="1"/>
      <c r="AY1214" s="1"/>
      <c r="BA1214" s="11"/>
      <c r="BB1214" s="11"/>
      <c r="BC1214" s="1"/>
      <c r="BD1214" s="1"/>
      <c r="BE1214" s="1"/>
      <c r="BF1214" s="1"/>
      <c r="BG1214" s="1"/>
      <c r="BH1214" s="1"/>
      <c r="BI1214" s="1"/>
      <c r="BJ1214" s="1"/>
      <c r="BK1214" s="11"/>
    </row>
    <row r="1215" spans="1:63" s="44" customFormat="1" ht="12" customHeight="1" x14ac:dyDescent="0.2">
      <c r="A1215" s="44" t="s">
        <v>24736</v>
      </c>
      <c r="B1215" s="68">
        <v>26</v>
      </c>
      <c r="C1215" s="44" t="s">
        <v>20</v>
      </c>
      <c r="D1215" s="44" t="s">
        <v>37</v>
      </c>
      <c r="E1215" s="71" t="s">
        <v>24824</v>
      </c>
      <c r="F1215" s="69">
        <v>42548</v>
      </c>
      <c r="G1215" s="44" t="s">
        <v>24737</v>
      </c>
      <c r="H1215" s="44" t="s">
        <v>24738</v>
      </c>
      <c r="I1215" s="44" t="s">
        <v>195</v>
      </c>
      <c r="J1215" s="11">
        <v>87026</v>
      </c>
      <c r="K1215" s="11" t="s">
        <v>24844</v>
      </c>
      <c r="L1215" s="44" t="s">
        <v>3085</v>
      </c>
      <c r="M1215" s="44" t="s">
        <v>27</v>
      </c>
      <c r="N1215" s="11" t="s">
        <v>24869</v>
      </c>
      <c r="O1215" s="11" t="s">
        <v>400</v>
      </c>
      <c r="P1215" s="11" t="s">
        <v>401</v>
      </c>
      <c r="Q1215" s="71" t="s">
        <v>24921</v>
      </c>
      <c r="R1215" s="11" t="s">
        <v>100</v>
      </c>
      <c r="S1215" s="44" t="s">
        <v>28</v>
      </c>
      <c r="T1215" s="68" t="s">
        <v>27756</v>
      </c>
      <c r="U1215" s="68" t="s">
        <v>29438</v>
      </c>
      <c r="V1215" s="68" t="s">
        <v>29439</v>
      </c>
      <c r="W1215" s="68" t="s">
        <v>100</v>
      </c>
      <c r="X1215" s="68">
        <v>1668</v>
      </c>
      <c r="AU1215" s="11"/>
      <c r="AV1215" s="11"/>
      <c r="AX1215" s="1"/>
      <c r="AY1215" s="1"/>
      <c r="BA1215" s="11"/>
      <c r="BB1215" s="11"/>
      <c r="BC1215" s="1"/>
      <c r="BD1215" s="1"/>
      <c r="BE1215" s="1"/>
      <c r="BF1215" s="1"/>
      <c r="BG1215" s="1"/>
      <c r="BH1215" s="1"/>
      <c r="BI1215" s="1"/>
      <c r="BJ1215" s="1"/>
      <c r="BK1215" s="11"/>
    </row>
    <row r="1216" spans="1:63" s="44" customFormat="1" ht="12" customHeight="1" x14ac:dyDescent="0.2">
      <c r="A1216" s="11" t="s">
        <v>24953</v>
      </c>
      <c r="B1216" s="11">
        <v>30</v>
      </c>
      <c r="C1216" s="11" t="s">
        <v>20</v>
      </c>
      <c r="D1216" s="11" t="s">
        <v>48</v>
      </c>
      <c r="E1216" s="11"/>
      <c r="F1216" s="72">
        <v>42548</v>
      </c>
      <c r="G1216" s="11" t="s">
        <v>24954</v>
      </c>
      <c r="H1216" s="11" t="s">
        <v>679</v>
      </c>
      <c r="I1216" s="11" t="s">
        <v>45</v>
      </c>
      <c r="J1216" s="11">
        <v>93307</v>
      </c>
      <c r="K1216" s="11" t="s">
        <v>680</v>
      </c>
      <c r="L1216" s="11" t="s">
        <v>681</v>
      </c>
      <c r="M1216" s="11" t="s">
        <v>379</v>
      </c>
      <c r="N1216" s="11" t="s">
        <v>24872</v>
      </c>
      <c r="O1216" s="11" t="s">
        <v>400</v>
      </c>
      <c r="P1216" s="11" t="s">
        <v>401</v>
      </c>
      <c r="Q1216" s="71" t="s">
        <v>24924</v>
      </c>
      <c r="R1216" s="11" t="s">
        <v>100</v>
      </c>
      <c r="S1216" s="44" t="s">
        <v>18</v>
      </c>
      <c r="AX1216" s="1"/>
      <c r="AY1216" s="1"/>
      <c r="AZ1216" s="1"/>
      <c r="BA1216" s="1"/>
      <c r="BB1216" s="1"/>
      <c r="BC1216" s="1"/>
      <c r="BD1216" s="1"/>
      <c r="BE1216" s="1"/>
      <c r="BF1216" s="1"/>
      <c r="BG1216" s="1"/>
      <c r="BH1216" s="1"/>
      <c r="BI1216" s="1"/>
      <c r="BJ1216" s="1"/>
      <c r="BK1216" s="1"/>
    </row>
    <row r="1217" spans="1:63" s="44" customFormat="1" ht="12" customHeight="1" x14ac:dyDescent="0.2">
      <c r="A1217" s="44" t="s">
        <v>24742</v>
      </c>
      <c r="B1217" s="68">
        <v>25</v>
      </c>
      <c r="C1217" s="44" t="s">
        <v>20</v>
      </c>
      <c r="D1217" s="44" t="s">
        <v>37</v>
      </c>
      <c r="E1217" s="71" t="s">
        <v>24825</v>
      </c>
      <c r="F1217" s="69">
        <v>42548</v>
      </c>
      <c r="G1217" s="44" t="s">
        <v>24743</v>
      </c>
      <c r="H1217" s="44" t="s">
        <v>24744</v>
      </c>
      <c r="I1217" s="44" t="s">
        <v>225</v>
      </c>
      <c r="J1217" s="11">
        <v>19946</v>
      </c>
      <c r="K1217" s="11" t="s">
        <v>2534</v>
      </c>
      <c r="L1217" s="44" t="s">
        <v>6039</v>
      </c>
      <c r="M1217" s="44" t="s">
        <v>27</v>
      </c>
      <c r="N1217" s="11" t="s">
        <v>24871</v>
      </c>
      <c r="O1217" s="11" t="s">
        <v>400</v>
      </c>
      <c r="P1217" s="11" t="s">
        <v>401</v>
      </c>
      <c r="Q1217" s="71" t="s">
        <v>24923</v>
      </c>
      <c r="R1217" s="11" t="s">
        <v>100</v>
      </c>
      <c r="S1217" s="44" t="s">
        <v>18</v>
      </c>
      <c r="T1217" s="68" t="s">
        <v>29612</v>
      </c>
      <c r="U1217" s="68" t="s">
        <v>29436</v>
      </c>
      <c r="V1217" s="68" t="s">
        <v>29437</v>
      </c>
      <c r="W1217" s="68" t="s">
        <v>100</v>
      </c>
      <c r="X1217" s="68">
        <v>1669</v>
      </c>
      <c r="AU1217" s="11"/>
      <c r="AV1217" s="11"/>
      <c r="AW1217" s="11"/>
      <c r="AX1217" s="1"/>
      <c r="AY1217" s="1"/>
      <c r="BA1217" s="11"/>
      <c r="BB1217" s="11"/>
      <c r="BC1217" s="1"/>
      <c r="BD1217" s="1"/>
      <c r="BE1217" s="1"/>
      <c r="BF1217" s="1"/>
      <c r="BG1217" s="1"/>
      <c r="BH1217" s="1"/>
      <c r="BI1217" s="1"/>
      <c r="BJ1217" s="1"/>
      <c r="BK1217" s="1"/>
    </row>
    <row r="1218" spans="1:63" s="44" customFormat="1" ht="12" customHeight="1" x14ac:dyDescent="0.2">
      <c r="A1218" s="44" t="s">
        <v>24745</v>
      </c>
      <c r="B1218" s="68">
        <v>63</v>
      </c>
      <c r="C1218" s="44" t="s">
        <v>20</v>
      </c>
      <c r="D1218" s="44" t="s">
        <v>85</v>
      </c>
      <c r="E1218" s="11"/>
      <c r="F1218" s="69">
        <v>42548</v>
      </c>
      <c r="G1218" s="44" t="s">
        <v>24746</v>
      </c>
      <c r="H1218" s="44" t="s">
        <v>118</v>
      </c>
      <c r="I1218" s="44" t="s">
        <v>3664</v>
      </c>
      <c r="J1218" s="11">
        <v>20019</v>
      </c>
      <c r="K1218" s="11" t="s">
        <v>3666</v>
      </c>
      <c r="L1218" s="44" t="s">
        <v>19405</v>
      </c>
      <c r="M1218" s="44" t="s">
        <v>27</v>
      </c>
      <c r="N1218" s="11" t="s">
        <v>24873</v>
      </c>
      <c r="O1218" s="11" t="s">
        <v>400</v>
      </c>
      <c r="P1218" s="11" t="s">
        <v>401</v>
      </c>
      <c r="Q1218" s="71" t="s">
        <v>24925</v>
      </c>
      <c r="R1218" s="68" t="s">
        <v>555</v>
      </c>
      <c r="S1218" s="44" t="s">
        <v>18</v>
      </c>
      <c r="T1218" s="68" t="s">
        <v>29612</v>
      </c>
      <c r="U1218" s="68" t="s">
        <v>29438</v>
      </c>
      <c r="V1218" s="68" t="s">
        <v>29439</v>
      </c>
      <c r="W1218" s="68" t="s">
        <v>555</v>
      </c>
      <c r="X1218" s="68">
        <v>1666</v>
      </c>
      <c r="AU1218" s="11"/>
      <c r="AV1218" s="11"/>
      <c r="AW1218" s="1"/>
      <c r="BB1218" s="11"/>
      <c r="BC1218" s="11"/>
      <c r="BD1218" s="11"/>
      <c r="BE1218" s="11"/>
      <c r="BF1218" s="11"/>
      <c r="BG1218" s="11"/>
      <c r="BH1218" s="11"/>
      <c r="BI1218" s="11"/>
      <c r="BJ1218" s="11"/>
      <c r="BK1218" s="1"/>
    </row>
    <row r="1219" spans="1:63" s="44" customFormat="1" ht="12" customHeight="1" x14ac:dyDescent="0.2">
      <c r="A1219" s="44" t="s">
        <v>24739</v>
      </c>
      <c r="B1219" s="68">
        <v>28</v>
      </c>
      <c r="C1219" s="44" t="s">
        <v>20</v>
      </c>
      <c r="D1219" s="44" t="s">
        <v>37</v>
      </c>
      <c r="E1219" s="11"/>
      <c r="F1219" s="69">
        <v>42548</v>
      </c>
      <c r="G1219" s="44" t="s">
        <v>24740</v>
      </c>
      <c r="H1219" s="44" t="s">
        <v>2853</v>
      </c>
      <c r="I1219" s="44" t="s">
        <v>370</v>
      </c>
      <c r="J1219" s="11">
        <v>50036</v>
      </c>
      <c r="K1219" s="11" t="s">
        <v>2853</v>
      </c>
      <c r="L1219" s="44" t="s">
        <v>24741</v>
      </c>
      <c r="M1219" s="44" t="s">
        <v>27</v>
      </c>
      <c r="N1219" s="11" t="s">
        <v>24870</v>
      </c>
      <c r="O1219" s="11" t="s">
        <v>400</v>
      </c>
      <c r="P1219" s="11" t="s">
        <v>401</v>
      </c>
      <c r="Q1219" s="71" t="s">
        <v>24922</v>
      </c>
      <c r="R1219" s="68" t="s">
        <v>555</v>
      </c>
      <c r="S1219" s="11" t="s">
        <v>18</v>
      </c>
      <c r="T1219" s="68" t="s">
        <v>29612</v>
      </c>
      <c r="U1219" s="68" t="s">
        <v>29438</v>
      </c>
      <c r="V1219" s="68" t="s">
        <v>29439</v>
      </c>
      <c r="W1219" s="68" t="s">
        <v>100</v>
      </c>
      <c r="X1219" s="68">
        <v>1665</v>
      </c>
      <c r="AU1219" s="11"/>
      <c r="AV1219" s="11"/>
      <c r="AX1219" s="1"/>
      <c r="AY1219" s="1"/>
      <c r="BA1219" s="70"/>
      <c r="BC1219" s="1"/>
      <c r="BD1219" s="1"/>
      <c r="BE1219" s="1"/>
      <c r="BF1219" s="1"/>
      <c r="BG1219" s="1"/>
      <c r="BH1219" s="1"/>
      <c r="BI1219" s="1"/>
      <c r="BJ1219" s="1"/>
      <c r="BK1219" s="1"/>
    </row>
    <row r="1220" spans="1:63" s="44" customFormat="1" ht="12" customHeight="1" x14ac:dyDescent="0.2">
      <c r="A1220" s="44" t="s">
        <v>24747</v>
      </c>
      <c r="B1220" s="68">
        <v>30</v>
      </c>
      <c r="C1220" s="44" t="s">
        <v>20</v>
      </c>
      <c r="D1220" s="44" t="s">
        <v>85</v>
      </c>
      <c r="E1220" s="11"/>
      <c r="F1220" s="69">
        <v>42547</v>
      </c>
      <c r="G1220" s="44" t="s">
        <v>24748</v>
      </c>
      <c r="H1220" s="44" t="s">
        <v>8013</v>
      </c>
      <c r="I1220" s="44" t="s">
        <v>44</v>
      </c>
      <c r="J1220" s="11">
        <v>60419</v>
      </c>
      <c r="K1220" s="11" t="s">
        <v>88</v>
      </c>
      <c r="L1220" s="44" t="s">
        <v>24749</v>
      </c>
      <c r="M1220" s="44" t="s">
        <v>27</v>
      </c>
      <c r="N1220" s="11" t="s">
        <v>24875</v>
      </c>
      <c r="O1220" s="11" t="s">
        <v>400</v>
      </c>
      <c r="P1220" s="11" t="s">
        <v>401</v>
      </c>
      <c r="Q1220" s="71" t="s">
        <v>24927</v>
      </c>
      <c r="R1220" s="11" t="s">
        <v>100</v>
      </c>
      <c r="S1220" s="44" t="s">
        <v>28</v>
      </c>
      <c r="T1220" s="68" t="s">
        <v>27756</v>
      </c>
      <c r="U1220" s="68" t="s">
        <v>29438</v>
      </c>
      <c r="V1220" s="68" t="s">
        <v>29439</v>
      </c>
      <c r="W1220" s="68" t="s">
        <v>100</v>
      </c>
      <c r="X1220" s="68">
        <v>1663</v>
      </c>
      <c r="AU1220" s="11"/>
      <c r="AV1220" s="11"/>
      <c r="AW1220" s="11"/>
      <c r="AX1220" s="11"/>
      <c r="AY1220" s="11"/>
      <c r="BA1220" s="11"/>
      <c r="BB1220" s="11"/>
      <c r="BC1220" s="11"/>
      <c r="BD1220" s="11"/>
      <c r="BE1220" s="11"/>
      <c r="BF1220" s="11"/>
      <c r="BG1220" s="11"/>
      <c r="BH1220" s="11"/>
      <c r="BI1220" s="11"/>
      <c r="BJ1220" s="11"/>
      <c r="BK1220" s="11"/>
    </row>
    <row r="1221" spans="1:63" s="44" customFormat="1" ht="12" customHeight="1" x14ac:dyDescent="0.2">
      <c r="A1221" s="44" t="s">
        <v>24750</v>
      </c>
      <c r="B1221" s="68">
        <v>22</v>
      </c>
      <c r="C1221" s="44" t="s">
        <v>20</v>
      </c>
      <c r="D1221" s="44" t="s">
        <v>85</v>
      </c>
      <c r="E1221" s="11"/>
      <c r="F1221" s="69">
        <v>42547</v>
      </c>
      <c r="G1221" s="44" t="s">
        <v>24751</v>
      </c>
      <c r="H1221" s="44" t="s">
        <v>2316</v>
      </c>
      <c r="I1221" s="44" t="s">
        <v>463</v>
      </c>
      <c r="J1221" s="11">
        <v>68521</v>
      </c>
      <c r="K1221" s="11" t="s">
        <v>1492</v>
      </c>
      <c r="L1221" s="44" t="s">
        <v>10291</v>
      </c>
      <c r="M1221" s="44" t="s">
        <v>27</v>
      </c>
      <c r="N1221" s="11" t="s">
        <v>24876</v>
      </c>
      <c r="O1221" s="11" t="s">
        <v>400</v>
      </c>
      <c r="P1221" s="11" t="s">
        <v>401</v>
      </c>
      <c r="Q1221" s="71" t="s">
        <v>24928</v>
      </c>
      <c r="R1221" s="11" t="s">
        <v>100</v>
      </c>
      <c r="S1221" s="44" t="s">
        <v>28</v>
      </c>
      <c r="T1221" s="68" t="s">
        <v>27756</v>
      </c>
      <c r="U1221" s="68" t="s">
        <v>29438</v>
      </c>
      <c r="V1221" s="68" t="s">
        <v>29440</v>
      </c>
      <c r="W1221" s="68" t="s">
        <v>100</v>
      </c>
      <c r="X1221" s="68">
        <v>1659</v>
      </c>
      <c r="AU1221" s="11"/>
      <c r="AV1221" s="11"/>
      <c r="BA1221" s="11"/>
      <c r="BB1221" s="11"/>
      <c r="BC1221" s="11"/>
      <c r="BD1221" s="11"/>
      <c r="BE1221" s="11"/>
      <c r="BF1221" s="11"/>
      <c r="BG1221" s="11"/>
      <c r="BH1221" s="11"/>
      <c r="BI1221" s="11"/>
      <c r="BJ1221" s="11"/>
      <c r="BK1221" s="11"/>
    </row>
    <row r="1222" spans="1:63" s="11" customFormat="1" ht="12" customHeight="1" x14ac:dyDescent="0.2">
      <c r="A1222" s="44" t="s">
        <v>24756</v>
      </c>
      <c r="B1222" s="68">
        <v>27</v>
      </c>
      <c r="C1222" s="44" t="s">
        <v>20</v>
      </c>
      <c r="D1222" s="44" t="s">
        <v>48</v>
      </c>
      <c r="F1222" s="69">
        <v>42547</v>
      </c>
      <c r="G1222" s="44" t="s">
        <v>24757</v>
      </c>
      <c r="H1222" s="44" t="s">
        <v>24758</v>
      </c>
      <c r="I1222" s="44" t="s">
        <v>41</v>
      </c>
      <c r="J1222" s="11">
        <v>6787</v>
      </c>
      <c r="K1222" s="11" t="s">
        <v>24845</v>
      </c>
      <c r="L1222" s="44" t="s">
        <v>24759</v>
      </c>
      <c r="M1222" s="44" t="s">
        <v>27</v>
      </c>
      <c r="N1222" s="11" t="s">
        <v>24874</v>
      </c>
      <c r="O1222" s="11" t="s">
        <v>400</v>
      </c>
      <c r="P1222" s="11" t="s">
        <v>401</v>
      </c>
      <c r="Q1222" s="71" t="s">
        <v>24926</v>
      </c>
      <c r="R1222" s="11" t="s">
        <v>100</v>
      </c>
      <c r="S1222" s="44" t="s">
        <v>28</v>
      </c>
      <c r="T1222" s="68" t="s">
        <v>29493</v>
      </c>
      <c r="U1222" s="68" t="s">
        <v>29436</v>
      </c>
      <c r="V1222" s="68" t="s">
        <v>29439</v>
      </c>
      <c r="W1222" s="68" t="s">
        <v>100</v>
      </c>
      <c r="X1222" s="68">
        <v>1656</v>
      </c>
      <c r="Y1222" s="44"/>
      <c r="Z1222" s="44"/>
      <c r="AA1222" s="44"/>
      <c r="AB1222" s="44"/>
      <c r="AC1222" s="44"/>
      <c r="AD1222" s="44"/>
      <c r="AE1222" s="44"/>
      <c r="AF1222" s="44"/>
      <c r="AG1222" s="44"/>
      <c r="AH1222" s="44"/>
      <c r="AI1222" s="44"/>
      <c r="AJ1222" s="44"/>
      <c r="AK1222" s="44"/>
      <c r="AL1222" s="44"/>
      <c r="AM1222" s="44"/>
      <c r="AN1222" s="44"/>
      <c r="AO1222" s="44"/>
      <c r="AP1222" s="44"/>
      <c r="AQ1222" s="44"/>
      <c r="AR1222" s="44"/>
      <c r="AS1222" s="44"/>
      <c r="AT1222" s="44"/>
      <c r="AW1222" s="44"/>
      <c r="AX1222" s="1"/>
      <c r="AY1222" s="1"/>
      <c r="AZ1222" s="44"/>
      <c r="BC1222" s="1"/>
      <c r="BD1222" s="1"/>
      <c r="BE1222" s="1"/>
      <c r="BF1222" s="1"/>
      <c r="BG1222" s="1"/>
      <c r="BH1222" s="1"/>
      <c r="BI1222" s="1"/>
      <c r="BJ1222" s="1"/>
    </row>
    <row r="1223" spans="1:63" s="11" customFormat="1" ht="12" customHeight="1" x14ac:dyDescent="0.2">
      <c r="A1223" s="44" t="s">
        <v>24752</v>
      </c>
      <c r="B1223" s="68">
        <v>51</v>
      </c>
      <c r="C1223" s="44" t="s">
        <v>20</v>
      </c>
      <c r="D1223" s="44" t="s">
        <v>37</v>
      </c>
      <c r="F1223" s="69">
        <v>42547</v>
      </c>
      <c r="G1223" s="44" t="s">
        <v>24753</v>
      </c>
      <c r="H1223" s="44" t="s">
        <v>24754</v>
      </c>
      <c r="I1223" s="44" t="s">
        <v>57</v>
      </c>
      <c r="J1223" s="11">
        <v>49234</v>
      </c>
      <c r="K1223" s="11" t="s">
        <v>433</v>
      </c>
      <c r="L1223" s="44" t="s">
        <v>24755</v>
      </c>
      <c r="M1223" s="44" t="s">
        <v>27</v>
      </c>
      <c r="N1223" s="11" t="s">
        <v>24877</v>
      </c>
      <c r="O1223" s="11" t="s">
        <v>400</v>
      </c>
      <c r="P1223" s="11" t="s">
        <v>401</v>
      </c>
      <c r="Q1223" s="71" t="s">
        <v>24929</v>
      </c>
      <c r="R1223" s="68" t="s">
        <v>555</v>
      </c>
      <c r="S1223" s="44" t="s">
        <v>28</v>
      </c>
      <c r="T1223" s="68" t="s">
        <v>29446</v>
      </c>
      <c r="U1223" s="68" t="s">
        <v>29438</v>
      </c>
      <c r="V1223" s="68" t="s">
        <v>29439</v>
      </c>
      <c r="W1223" s="68" t="s">
        <v>100</v>
      </c>
      <c r="X1223" s="68">
        <v>1655</v>
      </c>
      <c r="Y1223" s="44"/>
      <c r="Z1223" s="44"/>
      <c r="AA1223" s="44"/>
      <c r="AB1223" s="44"/>
      <c r="AC1223" s="44"/>
      <c r="AD1223" s="44"/>
      <c r="AE1223" s="44"/>
      <c r="AF1223" s="44"/>
      <c r="AG1223" s="44"/>
      <c r="AH1223" s="44"/>
      <c r="AI1223" s="44"/>
      <c r="AJ1223" s="44"/>
      <c r="AK1223" s="44"/>
      <c r="AL1223" s="44"/>
      <c r="AM1223" s="44"/>
      <c r="AN1223" s="44"/>
      <c r="AO1223" s="44"/>
      <c r="AP1223" s="44"/>
      <c r="AQ1223" s="44"/>
      <c r="AR1223" s="44"/>
      <c r="AS1223" s="44"/>
      <c r="AT1223" s="44"/>
      <c r="AW1223" s="1"/>
      <c r="AX1223" s="1"/>
      <c r="AY1223" s="1"/>
      <c r="AZ1223" s="44"/>
      <c r="BA1223" s="70"/>
      <c r="BB1223" s="44"/>
      <c r="BC1223" s="1"/>
      <c r="BD1223" s="1"/>
      <c r="BE1223" s="1"/>
      <c r="BF1223" s="1"/>
      <c r="BG1223" s="1"/>
      <c r="BH1223" s="1"/>
      <c r="BI1223" s="1"/>
      <c r="BJ1223" s="1"/>
    </row>
    <row r="1224" spans="1:63" s="11" customFormat="1" ht="12" customHeight="1" x14ac:dyDescent="0.2">
      <c r="A1224" s="44" t="s">
        <v>24761</v>
      </c>
      <c r="B1224" s="68">
        <v>59</v>
      </c>
      <c r="C1224" s="44" t="s">
        <v>20</v>
      </c>
      <c r="D1224" s="44" t="s">
        <v>37</v>
      </c>
      <c r="F1224" s="69">
        <v>42546</v>
      </c>
      <c r="G1224" s="44" t="s">
        <v>24762</v>
      </c>
      <c r="H1224" s="44" t="s">
        <v>24763</v>
      </c>
      <c r="I1224" s="44" t="s">
        <v>62</v>
      </c>
      <c r="J1224" s="11">
        <v>33782</v>
      </c>
      <c r="K1224" s="11" t="s">
        <v>2309</v>
      </c>
      <c r="L1224" s="44" t="s">
        <v>24764</v>
      </c>
      <c r="M1224" s="44" t="s">
        <v>27</v>
      </c>
      <c r="N1224" s="11" t="s">
        <v>24879</v>
      </c>
      <c r="O1224" s="11" t="s">
        <v>400</v>
      </c>
      <c r="P1224" s="11" t="s">
        <v>401</v>
      </c>
      <c r="Q1224" s="71" t="s">
        <v>24931</v>
      </c>
      <c r="R1224" s="11" t="s">
        <v>964</v>
      </c>
      <c r="S1224" s="44" t="s">
        <v>28</v>
      </c>
      <c r="T1224" s="68" t="s">
        <v>27756</v>
      </c>
      <c r="U1224" s="68" t="s">
        <v>29438</v>
      </c>
      <c r="V1224" s="68" t="s">
        <v>29439</v>
      </c>
      <c r="W1224" s="68" t="s">
        <v>100</v>
      </c>
      <c r="X1224" s="68">
        <v>1654</v>
      </c>
      <c r="Y1224" s="44"/>
      <c r="Z1224" s="44"/>
      <c r="AA1224" s="44"/>
      <c r="AB1224" s="44"/>
      <c r="AC1224" s="44"/>
      <c r="AD1224" s="44"/>
      <c r="AE1224" s="44"/>
      <c r="AF1224" s="44"/>
      <c r="AG1224" s="44"/>
      <c r="AH1224" s="44"/>
      <c r="AI1224" s="44"/>
      <c r="AJ1224" s="44"/>
      <c r="AK1224" s="44"/>
      <c r="AL1224" s="44"/>
      <c r="AM1224" s="44"/>
      <c r="AN1224" s="44"/>
      <c r="AO1224" s="44"/>
      <c r="AP1224" s="44"/>
      <c r="AQ1224" s="44"/>
      <c r="AR1224" s="44"/>
      <c r="AS1224" s="44"/>
      <c r="AT1224" s="44"/>
      <c r="AW1224" s="1"/>
      <c r="AX1224" s="1"/>
      <c r="AY1224" s="1"/>
      <c r="AZ1224" s="44"/>
      <c r="BA1224" s="44"/>
      <c r="BB1224" s="44"/>
      <c r="BC1224" s="1"/>
      <c r="BD1224" s="1"/>
      <c r="BE1224" s="1"/>
      <c r="BF1224" s="1"/>
      <c r="BG1224" s="1"/>
      <c r="BH1224" s="1"/>
      <c r="BI1224" s="1"/>
      <c r="BJ1224" s="1"/>
    </row>
    <row r="1225" spans="1:63" s="11" customFormat="1" ht="12" customHeight="1" x14ac:dyDescent="0.15">
      <c r="A1225" s="66" t="s">
        <v>29596</v>
      </c>
      <c r="B1225" s="66" t="s">
        <v>29</v>
      </c>
      <c r="C1225" s="66" t="s">
        <v>20</v>
      </c>
      <c r="D1225" s="66" t="s">
        <v>30</v>
      </c>
      <c r="E1225" s="66"/>
      <c r="F1225" s="67">
        <v>42546</v>
      </c>
      <c r="G1225" s="67"/>
      <c r="H1225" s="66" t="s">
        <v>18382</v>
      </c>
      <c r="I1225" s="66" t="s">
        <v>123</v>
      </c>
      <c r="J1225" s="66"/>
      <c r="K1225" s="66"/>
      <c r="L1225" s="66"/>
      <c r="M1225" s="66" t="s">
        <v>27</v>
      </c>
      <c r="N1225" s="66"/>
      <c r="O1225" s="66" t="s">
        <v>400</v>
      </c>
      <c r="P1225" s="66" t="s">
        <v>401</v>
      </c>
      <c r="Q1225" s="66"/>
      <c r="R1225" s="66" t="s">
        <v>100</v>
      </c>
      <c r="S1225" s="66" t="s">
        <v>28</v>
      </c>
      <c r="T1225" s="66" t="s">
        <v>27756</v>
      </c>
      <c r="U1225" s="66" t="s">
        <v>29438</v>
      </c>
      <c r="V1225" s="66" t="s">
        <v>29439</v>
      </c>
      <c r="W1225" s="66" t="s">
        <v>100</v>
      </c>
      <c r="X1225" s="66">
        <v>1664</v>
      </c>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1"/>
      <c r="BD1225" s="1"/>
      <c r="BE1225" s="1"/>
      <c r="BF1225" s="1"/>
      <c r="BG1225" s="1"/>
      <c r="BH1225" s="1"/>
      <c r="BI1225" s="1"/>
      <c r="BJ1225" s="1"/>
    </row>
    <row r="1226" spans="1:63" s="11" customFormat="1" ht="12" customHeight="1" x14ac:dyDescent="0.2">
      <c r="A1226" s="44" t="s">
        <v>24760</v>
      </c>
      <c r="B1226" s="68">
        <v>36</v>
      </c>
      <c r="C1226" s="44" t="s">
        <v>20</v>
      </c>
      <c r="D1226" s="44" t="s">
        <v>48</v>
      </c>
      <c r="E1226" s="71" t="s">
        <v>24826</v>
      </c>
      <c r="F1226" s="69">
        <v>42546</v>
      </c>
      <c r="G1226" s="44"/>
      <c r="H1226" s="44" t="s">
        <v>11351</v>
      </c>
      <c r="I1226" s="44" t="s">
        <v>173</v>
      </c>
      <c r="J1226" s="11">
        <v>30501</v>
      </c>
      <c r="K1226" s="11" t="s">
        <v>20918</v>
      </c>
      <c r="L1226" s="44" t="s">
        <v>19821</v>
      </c>
      <c r="M1226" s="68" t="s">
        <v>5411</v>
      </c>
      <c r="N1226" s="11" t="s">
        <v>24878</v>
      </c>
      <c r="O1226" s="11" t="s">
        <v>400</v>
      </c>
      <c r="P1226" s="11" t="s">
        <v>401</v>
      </c>
      <c r="Q1226" s="71" t="s">
        <v>24930</v>
      </c>
      <c r="R1226" s="11" t="s">
        <v>100</v>
      </c>
      <c r="S1226" s="44" t="s">
        <v>18</v>
      </c>
      <c r="T1226" s="68" t="s">
        <v>28345</v>
      </c>
      <c r="U1226" s="68" t="s">
        <v>29438</v>
      </c>
      <c r="V1226" s="68" t="s">
        <v>21212</v>
      </c>
      <c r="W1226" s="68" t="s">
        <v>100</v>
      </c>
      <c r="X1226" s="68">
        <v>1661</v>
      </c>
      <c r="Y1226" s="44"/>
      <c r="Z1226" s="44"/>
      <c r="AA1226" s="44"/>
      <c r="AB1226" s="44"/>
      <c r="AC1226" s="44"/>
      <c r="AD1226" s="44"/>
      <c r="AE1226" s="44"/>
      <c r="AF1226" s="44"/>
      <c r="AG1226" s="44"/>
      <c r="AH1226" s="44"/>
      <c r="AI1226" s="44"/>
      <c r="AJ1226" s="44"/>
      <c r="AK1226" s="44"/>
      <c r="AL1226" s="44"/>
      <c r="AM1226" s="44"/>
      <c r="AN1226" s="44"/>
      <c r="AO1226" s="44"/>
      <c r="AP1226" s="44"/>
      <c r="AQ1226" s="44"/>
      <c r="AR1226" s="44"/>
      <c r="AS1226" s="44"/>
      <c r="AT1226" s="44"/>
      <c r="AX1226" s="1"/>
      <c r="AY1226" s="1"/>
      <c r="AZ1226" s="44"/>
      <c r="BB1226" s="70"/>
      <c r="BC1226" s="1"/>
      <c r="BD1226" s="1"/>
      <c r="BE1226" s="1"/>
      <c r="BF1226" s="1"/>
      <c r="BG1226" s="1"/>
      <c r="BH1226" s="1"/>
      <c r="BI1226" s="1"/>
      <c r="BJ1226" s="1"/>
      <c r="BK1226" s="1"/>
    </row>
    <row r="1227" spans="1:63" s="11" customFormat="1" ht="12" customHeight="1" x14ac:dyDescent="0.2">
      <c r="A1227" s="44" t="s">
        <v>24765</v>
      </c>
      <c r="B1227" s="68">
        <v>19</v>
      </c>
      <c r="C1227" s="44" t="s">
        <v>20</v>
      </c>
      <c r="D1227" s="44" t="s">
        <v>48</v>
      </c>
      <c r="E1227" s="71" t="s">
        <v>24827</v>
      </c>
      <c r="F1227" s="69">
        <v>42546</v>
      </c>
      <c r="G1227" s="44" t="s">
        <v>24766</v>
      </c>
      <c r="H1227" s="44" t="s">
        <v>200</v>
      </c>
      <c r="I1227" s="44" t="s">
        <v>45</v>
      </c>
      <c r="J1227" s="11">
        <v>93727</v>
      </c>
      <c r="K1227" s="11" t="s">
        <v>200</v>
      </c>
      <c r="L1227" s="44" t="s">
        <v>201</v>
      </c>
      <c r="M1227" s="44" t="s">
        <v>27</v>
      </c>
      <c r="N1227" s="11" t="s">
        <v>24880</v>
      </c>
      <c r="O1227" s="11" t="s">
        <v>400</v>
      </c>
      <c r="P1227" s="11" t="s">
        <v>401</v>
      </c>
      <c r="Q1227" s="71" t="s">
        <v>24932</v>
      </c>
      <c r="R1227" s="68" t="s">
        <v>555</v>
      </c>
      <c r="S1227" s="44" t="s">
        <v>18</v>
      </c>
      <c r="T1227" s="68" t="s">
        <v>28345</v>
      </c>
      <c r="U1227" s="68" t="s">
        <v>29436</v>
      </c>
      <c r="V1227" s="68" t="s">
        <v>29437</v>
      </c>
      <c r="W1227" s="68" t="s">
        <v>555</v>
      </c>
      <c r="X1227" s="68">
        <v>1653</v>
      </c>
      <c r="Y1227" s="44"/>
      <c r="Z1227" s="44"/>
      <c r="AA1227" s="44"/>
      <c r="AB1227" s="44"/>
      <c r="AC1227" s="44"/>
      <c r="AD1227" s="44"/>
      <c r="AE1227" s="44"/>
      <c r="AF1227" s="44"/>
      <c r="AG1227" s="44"/>
      <c r="AH1227" s="44"/>
      <c r="AI1227" s="44"/>
      <c r="AJ1227" s="44"/>
      <c r="AK1227" s="44"/>
      <c r="AL1227" s="44"/>
      <c r="AM1227" s="44"/>
      <c r="AN1227" s="44"/>
      <c r="AO1227" s="44"/>
      <c r="AP1227" s="44"/>
      <c r="AQ1227" s="44"/>
      <c r="AR1227" s="44"/>
      <c r="AS1227" s="44"/>
      <c r="AT1227" s="44"/>
      <c r="AW1227" s="70"/>
      <c r="AX1227" s="1"/>
      <c r="AY1227" s="1"/>
      <c r="AZ1227" s="44"/>
      <c r="BA1227" s="70"/>
      <c r="BB1227" s="44"/>
      <c r="BC1227" s="1"/>
      <c r="BD1227" s="1"/>
      <c r="BE1227" s="1"/>
      <c r="BF1227" s="1"/>
      <c r="BG1227" s="1"/>
      <c r="BH1227" s="1"/>
      <c r="BI1227" s="1"/>
      <c r="BJ1227" s="1"/>
      <c r="BK1227" s="1"/>
    </row>
    <row r="1228" spans="1:63" s="11" customFormat="1" ht="12" customHeight="1" x14ac:dyDescent="0.2">
      <c r="A1228" s="44" t="s">
        <v>24767</v>
      </c>
      <c r="B1228" s="68">
        <v>36</v>
      </c>
      <c r="C1228" s="44" t="s">
        <v>20</v>
      </c>
      <c r="D1228" s="44" t="s">
        <v>85</v>
      </c>
      <c r="E1228" s="71" t="s">
        <v>24828</v>
      </c>
      <c r="F1228" s="69">
        <v>42545</v>
      </c>
      <c r="G1228" s="44" t="s">
        <v>24768</v>
      </c>
      <c r="H1228" s="44" t="s">
        <v>12180</v>
      </c>
      <c r="I1228" s="44" t="s">
        <v>81</v>
      </c>
      <c r="J1228" s="11">
        <v>7501</v>
      </c>
      <c r="K1228" s="11" t="s">
        <v>9477</v>
      </c>
      <c r="L1228" s="44" t="s">
        <v>12182</v>
      </c>
      <c r="M1228" s="44" t="s">
        <v>27</v>
      </c>
      <c r="N1228" s="11" t="s">
        <v>24881</v>
      </c>
      <c r="O1228" s="11" t="s">
        <v>400</v>
      </c>
      <c r="P1228" s="11" t="s">
        <v>401</v>
      </c>
      <c r="Q1228" s="71" t="s">
        <v>24933</v>
      </c>
      <c r="R1228" s="11" t="s">
        <v>100</v>
      </c>
      <c r="S1228" s="44" t="s">
        <v>28</v>
      </c>
      <c r="T1228" s="68" t="s">
        <v>27756</v>
      </c>
      <c r="U1228" s="68" t="s">
        <v>29438</v>
      </c>
      <c r="V1228" s="68" t="s">
        <v>29439</v>
      </c>
      <c r="W1228" s="68" t="s">
        <v>100</v>
      </c>
      <c r="X1228" s="68">
        <v>1650</v>
      </c>
      <c r="Y1228" s="44"/>
      <c r="Z1228" s="44"/>
      <c r="AA1228" s="44"/>
      <c r="AB1228" s="44"/>
      <c r="AC1228" s="44"/>
      <c r="AD1228" s="44"/>
      <c r="AE1228" s="44"/>
      <c r="AF1228" s="44"/>
      <c r="AG1228" s="44"/>
      <c r="AH1228" s="44"/>
      <c r="AI1228" s="44"/>
      <c r="AJ1228" s="44"/>
      <c r="AK1228" s="44"/>
      <c r="AL1228" s="44"/>
      <c r="AM1228" s="44"/>
      <c r="AN1228" s="44"/>
      <c r="AO1228" s="44"/>
      <c r="AP1228" s="44"/>
      <c r="AQ1228" s="44"/>
      <c r="AR1228" s="44"/>
      <c r="AS1228" s="44"/>
      <c r="AT1228" s="44"/>
      <c r="AZ1228" s="44"/>
    </row>
    <row r="1229" spans="1:63" s="11" customFormat="1" ht="12" customHeight="1" x14ac:dyDescent="0.15">
      <c r="A1229" s="66" t="s">
        <v>29595</v>
      </c>
      <c r="B1229" s="66">
        <v>26</v>
      </c>
      <c r="C1229" s="66" t="s">
        <v>20</v>
      </c>
      <c r="D1229" s="66" t="s">
        <v>48</v>
      </c>
      <c r="E1229" s="66"/>
      <c r="F1229" s="67">
        <v>42545</v>
      </c>
      <c r="G1229" s="67"/>
      <c r="H1229" s="66" t="s">
        <v>26356</v>
      </c>
      <c r="I1229" s="66" t="s">
        <v>62</v>
      </c>
      <c r="J1229" s="66"/>
      <c r="K1229" s="66"/>
      <c r="L1229" s="66"/>
      <c r="M1229" s="66" t="s">
        <v>27</v>
      </c>
      <c r="N1229" s="66"/>
      <c r="O1229" s="66" t="s">
        <v>400</v>
      </c>
      <c r="P1229" s="66" t="s">
        <v>401</v>
      </c>
      <c r="Q1229" s="66"/>
      <c r="R1229" s="66" t="s">
        <v>100</v>
      </c>
      <c r="S1229" s="66" t="s">
        <v>28</v>
      </c>
      <c r="T1229" s="66" t="s">
        <v>27756</v>
      </c>
      <c r="U1229" s="66" t="s">
        <v>29438</v>
      </c>
      <c r="V1229" s="66" t="s">
        <v>29439</v>
      </c>
      <c r="W1229" s="66" t="s">
        <v>100</v>
      </c>
      <c r="X1229" s="66">
        <v>1728</v>
      </c>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1"/>
      <c r="BD1229" s="1"/>
      <c r="BE1229" s="1"/>
      <c r="BF1229" s="1"/>
      <c r="BG1229" s="1"/>
      <c r="BH1229" s="1"/>
      <c r="BI1229" s="1"/>
      <c r="BJ1229" s="1"/>
    </row>
    <row r="1230" spans="1:63" s="11" customFormat="1" ht="12" customHeight="1" x14ac:dyDescent="0.2">
      <c r="A1230" s="44" t="s">
        <v>24776</v>
      </c>
      <c r="B1230" s="68">
        <v>50</v>
      </c>
      <c r="C1230" s="44" t="s">
        <v>20</v>
      </c>
      <c r="D1230" s="44" t="s">
        <v>37</v>
      </c>
      <c r="F1230" s="69">
        <v>42545</v>
      </c>
      <c r="G1230" s="44" t="s">
        <v>24777</v>
      </c>
      <c r="H1230" s="44" t="s">
        <v>12547</v>
      </c>
      <c r="I1230" s="44" t="s">
        <v>978</v>
      </c>
      <c r="J1230" s="11">
        <v>72730</v>
      </c>
      <c r="K1230" s="11" t="s">
        <v>118</v>
      </c>
      <c r="L1230" s="44" t="s">
        <v>119</v>
      </c>
      <c r="M1230" s="44" t="s">
        <v>27</v>
      </c>
      <c r="N1230" s="11" t="s">
        <v>24885</v>
      </c>
      <c r="O1230" s="11" t="s">
        <v>400</v>
      </c>
      <c r="P1230" s="11" t="s">
        <v>401</v>
      </c>
      <c r="Q1230" s="71" t="s">
        <v>24937</v>
      </c>
      <c r="R1230" s="11" t="s">
        <v>29</v>
      </c>
      <c r="S1230" s="44" t="s">
        <v>28</v>
      </c>
      <c r="T1230" s="68" t="s">
        <v>27756</v>
      </c>
      <c r="U1230" s="68" t="s">
        <v>29438</v>
      </c>
      <c r="V1230" s="68" t="s">
        <v>29439</v>
      </c>
      <c r="W1230" s="68" t="s">
        <v>100</v>
      </c>
      <c r="X1230" s="68">
        <v>1657</v>
      </c>
      <c r="Y1230" s="44"/>
      <c r="Z1230" s="44"/>
      <c r="AA1230" s="44"/>
      <c r="AB1230" s="44"/>
      <c r="AC1230" s="44"/>
      <c r="AD1230" s="44"/>
      <c r="AE1230" s="44"/>
      <c r="AF1230" s="44"/>
      <c r="AG1230" s="44"/>
      <c r="AH1230" s="44"/>
      <c r="AI1230" s="44"/>
      <c r="AJ1230" s="44"/>
      <c r="AK1230" s="44"/>
      <c r="AL1230" s="44"/>
      <c r="AM1230" s="44"/>
      <c r="AN1230" s="44"/>
      <c r="AO1230" s="44"/>
      <c r="AP1230" s="44"/>
      <c r="AQ1230" s="44"/>
      <c r="AR1230" s="44"/>
      <c r="AS1230" s="44"/>
      <c r="AT1230" s="44"/>
      <c r="AW1230" s="1"/>
      <c r="AX1230" s="1"/>
      <c r="AY1230" s="1"/>
      <c r="AZ1230" s="44"/>
      <c r="BA1230" s="1"/>
      <c r="BB1230" s="1"/>
      <c r="BC1230" s="1"/>
      <c r="BD1230" s="1"/>
      <c r="BE1230" s="1"/>
      <c r="BF1230" s="1"/>
      <c r="BG1230" s="1"/>
      <c r="BH1230" s="1"/>
      <c r="BI1230" s="1"/>
      <c r="BJ1230" s="1"/>
    </row>
    <row r="1231" spans="1:63" s="11" customFormat="1" ht="12" customHeight="1" x14ac:dyDescent="0.2">
      <c r="A1231" s="44" t="s">
        <v>24771</v>
      </c>
      <c r="B1231" s="68">
        <v>42</v>
      </c>
      <c r="C1231" s="44" t="s">
        <v>114</v>
      </c>
      <c r="D1231" s="44" t="s">
        <v>37</v>
      </c>
      <c r="F1231" s="69">
        <v>42545</v>
      </c>
      <c r="G1231" s="44" t="s">
        <v>24772</v>
      </c>
      <c r="H1231" s="44" t="s">
        <v>4559</v>
      </c>
      <c r="I1231" s="44" t="s">
        <v>73</v>
      </c>
      <c r="J1231" s="11">
        <v>77494</v>
      </c>
      <c r="K1231" s="11" t="s">
        <v>1386</v>
      </c>
      <c r="L1231" s="44" t="s">
        <v>24773</v>
      </c>
      <c r="M1231" s="44" t="s">
        <v>27</v>
      </c>
      <c r="N1231" s="11" t="s">
        <v>24883</v>
      </c>
      <c r="O1231" s="11" t="s">
        <v>400</v>
      </c>
      <c r="P1231" s="11" t="s">
        <v>401</v>
      </c>
      <c r="Q1231" s="71" t="s">
        <v>24935</v>
      </c>
      <c r="R1231" s="68" t="s">
        <v>555</v>
      </c>
      <c r="S1231" s="44" t="s">
        <v>28</v>
      </c>
      <c r="T1231" s="68" t="s">
        <v>27756</v>
      </c>
      <c r="U1231" s="68" t="s">
        <v>29438</v>
      </c>
      <c r="V1231" s="68" t="s">
        <v>29439</v>
      </c>
      <c r="W1231" s="68" t="s">
        <v>100</v>
      </c>
      <c r="X1231" s="68">
        <v>1658</v>
      </c>
      <c r="Y1231" s="44"/>
      <c r="Z1231" s="44"/>
      <c r="AA1231" s="44"/>
      <c r="AB1231" s="44"/>
      <c r="AC1231" s="44"/>
      <c r="AD1231" s="44"/>
      <c r="AE1231" s="44"/>
      <c r="AF1231" s="44"/>
      <c r="AG1231" s="44"/>
      <c r="AH1231" s="44"/>
      <c r="AI1231" s="44"/>
      <c r="AJ1231" s="44"/>
      <c r="AK1231" s="44"/>
      <c r="AL1231" s="44"/>
      <c r="AM1231" s="44"/>
      <c r="AN1231" s="44"/>
      <c r="AO1231" s="44"/>
      <c r="AP1231" s="44"/>
      <c r="AQ1231" s="44"/>
      <c r="AR1231" s="44"/>
      <c r="AS1231" s="44"/>
      <c r="AT1231" s="44"/>
      <c r="AW1231" s="1"/>
      <c r="AX1231" s="1"/>
      <c r="AY1231" s="1"/>
      <c r="AZ1231" s="44"/>
      <c r="BA1231" s="44"/>
      <c r="BC1231" s="1"/>
      <c r="BD1231" s="1"/>
      <c r="BE1231" s="1"/>
      <c r="BF1231" s="1"/>
      <c r="BG1231" s="1"/>
      <c r="BH1231" s="1"/>
      <c r="BI1231" s="1"/>
      <c r="BJ1231" s="1"/>
    </row>
    <row r="1232" spans="1:63" s="11" customFormat="1" ht="12" customHeight="1" x14ac:dyDescent="0.2">
      <c r="A1232" s="44" t="s">
        <v>24774</v>
      </c>
      <c r="B1232" s="68">
        <v>42</v>
      </c>
      <c r="C1232" s="44" t="s">
        <v>20</v>
      </c>
      <c r="D1232" s="44" t="s">
        <v>48</v>
      </c>
      <c r="F1232" s="69">
        <v>42545</v>
      </c>
      <c r="G1232" s="44" t="s">
        <v>24775</v>
      </c>
      <c r="H1232" s="44" t="s">
        <v>1094</v>
      </c>
      <c r="I1232" s="44" t="s">
        <v>395</v>
      </c>
      <c r="J1232" s="11">
        <v>73106</v>
      </c>
      <c r="K1232" s="11" t="s">
        <v>1095</v>
      </c>
      <c r="L1232" s="44" t="s">
        <v>1096</v>
      </c>
      <c r="M1232" s="44" t="s">
        <v>27</v>
      </c>
      <c r="N1232" s="11" t="s">
        <v>24884</v>
      </c>
      <c r="O1232" s="11" t="s">
        <v>400</v>
      </c>
      <c r="P1232" s="11" t="s">
        <v>401</v>
      </c>
      <c r="Q1232" s="71" t="s">
        <v>24936</v>
      </c>
      <c r="R1232" s="68" t="s">
        <v>555</v>
      </c>
      <c r="S1232" s="2" t="s">
        <v>18</v>
      </c>
      <c r="T1232" s="68" t="s">
        <v>28345</v>
      </c>
      <c r="U1232" s="68" t="s">
        <v>29436</v>
      </c>
      <c r="V1232" s="68" t="s">
        <v>21212</v>
      </c>
      <c r="W1232" s="68" t="s">
        <v>100</v>
      </c>
      <c r="X1232" s="68">
        <v>1660</v>
      </c>
      <c r="Y1232" s="44"/>
      <c r="Z1232" s="44"/>
      <c r="AA1232" s="44"/>
      <c r="AB1232" s="44"/>
      <c r="AC1232" s="44"/>
      <c r="AD1232" s="44"/>
      <c r="AE1232" s="44"/>
      <c r="AF1232" s="44"/>
      <c r="AG1232" s="44"/>
      <c r="AH1232" s="44"/>
      <c r="AI1232" s="44"/>
      <c r="AJ1232" s="44"/>
      <c r="AK1232" s="44"/>
      <c r="AL1232" s="44"/>
      <c r="AM1232" s="44"/>
      <c r="AN1232" s="44"/>
      <c r="AO1232" s="44"/>
      <c r="AP1232" s="44"/>
      <c r="AQ1232" s="44"/>
      <c r="AR1232" s="44"/>
      <c r="AS1232" s="44"/>
      <c r="AT1232" s="44"/>
      <c r="AW1232" s="1"/>
      <c r="AX1232" s="1"/>
      <c r="AY1232" s="1"/>
      <c r="AZ1232" s="44"/>
      <c r="BA1232" s="70"/>
      <c r="BB1232" s="44"/>
      <c r="BC1232" s="1"/>
      <c r="BD1232" s="1"/>
      <c r="BE1232" s="1"/>
      <c r="BF1232" s="1"/>
      <c r="BG1232" s="1"/>
      <c r="BH1232" s="1"/>
      <c r="BI1232" s="1"/>
      <c r="BJ1232" s="1"/>
      <c r="BK1232" s="1"/>
    </row>
    <row r="1233" spans="1:63" s="11" customFormat="1" ht="12" customHeight="1" x14ac:dyDescent="0.2">
      <c r="A1233" s="44" t="s">
        <v>24780</v>
      </c>
      <c r="B1233" s="68">
        <v>25</v>
      </c>
      <c r="C1233" s="44" t="s">
        <v>20</v>
      </c>
      <c r="D1233" s="44" t="s">
        <v>85</v>
      </c>
      <c r="E1233" s="71" t="s">
        <v>24830</v>
      </c>
      <c r="F1233" s="69">
        <v>42544</v>
      </c>
      <c r="G1233" s="44" t="s">
        <v>24781</v>
      </c>
      <c r="H1233" s="44" t="s">
        <v>1228</v>
      </c>
      <c r="I1233" s="44" t="s">
        <v>438</v>
      </c>
      <c r="J1233" s="11">
        <v>53225</v>
      </c>
      <c r="K1233" s="11" t="s">
        <v>887</v>
      </c>
      <c r="L1233" s="44" t="s">
        <v>1229</v>
      </c>
      <c r="M1233" s="44" t="s">
        <v>27</v>
      </c>
      <c r="N1233" s="11" t="s">
        <v>24887</v>
      </c>
      <c r="O1233" s="11" t="s">
        <v>400</v>
      </c>
      <c r="P1233" s="11" t="s">
        <v>401</v>
      </c>
      <c r="Q1233" s="71" t="s">
        <v>24939</v>
      </c>
      <c r="R1233" s="11" t="s">
        <v>100</v>
      </c>
      <c r="S1233" s="44" t="s">
        <v>28</v>
      </c>
      <c r="T1233" s="68" t="s">
        <v>27756</v>
      </c>
      <c r="U1233" s="68" t="s">
        <v>29436</v>
      </c>
      <c r="V1233" s="68" t="s">
        <v>29439</v>
      </c>
      <c r="W1233" s="68" t="s">
        <v>555</v>
      </c>
      <c r="X1233" s="68">
        <v>1648</v>
      </c>
      <c r="Y1233" s="44"/>
      <c r="Z1233" s="44"/>
      <c r="AA1233" s="44"/>
      <c r="AB1233" s="44"/>
      <c r="AC1233" s="44"/>
      <c r="AD1233" s="44"/>
      <c r="AE1233" s="44"/>
      <c r="AF1233" s="44"/>
      <c r="AG1233" s="44"/>
      <c r="AH1233" s="44"/>
      <c r="AI1233" s="44"/>
      <c r="AJ1233" s="44"/>
      <c r="AK1233" s="44"/>
      <c r="AL1233" s="44"/>
      <c r="AM1233" s="44"/>
      <c r="AN1233" s="44"/>
      <c r="AO1233" s="44"/>
      <c r="AP1233" s="44"/>
      <c r="AQ1233" s="44"/>
      <c r="AR1233" s="44"/>
      <c r="AS1233" s="44"/>
      <c r="AT1233" s="44"/>
      <c r="AX1233" s="44"/>
      <c r="AY1233" s="44"/>
    </row>
    <row r="1234" spans="1:63" s="11" customFormat="1" ht="12" customHeight="1" x14ac:dyDescent="0.2">
      <c r="A1234" s="44" t="s">
        <v>24769</v>
      </c>
      <c r="B1234" s="68">
        <v>29</v>
      </c>
      <c r="C1234" s="44" t="s">
        <v>20</v>
      </c>
      <c r="D1234" s="44" t="s">
        <v>48</v>
      </c>
      <c r="F1234" s="69">
        <v>42544</v>
      </c>
      <c r="G1234" s="44" t="s">
        <v>24770</v>
      </c>
      <c r="H1234" s="44" t="s">
        <v>742</v>
      </c>
      <c r="I1234" s="44" t="s">
        <v>195</v>
      </c>
      <c r="J1234" s="11">
        <v>88041</v>
      </c>
      <c r="K1234" s="11" t="s">
        <v>397</v>
      </c>
      <c r="L1234" s="44" t="s">
        <v>3085</v>
      </c>
      <c r="M1234" s="44" t="s">
        <v>27</v>
      </c>
      <c r="N1234" s="11" t="s">
        <v>24882</v>
      </c>
      <c r="O1234" s="11" t="s">
        <v>400</v>
      </c>
      <c r="P1234" s="11" t="s">
        <v>401</v>
      </c>
      <c r="Q1234" s="71" t="s">
        <v>24934</v>
      </c>
      <c r="R1234" s="11" t="s">
        <v>100</v>
      </c>
      <c r="S1234" s="44" t="s">
        <v>28</v>
      </c>
      <c r="T1234" s="68" t="s">
        <v>27756</v>
      </c>
      <c r="U1234" s="68" t="s">
        <v>29441</v>
      </c>
      <c r="V1234" s="68" t="s">
        <v>29439</v>
      </c>
      <c r="W1234" s="68" t="s">
        <v>100</v>
      </c>
      <c r="X1234" s="68">
        <v>1662</v>
      </c>
      <c r="Y1234" s="44"/>
      <c r="Z1234" s="44"/>
      <c r="AA1234" s="44"/>
      <c r="AB1234" s="44"/>
      <c r="AC1234" s="44"/>
      <c r="AD1234" s="44"/>
      <c r="AE1234" s="44"/>
      <c r="AF1234" s="44"/>
      <c r="AG1234" s="44"/>
      <c r="AH1234" s="44"/>
      <c r="AI1234" s="44"/>
      <c r="AJ1234" s="44"/>
      <c r="AK1234" s="44"/>
      <c r="AL1234" s="44"/>
      <c r="AM1234" s="44"/>
      <c r="AN1234" s="44"/>
      <c r="AO1234" s="44"/>
      <c r="AP1234" s="44"/>
      <c r="AQ1234" s="44"/>
      <c r="AR1234" s="44"/>
      <c r="AS1234" s="44"/>
      <c r="AT1234" s="44"/>
      <c r="AW1234" s="44"/>
      <c r="AX1234" s="1"/>
      <c r="AY1234" s="1"/>
      <c r="BC1234" s="1"/>
      <c r="BD1234" s="1"/>
      <c r="BE1234" s="1"/>
      <c r="BF1234" s="1"/>
      <c r="BG1234" s="1"/>
      <c r="BH1234" s="1"/>
      <c r="BI1234" s="1"/>
      <c r="BJ1234" s="1"/>
    </row>
    <row r="1235" spans="1:63" s="11" customFormat="1" ht="12" customHeight="1" x14ac:dyDescent="0.2">
      <c r="A1235" s="44" t="s">
        <v>24782</v>
      </c>
      <c r="B1235" s="44">
        <v>35</v>
      </c>
      <c r="C1235" s="44" t="s">
        <v>20</v>
      </c>
      <c r="D1235" s="44" t="s">
        <v>85</v>
      </c>
      <c r="E1235" s="71" t="s">
        <v>24831</v>
      </c>
      <c r="F1235" s="69">
        <v>42544</v>
      </c>
      <c r="G1235" s="44" t="s">
        <v>24783</v>
      </c>
      <c r="H1235" s="44" t="s">
        <v>15433</v>
      </c>
      <c r="I1235" s="44" t="s">
        <v>44</v>
      </c>
      <c r="J1235" s="11">
        <v>62226</v>
      </c>
      <c r="K1235" s="11" t="s">
        <v>22231</v>
      </c>
      <c r="L1235" s="44" t="s">
        <v>15435</v>
      </c>
      <c r="M1235" s="44" t="s">
        <v>27</v>
      </c>
      <c r="N1235" s="11" t="s">
        <v>24888</v>
      </c>
      <c r="O1235" s="11" t="s">
        <v>400</v>
      </c>
      <c r="P1235" s="11" t="s">
        <v>401</v>
      </c>
      <c r="Q1235" s="71" t="s">
        <v>24940</v>
      </c>
      <c r="R1235" s="11" t="s">
        <v>29</v>
      </c>
      <c r="S1235" s="44" t="s">
        <v>28</v>
      </c>
      <c r="T1235" s="68" t="s">
        <v>27756</v>
      </c>
      <c r="U1235" s="68" t="s">
        <v>29438</v>
      </c>
      <c r="V1235" s="68" t="s">
        <v>29440</v>
      </c>
      <c r="W1235" s="68" t="s">
        <v>100</v>
      </c>
      <c r="X1235" s="68">
        <v>1649</v>
      </c>
      <c r="Y1235" s="44"/>
      <c r="Z1235" s="44"/>
      <c r="AA1235" s="44"/>
      <c r="AB1235" s="44"/>
      <c r="AC1235" s="44"/>
      <c r="AD1235" s="44"/>
      <c r="AE1235" s="44"/>
      <c r="AF1235" s="44"/>
      <c r="AG1235" s="44"/>
      <c r="AH1235" s="44"/>
      <c r="AI1235" s="44"/>
      <c r="AJ1235" s="44"/>
      <c r="AK1235" s="44"/>
      <c r="AL1235" s="44"/>
      <c r="AM1235" s="44"/>
      <c r="AN1235" s="44"/>
      <c r="AO1235" s="44"/>
      <c r="AP1235" s="44"/>
      <c r="AQ1235" s="44"/>
      <c r="AR1235" s="44"/>
      <c r="AS1235" s="44"/>
      <c r="AT1235" s="44"/>
      <c r="AW1235" s="1"/>
      <c r="AX1235" s="44"/>
      <c r="AY1235" s="44"/>
      <c r="BA1235" s="1"/>
      <c r="BB1235" s="1"/>
    </row>
    <row r="1236" spans="1:63" s="11" customFormat="1" ht="12" customHeight="1" x14ac:dyDescent="0.2">
      <c r="A1236" s="44" t="s">
        <v>24790</v>
      </c>
      <c r="B1236" s="68">
        <v>25</v>
      </c>
      <c r="C1236" s="44" t="s">
        <v>20</v>
      </c>
      <c r="D1236" s="44" t="s">
        <v>37</v>
      </c>
      <c r="F1236" s="69">
        <v>42543</v>
      </c>
      <c r="G1236" s="44" t="s">
        <v>24791</v>
      </c>
      <c r="H1236" s="44" t="s">
        <v>20068</v>
      </c>
      <c r="I1236" s="44" t="s">
        <v>209</v>
      </c>
      <c r="J1236" s="11">
        <v>80910</v>
      </c>
      <c r="K1236" s="11" t="s">
        <v>857</v>
      </c>
      <c r="L1236" s="11" t="s">
        <v>20070</v>
      </c>
      <c r="M1236" s="44" t="s">
        <v>27</v>
      </c>
      <c r="N1236" s="11" t="s">
        <v>24891</v>
      </c>
      <c r="O1236" s="11" t="s">
        <v>400</v>
      </c>
      <c r="P1236" s="11" t="s">
        <v>401</v>
      </c>
      <c r="Q1236" s="71" t="s">
        <v>24943</v>
      </c>
      <c r="R1236" s="11" t="s">
        <v>964</v>
      </c>
      <c r="S1236" s="44" t="s">
        <v>28</v>
      </c>
      <c r="T1236" s="68" t="s">
        <v>27756</v>
      </c>
      <c r="U1236" s="68" t="s">
        <v>29438</v>
      </c>
      <c r="V1236" s="68" t="s">
        <v>29439</v>
      </c>
      <c r="W1236" s="68" t="s">
        <v>100</v>
      </c>
      <c r="X1236" s="68">
        <v>1641</v>
      </c>
      <c r="Y1236" s="44"/>
      <c r="Z1236" s="44"/>
      <c r="AA1236" s="44"/>
      <c r="AB1236" s="44"/>
      <c r="AC1236" s="44"/>
      <c r="AD1236" s="44"/>
      <c r="AE1236" s="44"/>
      <c r="AF1236" s="44"/>
      <c r="AG1236" s="44"/>
      <c r="AH1236" s="44"/>
      <c r="AI1236" s="44"/>
      <c r="AJ1236" s="44"/>
      <c r="AK1236" s="44"/>
      <c r="AL1236" s="44"/>
      <c r="AM1236" s="44"/>
      <c r="AN1236" s="44"/>
      <c r="AO1236" s="44"/>
      <c r="AP1236" s="44"/>
      <c r="AQ1236" s="44"/>
      <c r="AR1236" s="44"/>
      <c r="AS1236" s="44"/>
      <c r="AT1236" s="44"/>
      <c r="AX1236" s="1"/>
      <c r="AY1236" s="1"/>
      <c r="BA1236" s="44"/>
      <c r="BB1236" s="44"/>
      <c r="BC1236" s="1"/>
      <c r="BD1236" s="1"/>
      <c r="BE1236" s="1"/>
      <c r="BF1236" s="1"/>
      <c r="BG1236" s="1"/>
      <c r="BH1236" s="1"/>
      <c r="BI1236" s="1"/>
      <c r="BJ1236" s="1"/>
    </row>
    <row r="1237" spans="1:63" s="11" customFormat="1" ht="12" customHeight="1" x14ac:dyDescent="0.2">
      <c r="A1237" s="44" t="s">
        <v>24792</v>
      </c>
      <c r="B1237" s="68">
        <v>44</v>
      </c>
      <c r="C1237" s="44" t="s">
        <v>20</v>
      </c>
      <c r="D1237" s="44" t="s">
        <v>85</v>
      </c>
      <c r="F1237" s="69">
        <v>42543</v>
      </c>
      <c r="G1237" s="44" t="s">
        <v>24793</v>
      </c>
      <c r="H1237" s="44" t="s">
        <v>24794</v>
      </c>
      <c r="I1237" s="44" t="s">
        <v>669</v>
      </c>
      <c r="J1237" s="11">
        <v>38680</v>
      </c>
      <c r="K1237" s="11" t="s">
        <v>1183</v>
      </c>
      <c r="L1237" s="44" t="s">
        <v>24795</v>
      </c>
      <c r="M1237" s="44" t="s">
        <v>27</v>
      </c>
      <c r="N1237" s="11" t="s">
        <v>24892</v>
      </c>
      <c r="O1237" s="11" t="s">
        <v>400</v>
      </c>
      <c r="P1237" s="11" t="s">
        <v>401</v>
      </c>
      <c r="Q1237" s="71" t="s">
        <v>24944</v>
      </c>
      <c r="R1237" s="11" t="s">
        <v>100</v>
      </c>
      <c r="S1237" s="44" t="s">
        <v>28</v>
      </c>
      <c r="T1237" s="68" t="s">
        <v>27756</v>
      </c>
      <c r="U1237" s="68" t="s">
        <v>29438</v>
      </c>
      <c r="V1237" s="68" t="s">
        <v>29440</v>
      </c>
      <c r="W1237" s="68" t="s">
        <v>100</v>
      </c>
      <c r="X1237" s="68">
        <v>1646</v>
      </c>
      <c r="Y1237" s="44"/>
      <c r="Z1237" s="44"/>
      <c r="AA1237" s="44"/>
      <c r="AB1237" s="44"/>
      <c r="AC1237" s="44"/>
      <c r="AD1237" s="44"/>
      <c r="AE1237" s="44"/>
      <c r="AF1237" s="44"/>
      <c r="AG1237" s="44"/>
      <c r="AH1237" s="44"/>
      <c r="AI1237" s="44"/>
      <c r="AJ1237" s="44"/>
      <c r="AK1237" s="44"/>
      <c r="AL1237" s="44"/>
      <c r="AM1237" s="44"/>
      <c r="AN1237" s="44"/>
      <c r="AO1237" s="44"/>
      <c r="AP1237" s="44"/>
      <c r="AQ1237" s="44"/>
      <c r="AR1237" s="44"/>
      <c r="AS1237" s="44"/>
      <c r="AT1237" s="44"/>
      <c r="AW1237" s="1"/>
      <c r="AX1237" s="44"/>
      <c r="AY1237" s="44"/>
    </row>
    <row r="1238" spans="1:63" s="11" customFormat="1" ht="12" customHeight="1" x14ac:dyDescent="0.2">
      <c r="A1238" s="44" t="s">
        <v>24796</v>
      </c>
      <c r="B1238" s="44">
        <v>46</v>
      </c>
      <c r="C1238" s="44" t="s">
        <v>20</v>
      </c>
      <c r="D1238" s="44" t="s">
        <v>85</v>
      </c>
      <c r="F1238" s="72">
        <v>42543</v>
      </c>
      <c r="G1238" s="44" t="s">
        <v>24797</v>
      </c>
      <c r="H1238" s="44" t="s">
        <v>8800</v>
      </c>
      <c r="I1238" s="44" t="s">
        <v>57</v>
      </c>
      <c r="J1238" s="11">
        <v>48505</v>
      </c>
      <c r="K1238" s="11" t="s">
        <v>8509</v>
      </c>
      <c r="L1238" s="44" t="s">
        <v>24798</v>
      </c>
      <c r="M1238" s="44" t="s">
        <v>391</v>
      </c>
      <c r="N1238" s="11" t="s">
        <v>24893</v>
      </c>
      <c r="O1238" s="11" t="s">
        <v>400</v>
      </c>
      <c r="P1238" s="11" t="s">
        <v>401</v>
      </c>
      <c r="Q1238" s="71" t="s">
        <v>24945</v>
      </c>
      <c r="R1238" s="11" t="s">
        <v>100</v>
      </c>
      <c r="S1238" s="44" t="s">
        <v>28</v>
      </c>
      <c r="T1238" s="44"/>
      <c r="U1238" s="44"/>
      <c r="V1238" s="44"/>
      <c r="W1238" s="44"/>
      <c r="X1238" s="44"/>
      <c r="Y1238" s="44"/>
      <c r="Z1238" s="44"/>
      <c r="AA1238" s="44"/>
      <c r="AB1238" s="44"/>
      <c r="AC1238" s="44"/>
      <c r="AD1238" s="44"/>
      <c r="AE1238" s="44"/>
      <c r="AF1238" s="44"/>
      <c r="AG1238" s="44"/>
      <c r="AH1238" s="44"/>
      <c r="AI1238" s="44"/>
      <c r="AJ1238" s="44"/>
      <c r="AK1238" s="44"/>
      <c r="AL1238" s="44"/>
      <c r="AM1238" s="44"/>
      <c r="AN1238" s="44"/>
      <c r="AO1238" s="44"/>
      <c r="AP1238" s="44"/>
      <c r="AQ1238" s="44"/>
      <c r="AR1238" s="44"/>
      <c r="AS1238" s="44"/>
      <c r="AT1238" s="44"/>
      <c r="AU1238" s="1"/>
      <c r="AV1238" s="1"/>
      <c r="AW1238" s="1"/>
      <c r="AX1238" s="44"/>
      <c r="AY1238" s="44"/>
      <c r="AZ1238" s="1"/>
      <c r="BA1238" s="1"/>
      <c r="BB1238" s="1"/>
      <c r="BK1238" s="1"/>
    </row>
    <row r="1239" spans="1:63" s="11" customFormat="1" ht="12" customHeight="1" x14ac:dyDescent="0.2">
      <c r="A1239" s="44" t="s">
        <v>24787</v>
      </c>
      <c r="B1239" s="68">
        <v>37</v>
      </c>
      <c r="C1239" s="44" t="s">
        <v>20</v>
      </c>
      <c r="D1239" s="44" t="s">
        <v>48</v>
      </c>
      <c r="F1239" s="69">
        <v>42543</v>
      </c>
      <c r="G1239" s="44" t="s">
        <v>24788</v>
      </c>
      <c r="H1239" s="44" t="s">
        <v>24789</v>
      </c>
      <c r="I1239" s="44" t="s">
        <v>62</v>
      </c>
      <c r="J1239" s="11">
        <v>33414</v>
      </c>
      <c r="K1239" s="11" t="s">
        <v>5318</v>
      </c>
      <c r="L1239" s="44" t="s">
        <v>63</v>
      </c>
      <c r="M1239" s="44" t="s">
        <v>27</v>
      </c>
      <c r="N1239" s="11" t="s">
        <v>24890</v>
      </c>
      <c r="O1239" s="11" t="s">
        <v>400</v>
      </c>
      <c r="P1239" s="11" t="s">
        <v>401</v>
      </c>
      <c r="Q1239" s="71" t="s">
        <v>24942</v>
      </c>
      <c r="R1239" s="11" t="s">
        <v>100</v>
      </c>
      <c r="S1239" s="44" t="s">
        <v>28</v>
      </c>
      <c r="T1239" s="68" t="s">
        <v>29493</v>
      </c>
      <c r="U1239" s="68" t="s">
        <v>29436</v>
      </c>
      <c r="V1239" s="68" t="s">
        <v>29439</v>
      </c>
      <c r="W1239" s="68" t="s">
        <v>100</v>
      </c>
      <c r="X1239" s="68">
        <v>1645</v>
      </c>
      <c r="Y1239" s="44"/>
      <c r="Z1239" s="44"/>
      <c r="AA1239" s="44"/>
      <c r="AB1239" s="44"/>
      <c r="AC1239" s="44"/>
      <c r="AD1239" s="44"/>
      <c r="AE1239" s="44"/>
      <c r="AF1239" s="44"/>
      <c r="AG1239" s="44"/>
      <c r="AH1239" s="44"/>
      <c r="AI1239" s="44"/>
      <c r="AJ1239" s="44"/>
      <c r="AK1239" s="44"/>
      <c r="AL1239" s="44"/>
      <c r="AM1239" s="44"/>
      <c r="AN1239" s="44"/>
      <c r="AO1239" s="44"/>
      <c r="AP1239" s="44"/>
      <c r="AQ1239" s="44"/>
      <c r="AR1239" s="44"/>
      <c r="AS1239" s="44"/>
      <c r="AT1239" s="44"/>
      <c r="AW1239" s="44"/>
      <c r="AX1239" s="1"/>
      <c r="AY1239" s="1"/>
      <c r="BC1239" s="1"/>
      <c r="BD1239" s="1"/>
      <c r="BE1239" s="1"/>
      <c r="BF1239" s="1"/>
      <c r="BG1239" s="1"/>
      <c r="BH1239" s="1"/>
      <c r="BI1239" s="1"/>
      <c r="BJ1239" s="1"/>
    </row>
    <row r="1240" spans="1:63" s="11" customFormat="1" ht="12" customHeight="1" x14ac:dyDescent="0.2">
      <c r="A1240" s="44" t="s">
        <v>24799</v>
      </c>
      <c r="B1240" s="68">
        <v>31</v>
      </c>
      <c r="C1240" s="44" t="s">
        <v>20</v>
      </c>
      <c r="D1240" s="68" t="s">
        <v>37</v>
      </c>
      <c r="F1240" s="69">
        <v>42543</v>
      </c>
      <c r="G1240" s="44" t="s">
        <v>24800</v>
      </c>
      <c r="H1240" s="44" t="s">
        <v>24801</v>
      </c>
      <c r="I1240" s="44" t="s">
        <v>73</v>
      </c>
      <c r="J1240" s="11">
        <v>77418</v>
      </c>
      <c r="K1240" s="11" t="s">
        <v>1313</v>
      </c>
      <c r="L1240" s="44" t="s">
        <v>24802</v>
      </c>
      <c r="M1240" s="44" t="s">
        <v>27</v>
      </c>
      <c r="N1240" s="11" t="s">
        <v>24894</v>
      </c>
      <c r="O1240" s="11" t="s">
        <v>400</v>
      </c>
      <c r="P1240" s="11" t="s">
        <v>401</v>
      </c>
      <c r="Q1240" s="71" t="s">
        <v>24946</v>
      </c>
      <c r="R1240" s="11" t="s">
        <v>100</v>
      </c>
      <c r="S1240" s="44" t="s">
        <v>28</v>
      </c>
      <c r="T1240" s="68" t="s">
        <v>27756</v>
      </c>
      <c r="U1240" s="68" t="s">
        <v>29438</v>
      </c>
      <c r="V1240" s="68" t="s">
        <v>29439</v>
      </c>
      <c r="W1240" s="68" t="s">
        <v>555</v>
      </c>
      <c r="X1240" s="68">
        <v>1651</v>
      </c>
      <c r="Y1240" s="44"/>
      <c r="Z1240" s="44"/>
      <c r="AA1240" s="44"/>
      <c r="AB1240" s="44"/>
      <c r="AC1240" s="44"/>
      <c r="AD1240" s="44"/>
      <c r="AE1240" s="44"/>
      <c r="AF1240" s="44"/>
      <c r="AG1240" s="44"/>
      <c r="AH1240" s="44"/>
      <c r="AI1240" s="44"/>
      <c r="AJ1240" s="44"/>
      <c r="AK1240" s="44"/>
      <c r="AL1240" s="44"/>
      <c r="AM1240" s="44"/>
      <c r="AN1240" s="44"/>
      <c r="AO1240" s="44"/>
      <c r="AP1240" s="44"/>
      <c r="AQ1240" s="44"/>
      <c r="AR1240" s="44"/>
      <c r="AS1240" s="44"/>
      <c r="AT1240" s="44"/>
      <c r="AX1240" s="1"/>
      <c r="AY1240" s="1"/>
      <c r="BC1240" s="1"/>
      <c r="BD1240" s="1"/>
      <c r="BE1240" s="1"/>
      <c r="BF1240" s="1"/>
      <c r="BG1240" s="1"/>
      <c r="BH1240" s="1"/>
      <c r="BI1240" s="1"/>
      <c r="BJ1240" s="1"/>
    </row>
    <row r="1241" spans="1:63" s="11" customFormat="1" ht="12" customHeight="1" x14ac:dyDescent="0.2">
      <c r="A1241" s="44" t="s">
        <v>24778</v>
      </c>
      <c r="B1241" s="68">
        <v>22</v>
      </c>
      <c r="C1241" s="44" t="s">
        <v>20</v>
      </c>
      <c r="D1241" s="44" t="s">
        <v>85</v>
      </c>
      <c r="E1241" s="71" t="s">
        <v>24829</v>
      </c>
      <c r="F1241" s="69">
        <v>42543</v>
      </c>
      <c r="G1241" s="44" t="s">
        <v>24779</v>
      </c>
      <c r="H1241" s="44" t="s">
        <v>1916</v>
      </c>
      <c r="I1241" s="44" t="s">
        <v>173</v>
      </c>
      <c r="J1241" s="11">
        <v>30324</v>
      </c>
      <c r="K1241" s="11" t="s">
        <v>1556</v>
      </c>
      <c r="L1241" s="44" t="s">
        <v>2540</v>
      </c>
      <c r="M1241" s="44" t="s">
        <v>27</v>
      </c>
      <c r="N1241" s="11" t="s">
        <v>24886</v>
      </c>
      <c r="O1241" s="11" t="s">
        <v>24959</v>
      </c>
      <c r="P1241" s="11" t="s">
        <v>1159</v>
      </c>
      <c r="Q1241" s="71" t="s">
        <v>24938</v>
      </c>
      <c r="R1241" s="11" t="s">
        <v>100</v>
      </c>
      <c r="S1241" s="13" t="s">
        <v>18</v>
      </c>
      <c r="T1241" s="68" t="s">
        <v>28345</v>
      </c>
      <c r="U1241" s="68" t="s">
        <v>29441</v>
      </c>
      <c r="V1241" s="68" t="s">
        <v>21212</v>
      </c>
      <c r="W1241" s="68" t="s">
        <v>100</v>
      </c>
      <c r="X1241" s="68">
        <v>1647</v>
      </c>
      <c r="Y1241" s="44"/>
      <c r="Z1241" s="44"/>
      <c r="AA1241" s="44"/>
      <c r="AB1241" s="44"/>
      <c r="AC1241" s="44"/>
      <c r="AD1241" s="44"/>
      <c r="AE1241" s="44"/>
      <c r="AF1241" s="44"/>
      <c r="AG1241" s="44"/>
      <c r="AH1241" s="44"/>
      <c r="AI1241" s="44"/>
      <c r="AJ1241" s="44"/>
      <c r="AK1241" s="44"/>
      <c r="AL1241" s="44"/>
      <c r="AM1241" s="44"/>
      <c r="AN1241" s="44"/>
      <c r="AO1241" s="44"/>
      <c r="AP1241" s="44"/>
      <c r="AQ1241" s="44"/>
      <c r="AR1241" s="44"/>
      <c r="AS1241" s="44"/>
      <c r="AT1241" s="44"/>
      <c r="AW1241" s="44"/>
      <c r="AX1241" s="44"/>
      <c r="AY1241" s="44"/>
      <c r="BK1241" s="1"/>
    </row>
    <row r="1242" spans="1:63" s="11" customFormat="1" ht="12" customHeight="1" x14ac:dyDescent="0.2">
      <c r="A1242" s="44" t="s">
        <v>24784</v>
      </c>
      <c r="B1242" s="68">
        <v>20</v>
      </c>
      <c r="C1242" s="44" t="s">
        <v>20</v>
      </c>
      <c r="D1242" s="44" t="s">
        <v>85</v>
      </c>
      <c r="E1242" s="71" t="s">
        <v>24832</v>
      </c>
      <c r="F1242" s="69">
        <v>42543</v>
      </c>
      <c r="G1242" s="44" t="s">
        <v>24785</v>
      </c>
      <c r="H1242" s="44" t="s">
        <v>4144</v>
      </c>
      <c r="I1242" s="44" t="s">
        <v>94</v>
      </c>
      <c r="J1242" s="11">
        <v>35210</v>
      </c>
      <c r="K1242" s="11" t="s">
        <v>1778</v>
      </c>
      <c r="L1242" s="44" t="s">
        <v>24786</v>
      </c>
      <c r="M1242" s="44" t="s">
        <v>27</v>
      </c>
      <c r="N1242" s="11" t="s">
        <v>24889</v>
      </c>
      <c r="O1242" s="11" t="s">
        <v>400</v>
      </c>
      <c r="P1242" s="11" t="s">
        <v>401</v>
      </c>
      <c r="Q1242" s="71" t="s">
        <v>24941</v>
      </c>
      <c r="R1242" s="11" t="s">
        <v>100</v>
      </c>
      <c r="S1242" s="44" t="s">
        <v>379</v>
      </c>
      <c r="T1242" s="68" t="s">
        <v>379</v>
      </c>
      <c r="U1242" s="68" t="s">
        <v>29438</v>
      </c>
      <c r="V1242" s="68" t="s">
        <v>29437</v>
      </c>
      <c r="W1242" s="68" t="s">
        <v>100</v>
      </c>
      <c r="X1242" s="68">
        <v>1644</v>
      </c>
      <c r="Y1242" s="44"/>
      <c r="Z1242" s="44"/>
      <c r="AA1242" s="44"/>
      <c r="AB1242" s="44"/>
      <c r="AC1242" s="44"/>
      <c r="AD1242" s="44"/>
      <c r="AE1242" s="44"/>
      <c r="AF1242" s="44"/>
      <c r="AG1242" s="44"/>
      <c r="AH1242" s="44"/>
      <c r="AI1242" s="44"/>
      <c r="AJ1242" s="44"/>
      <c r="AK1242" s="44"/>
      <c r="AL1242" s="44"/>
      <c r="AM1242" s="44"/>
      <c r="AN1242" s="44"/>
      <c r="AO1242" s="44"/>
      <c r="AP1242" s="44"/>
      <c r="AQ1242" s="44"/>
      <c r="AR1242" s="44"/>
      <c r="AS1242" s="44"/>
      <c r="AT1242" s="44"/>
      <c r="AW1242" s="70"/>
      <c r="AX1242" s="70"/>
      <c r="AY1242" s="70"/>
      <c r="BK1242" s="44"/>
    </row>
    <row r="1243" spans="1:63" s="11" customFormat="1" ht="12" customHeight="1" x14ac:dyDescent="0.2">
      <c r="A1243" s="44" t="s">
        <v>24811</v>
      </c>
      <c r="B1243" s="68">
        <v>50</v>
      </c>
      <c r="C1243" s="44" t="s">
        <v>20</v>
      </c>
      <c r="D1243" s="68" t="s">
        <v>37</v>
      </c>
      <c r="F1243" s="69">
        <v>42542</v>
      </c>
      <c r="G1243" s="44" t="s">
        <v>24812</v>
      </c>
      <c r="H1243" s="44" t="s">
        <v>1319</v>
      </c>
      <c r="I1243" s="44" t="s">
        <v>1083</v>
      </c>
      <c r="J1243" s="11">
        <v>82601</v>
      </c>
      <c r="K1243" s="11" t="s">
        <v>1320</v>
      </c>
      <c r="L1243" s="44" t="s">
        <v>24813</v>
      </c>
      <c r="M1243" s="44" t="s">
        <v>27</v>
      </c>
      <c r="N1243" s="11" t="s">
        <v>24897</v>
      </c>
      <c r="O1243" s="11" t="s">
        <v>400</v>
      </c>
      <c r="P1243" s="11" t="s">
        <v>401</v>
      </c>
      <c r="Q1243" s="71" t="s">
        <v>24949</v>
      </c>
      <c r="R1243" s="68" t="s">
        <v>555</v>
      </c>
      <c r="S1243" s="44" t="s">
        <v>28</v>
      </c>
      <c r="T1243" s="68" t="s">
        <v>27756</v>
      </c>
      <c r="U1243" s="68" t="s">
        <v>29438</v>
      </c>
      <c r="V1243" s="68" t="s">
        <v>29439</v>
      </c>
      <c r="W1243" s="68" t="s">
        <v>100</v>
      </c>
      <c r="X1243" s="68">
        <v>1642</v>
      </c>
      <c r="Y1243" s="44"/>
      <c r="Z1243" s="44"/>
      <c r="AA1243" s="44"/>
      <c r="AB1243" s="44"/>
      <c r="AC1243" s="44"/>
      <c r="AD1243" s="44"/>
      <c r="AE1243" s="44"/>
      <c r="AF1243" s="44"/>
      <c r="AG1243" s="44"/>
      <c r="AH1243" s="44"/>
      <c r="AI1243" s="44"/>
      <c r="AJ1243" s="44"/>
      <c r="AK1243" s="44"/>
      <c r="AL1243" s="44"/>
      <c r="AM1243" s="44"/>
      <c r="AN1243" s="44"/>
      <c r="AO1243" s="44"/>
      <c r="AP1243" s="44"/>
      <c r="AQ1243" s="44"/>
      <c r="AR1243" s="44"/>
      <c r="AS1243" s="44"/>
      <c r="AT1243" s="44"/>
      <c r="AW1243" s="1"/>
      <c r="AX1243" s="1"/>
      <c r="AY1243" s="1"/>
      <c r="BA1243" s="70"/>
      <c r="BB1243" s="44"/>
      <c r="BC1243" s="1"/>
      <c r="BD1243" s="1"/>
      <c r="BE1243" s="1"/>
      <c r="BF1243" s="1"/>
      <c r="BG1243" s="1"/>
      <c r="BH1243" s="1"/>
      <c r="BI1243" s="1"/>
      <c r="BJ1243" s="1"/>
    </row>
    <row r="1244" spans="1:63" s="11" customFormat="1" ht="12" customHeight="1" x14ac:dyDescent="0.2">
      <c r="A1244" s="44" t="s">
        <v>24803</v>
      </c>
      <c r="B1244" s="68">
        <v>19</v>
      </c>
      <c r="C1244" s="44" t="s">
        <v>20</v>
      </c>
      <c r="D1244" s="44" t="s">
        <v>37</v>
      </c>
      <c r="E1244" s="71" t="s">
        <v>24833</v>
      </c>
      <c r="F1244" s="69">
        <v>42542</v>
      </c>
      <c r="G1244" s="44" t="s">
        <v>24804</v>
      </c>
      <c r="H1244" s="44" t="s">
        <v>24805</v>
      </c>
      <c r="I1244" s="44" t="s">
        <v>506</v>
      </c>
      <c r="J1244" s="11">
        <v>3458</v>
      </c>
      <c r="K1244" s="11" t="s">
        <v>638</v>
      </c>
      <c r="L1244" s="44" t="s">
        <v>24806</v>
      </c>
      <c r="M1244" s="44" t="s">
        <v>27</v>
      </c>
      <c r="N1244" s="11" t="s">
        <v>24895</v>
      </c>
      <c r="O1244" s="11" t="s">
        <v>400</v>
      </c>
      <c r="P1244" s="11" t="s">
        <v>401</v>
      </c>
      <c r="Q1244" s="71" t="s">
        <v>24947</v>
      </c>
      <c r="R1244" s="68" t="s">
        <v>555</v>
      </c>
      <c r="S1244" s="13" t="s">
        <v>18</v>
      </c>
      <c r="T1244" s="68" t="s">
        <v>29612</v>
      </c>
      <c r="U1244" s="68" t="s">
        <v>29438</v>
      </c>
      <c r="V1244" s="68" t="s">
        <v>29437</v>
      </c>
      <c r="W1244" s="68" t="s">
        <v>100</v>
      </c>
      <c r="X1244" s="68">
        <v>1640</v>
      </c>
      <c r="Y1244" s="44"/>
      <c r="Z1244" s="44"/>
      <c r="AA1244" s="44"/>
      <c r="AB1244" s="44"/>
      <c r="AC1244" s="44"/>
      <c r="AD1244" s="44"/>
      <c r="AE1244" s="44"/>
      <c r="AF1244" s="44"/>
      <c r="AG1244" s="44"/>
      <c r="AH1244" s="44"/>
      <c r="AI1244" s="44"/>
      <c r="AJ1244" s="44"/>
      <c r="AK1244" s="44"/>
      <c r="AL1244" s="44"/>
      <c r="AM1244" s="44"/>
      <c r="AN1244" s="44"/>
      <c r="AO1244" s="44"/>
      <c r="AP1244" s="44"/>
      <c r="AQ1244" s="44"/>
      <c r="AR1244" s="44"/>
      <c r="AS1244" s="44"/>
      <c r="AT1244" s="44"/>
      <c r="AW1244" s="70"/>
      <c r="AX1244" s="1"/>
      <c r="AY1244" s="1"/>
      <c r="BA1244" s="70"/>
      <c r="BB1244" s="44"/>
      <c r="BC1244" s="1"/>
      <c r="BD1244" s="1"/>
      <c r="BE1244" s="1"/>
      <c r="BF1244" s="1"/>
      <c r="BG1244" s="1"/>
      <c r="BH1244" s="1"/>
      <c r="BI1244" s="1"/>
      <c r="BJ1244" s="1"/>
      <c r="BK1244" s="1"/>
    </row>
    <row r="1245" spans="1:63" s="11" customFormat="1" ht="12" customHeight="1" x14ac:dyDescent="0.2">
      <c r="A1245" s="44" t="s">
        <v>24807</v>
      </c>
      <c r="B1245" s="68">
        <v>24</v>
      </c>
      <c r="C1245" s="44" t="s">
        <v>20</v>
      </c>
      <c r="D1245" s="44" t="s">
        <v>48</v>
      </c>
      <c r="E1245" s="71" t="s">
        <v>24834</v>
      </c>
      <c r="F1245" s="69">
        <v>42542</v>
      </c>
      <c r="G1245" s="44" t="s">
        <v>24808</v>
      </c>
      <c r="H1245" s="44" t="s">
        <v>24809</v>
      </c>
      <c r="I1245" s="44" t="s">
        <v>366</v>
      </c>
      <c r="J1245" s="11">
        <v>28090</v>
      </c>
      <c r="K1245" s="11" t="s">
        <v>984</v>
      </c>
      <c r="L1245" s="44" t="s">
        <v>24810</v>
      </c>
      <c r="M1245" s="44" t="s">
        <v>27</v>
      </c>
      <c r="N1245" s="11" t="s">
        <v>24896</v>
      </c>
      <c r="O1245" s="11" t="s">
        <v>400</v>
      </c>
      <c r="P1245" s="11" t="s">
        <v>401</v>
      </c>
      <c r="Q1245" s="71" t="s">
        <v>24948</v>
      </c>
      <c r="R1245" s="11" t="s">
        <v>555</v>
      </c>
      <c r="S1245" s="11" t="s">
        <v>35</v>
      </c>
      <c r="T1245" s="66" t="s">
        <v>29441</v>
      </c>
      <c r="U1245" s="68" t="s">
        <v>29438</v>
      </c>
      <c r="V1245" s="68" t="s">
        <v>29439</v>
      </c>
      <c r="W1245" s="68" t="s">
        <v>100</v>
      </c>
      <c r="X1245" s="68">
        <v>1643</v>
      </c>
      <c r="Y1245" s="44"/>
      <c r="Z1245" s="44"/>
      <c r="AA1245" s="44"/>
      <c r="AB1245" s="44"/>
      <c r="AC1245" s="44"/>
      <c r="AD1245" s="44"/>
      <c r="AE1245" s="44"/>
      <c r="AF1245" s="44"/>
      <c r="AG1245" s="44"/>
      <c r="AH1245" s="44"/>
      <c r="AI1245" s="44"/>
      <c r="AJ1245" s="44"/>
      <c r="AK1245" s="44"/>
      <c r="AL1245" s="44"/>
      <c r="AM1245" s="44"/>
      <c r="AN1245" s="44"/>
      <c r="AO1245" s="44"/>
      <c r="AP1245" s="44"/>
      <c r="AQ1245" s="44"/>
      <c r="AR1245" s="44"/>
      <c r="AS1245" s="44"/>
      <c r="AT1245" s="44"/>
      <c r="AX1245" s="1"/>
      <c r="AY1245" s="1"/>
      <c r="BC1245" s="1"/>
      <c r="BD1245" s="1"/>
      <c r="BE1245" s="1"/>
      <c r="BF1245" s="1"/>
      <c r="BG1245" s="1"/>
      <c r="BH1245" s="1"/>
      <c r="BI1245" s="1"/>
      <c r="BJ1245" s="1"/>
      <c r="BK1245" s="1"/>
    </row>
    <row r="1246" spans="1:63" s="11" customFormat="1" ht="12" customHeight="1" x14ac:dyDescent="0.15">
      <c r="A1246" s="44" t="s">
        <v>24364</v>
      </c>
      <c r="B1246" s="68">
        <v>23</v>
      </c>
      <c r="C1246" s="44" t="s">
        <v>20</v>
      </c>
      <c r="D1246" s="44" t="s">
        <v>85</v>
      </c>
      <c r="E1246" s="44" t="s">
        <v>26268</v>
      </c>
      <c r="F1246" s="69">
        <v>42541</v>
      </c>
      <c r="G1246" s="44" t="s">
        <v>24365</v>
      </c>
      <c r="H1246" s="44" t="s">
        <v>24366</v>
      </c>
      <c r="I1246" s="44" t="s">
        <v>32</v>
      </c>
      <c r="J1246" s="44">
        <v>29927</v>
      </c>
      <c r="K1246" s="44" t="s">
        <v>5099</v>
      </c>
      <c r="L1246" s="44" t="s">
        <v>24367</v>
      </c>
      <c r="M1246" s="44" t="s">
        <v>27</v>
      </c>
      <c r="N1246" s="44" t="s">
        <v>24368</v>
      </c>
      <c r="O1246" s="44" t="s">
        <v>400</v>
      </c>
      <c r="P1246" s="11" t="s">
        <v>401</v>
      </c>
      <c r="Q1246" s="44" t="s">
        <v>24369</v>
      </c>
      <c r="R1246" s="44" t="s">
        <v>100</v>
      </c>
      <c r="S1246" s="44" t="s">
        <v>28</v>
      </c>
      <c r="T1246" s="68" t="s">
        <v>27756</v>
      </c>
      <c r="U1246" s="68" t="s">
        <v>29438</v>
      </c>
      <c r="V1246" s="68" t="s">
        <v>29439</v>
      </c>
      <c r="W1246" s="68" t="s">
        <v>100</v>
      </c>
      <c r="X1246" s="68">
        <v>1632</v>
      </c>
      <c r="Y1246" s="44"/>
      <c r="Z1246" s="44"/>
      <c r="AA1246" s="44"/>
      <c r="AB1246" s="44"/>
      <c r="AC1246" s="44"/>
      <c r="AD1246" s="44"/>
      <c r="AE1246" s="44"/>
      <c r="AF1246" s="44"/>
      <c r="AG1246" s="44"/>
      <c r="AH1246" s="44"/>
      <c r="AI1246" s="44"/>
      <c r="AJ1246" s="44"/>
      <c r="AK1246" s="44"/>
      <c r="AL1246" s="44"/>
      <c r="AM1246" s="44"/>
      <c r="AN1246" s="44"/>
      <c r="AO1246" s="44"/>
      <c r="AP1246" s="44"/>
      <c r="AQ1246" s="44"/>
      <c r="AR1246" s="44"/>
      <c r="AS1246" s="44"/>
      <c r="AT1246" s="44"/>
      <c r="AW1246" s="44"/>
      <c r="AX1246" s="44"/>
      <c r="AY1246" s="44"/>
    </row>
    <row r="1247" spans="1:63" s="11" customFormat="1" ht="12" customHeight="1" x14ac:dyDescent="0.2">
      <c r="A1247" s="44" t="s">
        <v>24358</v>
      </c>
      <c r="B1247" s="68">
        <v>20</v>
      </c>
      <c r="C1247" s="44" t="s">
        <v>20</v>
      </c>
      <c r="D1247" s="44" t="s">
        <v>37</v>
      </c>
      <c r="E1247" s="44" t="s">
        <v>24359</v>
      </c>
      <c r="F1247" s="69">
        <v>42541</v>
      </c>
      <c r="G1247" s="44" t="s">
        <v>24379</v>
      </c>
      <c r="H1247" s="44" t="s">
        <v>24360</v>
      </c>
      <c r="I1247" s="44" t="s">
        <v>123</v>
      </c>
      <c r="J1247" s="44">
        <v>86403</v>
      </c>
      <c r="K1247" s="44" t="s">
        <v>5836</v>
      </c>
      <c r="L1247" s="44" t="s">
        <v>24361</v>
      </c>
      <c r="M1247" s="68" t="s">
        <v>5411</v>
      </c>
      <c r="N1247" s="44" t="s">
        <v>24362</v>
      </c>
      <c r="O1247" s="44" t="s">
        <v>400</v>
      </c>
      <c r="P1247" s="44" t="s">
        <v>401</v>
      </c>
      <c r="Q1247" s="44" t="s">
        <v>24363</v>
      </c>
      <c r="R1247" s="44" t="s">
        <v>29</v>
      </c>
      <c r="S1247" s="44" t="s">
        <v>28</v>
      </c>
      <c r="T1247" s="68" t="s">
        <v>29493</v>
      </c>
      <c r="U1247" s="68" t="s">
        <v>29436</v>
      </c>
      <c r="V1247" s="68" t="s">
        <v>29439</v>
      </c>
      <c r="W1247" s="68" t="s">
        <v>555</v>
      </c>
      <c r="X1247" s="68">
        <v>1638</v>
      </c>
      <c r="Y1247" s="44"/>
      <c r="Z1247" s="44"/>
      <c r="AA1247" s="44"/>
      <c r="AB1247" s="44"/>
      <c r="AC1247" s="44"/>
      <c r="AD1247" s="44"/>
      <c r="AE1247" s="44"/>
      <c r="AF1247" s="44"/>
      <c r="AG1247" s="44"/>
      <c r="AH1247" s="44"/>
      <c r="AI1247" s="44"/>
      <c r="AJ1247" s="44"/>
      <c r="AK1247" s="44"/>
      <c r="AL1247" s="44"/>
      <c r="AM1247" s="44"/>
      <c r="AN1247" s="44"/>
      <c r="AO1247" s="44"/>
      <c r="AP1247" s="44"/>
      <c r="AQ1247" s="44"/>
      <c r="AR1247" s="44"/>
      <c r="AS1247" s="44"/>
      <c r="AT1247" s="44"/>
      <c r="AW1247" s="70"/>
      <c r="AX1247" s="1"/>
      <c r="AY1247" s="1"/>
      <c r="BA1247" s="1"/>
      <c r="BB1247" s="70"/>
      <c r="BC1247" s="1"/>
      <c r="BD1247" s="1"/>
      <c r="BE1247" s="1"/>
      <c r="BF1247" s="1"/>
      <c r="BG1247" s="1"/>
      <c r="BH1247" s="1"/>
      <c r="BI1247" s="1"/>
      <c r="BJ1247" s="1"/>
      <c r="BK1247" s="1"/>
    </row>
    <row r="1248" spans="1:63" s="11" customFormat="1" ht="12" customHeight="1" x14ac:dyDescent="0.15">
      <c r="A1248" s="44" t="s">
        <v>24337</v>
      </c>
      <c r="B1248" s="68">
        <v>30</v>
      </c>
      <c r="C1248" s="44" t="s">
        <v>20</v>
      </c>
      <c r="D1248" s="44" t="s">
        <v>85</v>
      </c>
      <c r="E1248" s="44"/>
      <c r="F1248" s="69">
        <v>42540</v>
      </c>
      <c r="G1248" s="44" t="s">
        <v>24338</v>
      </c>
      <c r="H1248" s="44" t="s">
        <v>24339</v>
      </c>
      <c r="I1248" s="44" t="s">
        <v>62</v>
      </c>
      <c r="J1248" s="44">
        <v>32548</v>
      </c>
      <c r="K1248" s="44" t="s">
        <v>12251</v>
      </c>
      <c r="L1248" s="44" t="s">
        <v>24340</v>
      </c>
      <c r="M1248" s="44" t="s">
        <v>27</v>
      </c>
      <c r="N1248" s="44" t="s">
        <v>24341</v>
      </c>
      <c r="O1248" s="44" t="s">
        <v>400</v>
      </c>
      <c r="P1248" s="44" t="s">
        <v>401</v>
      </c>
      <c r="Q1248" s="44" t="s">
        <v>24342</v>
      </c>
      <c r="R1248" s="44" t="s">
        <v>100</v>
      </c>
      <c r="S1248" s="44" t="s">
        <v>28</v>
      </c>
      <c r="T1248" s="68" t="s">
        <v>27756</v>
      </c>
      <c r="U1248" s="68" t="s">
        <v>29436</v>
      </c>
      <c r="V1248" s="68" t="s">
        <v>29439</v>
      </c>
      <c r="W1248" s="68" t="s">
        <v>100</v>
      </c>
      <c r="X1248" s="68">
        <v>1635</v>
      </c>
      <c r="Y1248" s="44"/>
      <c r="Z1248" s="44"/>
      <c r="AA1248" s="44"/>
      <c r="AB1248" s="44"/>
      <c r="AC1248" s="44"/>
      <c r="AD1248" s="44"/>
      <c r="AE1248" s="44"/>
      <c r="AF1248" s="44"/>
      <c r="AG1248" s="44"/>
      <c r="AH1248" s="44"/>
      <c r="AI1248" s="44"/>
      <c r="AJ1248" s="44"/>
      <c r="AK1248" s="44"/>
      <c r="AL1248" s="44"/>
      <c r="AM1248" s="44"/>
      <c r="AN1248" s="44"/>
      <c r="AO1248" s="44"/>
      <c r="AP1248" s="44"/>
      <c r="AQ1248" s="44"/>
      <c r="AR1248" s="44"/>
      <c r="AS1248" s="44"/>
      <c r="AT1248" s="44"/>
      <c r="AX1248" s="44"/>
      <c r="AY1248" s="44"/>
    </row>
    <row r="1249" spans="1:63" s="11" customFormat="1" ht="12" customHeight="1" x14ac:dyDescent="0.15">
      <c r="A1249" s="44" t="s">
        <v>24348</v>
      </c>
      <c r="B1249" s="68">
        <v>25</v>
      </c>
      <c r="C1249" s="44" t="s">
        <v>20</v>
      </c>
      <c r="D1249" s="44" t="s">
        <v>85</v>
      </c>
      <c r="E1249" s="44" t="s">
        <v>24349</v>
      </c>
      <c r="F1249" s="69">
        <v>42540</v>
      </c>
      <c r="G1249" s="44" t="s">
        <v>24350</v>
      </c>
      <c r="H1249" s="44" t="s">
        <v>1844</v>
      </c>
      <c r="I1249" s="44" t="s">
        <v>423</v>
      </c>
      <c r="J1249" s="44">
        <v>10474</v>
      </c>
      <c r="K1249" s="44" t="s">
        <v>1844</v>
      </c>
      <c r="L1249" s="44" t="s">
        <v>582</v>
      </c>
      <c r="M1249" s="44" t="s">
        <v>27</v>
      </c>
      <c r="N1249" s="44" t="s">
        <v>24351</v>
      </c>
      <c r="O1249" s="44" t="s">
        <v>400</v>
      </c>
      <c r="P1249" s="44" t="s">
        <v>401</v>
      </c>
      <c r="Q1249" s="44" t="s">
        <v>24352</v>
      </c>
      <c r="R1249" s="44" t="s">
        <v>100</v>
      </c>
      <c r="S1249" s="44" t="s">
        <v>28</v>
      </c>
      <c r="T1249" s="68" t="s">
        <v>27756</v>
      </c>
      <c r="U1249" s="68" t="s">
        <v>29438</v>
      </c>
      <c r="V1249" s="68" t="s">
        <v>29439</v>
      </c>
      <c r="W1249" s="68" t="s">
        <v>100</v>
      </c>
      <c r="X1249" s="68">
        <v>1631</v>
      </c>
      <c r="Y1249" s="44"/>
      <c r="Z1249" s="44"/>
      <c r="AA1249" s="44"/>
      <c r="AB1249" s="44"/>
      <c r="AC1249" s="44"/>
      <c r="AD1249" s="44"/>
      <c r="AE1249" s="44"/>
      <c r="AF1249" s="44"/>
      <c r="AG1249" s="44"/>
      <c r="AH1249" s="44"/>
      <c r="AI1249" s="44"/>
      <c r="AJ1249" s="44"/>
      <c r="AK1249" s="44"/>
      <c r="AL1249" s="44"/>
      <c r="AM1249" s="44"/>
      <c r="AN1249" s="44"/>
      <c r="AO1249" s="44"/>
      <c r="AP1249" s="44"/>
      <c r="AQ1249" s="44"/>
      <c r="AR1249" s="44"/>
      <c r="AS1249" s="44"/>
      <c r="AT1249" s="44"/>
      <c r="AX1249" s="44"/>
      <c r="AY1249" s="44"/>
      <c r="BA1249" s="44"/>
    </row>
    <row r="1250" spans="1:63" s="11" customFormat="1" ht="12" customHeight="1" x14ac:dyDescent="0.15">
      <c r="A1250" s="44" t="s">
        <v>24353</v>
      </c>
      <c r="B1250" s="44">
        <v>41</v>
      </c>
      <c r="C1250" s="44" t="s">
        <v>20</v>
      </c>
      <c r="D1250" s="44" t="s">
        <v>85</v>
      </c>
      <c r="E1250" s="44" t="s">
        <v>24354</v>
      </c>
      <c r="F1250" s="72">
        <v>42540</v>
      </c>
      <c r="G1250" s="44" t="s">
        <v>24355</v>
      </c>
      <c r="H1250" s="44" t="s">
        <v>5000</v>
      </c>
      <c r="I1250" s="44" t="s">
        <v>423</v>
      </c>
      <c r="J1250" s="44">
        <v>13204</v>
      </c>
      <c r="K1250" s="44" t="s">
        <v>13309</v>
      </c>
      <c r="L1250" s="44" t="s">
        <v>21423</v>
      </c>
      <c r="M1250" s="44" t="s">
        <v>27</v>
      </c>
      <c r="N1250" s="44" t="s">
        <v>24356</v>
      </c>
      <c r="O1250" s="44" t="s">
        <v>400</v>
      </c>
      <c r="P1250" s="44" t="s">
        <v>401</v>
      </c>
      <c r="Q1250" s="44" t="s">
        <v>24357</v>
      </c>
      <c r="R1250" s="44" t="s">
        <v>100</v>
      </c>
      <c r="S1250" s="44" t="s">
        <v>28</v>
      </c>
      <c r="T1250" s="68"/>
      <c r="U1250" s="68"/>
      <c r="V1250" s="68"/>
      <c r="W1250" s="68"/>
      <c r="X1250" s="68"/>
      <c r="Y1250" s="44"/>
      <c r="Z1250" s="44"/>
      <c r="AA1250" s="44"/>
      <c r="AB1250" s="44"/>
      <c r="AC1250" s="44"/>
      <c r="AD1250" s="44"/>
      <c r="AE1250" s="44"/>
      <c r="AF1250" s="44"/>
      <c r="AG1250" s="44"/>
      <c r="AH1250" s="44"/>
      <c r="AI1250" s="44"/>
      <c r="AJ1250" s="44"/>
      <c r="AK1250" s="44"/>
      <c r="AL1250" s="44"/>
      <c r="AM1250" s="44"/>
      <c r="AN1250" s="44"/>
      <c r="AO1250" s="44"/>
      <c r="AP1250" s="44"/>
      <c r="AQ1250" s="44"/>
      <c r="AR1250" s="44"/>
      <c r="AS1250" s="44"/>
      <c r="AT1250" s="44"/>
      <c r="AW1250" s="1"/>
      <c r="AX1250" s="44"/>
      <c r="AY1250" s="44"/>
      <c r="AZ1250" s="1"/>
      <c r="BA1250" s="1"/>
      <c r="BB1250" s="1"/>
    </row>
    <row r="1251" spans="1:63" s="11" customFormat="1" ht="12" customHeight="1" x14ac:dyDescent="0.15">
      <c r="A1251" s="44" t="s">
        <v>24343</v>
      </c>
      <c r="B1251" s="44">
        <v>22</v>
      </c>
      <c r="C1251" s="44" t="s">
        <v>20</v>
      </c>
      <c r="D1251" s="44" t="s">
        <v>85</v>
      </c>
      <c r="E1251" s="44" t="s">
        <v>24344</v>
      </c>
      <c r="F1251" s="72">
        <v>42540</v>
      </c>
      <c r="G1251" s="44" t="s">
        <v>24345</v>
      </c>
      <c r="H1251" s="44" t="s">
        <v>4115</v>
      </c>
      <c r="I1251" s="44" t="s">
        <v>62</v>
      </c>
      <c r="J1251" s="44">
        <v>32907</v>
      </c>
      <c r="K1251" s="44" t="s">
        <v>1769</v>
      </c>
      <c r="L1251" s="44" t="s">
        <v>3765</v>
      </c>
      <c r="M1251" s="44" t="s">
        <v>27</v>
      </c>
      <c r="N1251" s="44" t="s">
        <v>24346</v>
      </c>
      <c r="O1251" s="44" t="s">
        <v>24697</v>
      </c>
      <c r="P1251" s="44" t="s">
        <v>1159</v>
      </c>
      <c r="Q1251" s="44" t="s">
        <v>24347</v>
      </c>
      <c r="R1251" s="44" t="s">
        <v>100</v>
      </c>
      <c r="S1251" s="44" t="s">
        <v>35</v>
      </c>
      <c r="T1251" s="68"/>
      <c r="U1251" s="68"/>
      <c r="V1251" s="68"/>
      <c r="W1251" s="68"/>
      <c r="X1251" s="68"/>
      <c r="Y1251" s="44"/>
      <c r="Z1251" s="44"/>
      <c r="AA1251" s="44"/>
      <c r="AB1251" s="44"/>
      <c r="AC1251" s="44"/>
      <c r="AD1251" s="44"/>
      <c r="AE1251" s="44"/>
      <c r="AF1251" s="44"/>
      <c r="AG1251" s="44"/>
      <c r="AH1251" s="44"/>
      <c r="AI1251" s="44"/>
      <c r="AJ1251" s="44"/>
      <c r="AK1251" s="44"/>
      <c r="AL1251" s="44"/>
      <c r="AM1251" s="44"/>
      <c r="AN1251" s="44"/>
      <c r="AO1251" s="44"/>
      <c r="AP1251" s="44"/>
      <c r="AQ1251" s="44"/>
      <c r="AR1251" s="44"/>
      <c r="AS1251" s="44"/>
      <c r="AT1251" s="44"/>
      <c r="AW1251" s="1"/>
      <c r="AX1251" s="44"/>
      <c r="AY1251" s="44"/>
      <c r="AZ1251" s="1"/>
      <c r="BA1251" s="1"/>
      <c r="BB1251" s="1"/>
      <c r="BK1251" s="1"/>
    </row>
    <row r="1252" spans="1:63" s="11" customFormat="1" ht="12" customHeight="1" x14ac:dyDescent="0.15">
      <c r="A1252" s="44" t="s">
        <v>24332</v>
      </c>
      <c r="B1252" s="68">
        <v>37</v>
      </c>
      <c r="C1252" s="44" t="s">
        <v>20</v>
      </c>
      <c r="D1252" s="44" t="s">
        <v>85</v>
      </c>
      <c r="E1252" s="44" t="s">
        <v>24333</v>
      </c>
      <c r="F1252" s="69">
        <v>42539</v>
      </c>
      <c r="G1252" s="44" t="s">
        <v>24334</v>
      </c>
      <c r="H1252" s="44" t="s">
        <v>14344</v>
      </c>
      <c r="I1252" s="44" t="s">
        <v>669</v>
      </c>
      <c r="J1252" s="44">
        <v>38801</v>
      </c>
      <c r="K1252" s="44" t="s">
        <v>5538</v>
      </c>
      <c r="L1252" s="44" t="s">
        <v>24227</v>
      </c>
      <c r="M1252" s="44" t="s">
        <v>27</v>
      </c>
      <c r="N1252" s="44" t="s">
        <v>24335</v>
      </c>
      <c r="O1252" s="44" t="s">
        <v>400</v>
      </c>
      <c r="P1252" s="44" t="s">
        <v>401</v>
      </c>
      <c r="Q1252" s="44" t="s">
        <v>24336</v>
      </c>
      <c r="R1252" s="44" t="s">
        <v>100</v>
      </c>
      <c r="S1252" s="44" t="s">
        <v>18</v>
      </c>
      <c r="T1252" s="68" t="s">
        <v>28345</v>
      </c>
      <c r="U1252" s="68" t="s">
        <v>29438</v>
      </c>
      <c r="V1252" s="68" t="s">
        <v>29440</v>
      </c>
      <c r="W1252" s="68" t="s">
        <v>100</v>
      </c>
      <c r="X1252" s="68">
        <v>1637</v>
      </c>
      <c r="Y1252" s="44"/>
      <c r="Z1252" s="44"/>
      <c r="AA1252" s="44"/>
      <c r="AB1252" s="44"/>
      <c r="AC1252" s="44"/>
      <c r="AD1252" s="44"/>
      <c r="AE1252" s="44"/>
      <c r="AF1252" s="44"/>
      <c r="AG1252" s="44"/>
      <c r="AH1252" s="44"/>
      <c r="AI1252" s="44"/>
      <c r="AJ1252" s="44"/>
      <c r="AK1252" s="44"/>
      <c r="AL1252" s="44"/>
      <c r="AM1252" s="44"/>
      <c r="AN1252" s="44"/>
      <c r="AO1252" s="44"/>
      <c r="AP1252" s="44"/>
      <c r="AQ1252" s="44"/>
      <c r="AR1252" s="44"/>
      <c r="AS1252" s="44"/>
      <c r="AT1252" s="44"/>
      <c r="AW1252" s="44"/>
      <c r="AX1252" s="44"/>
      <c r="AY1252" s="44"/>
      <c r="BK1252" s="1"/>
    </row>
    <row r="1253" spans="1:63" s="11" customFormat="1" ht="12" customHeight="1" x14ac:dyDescent="0.15">
      <c r="A1253" s="44" t="s">
        <v>24323</v>
      </c>
      <c r="B1253" s="68">
        <v>34</v>
      </c>
      <c r="C1253" s="44" t="s">
        <v>20</v>
      </c>
      <c r="D1253" s="44" t="s">
        <v>37</v>
      </c>
      <c r="E1253" s="44" t="s">
        <v>24324</v>
      </c>
      <c r="F1253" s="69">
        <v>42539</v>
      </c>
      <c r="G1253" s="44" t="s">
        <v>24325</v>
      </c>
      <c r="H1253" s="44" t="s">
        <v>2158</v>
      </c>
      <c r="I1253" s="44" t="s">
        <v>94</v>
      </c>
      <c r="J1253" s="44">
        <v>35816</v>
      </c>
      <c r="K1253" s="44" t="s">
        <v>2160</v>
      </c>
      <c r="L1253" s="44" t="s">
        <v>2161</v>
      </c>
      <c r="M1253" s="44" t="s">
        <v>27</v>
      </c>
      <c r="N1253" s="44" t="s">
        <v>24326</v>
      </c>
      <c r="O1253" s="44" t="s">
        <v>400</v>
      </c>
      <c r="P1253" s="44" t="s">
        <v>401</v>
      </c>
      <c r="Q1253" s="44" t="s">
        <v>24327</v>
      </c>
      <c r="R1253" s="44" t="s">
        <v>100</v>
      </c>
      <c r="S1253" s="11" t="s">
        <v>18</v>
      </c>
      <c r="T1253" s="68" t="s">
        <v>29612</v>
      </c>
      <c r="U1253" s="68" t="s">
        <v>29438</v>
      </c>
      <c r="V1253" s="68" t="s">
        <v>29439</v>
      </c>
      <c r="W1253" s="68" t="s">
        <v>555</v>
      </c>
      <c r="X1253" s="68">
        <v>1633</v>
      </c>
      <c r="Y1253" s="44"/>
      <c r="Z1253" s="44"/>
      <c r="AA1253" s="44"/>
      <c r="AB1253" s="44"/>
      <c r="AC1253" s="44"/>
      <c r="AD1253" s="44"/>
      <c r="AE1253" s="44"/>
      <c r="AF1253" s="44"/>
      <c r="AG1253" s="44"/>
      <c r="AH1253" s="44"/>
      <c r="AI1253" s="44"/>
      <c r="AJ1253" s="44"/>
      <c r="AK1253" s="44"/>
      <c r="AL1253" s="44"/>
      <c r="AM1253" s="44"/>
      <c r="AN1253" s="44"/>
      <c r="AO1253" s="44"/>
      <c r="AP1253" s="44"/>
      <c r="AQ1253" s="44"/>
      <c r="AR1253" s="44"/>
      <c r="AS1253" s="44"/>
      <c r="AT1253" s="44"/>
      <c r="AX1253" s="1"/>
      <c r="AY1253" s="1"/>
      <c r="BC1253" s="1"/>
      <c r="BD1253" s="1"/>
      <c r="BE1253" s="1"/>
      <c r="BF1253" s="1"/>
      <c r="BG1253" s="1"/>
      <c r="BH1253" s="1"/>
      <c r="BI1253" s="1"/>
      <c r="BJ1253" s="1"/>
      <c r="BK1253" s="1"/>
    </row>
    <row r="1254" spans="1:63" s="11" customFormat="1" ht="12" customHeight="1" x14ac:dyDescent="0.2">
      <c r="A1254" s="44" t="s">
        <v>24328</v>
      </c>
      <c r="B1254" s="68">
        <v>17</v>
      </c>
      <c r="C1254" s="44" t="s">
        <v>20</v>
      </c>
      <c r="D1254" s="44" t="s">
        <v>37</v>
      </c>
      <c r="E1254" s="44"/>
      <c r="F1254" s="69">
        <v>42539</v>
      </c>
      <c r="G1254" s="44" t="s">
        <v>24380</v>
      </c>
      <c r="H1254" s="44" t="s">
        <v>18752</v>
      </c>
      <c r="I1254" s="44" t="s">
        <v>45</v>
      </c>
      <c r="J1254" s="44">
        <v>95608</v>
      </c>
      <c r="K1254" s="44" t="s">
        <v>1642</v>
      </c>
      <c r="L1254" s="44" t="s">
        <v>24329</v>
      </c>
      <c r="M1254" s="44" t="s">
        <v>27</v>
      </c>
      <c r="N1254" s="44" t="s">
        <v>24330</v>
      </c>
      <c r="O1254" s="44" t="s">
        <v>400</v>
      </c>
      <c r="P1254" s="44" t="s">
        <v>401</v>
      </c>
      <c r="Q1254" s="44" t="s">
        <v>24331</v>
      </c>
      <c r="R1254" s="44" t="s">
        <v>100</v>
      </c>
      <c r="S1254" s="68" t="s">
        <v>379</v>
      </c>
      <c r="T1254" s="68" t="s">
        <v>379</v>
      </c>
      <c r="U1254" s="68" t="s">
        <v>29436</v>
      </c>
      <c r="V1254" s="68" t="s">
        <v>29437</v>
      </c>
      <c r="W1254" s="68" t="s">
        <v>100</v>
      </c>
      <c r="X1254" s="68">
        <v>1634</v>
      </c>
      <c r="Y1254" s="44"/>
      <c r="Z1254" s="44"/>
      <c r="AA1254" s="44"/>
      <c r="AB1254" s="44"/>
      <c r="AC1254" s="44"/>
      <c r="AD1254" s="44"/>
      <c r="AE1254" s="44"/>
      <c r="AF1254" s="44"/>
      <c r="AG1254" s="44"/>
      <c r="AH1254" s="44"/>
      <c r="AI1254" s="44"/>
      <c r="AJ1254" s="44"/>
      <c r="AK1254" s="44"/>
      <c r="AL1254" s="44"/>
      <c r="AM1254" s="44"/>
      <c r="AN1254" s="44"/>
      <c r="AO1254" s="44"/>
      <c r="AP1254" s="44"/>
      <c r="AQ1254" s="44"/>
      <c r="AR1254" s="44"/>
      <c r="AS1254" s="44"/>
      <c r="AT1254" s="44"/>
      <c r="AW1254" s="70"/>
      <c r="AX1254" s="1"/>
      <c r="AY1254" s="1"/>
      <c r="BC1254" s="1"/>
      <c r="BD1254" s="1"/>
      <c r="BE1254" s="1"/>
      <c r="BF1254" s="1"/>
      <c r="BG1254" s="1"/>
      <c r="BH1254" s="1"/>
      <c r="BI1254" s="1"/>
      <c r="BJ1254" s="1"/>
      <c r="BK1254" s="44"/>
    </row>
    <row r="1255" spans="1:63" s="11" customFormat="1" ht="12" customHeight="1" x14ac:dyDescent="0.15">
      <c r="A1255" s="44" t="s">
        <v>24311</v>
      </c>
      <c r="B1255" s="68">
        <v>36</v>
      </c>
      <c r="C1255" s="44" t="s">
        <v>20</v>
      </c>
      <c r="D1255" s="44" t="s">
        <v>37</v>
      </c>
      <c r="E1255" s="44"/>
      <c r="F1255" s="69">
        <v>42537</v>
      </c>
      <c r="G1255" s="44" t="s">
        <v>24312</v>
      </c>
      <c r="H1255" s="44" t="s">
        <v>5235</v>
      </c>
      <c r="I1255" s="44" t="s">
        <v>854</v>
      </c>
      <c r="J1255" s="44">
        <v>59701</v>
      </c>
      <c r="K1255" s="44" t="s">
        <v>24313</v>
      </c>
      <c r="L1255" s="44" t="s">
        <v>24314</v>
      </c>
      <c r="M1255" s="44" t="s">
        <v>27</v>
      </c>
      <c r="N1255" s="44" t="s">
        <v>24315</v>
      </c>
      <c r="O1255" s="44" t="s">
        <v>400</v>
      </c>
      <c r="P1255" s="44" t="s">
        <v>401</v>
      </c>
      <c r="Q1255" s="44" t="s">
        <v>24316</v>
      </c>
      <c r="R1255" s="11" t="s">
        <v>964</v>
      </c>
      <c r="S1255" s="44" t="s">
        <v>28</v>
      </c>
      <c r="T1255" s="68" t="s">
        <v>27756</v>
      </c>
      <c r="U1255" s="68" t="s">
        <v>29438</v>
      </c>
      <c r="V1255" s="68" t="s">
        <v>29439</v>
      </c>
      <c r="W1255" s="68" t="s">
        <v>555</v>
      </c>
      <c r="X1255" s="68">
        <v>1628</v>
      </c>
      <c r="Y1255" s="44"/>
      <c r="Z1255" s="44"/>
      <c r="AA1255" s="44"/>
      <c r="AB1255" s="44"/>
      <c r="AC1255" s="44"/>
      <c r="AD1255" s="44"/>
      <c r="AE1255" s="44"/>
      <c r="AF1255" s="44"/>
      <c r="AG1255" s="44"/>
      <c r="AH1255" s="44"/>
      <c r="AI1255" s="44"/>
      <c r="AJ1255" s="44"/>
      <c r="AK1255" s="44"/>
      <c r="AL1255" s="44"/>
      <c r="AM1255" s="44"/>
      <c r="AN1255" s="44"/>
      <c r="AO1255" s="44"/>
      <c r="AP1255" s="44"/>
      <c r="AQ1255" s="44"/>
      <c r="AR1255" s="44"/>
      <c r="AS1255" s="44"/>
      <c r="AT1255" s="44"/>
      <c r="AW1255" s="44"/>
      <c r="AX1255" s="1"/>
      <c r="AY1255" s="1"/>
      <c r="BA1255" s="44"/>
      <c r="BB1255" s="44"/>
      <c r="BC1255" s="1"/>
      <c r="BD1255" s="1"/>
      <c r="BE1255" s="1"/>
      <c r="BF1255" s="1"/>
      <c r="BG1255" s="1"/>
      <c r="BH1255" s="1"/>
      <c r="BI1255" s="1"/>
      <c r="BJ1255" s="1"/>
    </row>
    <row r="1256" spans="1:63" s="11" customFormat="1" ht="12" customHeight="1" x14ac:dyDescent="0.15">
      <c r="A1256" s="44" t="s">
        <v>24303</v>
      </c>
      <c r="B1256" s="68">
        <v>21</v>
      </c>
      <c r="C1256" s="44" t="s">
        <v>20</v>
      </c>
      <c r="D1256" s="44" t="s">
        <v>48</v>
      </c>
      <c r="E1256" s="44" t="s">
        <v>24304</v>
      </c>
      <c r="F1256" s="69">
        <v>42537</v>
      </c>
      <c r="G1256" s="44" t="s">
        <v>24305</v>
      </c>
      <c r="H1256" s="44" t="s">
        <v>922</v>
      </c>
      <c r="I1256" s="44" t="s">
        <v>195</v>
      </c>
      <c r="J1256" s="44">
        <v>87121</v>
      </c>
      <c r="K1256" s="44" t="s">
        <v>467</v>
      </c>
      <c r="L1256" s="44" t="s">
        <v>4961</v>
      </c>
      <c r="M1256" s="44" t="s">
        <v>27</v>
      </c>
      <c r="N1256" s="44" t="s">
        <v>24306</v>
      </c>
      <c r="O1256" s="44" t="s">
        <v>400</v>
      </c>
      <c r="P1256" s="44" t="s">
        <v>401</v>
      </c>
      <c r="Q1256" s="44" t="s">
        <v>24307</v>
      </c>
      <c r="R1256" s="44" t="s">
        <v>100</v>
      </c>
      <c r="S1256" s="44" t="s">
        <v>28</v>
      </c>
      <c r="T1256" s="68" t="s">
        <v>27756</v>
      </c>
      <c r="U1256" s="68" t="s">
        <v>29438</v>
      </c>
      <c r="V1256" s="68" t="s">
        <v>29437</v>
      </c>
      <c r="W1256" s="68" t="s">
        <v>100</v>
      </c>
      <c r="X1256" s="68">
        <v>1837</v>
      </c>
      <c r="Y1256" s="44"/>
      <c r="Z1256" s="44"/>
      <c r="AA1256" s="44"/>
      <c r="AB1256" s="44"/>
      <c r="AC1256" s="44"/>
      <c r="AD1256" s="44"/>
      <c r="AE1256" s="44"/>
      <c r="AF1256" s="44"/>
      <c r="AG1256" s="44"/>
      <c r="AH1256" s="44"/>
      <c r="AI1256" s="44"/>
      <c r="AJ1256" s="44"/>
      <c r="AK1256" s="44"/>
      <c r="AL1256" s="44"/>
      <c r="AM1256" s="44"/>
      <c r="AN1256" s="44"/>
      <c r="AO1256" s="44"/>
      <c r="AP1256" s="44"/>
      <c r="AQ1256" s="44"/>
      <c r="AR1256" s="44"/>
      <c r="AS1256" s="44"/>
      <c r="AT1256" s="44"/>
      <c r="AW1256" s="44"/>
      <c r="AX1256" s="1"/>
      <c r="AY1256" s="1"/>
      <c r="BC1256" s="1"/>
      <c r="BD1256" s="1"/>
      <c r="BE1256" s="1"/>
      <c r="BF1256" s="1"/>
      <c r="BG1256" s="1"/>
      <c r="BH1256" s="1"/>
      <c r="BI1256" s="1"/>
      <c r="BJ1256" s="1"/>
    </row>
    <row r="1257" spans="1:63" s="11" customFormat="1" ht="12" customHeight="1" x14ac:dyDescent="0.15">
      <c r="A1257" s="44" t="s">
        <v>24376</v>
      </c>
      <c r="B1257" s="68">
        <v>30</v>
      </c>
      <c r="C1257" s="44" t="s">
        <v>20</v>
      </c>
      <c r="D1257" s="68" t="s">
        <v>48</v>
      </c>
      <c r="E1257" s="44"/>
      <c r="F1257" s="69">
        <v>42537</v>
      </c>
      <c r="G1257" s="44" t="s">
        <v>24308</v>
      </c>
      <c r="H1257" s="44" t="s">
        <v>11741</v>
      </c>
      <c r="I1257" s="44" t="s">
        <v>209</v>
      </c>
      <c r="J1257" s="44">
        <v>80030</v>
      </c>
      <c r="K1257" s="44" t="s">
        <v>1924</v>
      </c>
      <c r="L1257" s="44" t="s">
        <v>23257</v>
      </c>
      <c r="M1257" s="44" t="s">
        <v>27</v>
      </c>
      <c r="N1257" s="44" t="s">
        <v>24309</v>
      </c>
      <c r="O1257" s="44" t="s">
        <v>400</v>
      </c>
      <c r="P1257" s="44" t="s">
        <v>401</v>
      </c>
      <c r="Q1257" s="44" t="s">
        <v>24310</v>
      </c>
      <c r="R1257" s="44" t="s">
        <v>100</v>
      </c>
      <c r="S1257" s="44" t="s">
        <v>379</v>
      </c>
      <c r="T1257" s="68" t="s">
        <v>379</v>
      </c>
      <c r="U1257" s="68" t="s">
        <v>29438</v>
      </c>
      <c r="V1257" s="68" t="s">
        <v>29437</v>
      </c>
      <c r="W1257" s="68" t="s">
        <v>100</v>
      </c>
      <c r="X1257" s="68">
        <v>1629</v>
      </c>
      <c r="Y1257" s="44"/>
      <c r="Z1257" s="44"/>
      <c r="AA1257" s="44"/>
      <c r="AB1257" s="44"/>
      <c r="AC1257" s="44"/>
      <c r="AD1257" s="44"/>
      <c r="AE1257" s="44"/>
      <c r="AF1257" s="44"/>
      <c r="AG1257" s="44"/>
      <c r="AH1257" s="44"/>
      <c r="AI1257" s="44"/>
      <c r="AJ1257" s="44"/>
      <c r="AK1257" s="44"/>
      <c r="AL1257" s="44"/>
      <c r="AM1257" s="44"/>
      <c r="AN1257" s="44"/>
      <c r="AO1257" s="44"/>
      <c r="AP1257" s="44"/>
      <c r="AQ1257" s="44"/>
      <c r="AR1257" s="44"/>
      <c r="AS1257" s="44"/>
      <c r="AT1257" s="44"/>
      <c r="AX1257" s="1"/>
      <c r="AY1257" s="1"/>
      <c r="BC1257" s="1"/>
      <c r="BD1257" s="1"/>
      <c r="BE1257" s="1"/>
      <c r="BF1257" s="1"/>
      <c r="BG1257" s="1"/>
      <c r="BH1257" s="1"/>
      <c r="BI1257" s="1"/>
      <c r="BJ1257" s="1"/>
      <c r="BK1257" s="44"/>
    </row>
    <row r="1258" spans="1:63" s="11" customFormat="1" ht="12" customHeight="1" x14ac:dyDescent="0.2">
      <c r="A1258" s="44" t="s">
        <v>24317</v>
      </c>
      <c r="B1258" s="44">
        <v>59</v>
      </c>
      <c r="C1258" s="44" t="s">
        <v>20</v>
      </c>
      <c r="D1258" s="44" t="s">
        <v>37</v>
      </c>
      <c r="E1258" s="44"/>
      <c r="F1258" s="69">
        <v>42537</v>
      </c>
      <c r="G1258" s="44" t="s">
        <v>24318</v>
      </c>
      <c r="H1258" s="44" t="s">
        <v>24319</v>
      </c>
      <c r="I1258" s="44" t="s">
        <v>69</v>
      </c>
      <c r="J1258" s="44">
        <v>43543</v>
      </c>
      <c r="K1258" s="44" t="s">
        <v>15816</v>
      </c>
      <c r="L1258" s="44" t="s">
        <v>24320</v>
      </c>
      <c r="M1258" s="44" t="s">
        <v>27</v>
      </c>
      <c r="N1258" s="44" t="s">
        <v>24321</v>
      </c>
      <c r="O1258" s="44" t="s">
        <v>400</v>
      </c>
      <c r="P1258" s="44" t="s">
        <v>401</v>
      </c>
      <c r="Q1258" s="44" t="s">
        <v>24322</v>
      </c>
      <c r="R1258" s="68" t="s">
        <v>555</v>
      </c>
      <c r="S1258" s="44" t="s">
        <v>28</v>
      </c>
      <c r="T1258" s="68" t="s">
        <v>27756</v>
      </c>
      <c r="U1258" s="68" t="s">
        <v>29436</v>
      </c>
      <c r="V1258" s="68" t="s">
        <v>29439</v>
      </c>
      <c r="W1258" s="68" t="s">
        <v>100</v>
      </c>
      <c r="X1258" s="68">
        <v>1630</v>
      </c>
      <c r="Y1258" s="44"/>
      <c r="Z1258" s="44"/>
      <c r="AA1258" s="44"/>
      <c r="AB1258" s="44"/>
      <c r="AC1258" s="44"/>
      <c r="AD1258" s="44"/>
      <c r="AE1258" s="44"/>
      <c r="AF1258" s="44"/>
      <c r="AG1258" s="44"/>
      <c r="AH1258" s="44"/>
      <c r="AI1258" s="44"/>
      <c r="AJ1258" s="44"/>
      <c r="AK1258" s="44"/>
      <c r="AL1258" s="44"/>
      <c r="AM1258" s="44"/>
      <c r="AN1258" s="44"/>
      <c r="AO1258" s="44"/>
      <c r="AP1258" s="44"/>
      <c r="AQ1258" s="44"/>
      <c r="AR1258" s="44"/>
      <c r="AS1258" s="44"/>
      <c r="AT1258" s="44"/>
      <c r="AW1258" s="1"/>
      <c r="AX1258" s="1"/>
      <c r="AY1258" s="1"/>
      <c r="BA1258" s="70"/>
      <c r="BB1258" s="44"/>
      <c r="BC1258" s="1"/>
      <c r="BD1258" s="1"/>
      <c r="BE1258" s="1"/>
      <c r="BF1258" s="1"/>
      <c r="BG1258" s="1"/>
      <c r="BH1258" s="1"/>
      <c r="BI1258" s="1"/>
      <c r="BJ1258" s="1"/>
    </row>
    <row r="1259" spans="1:63" s="11" customFormat="1" ht="12" customHeight="1" x14ac:dyDescent="0.15">
      <c r="A1259" s="44" t="s">
        <v>24294</v>
      </c>
      <c r="B1259" s="68">
        <v>43</v>
      </c>
      <c r="C1259" s="44" t="s">
        <v>20</v>
      </c>
      <c r="D1259" s="44" t="s">
        <v>37</v>
      </c>
      <c r="E1259" s="44" t="s">
        <v>24295</v>
      </c>
      <c r="F1259" s="69">
        <v>42536</v>
      </c>
      <c r="G1259" s="44" t="s">
        <v>24381</v>
      </c>
      <c r="H1259" s="44" t="s">
        <v>2487</v>
      </c>
      <c r="I1259" s="44" t="s">
        <v>395</v>
      </c>
      <c r="J1259" s="44">
        <v>74115</v>
      </c>
      <c r="K1259" s="44" t="s">
        <v>2487</v>
      </c>
      <c r="L1259" s="44" t="s">
        <v>3379</v>
      </c>
      <c r="M1259" s="44" t="s">
        <v>27</v>
      </c>
      <c r="N1259" s="44" t="s">
        <v>24296</v>
      </c>
      <c r="O1259" s="44" t="s">
        <v>400</v>
      </c>
      <c r="P1259" s="44" t="s">
        <v>401</v>
      </c>
      <c r="Q1259" s="44" t="s">
        <v>24297</v>
      </c>
      <c r="R1259" s="44" t="s">
        <v>100</v>
      </c>
      <c r="S1259" s="44" t="s">
        <v>379</v>
      </c>
      <c r="T1259" s="68" t="s">
        <v>379</v>
      </c>
      <c r="U1259" s="68" t="s">
        <v>29438</v>
      </c>
      <c r="V1259" s="68" t="s">
        <v>29437</v>
      </c>
      <c r="W1259" s="68" t="s">
        <v>100</v>
      </c>
      <c r="X1259" s="68">
        <v>1626</v>
      </c>
      <c r="Y1259" s="44"/>
      <c r="Z1259" s="44"/>
      <c r="AA1259" s="44"/>
      <c r="AB1259" s="44"/>
      <c r="AC1259" s="44"/>
      <c r="AD1259" s="44"/>
      <c r="AE1259" s="44"/>
      <c r="AF1259" s="44"/>
      <c r="AG1259" s="44"/>
      <c r="AH1259" s="44"/>
      <c r="AI1259" s="44"/>
      <c r="AJ1259" s="44"/>
      <c r="AK1259" s="44"/>
      <c r="AL1259" s="44"/>
      <c r="AM1259" s="44"/>
      <c r="AN1259" s="44"/>
      <c r="AO1259" s="44"/>
      <c r="AP1259" s="44"/>
      <c r="AQ1259" s="44"/>
      <c r="AR1259" s="44"/>
      <c r="AS1259" s="44"/>
      <c r="AT1259" s="44"/>
      <c r="AW1259" s="1"/>
      <c r="AX1259" s="1"/>
      <c r="AY1259" s="1"/>
      <c r="BC1259" s="1"/>
      <c r="BD1259" s="1"/>
      <c r="BE1259" s="1"/>
      <c r="BF1259" s="1"/>
      <c r="BG1259" s="1"/>
      <c r="BH1259" s="1"/>
      <c r="BI1259" s="1"/>
      <c r="BJ1259" s="1"/>
      <c r="BK1259" s="44"/>
    </row>
    <row r="1260" spans="1:63" s="11" customFormat="1" ht="12" customHeight="1" x14ac:dyDescent="0.15">
      <c r="A1260" s="44" t="s">
        <v>24298</v>
      </c>
      <c r="B1260" s="68">
        <v>38</v>
      </c>
      <c r="C1260" s="44" t="s">
        <v>20</v>
      </c>
      <c r="D1260" s="44" t="s">
        <v>37</v>
      </c>
      <c r="E1260" s="44" t="s">
        <v>26267</v>
      </c>
      <c r="F1260" s="69">
        <v>42536</v>
      </c>
      <c r="G1260" s="44" t="s">
        <v>24299</v>
      </c>
      <c r="H1260" s="44" t="s">
        <v>24300</v>
      </c>
      <c r="I1260" s="44" t="s">
        <v>438</v>
      </c>
      <c r="J1260" s="44">
        <v>54156</v>
      </c>
      <c r="K1260" s="44" t="s">
        <v>15654</v>
      </c>
      <c r="L1260" s="44" t="s">
        <v>15655</v>
      </c>
      <c r="M1260" s="44" t="s">
        <v>27</v>
      </c>
      <c r="N1260" s="44" t="s">
        <v>24301</v>
      </c>
      <c r="O1260" s="44" t="s">
        <v>400</v>
      </c>
      <c r="P1260" s="44" t="s">
        <v>401</v>
      </c>
      <c r="Q1260" s="44" t="s">
        <v>24302</v>
      </c>
      <c r="R1260" s="68" t="s">
        <v>555</v>
      </c>
      <c r="S1260" s="44" t="s">
        <v>28</v>
      </c>
      <c r="T1260" s="68" t="s">
        <v>27756</v>
      </c>
      <c r="U1260" s="68" t="s">
        <v>29438</v>
      </c>
      <c r="V1260" s="68" t="s">
        <v>29437</v>
      </c>
      <c r="W1260" s="68" t="s">
        <v>100</v>
      </c>
      <c r="X1260" s="68">
        <v>1627</v>
      </c>
      <c r="Y1260" s="44"/>
      <c r="Z1260" s="44"/>
      <c r="AA1260" s="44"/>
      <c r="AB1260" s="44"/>
      <c r="AC1260" s="44"/>
      <c r="AD1260" s="44"/>
      <c r="AE1260" s="44"/>
      <c r="AF1260" s="44"/>
      <c r="AG1260" s="44"/>
      <c r="AH1260" s="44"/>
      <c r="AI1260" s="44"/>
      <c r="AJ1260" s="44"/>
      <c r="AK1260" s="44"/>
      <c r="AL1260" s="44"/>
      <c r="AM1260" s="44"/>
      <c r="AN1260" s="44"/>
      <c r="AO1260" s="44"/>
      <c r="AP1260" s="44"/>
      <c r="AQ1260" s="44"/>
      <c r="AR1260" s="44"/>
      <c r="AS1260" s="44"/>
      <c r="AT1260" s="44"/>
      <c r="AW1260" s="44"/>
      <c r="AX1260" s="1"/>
      <c r="AY1260" s="1"/>
      <c r="BA1260" s="44"/>
      <c r="BC1260" s="1"/>
      <c r="BD1260" s="1"/>
      <c r="BE1260" s="1"/>
      <c r="BF1260" s="1"/>
      <c r="BG1260" s="1"/>
      <c r="BH1260" s="1"/>
      <c r="BI1260" s="1"/>
      <c r="BJ1260" s="1"/>
    </row>
    <row r="1261" spans="1:63" s="11" customFormat="1" ht="12" customHeight="1" x14ac:dyDescent="0.15">
      <c r="A1261" s="44" t="s">
        <v>24274</v>
      </c>
      <c r="B1261" s="68">
        <v>50</v>
      </c>
      <c r="C1261" s="44" t="s">
        <v>20</v>
      </c>
      <c r="D1261" s="44" t="s">
        <v>48</v>
      </c>
      <c r="E1261" s="44" t="s">
        <v>24275</v>
      </c>
      <c r="F1261" s="69">
        <v>42535</v>
      </c>
      <c r="G1261" s="44" t="s">
        <v>24276</v>
      </c>
      <c r="H1261" s="44" t="s">
        <v>4238</v>
      </c>
      <c r="I1261" s="44" t="s">
        <v>790</v>
      </c>
      <c r="J1261" s="44">
        <v>83704</v>
      </c>
      <c r="K1261" s="44" t="s">
        <v>4240</v>
      </c>
      <c r="L1261" s="44" t="s">
        <v>4241</v>
      </c>
      <c r="M1261" s="44" t="s">
        <v>27</v>
      </c>
      <c r="N1261" s="44" t="s">
        <v>24277</v>
      </c>
      <c r="O1261" s="44" t="s">
        <v>400</v>
      </c>
      <c r="P1261" s="44" t="s">
        <v>401</v>
      </c>
      <c r="Q1261" s="44" t="s">
        <v>24278</v>
      </c>
      <c r="R1261" s="11" t="s">
        <v>964</v>
      </c>
      <c r="S1261" s="44" t="s">
        <v>379</v>
      </c>
      <c r="T1261" s="68" t="s">
        <v>379</v>
      </c>
      <c r="U1261" s="68" t="s">
        <v>29436</v>
      </c>
      <c r="V1261" s="68" t="s">
        <v>29437</v>
      </c>
      <c r="W1261" s="68" t="s">
        <v>555</v>
      </c>
      <c r="X1261" s="68">
        <v>1618</v>
      </c>
      <c r="Y1261" s="44"/>
      <c r="Z1261" s="44"/>
      <c r="AA1261" s="44"/>
      <c r="AB1261" s="44"/>
      <c r="AC1261" s="44"/>
      <c r="AD1261" s="44"/>
      <c r="AE1261" s="44"/>
      <c r="AF1261" s="44"/>
      <c r="AG1261" s="44"/>
      <c r="AH1261" s="44"/>
      <c r="AI1261" s="44"/>
      <c r="AJ1261" s="44"/>
      <c r="AK1261" s="44"/>
      <c r="AL1261" s="44"/>
      <c r="AM1261" s="44"/>
      <c r="AN1261" s="44"/>
      <c r="AO1261" s="44"/>
      <c r="AP1261" s="44"/>
      <c r="AQ1261" s="44"/>
      <c r="AR1261" s="44"/>
      <c r="AS1261" s="44"/>
      <c r="AT1261" s="44"/>
      <c r="AW1261" s="1"/>
      <c r="AX1261" s="1"/>
      <c r="AY1261" s="1"/>
      <c r="BA1261" s="44"/>
      <c r="BB1261" s="44"/>
      <c r="BC1261" s="1"/>
      <c r="BD1261" s="1"/>
      <c r="BE1261" s="1"/>
      <c r="BF1261" s="1"/>
      <c r="BG1261" s="1"/>
      <c r="BH1261" s="1"/>
      <c r="BI1261" s="1"/>
      <c r="BJ1261" s="1"/>
      <c r="BK1261" s="44"/>
    </row>
    <row r="1262" spans="1:63" s="11" customFormat="1" ht="12" customHeight="1" x14ac:dyDescent="0.15">
      <c r="A1262" s="44" t="s">
        <v>24289</v>
      </c>
      <c r="B1262" s="68">
        <v>54</v>
      </c>
      <c r="C1262" s="44" t="s">
        <v>20</v>
      </c>
      <c r="D1262" s="44" t="s">
        <v>85</v>
      </c>
      <c r="E1262" s="44" t="s">
        <v>24290</v>
      </c>
      <c r="F1262" s="69">
        <v>42535</v>
      </c>
      <c r="G1262" s="44" t="s">
        <v>24291</v>
      </c>
      <c r="H1262" s="44" t="s">
        <v>127</v>
      </c>
      <c r="I1262" s="44" t="s">
        <v>73</v>
      </c>
      <c r="J1262" s="44">
        <v>79110</v>
      </c>
      <c r="K1262" s="44" t="s">
        <v>128</v>
      </c>
      <c r="L1262" s="44" t="s">
        <v>15497</v>
      </c>
      <c r="M1262" s="44" t="s">
        <v>27</v>
      </c>
      <c r="N1262" s="44" t="s">
        <v>24292</v>
      </c>
      <c r="O1262" s="44" t="s">
        <v>400</v>
      </c>
      <c r="P1262" s="44" t="s">
        <v>401</v>
      </c>
      <c r="Q1262" s="44" t="s">
        <v>24293</v>
      </c>
      <c r="R1262" s="44" t="s">
        <v>100</v>
      </c>
      <c r="S1262" s="44" t="s">
        <v>28</v>
      </c>
      <c r="T1262" s="68" t="s">
        <v>27756</v>
      </c>
      <c r="U1262" s="68" t="s">
        <v>29438</v>
      </c>
      <c r="V1262" s="68" t="s">
        <v>29439</v>
      </c>
      <c r="W1262" s="68" t="s">
        <v>100</v>
      </c>
      <c r="X1262" s="68">
        <v>1624</v>
      </c>
      <c r="Y1262" s="44"/>
      <c r="Z1262" s="44"/>
      <c r="AA1262" s="44"/>
      <c r="AB1262" s="44"/>
      <c r="AC1262" s="44"/>
      <c r="AD1262" s="44"/>
      <c r="AE1262" s="44"/>
      <c r="AF1262" s="44"/>
      <c r="AG1262" s="44"/>
      <c r="AH1262" s="44"/>
      <c r="AI1262" s="44"/>
      <c r="AJ1262" s="44"/>
      <c r="AK1262" s="44"/>
      <c r="AL1262" s="44"/>
      <c r="AM1262" s="44"/>
      <c r="AN1262" s="44"/>
      <c r="AO1262" s="44"/>
      <c r="AP1262" s="44"/>
      <c r="AQ1262" s="44"/>
      <c r="AR1262" s="44"/>
      <c r="AS1262" s="44"/>
      <c r="AT1262" s="44"/>
      <c r="AW1262" s="1"/>
      <c r="AX1262" s="44"/>
      <c r="AY1262" s="44"/>
    </row>
    <row r="1263" spans="1:63" s="11" customFormat="1" ht="12" customHeight="1" x14ac:dyDescent="0.15">
      <c r="A1263" s="44" t="s">
        <v>24284</v>
      </c>
      <c r="B1263" s="68">
        <v>47</v>
      </c>
      <c r="C1263" s="44" t="s">
        <v>20</v>
      </c>
      <c r="D1263" s="44" t="s">
        <v>37</v>
      </c>
      <c r="E1263" s="44"/>
      <c r="F1263" s="69">
        <v>42535</v>
      </c>
      <c r="G1263" s="44" t="s">
        <v>24285</v>
      </c>
      <c r="H1263" s="44" t="s">
        <v>795</v>
      </c>
      <c r="I1263" s="44" t="s">
        <v>431</v>
      </c>
      <c r="J1263" s="44">
        <v>64076</v>
      </c>
      <c r="K1263" s="44" t="s">
        <v>11370</v>
      </c>
      <c r="L1263" s="44" t="s">
        <v>24286</v>
      </c>
      <c r="M1263" s="44" t="s">
        <v>27</v>
      </c>
      <c r="N1263" s="44" t="s">
        <v>24287</v>
      </c>
      <c r="O1263" s="44" t="s">
        <v>400</v>
      </c>
      <c r="P1263" s="44" t="s">
        <v>401</v>
      </c>
      <c r="Q1263" s="44" t="s">
        <v>24288</v>
      </c>
      <c r="R1263" s="44" t="s">
        <v>100</v>
      </c>
      <c r="S1263" s="44" t="s">
        <v>28</v>
      </c>
      <c r="T1263" s="68" t="s">
        <v>27756</v>
      </c>
      <c r="U1263" s="68" t="s">
        <v>29438</v>
      </c>
      <c r="V1263" s="68" t="s">
        <v>29439</v>
      </c>
      <c r="W1263" s="68" t="s">
        <v>100</v>
      </c>
      <c r="X1263" s="68">
        <v>1622</v>
      </c>
      <c r="Y1263" s="44"/>
      <c r="Z1263" s="44"/>
      <c r="AA1263" s="44"/>
      <c r="AB1263" s="44"/>
      <c r="AC1263" s="44"/>
      <c r="AD1263" s="44"/>
      <c r="AE1263" s="44"/>
      <c r="AF1263" s="44"/>
      <c r="AG1263" s="44"/>
      <c r="AH1263" s="44"/>
      <c r="AI1263" s="44"/>
      <c r="AJ1263" s="44"/>
      <c r="AK1263" s="44"/>
      <c r="AL1263" s="44"/>
      <c r="AM1263" s="44"/>
      <c r="AN1263" s="44"/>
      <c r="AO1263" s="44"/>
      <c r="AP1263" s="44"/>
      <c r="AQ1263" s="44"/>
      <c r="AR1263" s="44"/>
      <c r="AS1263" s="44"/>
      <c r="AT1263" s="44"/>
      <c r="AW1263" s="1"/>
      <c r="AX1263" s="1"/>
      <c r="AY1263" s="1"/>
      <c r="BC1263" s="1"/>
      <c r="BD1263" s="1"/>
      <c r="BE1263" s="1"/>
      <c r="BF1263" s="1"/>
      <c r="BG1263" s="1"/>
      <c r="BH1263" s="1"/>
      <c r="BI1263" s="1"/>
      <c r="BJ1263" s="1"/>
    </row>
    <row r="1264" spans="1:63" s="11" customFormat="1" ht="12" customHeight="1" x14ac:dyDescent="0.15">
      <c r="A1264" s="44" t="s">
        <v>24279</v>
      </c>
      <c r="B1264" s="68">
        <v>22</v>
      </c>
      <c r="C1264" s="44" t="s">
        <v>20</v>
      </c>
      <c r="D1264" s="44" t="s">
        <v>48</v>
      </c>
      <c r="E1264" s="44"/>
      <c r="F1264" s="69">
        <v>42535</v>
      </c>
      <c r="G1264" s="44" t="s">
        <v>24280</v>
      </c>
      <c r="H1264" s="44" t="s">
        <v>6031</v>
      </c>
      <c r="I1264" s="44" t="s">
        <v>45</v>
      </c>
      <c r="J1264" s="44">
        <v>91914</v>
      </c>
      <c r="K1264" s="44" t="s">
        <v>156</v>
      </c>
      <c r="L1264" s="44" t="s">
        <v>24281</v>
      </c>
      <c r="M1264" s="44" t="s">
        <v>27</v>
      </c>
      <c r="N1264" s="44" t="s">
        <v>24282</v>
      </c>
      <c r="O1264" s="44" t="s">
        <v>400</v>
      </c>
      <c r="P1264" s="44" t="s">
        <v>401</v>
      </c>
      <c r="Q1264" s="44" t="s">
        <v>24283</v>
      </c>
      <c r="R1264" s="44" t="s">
        <v>100</v>
      </c>
      <c r="S1264" s="44" t="s">
        <v>35</v>
      </c>
      <c r="T1264" s="66" t="s">
        <v>29441</v>
      </c>
      <c r="U1264" s="68" t="s">
        <v>29438</v>
      </c>
      <c r="V1264" s="68" t="s">
        <v>29439</v>
      </c>
      <c r="W1264" s="68" t="s">
        <v>100</v>
      </c>
      <c r="X1264" s="68">
        <v>1625</v>
      </c>
      <c r="Y1264" s="44"/>
      <c r="Z1264" s="44"/>
      <c r="AA1264" s="44"/>
      <c r="AB1264" s="44"/>
      <c r="AC1264" s="44"/>
      <c r="AD1264" s="44"/>
      <c r="AE1264" s="44"/>
      <c r="AF1264" s="44"/>
      <c r="AG1264" s="44"/>
      <c r="AH1264" s="44"/>
      <c r="AI1264" s="44"/>
      <c r="AJ1264" s="44"/>
      <c r="AK1264" s="44"/>
      <c r="AL1264" s="44"/>
      <c r="AM1264" s="44"/>
      <c r="AN1264" s="44"/>
      <c r="AO1264" s="44"/>
      <c r="AP1264" s="44"/>
      <c r="AQ1264" s="44"/>
      <c r="AR1264" s="44"/>
      <c r="AS1264" s="44"/>
      <c r="AT1264" s="44"/>
      <c r="AW1264" s="44"/>
      <c r="AX1264" s="1"/>
      <c r="AY1264" s="1"/>
      <c r="BA1264" s="44"/>
      <c r="BC1264" s="1"/>
      <c r="BD1264" s="1"/>
      <c r="BE1264" s="1"/>
      <c r="BF1264" s="1"/>
      <c r="BG1264" s="1"/>
      <c r="BH1264" s="1"/>
      <c r="BI1264" s="1"/>
      <c r="BJ1264" s="1"/>
      <c r="BK1264" s="1"/>
    </row>
    <row r="1265" spans="1:63" s="11" customFormat="1" ht="12" customHeight="1" x14ac:dyDescent="0.2">
      <c r="A1265" s="44" t="s">
        <v>24246</v>
      </c>
      <c r="B1265" s="68">
        <v>18</v>
      </c>
      <c r="C1265" s="44" t="s">
        <v>20</v>
      </c>
      <c r="D1265" s="44" t="s">
        <v>85</v>
      </c>
      <c r="E1265" s="44"/>
      <c r="F1265" s="69">
        <v>42534</v>
      </c>
      <c r="G1265" s="44" t="s">
        <v>24247</v>
      </c>
      <c r="H1265" s="44" t="s">
        <v>13964</v>
      </c>
      <c r="I1265" s="44" t="s">
        <v>94</v>
      </c>
      <c r="J1265" s="44">
        <v>36617</v>
      </c>
      <c r="K1265" s="44" t="s">
        <v>13964</v>
      </c>
      <c r="L1265" s="44" t="s">
        <v>14288</v>
      </c>
      <c r="M1265" s="44" t="s">
        <v>27</v>
      </c>
      <c r="N1265" s="44" t="s">
        <v>24248</v>
      </c>
      <c r="O1265" s="44" t="s">
        <v>400</v>
      </c>
      <c r="P1265" s="44" t="s">
        <v>401</v>
      </c>
      <c r="Q1265" s="44" t="s">
        <v>24249</v>
      </c>
      <c r="R1265" s="44" t="s">
        <v>100</v>
      </c>
      <c r="S1265" s="44" t="s">
        <v>28</v>
      </c>
      <c r="T1265" s="68" t="s">
        <v>27756</v>
      </c>
      <c r="U1265" s="68" t="s">
        <v>29436</v>
      </c>
      <c r="V1265" s="68" t="s">
        <v>29439</v>
      </c>
      <c r="W1265" s="68" t="s">
        <v>100</v>
      </c>
      <c r="X1265" s="68">
        <v>1620</v>
      </c>
      <c r="Y1265" s="44"/>
      <c r="Z1265" s="44"/>
      <c r="AA1265" s="44"/>
      <c r="AB1265" s="44"/>
      <c r="AC1265" s="44"/>
      <c r="AD1265" s="44"/>
      <c r="AE1265" s="44"/>
      <c r="AF1265" s="44"/>
      <c r="AG1265" s="44"/>
      <c r="AH1265" s="44"/>
      <c r="AI1265" s="44"/>
      <c r="AJ1265" s="44"/>
      <c r="AK1265" s="44"/>
      <c r="AL1265" s="44"/>
      <c r="AM1265" s="44"/>
      <c r="AN1265" s="44"/>
      <c r="AO1265" s="44"/>
      <c r="AP1265" s="44"/>
      <c r="AQ1265" s="44"/>
      <c r="AR1265" s="44"/>
      <c r="AS1265" s="44"/>
      <c r="AT1265" s="44"/>
      <c r="AW1265" s="70"/>
      <c r="AX1265" s="70"/>
      <c r="AY1265" s="70"/>
    </row>
    <row r="1266" spans="1:63" s="11" customFormat="1" ht="12" customHeight="1" x14ac:dyDescent="0.15">
      <c r="A1266" s="44" t="s">
        <v>24250</v>
      </c>
      <c r="B1266" s="44">
        <v>38</v>
      </c>
      <c r="C1266" s="44" t="s">
        <v>20</v>
      </c>
      <c r="D1266" s="44" t="s">
        <v>85</v>
      </c>
      <c r="E1266" s="44" t="s">
        <v>24251</v>
      </c>
      <c r="F1266" s="72">
        <v>42534</v>
      </c>
      <c r="G1266" s="44" t="s">
        <v>24252</v>
      </c>
      <c r="H1266" s="44" t="s">
        <v>24253</v>
      </c>
      <c r="I1266" s="44" t="s">
        <v>57</v>
      </c>
      <c r="J1266" s="44">
        <v>49508</v>
      </c>
      <c r="K1266" s="44" t="s">
        <v>2534</v>
      </c>
      <c r="L1266" s="44" t="s">
        <v>18875</v>
      </c>
      <c r="M1266" s="44" t="s">
        <v>27</v>
      </c>
      <c r="N1266" s="44" t="s">
        <v>24254</v>
      </c>
      <c r="O1266" s="44" t="s">
        <v>400</v>
      </c>
      <c r="P1266" s="44" t="s">
        <v>401</v>
      </c>
      <c r="Q1266" s="44" t="s">
        <v>24255</v>
      </c>
      <c r="R1266" s="44" t="s">
        <v>100</v>
      </c>
      <c r="S1266" s="44" t="s">
        <v>28</v>
      </c>
      <c r="T1266" s="68"/>
      <c r="U1266" s="68"/>
      <c r="V1266" s="68"/>
      <c r="W1266" s="68"/>
      <c r="X1266" s="68"/>
      <c r="Y1266" s="44"/>
      <c r="Z1266" s="44"/>
      <c r="AA1266" s="44"/>
      <c r="AB1266" s="44"/>
      <c r="AC1266" s="44"/>
      <c r="AD1266" s="44"/>
      <c r="AE1266" s="44"/>
      <c r="AF1266" s="44"/>
      <c r="AG1266" s="44"/>
      <c r="AH1266" s="44"/>
      <c r="AI1266" s="44"/>
      <c r="AJ1266" s="44"/>
      <c r="AK1266" s="44"/>
      <c r="AL1266" s="44"/>
      <c r="AM1266" s="44"/>
      <c r="AN1266" s="44"/>
      <c r="AO1266" s="44"/>
      <c r="AP1266" s="44"/>
      <c r="AQ1266" s="44"/>
      <c r="AR1266" s="44"/>
      <c r="AS1266" s="44"/>
      <c r="AT1266" s="44"/>
      <c r="AW1266" s="1"/>
      <c r="AX1266" s="44"/>
      <c r="AY1266" s="44"/>
      <c r="AZ1266" s="1"/>
      <c r="BA1266" s="1"/>
      <c r="BB1266" s="1"/>
    </row>
    <row r="1267" spans="1:63" s="11" customFormat="1" ht="12" customHeight="1" x14ac:dyDescent="0.15">
      <c r="A1267" s="44" t="s">
        <v>24261</v>
      </c>
      <c r="B1267" s="68">
        <v>80</v>
      </c>
      <c r="C1267" s="44" t="s">
        <v>20</v>
      </c>
      <c r="D1267" s="44" t="s">
        <v>48</v>
      </c>
      <c r="E1267" s="44" t="s">
        <v>24262</v>
      </c>
      <c r="F1267" s="69">
        <v>42534</v>
      </c>
      <c r="G1267" s="44" t="s">
        <v>24263</v>
      </c>
      <c r="H1267" s="44" t="s">
        <v>24264</v>
      </c>
      <c r="I1267" s="44" t="s">
        <v>472</v>
      </c>
      <c r="J1267" s="44">
        <v>2878</v>
      </c>
      <c r="K1267" s="44" t="s">
        <v>24265</v>
      </c>
      <c r="L1267" s="44" t="s">
        <v>24266</v>
      </c>
      <c r="M1267" s="44" t="s">
        <v>27</v>
      </c>
      <c r="N1267" s="44" t="s">
        <v>24267</v>
      </c>
      <c r="O1267" s="44" t="s">
        <v>400</v>
      </c>
      <c r="P1267" s="44" t="s">
        <v>401</v>
      </c>
      <c r="Q1267" s="44" t="s">
        <v>24268</v>
      </c>
      <c r="R1267" s="44" t="s">
        <v>100</v>
      </c>
      <c r="S1267" s="44" t="s">
        <v>28</v>
      </c>
      <c r="T1267" s="68" t="s">
        <v>27756</v>
      </c>
      <c r="U1267" s="68" t="s">
        <v>29438</v>
      </c>
      <c r="V1267" s="68" t="s">
        <v>29437</v>
      </c>
      <c r="W1267" s="68" t="s">
        <v>100</v>
      </c>
      <c r="X1267" s="68">
        <v>1621</v>
      </c>
      <c r="Y1267" s="44"/>
      <c r="Z1267" s="44"/>
      <c r="AA1267" s="44"/>
      <c r="AB1267" s="44"/>
      <c r="AC1267" s="44"/>
      <c r="AD1267" s="44"/>
      <c r="AE1267" s="44"/>
      <c r="AF1267" s="44"/>
      <c r="AG1267" s="44"/>
      <c r="AH1267" s="44"/>
      <c r="AI1267" s="44"/>
      <c r="AJ1267" s="44"/>
      <c r="AK1267" s="44"/>
      <c r="AL1267" s="44"/>
      <c r="AM1267" s="44"/>
      <c r="AN1267" s="44"/>
      <c r="AO1267" s="44"/>
      <c r="AP1267" s="44"/>
      <c r="AQ1267" s="44"/>
      <c r="AR1267" s="44"/>
      <c r="AS1267" s="44"/>
      <c r="AT1267" s="44"/>
      <c r="AW1267" s="1"/>
      <c r="AX1267" s="1"/>
      <c r="AY1267" s="1"/>
      <c r="BC1267" s="1"/>
      <c r="BD1267" s="1"/>
      <c r="BE1267" s="1"/>
      <c r="BF1267" s="1"/>
      <c r="BG1267" s="1"/>
      <c r="BH1267" s="1"/>
      <c r="BI1267" s="1"/>
      <c r="BJ1267" s="1"/>
    </row>
    <row r="1268" spans="1:63" s="11" customFormat="1" ht="12" customHeight="1" x14ac:dyDescent="0.15">
      <c r="A1268" s="44" t="s">
        <v>24256</v>
      </c>
      <c r="B1268" s="68">
        <v>33</v>
      </c>
      <c r="C1268" s="44" t="s">
        <v>20</v>
      </c>
      <c r="D1268" s="44" t="s">
        <v>37</v>
      </c>
      <c r="E1268" s="44" t="s">
        <v>24257</v>
      </c>
      <c r="F1268" s="69">
        <v>42534</v>
      </c>
      <c r="G1268" s="44" t="s">
        <v>24258</v>
      </c>
      <c r="H1268" s="44" t="s">
        <v>16930</v>
      </c>
      <c r="I1268" s="44" t="s">
        <v>423</v>
      </c>
      <c r="J1268" s="44">
        <v>12303</v>
      </c>
      <c r="K1268" s="44" t="s">
        <v>16930</v>
      </c>
      <c r="L1268" s="44" t="s">
        <v>16932</v>
      </c>
      <c r="M1268" s="44" t="s">
        <v>27</v>
      </c>
      <c r="N1268" s="44" t="s">
        <v>24259</v>
      </c>
      <c r="O1268" s="44" t="s">
        <v>400</v>
      </c>
      <c r="P1268" s="44" t="s">
        <v>401</v>
      </c>
      <c r="Q1268" s="44" t="s">
        <v>24260</v>
      </c>
      <c r="R1268" s="44" t="s">
        <v>100</v>
      </c>
      <c r="S1268" s="44" t="s">
        <v>28</v>
      </c>
      <c r="T1268" s="68" t="s">
        <v>27756</v>
      </c>
      <c r="U1268" s="68" t="s">
        <v>29438</v>
      </c>
      <c r="V1268" s="68" t="s">
        <v>29439</v>
      </c>
      <c r="W1268" s="68" t="s">
        <v>100</v>
      </c>
      <c r="X1268" s="68">
        <v>1619</v>
      </c>
      <c r="Y1268" s="44"/>
      <c r="Z1268" s="44"/>
      <c r="AA1268" s="44"/>
      <c r="AB1268" s="44"/>
      <c r="AC1268" s="44"/>
      <c r="AD1268" s="44"/>
      <c r="AE1268" s="44"/>
      <c r="AF1268" s="44"/>
      <c r="AG1268" s="44"/>
      <c r="AH1268" s="44"/>
      <c r="AI1268" s="44"/>
      <c r="AJ1268" s="44"/>
      <c r="AK1268" s="44"/>
      <c r="AL1268" s="44"/>
      <c r="AM1268" s="44"/>
      <c r="AN1268" s="44"/>
      <c r="AO1268" s="44"/>
      <c r="AP1268" s="44"/>
      <c r="AQ1268" s="44"/>
      <c r="AR1268" s="44"/>
      <c r="AS1268" s="44"/>
      <c r="AT1268" s="44"/>
      <c r="AX1268" s="1"/>
      <c r="AY1268" s="1"/>
      <c r="BC1268" s="1"/>
      <c r="BD1268" s="1"/>
      <c r="BE1268" s="1"/>
      <c r="BF1268" s="1"/>
      <c r="BG1268" s="1"/>
      <c r="BH1268" s="1"/>
      <c r="BI1268" s="1"/>
      <c r="BJ1268" s="1"/>
    </row>
    <row r="1269" spans="1:63" s="11" customFormat="1" ht="12" customHeight="1" x14ac:dyDescent="0.15">
      <c r="A1269" s="44" t="s">
        <v>24269</v>
      </c>
      <c r="B1269" s="68">
        <v>43</v>
      </c>
      <c r="C1269" s="44" t="s">
        <v>20</v>
      </c>
      <c r="D1269" s="44" t="s">
        <v>37</v>
      </c>
      <c r="E1269" s="44" t="s">
        <v>24270</v>
      </c>
      <c r="F1269" s="69">
        <v>42534</v>
      </c>
      <c r="G1269" s="44" t="s">
        <v>24271</v>
      </c>
      <c r="H1269" s="44" t="s">
        <v>11083</v>
      </c>
      <c r="I1269" s="44" t="s">
        <v>303</v>
      </c>
      <c r="J1269" s="44">
        <v>98642</v>
      </c>
      <c r="K1269" s="44" t="s">
        <v>570</v>
      </c>
      <c r="L1269" s="44" t="s">
        <v>3347</v>
      </c>
      <c r="M1269" s="44" t="s">
        <v>27</v>
      </c>
      <c r="N1269" s="44" t="s">
        <v>24272</v>
      </c>
      <c r="O1269" s="44" t="s">
        <v>400</v>
      </c>
      <c r="P1269" s="44" t="s">
        <v>401</v>
      </c>
      <c r="Q1269" s="44" t="s">
        <v>24273</v>
      </c>
      <c r="R1269" s="44" t="s">
        <v>100</v>
      </c>
      <c r="S1269" s="44" t="s">
        <v>35</v>
      </c>
      <c r="T1269" s="66" t="s">
        <v>29441</v>
      </c>
      <c r="U1269" s="68" t="s">
        <v>29441</v>
      </c>
      <c r="V1269" s="68" t="s">
        <v>29437</v>
      </c>
      <c r="W1269" s="68" t="s">
        <v>100</v>
      </c>
      <c r="X1269" s="68">
        <v>1623</v>
      </c>
      <c r="Y1269" s="44"/>
      <c r="Z1269" s="44"/>
      <c r="AA1269" s="44"/>
      <c r="AB1269" s="44"/>
      <c r="AC1269" s="44"/>
      <c r="AD1269" s="44"/>
      <c r="AE1269" s="44"/>
      <c r="AF1269" s="44"/>
      <c r="AG1269" s="44"/>
      <c r="AH1269" s="44"/>
      <c r="AI1269" s="44"/>
      <c r="AJ1269" s="44"/>
      <c r="AK1269" s="44"/>
      <c r="AL1269" s="44"/>
      <c r="AM1269" s="44"/>
      <c r="AN1269" s="44"/>
      <c r="AO1269" s="44"/>
      <c r="AP1269" s="44"/>
      <c r="AQ1269" s="44"/>
      <c r="AR1269" s="44"/>
      <c r="AS1269" s="44"/>
      <c r="AT1269" s="44"/>
      <c r="AW1269" s="1"/>
      <c r="AX1269" s="1"/>
      <c r="AY1269" s="1"/>
      <c r="BC1269" s="1"/>
      <c r="BD1269" s="1"/>
      <c r="BE1269" s="1"/>
      <c r="BF1269" s="1"/>
      <c r="BG1269" s="1"/>
      <c r="BH1269" s="1"/>
      <c r="BI1269" s="1"/>
      <c r="BJ1269" s="1"/>
      <c r="BK1269" s="1"/>
    </row>
    <row r="1270" spans="1:63" s="11" customFormat="1" ht="12" customHeight="1" x14ac:dyDescent="0.15">
      <c r="A1270" s="44" t="s">
        <v>13074</v>
      </c>
      <c r="B1270" s="68">
        <v>61</v>
      </c>
      <c r="C1270" s="44" t="s">
        <v>20</v>
      </c>
      <c r="D1270" s="68" t="s">
        <v>85</v>
      </c>
      <c r="E1270" s="44"/>
      <c r="F1270" s="69">
        <v>42533</v>
      </c>
      <c r="G1270" s="44" t="s">
        <v>24240</v>
      </c>
      <c r="H1270" s="44" t="s">
        <v>24241</v>
      </c>
      <c r="I1270" s="44" t="s">
        <v>315</v>
      </c>
      <c r="J1270" s="44">
        <v>42141</v>
      </c>
      <c r="K1270" s="44" t="s">
        <v>24242</v>
      </c>
      <c r="L1270" s="44" t="s">
        <v>24243</v>
      </c>
      <c r="M1270" s="44" t="s">
        <v>27</v>
      </c>
      <c r="N1270" s="44" t="s">
        <v>24244</v>
      </c>
      <c r="O1270" s="44" t="s">
        <v>400</v>
      </c>
      <c r="P1270" s="44" t="s">
        <v>401</v>
      </c>
      <c r="Q1270" s="44" t="s">
        <v>24245</v>
      </c>
      <c r="R1270" s="44" t="s">
        <v>29</v>
      </c>
      <c r="S1270" s="44" t="s">
        <v>28</v>
      </c>
      <c r="T1270" s="68" t="s">
        <v>27756</v>
      </c>
      <c r="U1270" s="68" t="s">
        <v>29438</v>
      </c>
      <c r="V1270" s="68" t="s">
        <v>29437</v>
      </c>
      <c r="W1270" s="68" t="s">
        <v>100</v>
      </c>
      <c r="X1270" s="68">
        <v>1617</v>
      </c>
      <c r="Y1270" s="44"/>
      <c r="Z1270" s="44"/>
      <c r="AA1270" s="44"/>
      <c r="AB1270" s="44"/>
      <c r="AC1270" s="44"/>
      <c r="AD1270" s="44"/>
      <c r="AE1270" s="44"/>
      <c r="AF1270" s="44"/>
      <c r="AG1270" s="44"/>
      <c r="AH1270" s="44"/>
      <c r="AI1270" s="44"/>
      <c r="AJ1270" s="44"/>
      <c r="AK1270" s="44"/>
      <c r="AL1270" s="44"/>
      <c r="AM1270" s="44"/>
      <c r="AN1270" s="44"/>
      <c r="AO1270" s="44"/>
      <c r="AP1270" s="44"/>
      <c r="AQ1270" s="44"/>
      <c r="AR1270" s="44"/>
      <c r="AS1270" s="44"/>
      <c r="AT1270" s="44"/>
      <c r="AW1270" s="1"/>
      <c r="AX1270" s="1"/>
      <c r="AY1270" s="1"/>
      <c r="BA1270" s="1"/>
      <c r="BB1270" s="1"/>
    </row>
    <row r="1271" spans="1:63" s="11" customFormat="1" ht="12" customHeight="1" x14ac:dyDescent="0.2">
      <c r="A1271" s="44" t="s">
        <v>24230</v>
      </c>
      <c r="B1271" s="68">
        <v>29</v>
      </c>
      <c r="C1271" s="44" t="s">
        <v>20</v>
      </c>
      <c r="D1271" s="44" t="s">
        <v>21</v>
      </c>
      <c r="E1271" s="44" t="s">
        <v>24231</v>
      </c>
      <c r="F1271" s="69">
        <v>42533</v>
      </c>
      <c r="G1271" s="44" t="s">
        <v>24232</v>
      </c>
      <c r="H1271" s="44" t="s">
        <v>1060</v>
      </c>
      <c r="I1271" s="44" t="s">
        <v>62</v>
      </c>
      <c r="J1271" s="44">
        <v>32806</v>
      </c>
      <c r="K1271" s="44" t="s">
        <v>1061</v>
      </c>
      <c r="L1271" s="44" t="s">
        <v>1062</v>
      </c>
      <c r="M1271" s="44" t="s">
        <v>27</v>
      </c>
      <c r="N1271" s="44" t="s">
        <v>24233</v>
      </c>
      <c r="O1271" s="44" t="s">
        <v>400</v>
      </c>
      <c r="P1271" s="44" t="s">
        <v>401</v>
      </c>
      <c r="Q1271" s="44" t="s">
        <v>24234</v>
      </c>
      <c r="R1271" s="68" t="s">
        <v>555</v>
      </c>
      <c r="S1271" s="44" t="s">
        <v>28</v>
      </c>
      <c r="T1271" s="68" t="s">
        <v>27756</v>
      </c>
      <c r="U1271" s="68" t="s">
        <v>29438</v>
      </c>
      <c r="V1271" s="68" t="s">
        <v>29439</v>
      </c>
      <c r="W1271" s="68" t="s">
        <v>555</v>
      </c>
      <c r="X1271" s="68">
        <v>1608</v>
      </c>
      <c r="Y1271" s="44"/>
      <c r="Z1271" s="44"/>
      <c r="AA1271" s="44"/>
      <c r="AB1271" s="44"/>
      <c r="AC1271" s="44"/>
      <c r="AD1271" s="44"/>
      <c r="AE1271" s="44"/>
      <c r="AF1271" s="44"/>
      <c r="AG1271" s="44"/>
      <c r="AH1271" s="44"/>
      <c r="AI1271" s="44"/>
      <c r="AJ1271" s="44"/>
      <c r="AK1271" s="44"/>
      <c r="AL1271" s="44"/>
      <c r="AM1271" s="44"/>
      <c r="AN1271" s="44"/>
      <c r="AO1271" s="44"/>
      <c r="AP1271" s="44"/>
      <c r="AQ1271" s="44"/>
      <c r="AR1271" s="44"/>
      <c r="AS1271" s="44"/>
      <c r="AT1271" s="44"/>
      <c r="AW1271" s="44"/>
      <c r="AX1271" s="70"/>
      <c r="AY1271" s="70"/>
      <c r="BA1271" s="70"/>
      <c r="BB1271" s="44"/>
      <c r="BC1271" s="70"/>
      <c r="BD1271" s="70"/>
      <c r="BE1271" s="70"/>
      <c r="BF1271" s="70"/>
      <c r="BG1271" s="70"/>
      <c r="BH1271" s="70"/>
      <c r="BI1271" s="70"/>
      <c r="BJ1271" s="70"/>
    </row>
    <row r="1272" spans="1:63" s="11" customFormat="1" ht="12" customHeight="1" x14ac:dyDescent="0.15">
      <c r="A1272" s="44" t="s">
        <v>24235</v>
      </c>
      <c r="B1272" s="68">
        <v>23</v>
      </c>
      <c r="C1272" s="44" t="s">
        <v>20</v>
      </c>
      <c r="D1272" s="44" t="s">
        <v>37</v>
      </c>
      <c r="E1272" s="44"/>
      <c r="F1272" s="69">
        <v>42533</v>
      </c>
      <c r="G1272" s="44" t="s">
        <v>24236</v>
      </c>
      <c r="H1272" s="44" t="s">
        <v>24237</v>
      </c>
      <c r="I1272" s="44" t="s">
        <v>240</v>
      </c>
      <c r="J1272" s="44">
        <v>84005</v>
      </c>
      <c r="K1272" s="44" t="s">
        <v>590</v>
      </c>
      <c r="L1272" s="44" t="s">
        <v>23407</v>
      </c>
      <c r="M1272" s="44" t="s">
        <v>27</v>
      </c>
      <c r="N1272" s="44" t="s">
        <v>24238</v>
      </c>
      <c r="O1272" s="44" t="s">
        <v>400</v>
      </c>
      <c r="P1272" s="44" t="s">
        <v>401</v>
      </c>
      <c r="Q1272" s="44" t="s">
        <v>24239</v>
      </c>
      <c r="R1272" s="44" t="s">
        <v>555</v>
      </c>
      <c r="S1272" s="44" t="s">
        <v>28</v>
      </c>
      <c r="T1272" s="68" t="s">
        <v>29493</v>
      </c>
      <c r="U1272" s="68" t="s">
        <v>29436</v>
      </c>
      <c r="V1272" s="68" t="s">
        <v>29439</v>
      </c>
      <c r="W1272" s="68" t="s">
        <v>100</v>
      </c>
      <c r="X1272" s="68">
        <v>1609</v>
      </c>
      <c r="Y1272" s="44"/>
      <c r="Z1272" s="44"/>
      <c r="AA1272" s="44"/>
      <c r="AB1272" s="44"/>
      <c r="AC1272" s="44"/>
      <c r="AD1272" s="44"/>
      <c r="AE1272" s="44"/>
      <c r="AF1272" s="44"/>
      <c r="AG1272" s="44"/>
      <c r="AH1272" s="44"/>
      <c r="AI1272" s="44"/>
      <c r="AJ1272" s="44"/>
      <c r="AK1272" s="44"/>
      <c r="AL1272" s="44"/>
      <c r="AM1272" s="44"/>
      <c r="AN1272" s="44"/>
      <c r="AO1272" s="44"/>
      <c r="AP1272" s="44"/>
      <c r="AQ1272" s="44"/>
      <c r="AR1272" s="44"/>
      <c r="AS1272" s="44"/>
      <c r="AT1272" s="44"/>
      <c r="AW1272" s="44"/>
      <c r="AX1272" s="1"/>
      <c r="AY1272" s="1"/>
      <c r="BC1272" s="1"/>
      <c r="BD1272" s="1"/>
      <c r="BE1272" s="1"/>
      <c r="BF1272" s="1"/>
      <c r="BG1272" s="1"/>
      <c r="BH1272" s="1"/>
      <c r="BI1272" s="1"/>
      <c r="BJ1272" s="1"/>
    </row>
    <row r="1273" spans="1:63" s="11" customFormat="1" ht="12" customHeight="1" x14ac:dyDescent="0.15">
      <c r="A1273" s="44" t="s">
        <v>24225</v>
      </c>
      <c r="B1273" s="68">
        <v>27</v>
      </c>
      <c r="C1273" s="44" t="s">
        <v>20</v>
      </c>
      <c r="D1273" s="44" t="s">
        <v>85</v>
      </c>
      <c r="E1273" s="44"/>
      <c r="F1273" s="69">
        <v>42532</v>
      </c>
      <c r="G1273" s="44" t="s">
        <v>24226</v>
      </c>
      <c r="H1273" s="44" t="s">
        <v>14344</v>
      </c>
      <c r="I1273" s="44" t="s">
        <v>669</v>
      </c>
      <c r="J1273" s="44">
        <v>38801</v>
      </c>
      <c r="K1273" s="44" t="s">
        <v>5538</v>
      </c>
      <c r="L1273" s="44" t="s">
        <v>24227</v>
      </c>
      <c r="M1273" s="44" t="s">
        <v>27</v>
      </c>
      <c r="N1273" s="44" t="s">
        <v>24228</v>
      </c>
      <c r="O1273" s="44" t="s">
        <v>400</v>
      </c>
      <c r="P1273" s="44" t="s">
        <v>401</v>
      </c>
      <c r="Q1273" s="44" t="s">
        <v>24229</v>
      </c>
      <c r="R1273" s="44" t="s">
        <v>100</v>
      </c>
      <c r="S1273" s="44" t="s">
        <v>28</v>
      </c>
      <c r="T1273" s="68" t="s">
        <v>27756</v>
      </c>
      <c r="U1273" s="68" t="s">
        <v>29438</v>
      </c>
      <c r="V1273" s="68" t="s">
        <v>29437</v>
      </c>
      <c r="W1273" s="68" t="s">
        <v>100</v>
      </c>
      <c r="X1273" s="68">
        <v>1612</v>
      </c>
      <c r="Y1273" s="44"/>
      <c r="Z1273" s="44"/>
      <c r="AA1273" s="44"/>
      <c r="AB1273" s="44"/>
      <c r="AC1273" s="44"/>
      <c r="AD1273" s="44"/>
      <c r="AE1273" s="44"/>
      <c r="AF1273" s="44"/>
      <c r="AG1273" s="44"/>
      <c r="AH1273" s="44"/>
      <c r="AI1273" s="44"/>
      <c r="AJ1273" s="44"/>
      <c r="AK1273" s="44"/>
      <c r="AL1273" s="44"/>
      <c r="AM1273" s="44"/>
      <c r="AN1273" s="44"/>
      <c r="AO1273" s="44"/>
      <c r="AP1273" s="44"/>
      <c r="AQ1273" s="44"/>
      <c r="AR1273" s="44"/>
      <c r="AS1273" s="44"/>
      <c r="AT1273" s="44"/>
      <c r="AW1273" s="44"/>
    </row>
    <row r="1274" spans="1:63" s="11" customFormat="1" ht="12" customHeight="1" x14ac:dyDescent="0.15">
      <c r="A1274" s="44" t="s">
        <v>24222</v>
      </c>
      <c r="B1274" s="68">
        <v>31</v>
      </c>
      <c r="C1274" s="44" t="s">
        <v>20</v>
      </c>
      <c r="D1274" s="68" t="s">
        <v>48</v>
      </c>
      <c r="E1274" s="44"/>
      <c r="F1274" s="69">
        <v>42532</v>
      </c>
      <c r="G1274" s="44" t="s">
        <v>24382</v>
      </c>
      <c r="H1274" s="44" t="s">
        <v>6459</v>
      </c>
      <c r="I1274" s="44" t="s">
        <v>45</v>
      </c>
      <c r="J1274" s="44">
        <v>90270</v>
      </c>
      <c r="K1274" s="44" t="s">
        <v>98</v>
      </c>
      <c r="L1274" s="11" t="s">
        <v>414</v>
      </c>
      <c r="M1274" s="44" t="s">
        <v>27</v>
      </c>
      <c r="N1274" s="44" t="s">
        <v>24223</v>
      </c>
      <c r="O1274" s="44" t="s">
        <v>400</v>
      </c>
      <c r="P1274" s="44" t="s">
        <v>401</v>
      </c>
      <c r="Q1274" s="44" t="s">
        <v>24224</v>
      </c>
      <c r="R1274" s="44" t="s">
        <v>29</v>
      </c>
      <c r="S1274" s="44" t="s">
        <v>28</v>
      </c>
      <c r="T1274" s="68" t="s">
        <v>29469</v>
      </c>
      <c r="U1274" s="68" t="s">
        <v>29436</v>
      </c>
      <c r="V1274" s="68" t="s">
        <v>29439</v>
      </c>
      <c r="W1274" s="68" t="s">
        <v>100</v>
      </c>
      <c r="X1274" s="68">
        <v>1616</v>
      </c>
      <c r="Y1274" s="44"/>
      <c r="Z1274" s="44"/>
      <c r="AA1274" s="44"/>
      <c r="AB1274" s="44"/>
      <c r="AC1274" s="44"/>
      <c r="AD1274" s="44"/>
      <c r="AE1274" s="44"/>
      <c r="AF1274" s="44"/>
      <c r="AG1274" s="44"/>
      <c r="AH1274" s="44"/>
      <c r="AI1274" s="44"/>
      <c r="AJ1274" s="44"/>
      <c r="AK1274" s="44"/>
      <c r="AL1274" s="44"/>
      <c r="AM1274" s="44"/>
      <c r="AN1274" s="44"/>
      <c r="AO1274" s="44"/>
      <c r="AP1274" s="44"/>
      <c r="AQ1274" s="44"/>
      <c r="AR1274" s="44"/>
      <c r="AS1274" s="44"/>
      <c r="AT1274" s="44"/>
      <c r="AX1274" s="1"/>
      <c r="AY1274" s="1"/>
      <c r="BA1274" s="1"/>
      <c r="BB1274" s="1"/>
      <c r="BC1274" s="1"/>
      <c r="BD1274" s="1"/>
      <c r="BE1274" s="1"/>
      <c r="BF1274" s="1"/>
      <c r="BG1274" s="1"/>
      <c r="BH1274" s="1"/>
      <c r="BI1274" s="1"/>
      <c r="BJ1274" s="1"/>
    </row>
    <row r="1275" spans="1:63" s="11" customFormat="1" ht="12" customHeight="1" x14ac:dyDescent="0.15">
      <c r="A1275" s="66" t="s">
        <v>29594</v>
      </c>
      <c r="B1275" s="66">
        <v>31</v>
      </c>
      <c r="C1275" s="66" t="s">
        <v>20</v>
      </c>
      <c r="D1275" s="66" t="s">
        <v>85</v>
      </c>
      <c r="E1275" s="66"/>
      <c r="F1275" s="67">
        <v>42531</v>
      </c>
      <c r="G1275" s="67"/>
      <c r="H1275" s="66" t="s">
        <v>98</v>
      </c>
      <c r="I1275" s="66" t="s">
        <v>45</v>
      </c>
      <c r="J1275" s="66"/>
      <c r="K1275" s="44" t="s">
        <v>98</v>
      </c>
      <c r="L1275" s="66" t="s">
        <v>99</v>
      </c>
      <c r="M1275" s="66" t="s">
        <v>27</v>
      </c>
      <c r="N1275" s="66"/>
      <c r="O1275" s="66" t="s">
        <v>400</v>
      </c>
      <c r="P1275" s="66" t="s">
        <v>401</v>
      </c>
      <c r="Q1275" s="66"/>
      <c r="R1275" s="66" t="s">
        <v>100</v>
      </c>
      <c r="S1275" s="66" t="s">
        <v>28</v>
      </c>
      <c r="T1275" s="66" t="s">
        <v>27756</v>
      </c>
      <c r="U1275" s="66" t="s">
        <v>29438</v>
      </c>
      <c r="V1275" s="66" t="s">
        <v>29439</v>
      </c>
      <c r="W1275" s="66" t="s">
        <v>100</v>
      </c>
      <c r="X1275" s="66">
        <v>1838</v>
      </c>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row>
    <row r="1276" spans="1:63" s="11" customFormat="1" ht="12" customHeight="1" x14ac:dyDescent="0.15">
      <c r="A1276" s="44" t="s">
        <v>24211</v>
      </c>
      <c r="B1276" s="68">
        <v>32</v>
      </c>
      <c r="C1276" s="44" t="s">
        <v>20</v>
      </c>
      <c r="D1276" s="44" t="s">
        <v>48</v>
      </c>
      <c r="E1276" s="44"/>
      <c r="F1276" s="69">
        <v>42531</v>
      </c>
      <c r="G1276" s="44" t="s">
        <v>24383</v>
      </c>
      <c r="H1276" s="44" t="s">
        <v>4680</v>
      </c>
      <c r="I1276" s="44" t="s">
        <v>209</v>
      </c>
      <c r="J1276" s="44">
        <v>81003</v>
      </c>
      <c r="K1276" s="44" t="s">
        <v>4680</v>
      </c>
      <c r="L1276" s="44" t="s">
        <v>4682</v>
      </c>
      <c r="M1276" s="44" t="s">
        <v>27</v>
      </c>
      <c r="N1276" s="44" t="s">
        <v>24212</v>
      </c>
      <c r="O1276" s="44" t="s">
        <v>400</v>
      </c>
      <c r="P1276" s="44" t="s">
        <v>401</v>
      </c>
      <c r="Q1276" s="44" t="s">
        <v>24213</v>
      </c>
      <c r="R1276" s="44" t="s">
        <v>100</v>
      </c>
      <c r="S1276" s="2" t="s">
        <v>28</v>
      </c>
      <c r="T1276" s="68" t="s">
        <v>27756</v>
      </c>
      <c r="U1276" s="68" t="s">
        <v>29438</v>
      </c>
      <c r="V1276" s="68" t="s">
        <v>29440</v>
      </c>
      <c r="W1276" s="68" t="s">
        <v>100</v>
      </c>
      <c r="X1276" s="68">
        <v>1613</v>
      </c>
      <c r="Y1276" s="44"/>
      <c r="Z1276" s="44"/>
      <c r="AA1276" s="44"/>
      <c r="AB1276" s="44"/>
      <c r="AC1276" s="44"/>
      <c r="AD1276" s="44"/>
      <c r="AE1276" s="44"/>
      <c r="AF1276" s="44"/>
      <c r="AG1276" s="44"/>
      <c r="AH1276" s="44"/>
      <c r="AI1276" s="44"/>
      <c r="AJ1276" s="44"/>
      <c r="AK1276" s="44"/>
      <c r="AL1276" s="44"/>
      <c r="AM1276" s="44"/>
      <c r="AN1276" s="44"/>
      <c r="AO1276" s="44"/>
      <c r="AP1276" s="44"/>
      <c r="AQ1276" s="44"/>
      <c r="AR1276" s="44"/>
      <c r="AS1276" s="44"/>
      <c r="AT1276" s="44"/>
      <c r="AX1276" s="1"/>
      <c r="AY1276" s="1"/>
      <c r="BC1276" s="1"/>
      <c r="BD1276" s="1"/>
      <c r="BE1276" s="1"/>
      <c r="BF1276" s="1"/>
      <c r="BG1276" s="1"/>
      <c r="BH1276" s="1"/>
      <c r="BI1276" s="1"/>
      <c r="BJ1276" s="1"/>
    </row>
    <row r="1277" spans="1:63" s="11" customFormat="1" ht="12" customHeight="1" x14ac:dyDescent="0.15">
      <c r="A1277" s="44" t="s">
        <v>24218</v>
      </c>
      <c r="B1277" s="68">
        <v>50</v>
      </c>
      <c r="C1277" s="44" t="s">
        <v>20</v>
      </c>
      <c r="D1277" s="44" t="s">
        <v>48</v>
      </c>
      <c r="E1277" s="44"/>
      <c r="F1277" s="69">
        <v>42531</v>
      </c>
      <c r="G1277" s="44" t="s">
        <v>24219</v>
      </c>
      <c r="H1277" s="44" t="s">
        <v>6250</v>
      </c>
      <c r="I1277" s="44" t="s">
        <v>303</v>
      </c>
      <c r="J1277" s="44">
        <v>98903</v>
      </c>
      <c r="K1277" s="44" t="s">
        <v>6250</v>
      </c>
      <c r="L1277" s="44" t="s">
        <v>10518</v>
      </c>
      <c r="M1277" s="44" t="s">
        <v>27</v>
      </c>
      <c r="N1277" s="44" t="s">
        <v>24220</v>
      </c>
      <c r="O1277" s="44" t="s">
        <v>400</v>
      </c>
      <c r="P1277" s="44" t="s">
        <v>401</v>
      </c>
      <c r="Q1277" s="44" t="s">
        <v>24221</v>
      </c>
      <c r="R1277" s="44" t="s">
        <v>100</v>
      </c>
      <c r="S1277" s="44" t="s">
        <v>28</v>
      </c>
      <c r="T1277" s="68" t="s">
        <v>27756</v>
      </c>
      <c r="U1277" s="68" t="s">
        <v>29438</v>
      </c>
      <c r="V1277" s="68" t="s">
        <v>29439</v>
      </c>
      <c r="W1277" s="68" t="s">
        <v>555</v>
      </c>
      <c r="X1277" s="68">
        <v>1614</v>
      </c>
      <c r="Y1277" s="44"/>
      <c r="Z1277" s="44"/>
      <c r="AA1277" s="44"/>
      <c r="AB1277" s="44"/>
      <c r="AC1277" s="44"/>
      <c r="AD1277" s="44"/>
      <c r="AE1277" s="44"/>
      <c r="AF1277" s="44"/>
      <c r="AG1277" s="44"/>
      <c r="AH1277" s="44"/>
      <c r="AI1277" s="44"/>
      <c r="AJ1277" s="44"/>
      <c r="AK1277" s="44"/>
      <c r="AL1277" s="44"/>
      <c r="AM1277" s="44"/>
      <c r="AN1277" s="44"/>
      <c r="AO1277" s="44"/>
      <c r="AP1277" s="44"/>
      <c r="AQ1277" s="44"/>
      <c r="AR1277" s="44"/>
      <c r="AS1277" s="44"/>
      <c r="AT1277" s="44"/>
      <c r="AW1277" s="1"/>
      <c r="AX1277" s="1"/>
      <c r="AY1277" s="1"/>
      <c r="BC1277" s="1"/>
      <c r="BD1277" s="1"/>
      <c r="BE1277" s="1"/>
      <c r="BF1277" s="1"/>
      <c r="BG1277" s="1"/>
      <c r="BH1277" s="1"/>
      <c r="BI1277" s="1"/>
      <c r="BJ1277" s="1"/>
    </row>
    <row r="1278" spans="1:63" s="11" customFormat="1" ht="12" customHeight="1" x14ac:dyDescent="0.15">
      <c r="A1278" s="44" t="s">
        <v>24214</v>
      </c>
      <c r="B1278" s="68">
        <v>29</v>
      </c>
      <c r="C1278" s="44" t="s">
        <v>20</v>
      </c>
      <c r="D1278" s="44" t="s">
        <v>37</v>
      </c>
      <c r="E1278" s="44"/>
      <c r="F1278" s="69">
        <v>42531</v>
      </c>
      <c r="G1278" s="44" t="s">
        <v>24215</v>
      </c>
      <c r="H1278" s="44" t="s">
        <v>6435</v>
      </c>
      <c r="I1278" s="44" t="s">
        <v>366</v>
      </c>
      <c r="J1278" s="44">
        <v>28625</v>
      </c>
      <c r="K1278" s="44" t="s">
        <v>6437</v>
      </c>
      <c r="L1278" s="44" t="s">
        <v>22128</v>
      </c>
      <c r="M1278" s="44" t="s">
        <v>27</v>
      </c>
      <c r="N1278" s="44" t="s">
        <v>24216</v>
      </c>
      <c r="O1278" s="44" t="s">
        <v>400</v>
      </c>
      <c r="P1278" s="44" t="s">
        <v>401</v>
      </c>
      <c r="Q1278" s="44" t="s">
        <v>24217</v>
      </c>
      <c r="R1278" s="44" t="s">
        <v>100</v>
      </c>
      <c r="S1278" s="44" t="s">
        <v>28</v>
      </c>
      <c r="T1278" s="68" t="s">
        <v>29446</v>
      </c>
      <c r="U1278" s="68" t="s">
        <v>29436</v>
      </c>
      <c r="V1278" s="68" t="s">
        <v>29439</v>
      </c>
      <c r="W1278" s="68" t="s">
        <v>100</v>
      </c>
      <c r="X1278" s="68">
        <v>1611</v>
      </c>
      <c r="Y1278" s="44"/>
      <c r="Z1278" s="44"/>
      <c r="AA1278" s="44"/>
      <c r="AB1278" s="44"/>
      <c r="AC1278" s="44"/>
      <c r="AD1278" s="44"/>
      <c r="AE1278" s="44"/>
      <c r="AF1278" s="44"/>
      <c r="AG1278" s="44"/>
      <c r="AH1278" s="44"/>
      <c r="AI1278" s="44"/>
      <c r="AJ1278" s="44"/>
      <c r="AK1278" s="44"/>
      <c r="AL1278" s="44"/>
      <c r="AM1278" s="44"/>
      <c r="AN1278" s="44"/>
      <c r="AO1278" s="44"/>
      <c r="AP1278" s="44"/>
      <c r="AQ1278" s="44"/>
      <c r="AR1278" s="44"/>
      <c r="AS1278" s="44"/>
      <c r="AT1278" s="44"/>
      <c r="AW1278" s="44"/>
      <c r="AX1278" s="1"/>
      <c r="AY1278" s="1"/>
      <c r="BC1278" s="1"/>
      <c r="BD1278" s="1"/>
      <c r="BE1278" s="1"/>
      <c r="BF1278" s="1"/>
      <c r="BG1278" s="1"/>
      <c r="BH1278" s="1"/>
      <c r="BI1278" s="1"/>
      <c r="BJ1278" s="1"/>
    </row>
    <row r="1279" spans="1:63" s="11" customFormat="1" ht="12" customHeight="1" x14ac:dyDescent="0.15">
      <c r="A1279" s="44" t="s">
        <v>24206</v>
      </c>
      <c r="B1279" s="44">
        <v>43</v>
      </c>
      <c r="C1279" s="44" t="s">
        <v>20</v>
      </c>
      <c r="D1279" s="44" t="s">
        <v>85</v>
      </c>
      <c r="E1279" s="44" t="s">
        <v>24207</v>
      </c>
      <c r="F1279" s="72">
        <v>42530</v>
      </c>
      <c r="G1279" s="44" t="s">
        <v>24208</v>
      </c>
      <c r="H1279" s="44" t="s">
        <v>1094</v>
      </c>
      <c r="I1279" s="44" t="s">
        <v>395</v>
      </c>
      <c r="J1279" s="44">
        <v>73106</v>
      </c>
      <c r="K1279" s="44" t="s">
        <v>1095</v>
      </c>
      <c r="L1279" s="44" t="s">
        <v>1096</v>
      </c>
      <c r="M1279" s="44" t="s">
        <v>2291</v>
      </c>
      <c r="N1279" s="44" t="s">
        <v>24209</v>
      </c>
      <c r="O1279" s="44" t="s">
        <v>400</v>
      </c>
      <c r="P1279" s="44" t="s">
        <v>401</v>
      </c>
      <c r="Q1279" s="44" t="s">
        <v>24210</v>
      </c>
      <c r="R1279" s="11" t="s">
        <v>964</v>
      </c>
      <c r="S1279" s="44" t="s">
        <v>28</v>
      </c>
      <c r="T1279" s="44"/>
      <c r="U1279" s="44"/>
      <c r="V1279" s="44"/>
      <c r="W1279" s="44"/>
      <c r="X1279" s="44"/>
      <c r="Y1279" s="44"/>
      <c r="Z1279" s="44"/>
      <c r="AA1279" s="44"/>
      <c r="AB1279" s="44"/>
      <c r="AC1279" s="44"/>
      <c r="AD1279" s="44"/>
      <c r="AE1279" s="44"/>
      <c r="AF1279" s="44"/>
      <c r="AG1279" s="44"/>
      <c r="AH1279" s="44"/>
      <c r="AI1279" s="44"/>
      <c r="AJ1279" s="44"/>
      <c r="AK1279" s="44"/>
      <c r="AL1279" s="44"/>
      <c r="AM1279" s="44"/>
      <c r="AN1279" s="44"/>
      <c r="AO1279" s="44"/>
      <c r="AP1279" s="44"/>
      <c r="AQ1279" s="44"/>
      <c r="AR1279" s="44"/>
      <c r="AS1279" s="44"/>
      <c r="AT1279" s="44"/>
      <c r="AU1279" s="1"/>
      <c r="AV1279" s="1"/>
      <c r="AW1279" s="1"/>
      <c r="AZ1279" s="1"/>
      <c r="BA1279" s="1"/>
      <c r="BB1279" s="1"/>
      <c r="BK1279" s="1"/>
    </row>
    <row r="1280" spans="1:63" s="11" customFormat="1" ht="12" customHeight="1" x14ac:dyDescent="0.15">
      <c r="A1280" s="44" t="s">
        <v>24201</v>
      </c>
      <c r="B1280" s="68">
        <v>52</v>
      </c>
      <c r="C1280" s="44" t="s">
        <v>20</v>
      </c>
      <c r="D1280" s="44" t="s">
        <v>85</v>
      </c>
      <c r="E1280" s="44" t="s">
        <v>24202</v>
      </c>
      <c r="F1280" s="69">
        <v>42530</v>
      </c>
      <c r="G1280" s="44" t="s">
        <v>24203</v>
      </c>
      <c r="H1280" s="44" t="s">
        <v>7939</v>
      </c>
      <c r="I1280" s="44" t="s">
        <v>73</v>
      </c>
      <c r="J1280" s="44">
        <v>77642</v>
      </c>
      <c r="K1280" s="44" t="s">
        <v>1778</v>
      </c>
      <c r="L1280" s="44" t="s">
        <v>7940</v>
      </c>
      <c r="M1280" s="44" t="s">
        <v>27</v>
      </c>
      <c r="N1280" s="44" t="s">
        <v>24204</v>
      </c>
      <c r="O1280" s="44" t="s">
        <v>400</v>
      </c>
      <c r="P1280" s="44" t="s">
        <v>401</v>
      </c>
      <c r="Q1280" s="44" t="s">
        <v>24205</v>
      </c>
      <c r="R1280" s="44" t="s">
        <v>100</v>
      </c>
      <c r="S1280" s="2" t="s">
        <v>28</v>
      </c>
      <c r="T1280" s="68" t="s">
        <v>27756</v>
      </c>
      <c r="U1280" s="68" t="s">
        <v>29436</v>
      </c>
      <c r="V1280" s="68" t="s">
        <v>29440</v>
      </c>
      <c r="W1280" s="68" t="s">
        <v>100</v>
      </c>
      <c r="X1280" s="68">
        <v>1606</v>
      </c>
      <c r="Y1280" s="44"/>
      <c r="Z1280" s="44"/>
      <c r="AA1280" s="44"/>
      <c r="AB1280" s="44"/>
      <c r="AC1280" s="44"/>
      <c r="AD1280" s="44"/>
      <c r="AE1280" s="44"/>
      <c r="AF1280" s="44"/>
      <c r="AG1280" s="44"/>
      <c r="AH1280" s="44"/>
      <c r="AI1280" s="44"/>
      <c r="AJ1280" s="44"/>
      <c r="AK1280" s="44"/>
      <c r="AL1280" s="44"/>
      <c r="AM1280" s="44"/>
      <c r="AN1280" s="44"/>
      <c r="AO1280" s="44"/>
      <c r="AP1280" s="44"/>
      <c r="AQ1280" s="44"/>
      <c r="AR1280" s="44"/>
      <c r="AS1280" s="44"/>
      <c r="AT1280" s="44"/>
      <c r="AW1280" s="1"/>
    </row>
    <row r="1281" spans="1:63" s="11" customFormat="1" ht="12" customHeight="1" x14ac:dyDescent="0.15">
      <c r="A1281" s="44" t="s">
        <v>3252</v>
      </c>
      <c r="B1281" s="44" t="s">
        <v>29</v>
      </c>
      <c r="C1281" s="44" t="s">
        <v>20</v>
      </c>
      <c r="D1281" s="44" t="s">
        <v>30</v>
      </c>
      <c r="E1281" s="44"/>
      <c r="F1281" s="69">
        <v>42530</v>
      </c>
      <c r="G1281" s="44" t="s">
        <v>24187</v>
      </c>
      <c r="H1281" s="44" t="s">
        <v>24188</v>
      </c>
      <c r="I1281" s="44" t="s">
        <v>123</v>
      </c>
      <c r="J1281" s="44">
        <v>85364</v>
      </c>
      <c r="K1281" s="44" t="s">
        <v>13402</v>
      </c>
      <c r="L1281" s="44" t="s">
        <v>20118</v>
      </c>
      <c r="M1281" s="44" t="s">
        <v>27</v>
      </c>
      <c r="N1281" s="44" t="s">
        <v>24189</v>
      </c>
      <c r="O1281" s="44" t="s">
        <v>400</v>
      </c>
      <c r="P1281" s="44" t="s">
        <v>401</v>
      </c>
      <c r="Q1281" s="44" t="s">
        <v>24190</v>
      </c>
      <c r="R1281" s="44" t="s">
        <v>100</v>
      </c>
      <c r="S1281" s="44" t="s">
        <v>28</v>
      </c>
      <c r="T1281" s="68" t="s">
        <v>29458</v>
      </c>
      <c r="U1281" s="68" t="s">
        <v>29438</v>
      </c>
      <c r="V1281" s="68" t="s">
        <v>29439</v>
      </c>
      <c r="W1281" s="68" t="s">
        <v>100</v>
      </c>
      <c r="X1281" s="68">
        <v>1615</v>
      </c>
      <c r="Y1281" s="44"/>
      <c r="Z1281" s="44"/>
      <c r="AA1281" s="44"/>
      <c r="AB1281" s="44"/>
      <c r="AC1281" s="44"/>
      <c r="AD1281" s="44"/>
      <c r="AE1281" s="44"/>
      <c r="AF1281" s="44"/>
      <c r="AG1281" s="44"/>
      <c r="AH1281" s="44"/>
      <c r="AI1281" s="44"/>
      <c r="AJ1281" s="44"/>
      <c r="AK1281" s="44"/>
      <c r="AL1281" s="44"/>
      <c r="AM1281" s="44"/>
      <c r="AN1281" s="44"/>
      <c r="AO1281" s="44"/>
      <c r="AP1281" s="44"/>
      <c r="AQ1281" s="44"/>
      <c r="AR1281" s="44"/>
      <c r="AS1281" s="44"/>
      <c r="AT1281" s="44"/>
      <c r="AW1281" s="1"/>
      <c r="AX1281" s="1"/>
      <c r="AY1281" s="1"/>
      <c r="BC1281" s="1"/>
      <c r="BD1281" s="1"/>
      <c r="BE1281" s="1"/>
      <c r="BF1281" s="1"/>
      <c r="BG1281" s="1"/>
      <c r="BH1281" s="1"/>
      <c r="BI1281" s="1"/>
      <c r="BJ1281" s="1"/>
    </row>
    <row r="1282" spans="1:63" s="11" customFormat="1" ht="12" customHeight="1" x14ac:dyDescent="0.15">
      <c r="A1282" s="44" t="s">
        <v>24182</v>
      </c>
      <c r="B1282" s="68">
        <v>34</v>
      </c>
      <c r="C1282" s="44" t="s">
        <v>20</v>
      </c>
      <c r="D1282" s="44" t="s">
        <v>37</v>
      </c>
      <c r="E1282" s="44"/>
      <c r="F1282" s="69">
        <v>42530</v>
      </c>
      <c r="G1282" s="44" t="s">
        <v>24183</v>
      </c>
      <c r="H1282" s="44" t="s">
        <v>4144</v>
      </c>
      <c r="I1282" s="44" t="s">
        <v>94</v>
      </c>
      <c r="J1282" s="44">
        <v>35233</v>
      </c>
      <c r="K1282" s="44" t="s">
        <v>1778</v>
      </c>
      <c r="L1282" s="44" t="s">
        <v>24184</v>
      </c>
      <c r="M1282" s="44" t="s">
        <v>27</v>
      </c>
      <c r="N1282" s="44" t="s">
        <v>24185</v>
      </c>
      <c r="O1282" s="44" t="s">
        <v>400</v>
      </c>
      <c r="P1282" s="44" t="s">
        <v>401</v>
      </c>
      <c r="Q1282" s="44" t="s">
        <v>24186</v>
      </c>
      <c r="R1282" s="44" t="s">
        <v>100</v>
      </c>
      <c r="S1282" s="2" t="s">
        <v>28</v>
      </c>
      <c r="T1282" s="68" t="s">
        <v>27756</v>
      </c>
      <c r="U1282" s="68" t="s">
        <v>29438</v>
      </c>
      <c r="V1282" s="68" t="s">
        <v>29437</v>
      </c>
      <c r="W1282" s="68" t="s">
        <v>100</v>
      </c>
      <c r="X1282" s="68">
        <v>1603</v>
      </c>
      <c r="Y1282" s="44"/>
      <c r="Z1282" s="44"/>
      <c r="AA1282" s="44"/>
      <c r="AB1282" s="44"/>
      <c r="AC1282" s="44"/>
      <c r="AD1282" s="44"/>
      <c r="AE1282" s="44"/>
      <c r="AF1282" s="44"/>
      <c r="AG1282" s="44"/>
      <c r="AH1282" s="44"/>
      <c r="AI1282" s="44"/>
      <c r="AJ1282" s="44"/>
      <c r="AK1282" s="44"/>
      <c r="AL1282" s="44"/>
      <c r="AM1282" s="44"/>
      <c r="AN1282" s="44"/>
      <c r="AO1282" s="44"/>
      <c r="AP1282" s="44"/>
      <c r="AQ1282" s="44"/>
      <c r="AR1282" s="44"/>
      <c r="AS1282" s="44"/>
      <c r="AT1282" s="44"/>
      <c r="AX1282" s="1"/>
      <c r="AY1282" s="1"/>
      <c r="BC1282" s="1"/>
      <c r="BD1282" s="1"/>
      <c r="BE1282" s="1"/>
      <c r="BF1282" s="1"/>
      <c r="BG1282" s="1"/>
      <c r="BH1282" s="1"/>
      <c r="BI1282" s="1"/>
      <c r="BJ1282" s="1"/>
    </row>
    <row r="1283" spans="1:63" s="11" customFormat="1" ht="12" customHeight="1" x14ac:dyDescent="0.15">
      <c r="A1283" s="44" t="s">
        <v>24197</v>
      </c>
      <c r="B1283" s="68">
        <v>38</v>
      </c>
      <c r="C1283" s="44" t="s">
        <v>20</v>
      </c>
      <c r="D1283" s="44" t="s">
        <v>37</v>
      </c>
      <c r="E1283" s="44"/>
      <c r="F1283" s="69">
        <v>42530</v>
      </c>
      <c r="G1283" s="44" t="s">
        <v>24198</v>
      </c>
      <c r="H1283" s="44" t="s">
        <v>1604</v>
      </c>
      <c r="I1283" s="44" t="s">
        <v>404</v>
      </c>
      <c r="J1283" s="44">
        <v>17403</v>
      </c>
      <c r="K1283" s="44" t="s">
        <v>1604</v>
      </c>
      <c r="L1283" s="44" t="s">
        <v>11463</v>
      </c>
      <c r="M1283" s="44" t="s">
        <v>27</v>
      </c>
      <c r="N1283" s="44" t="s">
        <v>24199</v>
      </c>
      <c r="O1283" s="44" t="s">
        <v>400</v>
      </c>
      <c r="P1283" s="44" t="s">
        <v>401</v>
      </c>
      <c r="Q1283" s="44" t="s">
        <v>24200</v>
      </c>
      <c r="R1283" s="44" t="s">
        <v>100</v>
      </c>
      <c r="S1283" s="44" t="s">
        <v>28</v>
      </c>
      <c r="T1283" s="68" t="s">
        <v>27756</v>
      </c>
      <c r="U1283" s="68" t="s">
        <v>29438</v>
      </c>
      <c r="V1283" s="68"/>
      <c r="W1283" s="68" t="s">
        <v>100</v>
      </c>
      <c r="X1283" s="68">
        <v>1605</v>
      </c>
      <c r="Y1283" s="44"/>
      <c r="Z1283" s="44"/>
      <c r="AA1283" s="44"/>
      <c r="AB1283" s="44"/>
      <c r="AC1283" s="44"/>
      <c r="AD1283" s="44"/>
      <c r="AE1283" s="44"/>
      <c r="AF1283" s="44"/>
      <c r="AG1283" s="44"/>
      <c r="AH1283" s="44"/>
      <c r="AI1283" s="44"/>
      <c r="AJ1283" s="44"/>
      <c r="AK1283" s="44"/>
      <c r="AL1283" s="44"/>
      <c r="AM1283" s="44"/>
      <c r="AN1283" s="44"/>
      <c r="AO1283" s="44"/>
      <c r="AP1283" s="44"/>
      <c r="AQ1283" s="44"/>
      <c r="AR1283" s="44"/>
      <c r="AS1283" s="44"/>
      <c r="AT1283" s="44"/>
      <c r="AX1283" s="1"/>
      <c r="AY1283" s="1"/>
      <c r="BC1283" s="1"/>
      <c r="BD1283" s="1"/>
      <c r="BE1283" s="1"/>
      <c r="BF1283" s="1"/>
      <c r="BG1283" s="1"/>
      <c r="BH1283" s="1"/>
      <c r="BI1283" s="1"/>
      <c r="BJ1283" s="1"/>
    </row>
    <row r="1284" spans="1:63" s="11" customFormat="1" ht="12" customHeight="1" x14ac:dyDescent="0.15">
      <c r="A1284" s="44" t="s">
        <v>29433</v>
      </c>
      <c r="B1284" s="68">
        <v>68</v>
      </c>
      <c r="C1284" s="44" t="s">
        <v>20</v>
      </c>
      <c r="D1284" s="68" t="s">
        <v>37</v>
      </c>
      <c r="E1284" s="44"/>
      <c r="F1284" s="69">
        <v>42530</v>
      </c>
      <c r="G1284" s="44" t="s">
        <v>24191</v>
      </c>
      <c r="H1284" s="44" t="s">
        <v>24192</v>
      </c>
      <c r="I1284" s="44" t="s">
        <v>57</v>
      </c>
      <c r="J1284" s="44">
        <v>49849</v>
      </c>
      <c r="K1284" s="44" t="s">
        <v>24193</v>
      </c>
      <c r="L1284" s="44" t="s">
        <v>24194</v>
      </c>
      <c r="M1284" s="44" t="s">
        <v>27</v>
      </c>
      <c r="N1284" s="44" t="s">
        <v>24195</v>
      </c>
      <c r="O1284" s="44" t="s">
        <v>400</v>
      </c>
      <c r="P1284" s="44" t="s">
        <v>401</v>
      </c>
      <c r="Q1284" s="44" t="s">
        <v>24196</v>
      </c>
      <c r="R1284" s="44" t="s">
        <v>555</v>
      </c>
      <c r="S1284" s="44" t="s">
        <v>28</v>
      </c>
      <c r="T1284" s="68" t="s">
        <v>27756</v>
      </c>
      <c r="U1284" s="68" t="s">
        <v>29438</v>
      </c>
      <c r="V1284" s="68" t="s">
        <v>29439</v>
      </c>
      <c r="W1284" s="68" t="s">
        <v>555</v>
      </c>
      <c r="X1284" s="68">
        <v>1607</v>
      </c>
      <c r="Y1284" s="44"/>
      <c r="Z1284" s="44"/>
      <c r="AA1284" s="44"/>
      <c r="AB1284" s="44"/>
      <c r="AC1284" s="44"/>
      <c r="AD1284" s="44"/>
      <c r="AE1284" s="44"/>
      <c r="AF1284" s="44"/>
      <c r="AG1284" s="44"/>
      <c r="AH1284" s="44"/>
      <c r="AI1284" s="44"/>
      <c r="AJ1284" s="44"/>
      <c r="AK1284" s="44"/>
      <c r="AL1284" s="44"/>
      <c r="AM1284" s="44"/>
      <c r="AN1284" s="44"/>
      <c r="AO1284" s="44"/>
      <c r="AP1284" s="44"/>
      <c r="AQ1284" s="44"/>
      <c r="AR1284" s="44"/>
      <c r="AS1284" s="44"/>
      <c r="AT1284" s="44"/>
      <c r="AW1284" s="1"/>
      <c r="AX1284" s="1"/>
      <c r="AY1284" s="1"/>
      <c r="BC1284" s="1"/>
      <c r="BD1284" s="1"/>
      <c r="BE1284" s="1"/>
      <c r="BF1284" s="1"/>
      <c r="BG1284" s="1"/>
      <c r="BH1284" s="1"/>
      <c r="BI1284" s="1"/>
      <c r="BJ1284" s="1"/>
    </row>
    <row r="1285" spans="1:63" s="11" customFormat="1" ht="12" customHeight="1" x14ac:dyDescent="0.15">
      <c r="A1285" s="44" t="s">
        <v>24177</v>
      </c>
      <c r="B1285" s="68">
        <v>43</v>
      </c>
      <c r="C1285" s="44" t="s">
        <v>20</v>
      </c>
      <c r="D1285" s="44" t="s">
        <v>48</v>
      </c>
      <c r="E1285" s="44"/>
      <c r="F1285" s="69">
        <v>42529</v>
      </c>
      <c r="G1285" s="44" t="s">
        <v>24178</v>
      </c>
      <c r="H1285" s="44" t="s">
        <v>430</v>
      </c>
      <c r="I1285" s="44" t="s">
        <v>431</v>
      </c>
      <c r="J1285" s="44">
        <v>64128</v>
      </c>
      <c r="K1285" s="44" t="s">
        <v>433</v>
      </c>
      <c r="L1285" s="44" t="s">
        <v>24179</v>
      </c>
      <c r="M1285" s="44" t="s">
        <v>27</v>
      </c>
      <c r="N1285" s="44" t="s">
        <v>24180</v>
      </c>
      <c r="O1285" s="44" t="s">
        <v>400</v>
      </c>
      <c r="P1285" s="44" t="s">
        <v>401</v>
      </c>
      <c r="Q1285" s="44" t="s">
        <v>24181</v>
      </c>
      <c r="R1285" s="44" t="s">
        <v>100</v>
      </c>
      <c r="S1285" s="44" t="s">
        <v>28</v>
      </c>
      <c r="T1285" s="68" t="s">
        <v>27756</v>
      </c>
      <c r="U1285" s="68" t="s">
        <v>29438</v>
      </c>
      <c r="V1285" s="68" t="s">
        <v>29439</v>
      </c>
      <c r="W1285" s="68" t="s">
        <v>100</v>
      </c>
      <c r="X1285" s="68">
        <v>1602</v>
      </c>
      <c r="Y1285" s="44"/>
      <c r="Z1285" s="44"/>
      <c r="AA1285" s="44"/>
      <c r="AB1285" s="44"/>
      <c r="AC1285" s="44"/>
      <c r="AD1285" s="44"/>
      <c r="AE1285" s="44"/>
      <c r="AF1285" s="44"/>
      <c r="AG1285" s="44"/>
      <c r="AH1285" s="44"/>
      <c r="AI1285" s="44"/>
      <c r="AJ1285" s="44"/>
      <c r="AK1285" s="44"/>
      <c r="AL1285" s="44"/>
      <c r="AM1285" s="44"/>
      <c r="AN1285" s="44"/>
      <c r="AO1285" s="44"/>
      <c r="AP1285" s="44"/>
      <c r="AQ1285" s="44"/>
      <c r="AR1285" s="44"/>
      <c r="AS1285" s="44"/>
      <c r="AT1285" s="44"/>
      <c r="AW1285" s="1"/>
      <c r="AX1285" s="1"/>
      <c r="AY1285" s="1"/>
      <c r="BC1285" s="1"/>
      <c r="BD1285" s="1"/>
      <c r="BE1285" s="1"/>
      <c r="BF1285" s="1"/>
      <c r="BG1285" s="1"/>
      <c r="BH1285" s="1"/>
      <c r="BI1285" s="1"/>
      <c r="BJ1285" s="1"/>
    </row>
    <row r="1286" spans="1:63" s="11" customFormat="1" ht="12" customHeight="1" x14ac:dyDescent="0.15">
      <c r="A1286" s="44" t="s">
        <v>24173</v>
      </c>
      <c r="B1286" s="68">
        <v>49</v>
      </c>
      <c r="C1286" s="44" t="s">
        <v>20</v>
      </c>
      <c r="D1286" s="44" t="s">
        <v>85</v>
      </c>
      <c r="E1286" s="44"/>
      <c r="F1286" s="69">
        <v>42528</v>
      </c>
      <c r="G1286" s="44" t="s">
        <v>24384</v>
      </c>
      <c r="H1286" s="44" t="s">
        <v>3173</v>
      </c>
      <c r="I1286" s="44" t="s">
        <v>244</v>
      </c>
      <c r="J1286" s="44">
        <v>22701</v>
      </c>
      <c r="K1286" s="44" t="s">
        <v>3173</v>
      </c>
      <c r="L1286" s="44" t="s">
        <v>24174</v>
      </c>
      <c r="M1286" s="44" t="s">
        <v>27</v>
      </c>
      <c r="N1286" s="44" t="s">
        <v>24175</v>
      </c>
      <c r="O1286" s="44" t="s">
        <v>400</v>
      </c>
      <c r="P1286" s="44" t="s">
        <v>401</v>
      </c>
      <c r="Q1286" s="44" t="s">
        <v>24176</v>
      </c>
      <c r="R1286" s="44" t="s">
        <v>100</v>
      </c>
      <c r="S1286" s="44" t="s">
        <v>28</v>
      </c>
      <c r="T1286" s="68" t="s">
        <v>27756</v>
      </c>
      <c r="U1286" s="68" t="s">
        <v>29436</v>
      </c>
      <c r="V1286" s="68" t="s">
        <v>29439</v>
      </c>
      <c r="W1286" s="68" t="s">
        <v>100</v>
      </c>
      <c r="X1286" s="68">
        <v>1601</v>
      </c>
      <c r="Y1286" s="44"/>
      <c r="Z1286" s="44"/>
      <c r="AA1286" s="44"/>
      <c r="AB1286" s="44"/>
      <c r="AC1286" s="44"/>
      <c r="AD1286" s="44"/>
      <c r="AE1286" s="44"/>
      <c r="AF1286" s="44"/>
      <c r="AG1286" s="44"/>
      <c r="AH1286" s="44"/>
      <c r="AI1286" s="44"/>
      <c r="AJ1286" s="44"/>
      <c r="AK1286" s="44"/>
      <c r="AL1286" s="44"/>
      <c r="AM1286" s="44"/>
      <c r="AN1286" s="44"/>
      <c r="AO1286" s="44"/>
      <c r="AP1286" s="44"/>
      <c r="AQ1286" s="44"/>
      <c r="AR1286" s="44"/>
      <c r="AS1286" s="44"/>
      <c r="AT1286" s="44"/>
      <c r="AW1286" s="1"/>
      <c r="AX1286" s="44"/>
      <c r="AY1286" s="44"/>
    </row>
    <row r="1287" spans="1:63" s="11" customFormat="1" ht="12" customHeight="1" x14ac:dyDescent="0.15">
      <c r="A1287" s="44" t="s">
        <v>24162</v>
      </c>
      <c r="B1287" s="68">
        <v>63</v>
      </c>
      <c r="C1287" s="44" t="s">
        <v>20</v>
      </c>
      <c r="D1287" s="44" t="s">
        <v>37</v>
      </c>
      <c r="E1287" s="44" t="s">
        <v>24163</v>
      </c>
      <c r="F1287" s="69">
        <v>42528</v>
      </c>
      <c r="G1287" s="44" t="s">
        <v>24164</v>
      </c>
      <c r="H1287" s="44" t="s">
        <v>23824</v>
      </c>
      <c r="I1287" s="44" t="s">
        <v>173</v>
      </c>
      <c r="J1287" s="44">
        <v>30281</v>
      </c>
      <c r="K1287" s="44" t="s">
        <v>8389</v>
      </c>
      <c r="L1287" s="44" t="s">
        <v>8390</v>
      </c>
      <c r="M1287" s="44" t="s">
        <v>27</v>
      </c>
      <c r="N1287" s="44" t="s">
        <v>24165</v>
      </c>
      <c r="O1287" s="44" t="s">
        <v>400</v>
      </c>
      <c r="P1287" s="44" t="s">
        <v>401</v>
      </c>
      <c r="Q1287" s="44" t="s">
        <v>24166</v>
      </c>
      <c r="R1287" s="44" t="s">
        <v>100</v>
      </c>
      <c r="S1287" s="44" t="s">
        <v>28</v>
      </c>
      <c r="T1287" s="68" t="s">
        <v>27756</v>
      </c>
      <c r="U1287" s="68" t="s">
        <v>29438</v>
      </c>
      <c r="V1287" s="68" t="s">
        <v>29439</v>
      </c>
      <c r="W1287" s="68" t="s">
        <v>100</v>
      </c>
      <c r="X1287" s="68">
        <v>1604</v>
      </c>
      <c r="Y1287" s="44"/>
      <c r="Z1287" s="44"/>
      <c r="AA1287" s="44"/>
      <c r="AB1287" s="44"/>
      <c r="AC1287" s="44"/>
      <c r="AD1287" s="44"/>
      <c r="AE1287" s="44"/>
      <c r="AF1287" s="44"/>
      <c r="AG1287" s="44"/>
      <c r="AH1287" s="44"/>
      <c r="AI1287" s="44"/>
      <c r="AJ1287" s="44"/>
      <c r="AK1287" s="44"/>
      <c r="AL1287" s="44"/>
      <c r="AM1287" s="44"/>
      <c r="AN1287" s="44"/>
      <c r="AO1287" s="44"/>
      <c r="AP1287" s="44"/>
      <c r="AQ1287" s="44"/>
      <c r="AR1287" s="44"/>
      <c r="AS1287" s="44"/>
      <c r="AT1287" s="44"/>
      <c r="AW1287" s="1"/>
      <c r="AX1287" s="1"/>
      <c r="AY1287" s="1"/>
      <c r="BC1287" s="1"/>
      <c r="BD1287" s="1"/>
      <c r="BE1287" s="1"/>
      <c r="BF1287" s="1"/>
      <c r="BG1287" s="1"/>
      <c r="BH1287" s="1"/>
      <c r="BI1287" s="1"/>
      <c r="BJ1287" s="1"/>
    </row>
    <row r="1288" spans="1:63" s="11" customFormat="1" ht="12" customHeight="1" x14ac:dyDescent="0.15">
      <c r="A1288" s="44" t="s">
        <v>24167</v>
      </c>
      <c r="B1288" s="68">
        <v>25</v>
      </c>
      <c r="C1288" s="44" t="s">
        <v>20</v>
      </c>
      <c r="D1288" s="44" t="s">
        <v>37</v>
      </c>
      <c r="E1288" s="44"/>
      <c r="F1288" s="69">
        <v>42528</v>
      </c>
      <c r="G1288" s="44" t="s">
        <v>24168</v>
      </c>
      <c r="H1288" s="44" t="s">
        <v>24169</v>
      </c>
      <c r="I1288" s="44" t="s">
        <v>395</v>
      </c>
      <c r="J1288" s="44">
        <v>74467</v>
      </c>
      <c r="K1288" s="44" t="s">
        <v>24169</v>
      </c>
      <c r="L1288" s="44" t="s">
        <v>24170</v>
      </c>
      <c r="M1288" s="44" t="s">
        <v>27</v>
      </c>
      <c r="N1288" s="44" t="s">
        <v>24171</v>
      </c>
      <c r="O1288" s="44" t="s">
        <v>400</v>
      </c>
      <c r="P1288" s="44" t="s">
        <v>401</v>
      </c>
      <c r="Q1288" s="44" t="s">
        <v>24172</v>
      </c>
      <c r="R1288" s="44" t="s">
        <v>100</v>
      </c>
      <c r="S1288" s="44" t="s">
        <v>18</v>
      </c>
      <c r="T1288" s="68" t="s">
        <v>28345</v>
      </c>
      <c r="U1288" s="68" t="s">
        <v>29436</v>
      </c>
      <c r="V1288" s="68" t="s">
        <v>29437</v>
      </c>
      <c r="W1288" s="68" t="s">
        <v>555</v>
      </c>
      <c r="X1288" s="68">
        <v>1596</v>
      </c>
      <c r="Y1288" s="44"/>
      <c r="Z1288" s="44"/>
      <c r="AA1288" s="44"/>
      <c r="AB1288" s="44"/>
      <c r="AC1288" s="44"/>
      <c r="AD1288" s="44"/>
      <c r="AE1288" s="44"/>
      <c r="AF1288" s="44"/>
      <c r="AG1288" s="44"/>
      <c r="AH1288" s="44"/>
      <c r="AI1288" s="44"/>
      <c r="AJ1288" s="44"/>
      <c r="AK1288" s="44"/>
      <c r="AL1288" s="44"/>
      <c r="AM1288" s="44"/>
      <c r="AN1288" s="44"/>
      <c r="AO1288" s="44"/>
      <c r="AP1288" s="44"/>
      <c r="AQ1288" s="44"/>
      <c r="AR1288" s="44"/>
      <c r="AS1288" s="44"/>
      <c r="AT1288" s="44"/>
      <c r="AX1288" s="1"/>
      <c r="AY1288" s="1"/>
      <c r="BC1288" s="1"/>
      <c r="BD1288" s="1"/>
      <c r="BE1288" s="1"/>
      <c r="BF1288" s="1"/>
      <c r="BG1288" s="1"/>
      <c r="BH1288" s="1"/>
      <c r="BI1288" s="1"/>
      <c r="BJ1288" s="1"/>
      <c r="BK1288" s="1"/>
    </row>
    <row r="1289" spans="1:63" s="11" customFormat="1" ht="12" customHeight="1" x14ac:dyDescent="0.15">
      <c r="A1289" s="44" t="s">
        <v>24152</v>
      </c>
      <c r="B1289" s="68">
        <v>21</v>
      </c>
      <c r="C1289" s="44" t="s">
        <v>20</v>
      </c>
      <c r="D1289" s="44" t="s">
        <v>48</v>
      </c>
      <c r="E1289" s="44"/>
      <c r="F1289" s="69">
        <v>42528</v>
      </c>
      <c r="G1289" s="44" t="s">
        <v>24153</v>
      </c>
      <c r="H1289" s="44" t="s">
        <v>9531</v>
      </c>
      <c r="I1289" s="44" t="s">
        <v>45</v>
      </c>
      <c r="J1289" s="44">
        <v>95380</v>
      </c>
      <c r="K1289" s="44" t="s">
        <v>3204</v>
      </c>
      <c r="L1289" s="44" t="s">
        <v>10249</v>
      </c>
      <c r="M1289" s="44" t="s">
        <v>27</v>
      </c>
      <c r="N1289" s="44" t="s">
        <v>24154</v>
      </c>
      <c r="O1289" s="44" t="s">
        <v>400</v>
      </c>
      <c r="P1289" s="44" t="s">
        <v>401</v>
      </c>
      <c r="Q1289" s="44" t="s">
        <v>24155</v>
      </c>
      <c r="R1289" s="44" t="s">
        <v>100</v>
      </c>
      <c r="S1289" s="44" t="s">
        <v>379</v>
      </c>
      <c r="T1289" s="68" t="s">
        <v>379</v>
      </c>
      <c r="U1289" s="68" t="s">
        <v>29436</v>
      </c>
      <c r="V1289" s="68" t="s">
        <v>29439</v>
      </c>
      <c r="W1289" s="68" t="s">
        <v>100</v>
      </c>
      <c r="X1289" s="68">
        <v>1599</v>
      </c>
      <c r="Y1289" s="44"/>
      <c r="Z1289" s="44"/>
      <c r="AA1289" s="44"/>
      <c r="AB1289" s="44"/>
      <c r="AC1289" s="44"/>
      <c r="AD1289" s="44"/>
      <c r="AE1289" s="44"/>
      <c r="AF1289" s="44"/>
      <c r="AG1289" s="44"/>
      <c r="AH1289" s="44"/>
      <c r="AI1289" s="44"/>
      <c r="AJ1289" s="44"/>
      <c r="AK1289" s="44"/>
      <c r="AL1289" s="44"/>
      <c r="AM1289" s="44"/>
      <c r="AN1289" s="44"/>
      <c r="AO1289" s="44"/>
      <c r="AP1289" s="44"/>
      <c r="AQ1289" s="44"/>
      <c r="AR1289" s="44"/>
      <c r="AS1289" s="44"/>
      <c r="AT1289" s="44"/>
      <c r="AW1289" s="44"/>
      <c r="AX1289" s="1"/>
      <c r="AY1289" s="1"/>
      <c r="BC1289" s="1"/>
      <c r="BD1289" s="1"/>
      <c r="BE1289" s="1"/>
      <c r="BF1289" s="1"/>
      <c r="BG1289" s="1"/>
      <c r="BH1289" s="1"/>
      <c r="BI1289" s="1"/>
      <c r="BJ1289" s="1"/>
      <c r="BK1289" s="44"/>
    </row>
    <row r="1290" spans="1:63" s="11" customFormat="1" ht="12" customHeight="1" x14ac:dyDescent="0.15">
      <c r="A1290" s="44" t="s">
        <v>24156</v>
      </c>
      <c r="B1290" s="44">
        <v>15</v>
      </c>
      <c r="C1290" s="44" t="s">
        <v>20</v>
      </c>
      <c r="D1290" s="44" t="s">
        <v>37</v>
      </c>
      <c r="E1290" s="44" t="s">
        <v>24157</v>
      </c>
      <c r="F1290" s="72">
        <v>42528</v>
      </c>
      <c r="G1290" s="44" t="s">
        <v>20914</v>
      </c>
      <c r="H1290" s="44" t="s">
        <v>24158</v>
      </c>
      <c r="I1290" s="44" t="s">
        <v>45</v>
      </c>
      <c r="J1290" s="44">
        <v>95963</v>
      </c>
      <c r="K1290" s="44" t="s">
        <v>24159</v>
      </c>
      <c r="L1290" s="44" t="s">
        <v>957</v>
      </c>
      <c r="M1290" s="44" t="s">
        <v>379</v>
      </c>
      <c r="N1290" s="44" t="s">
        <v>24160</v>
      </c>
      <c r="O1290" s="44" t="s">
        <v>400</v>
      </c>
      <c r="P1290" s="44" t="s">
        <v>401</v>
      </c>
      <c r="Q1290" s="44" t="s">
        <v>24161</v>
      </c>
      <c r="R1290" s="44" t="s">
        <v>100</v>
      </c>
      <c r="S1290" s="66" t="s">
        <v>379</v>
      </c>
      <c r="T1290" s="66" t="s">
        <v>30738</v>
      </c>
      <c r="U1290" s="1"/>
      <c r="V1290" s="44"/>
      <c r="W1290" s="44"/>
      <c r="X1290" s="44"/>
      <c r="Y1290" s="44"/>
      <c r="Z1290" s="44"/>
      <c r="AA1290" s="44"/>
      <c r="AB1290" s="44"/>
      <c r="AC1290" s="44"/>
      <c r="AD1290" s="44"/>
      <c r="AE1290" s="44"/>
      <c r="AF1290" s="44"/>
      <c r="AG1290" s="44"/>
      <c r="AH1290" s="44"/>
      <c r="AI1290" s="44"/>
      <c r="AJ1290" s="44"/>
      <c r="AK1290" s="44"/>
      <c r="AL1290" s="44"/>
      <c r="AM1290" s="44"/>
      <c r="AN1290" s="44"/>
      <c r="AO1290" s="44"/>
      <c r="AP1290" s="44"/>
      <c r="AQ1290" s="44"/>
      <c r="AR1290" s="44"/>
      <c r="AS1290" s="44"/>
      <c r="AT1290" s="44"/>
      <c r="AU1290" s="44"/>
      <c r="AV1290" s="44"/>
      <c r="AW1290" s="44"/>
      <c r="AX1290" s="1"/>
      <c r="AY1290" s="1"/>
      <c r="AZ1290" s="1"/>
      <c r="BA1290" s="1"/>
      <c r="BB1290" s="1"/>
      <c r="BC1290" s="1"/>
      <c r="BD1290" s="1"/>
      <c r="BE1290" s="1"/>
      <c r="BF1290" s="1"/>
      <c r="BG1290" s="1"/>
      <c r="BH1290" s="1"/>
      <c r="BI1290" s="1"/>
      <c r="BJ1290" s="1"/>
      <c r="BK1290" s="1"/>
    </row>
    <row r="1291" spans="1:63" s="11" customFormat="1" ht="12" customHeight="1" x14ac:dyDescent="0.15">
      <c r="A1291" s="44" t="s">
        <v>24148</v>
      </c>
      <c r="B1291" s="68">
        <v>23</v>
      </c>
      <c r="C1291" s="44" t="s">
        <v>20</v>
      </c>
      <c r="D1291" s="44" t="s">
        <v>85</v>
      </c>
      <c r="E1291" s="44"/>
      <c r="F1291" s="69">
        <v>42527</v>
      </c>
      <c r="G1291" s="44" t="s">
        <v>24149</v>
      </c>
      <c r="H1291" s="44" t="s">
        <v>1287</v>
      </c>
      <c r="I1291" s="44" t="s">
        <v>69</v>
      </c>
      <c r="J1291" s="44">
        <v>43211</v>
      </c>
      <c r="K1291" s="44" t="s">
        <v>1288</v>
      </c>
      <c r="L1291" s="44" t="s">
        <v>12562</v>
      </c>
      <c r="M1291" s="44" t="s">
        <v>27</v>
      </c>
      <c r="N1291" s="44" t="s">
        <v>24150</v>
      </c>
      <c r="O1291" s="44" t="s">
        <v>400</v>
      </c>
      <c r="P1291" s="44" t="s">
        <v>401</v>
      </c>
      <c r="Q1291" s="44" t="s">
        <v>24151</v>
      </c>
      <c r="R1291" s="44" t="s">
        <v>100</v>
      </c>
      <c r="S1291" s="44" t="s">
        <v>28</v>
      </c>
      <c r="T1291" s="68" t="s">
        <v>27756</v>
      </c>
      <c r="U1291" s="68" t="s">
        <v>29438</v>
      </c>
      <c r="V1291" s="68" t="s">
        <v>29439</v>
      </c>
      <c r="W1291" s="68" t="s">
        <v>100</v>
      </c>
      <c r="X1291" s="68">
        <v>1595</v>
      </c>
      <c r="Y1291" s="44"/>
      <c r="Z1291" s="44"/>
      <c r="AA1291" s="44"/>
      <c r="AB1291" s="44"/>
      <c r="AC1291" s="44"/>
      <c r="AD1291" s="44"/>
      <c r="AE1291" s="44"/>
      <c r="AF1291" s="44"/>
      <c r="AG1291" s="44"/>
      <c r="AH1291" s="44"/>
      <c r="AI1291" s="44"/>
      <c r="AJ1291" s="44"/>
      <c r="AK1291" s="44"/>
      <c r="AL1291" s="44"/>
      <c r="AM1291" s="44"/>
      <c r="AN1291" s="44"/>
      <c r="AO1291" s="44"/>
      <c r="AP1291" s="44"/>
      <c r="AQ1291" s="44"/>
      <c r="AR1291" s="44"/>
      <c r="AS1291" s="44"/>
      <c r="AT1291" s="44"/>
      <c r="AW1291" s="44"/>
      <c r="AX1291" s="44"/>
      <c r="AY1291" s="44"/>
    </row>
    <row r="1292" spans="1:63" s="11" customFormat="1" ht="12" customHeight="1" x14ac:dyDescent="0.15">
      <c r="A1292" s="44" t="s">
        <v>24143</v>
      </c>
      <c r="B1292" s="68">
        <v>25</v>
      </c>
      <c r="C1292" s="44" t="s">
        <v>20</v>
      </c>
      <c r="D1292" s="68" t="s">
        <v>48</v>
      </c>
      <c r="E1292" s="44" t="s">
        <v>24144</v>
      </c>
      <c r="F1292" s="69">
        <v>42527</v>
      </c>
      <c r="G1292" s="44" t="s">
        <v>24145</v>
      </c>
      <c r="H1292" s="44" t="s">
        <v>21859</v>
      </c>
      <c r="I1292" s="44" t="s">
        <v>870</v>
      </c>
      <c r="J1292" s="44">
        <v>96720</v>
      </c>
      <c r="K1292" s="44" t="s">
        <v>3943</v>
      </c>
      <c r="L1292" s="44" t="s">
        <v>3944</v>
      </c>
      <c r="M1292" s="44" t="s">
        <v>27</v>
      </c>
      <c r="N1292" s="44" t="s">
        <v>24146</v>
      </c>
      <c r="O1292" s="44" t="s">
        <v>400</v>
      </c>
      <c r="P1292" s="44" t="s">
        <v>401</v>
      </c>
      <c r="Q1292" s="44" t="s">
        <v>24147</v>
      </c>
      <c r="R1292" s="44" t="s">
        <v>100</v>
      </c>
      <c r="S1292" s="44" t="s">
        <v>28</v>
      </c>
      <c r="T1292" s="68" t="s">
        <v>29493</v>
      </c>
      <c r="U1292" s="68" t="s">
        <v>29436</v>
      </c>
      <c r="V1292" s="68" t="s">
        <v>29439</v>
      </c>
      <c r="W1292" s="68" t="s">
        <v>100</v>
      </c>
      <c r="X1292" s="68">
        <v>1597</v>
      </c>
      <c r="Y1292" s="44"/>
      <c r="Z1292" s="44"/>
      <c r="AA1292" s="44"/>
      <c r="AB1292" s="44"/>
      <c r="AC1292" s="44"/>
      <c r="AD1292" s="44"/>
      <c r="AE1292" s="44"/>
      <c r="AF1292" s="44"/>
      <c r="AG1292" s="44"/>
      <c r="AH1292" s="44"/>
      <c r="AI1292" s="44"/>
      <c r="AJ1292" s="44"/>
      <c r="AK1292" s="44"/>
      <c r="AL1292" s="44"/>
      <c r="AM1292" s="44"/>
      <c r="AN1292" s="44"/>
      <c r="AO1292" s="44"/>
      <c r="AP1292" s="44"/>
      <c r="AQ1292" s="44"/>
      <c r="AR1292" s="44"/>
      <c r="AS1292" s="44"/>
      <c r="AT1292" s="44"/>
      <c r="AX1292" s="1"/>
      <c r="AY1292" s="1"/>
      <c r="BC1292" s="1"/>
      <c r="BD1292" s="1"/>
      <c r="BE1292" s="1"/>
      <c r="BF1292" s="1"/>
      <c r="BG1292" s="1"/>
      <c r="BH1292" s="1"/>
      <c r="BI1292" s="1"/>
      <c r="BJ1292" s="1"/>
    </row>
    <row r="1293" spans="1:63" s="11" customFormat="1" ht="12" customHeight="1" x14ac:dyDescent="0.15">
      <c r="A1293" s="44" t="s">
        <v>24133</v>
      </c>
      <c r="B1293" s="68">
        <v>31</v>
      </c>
      <c r="C1293" s="44" t="s">
        <v>20</v>
      </c>
      <c r="D1293" s="44" t="s">
        <v>37</v>
      </c>
      <c r="E1293" s="44"/>
      <c r="F1293" s="69">
        <v>42526</v>
      </c>
      <c r="G1293" s="44" t="s">
        <v>24134</v>
      </c>
      <c r="H1293" s="44" t="s">
        <v>7722</v>
      </c>
      <c r="I1293" s="44" t="s">
        <v>62</v>
      </c>
      <c r="J1293" s="44">
        <v>33914</v>
      </c>
      <c r="K1293" s="44" t="s">
        <v>5538</v>
      </c>
      <c r="L1293" s="44" t="s">
        <v>15769</v>
      </c>
      <c r="M1293" s="44" t="s">
        <v>27</v>
      </c>
      <c r="N1293" s="44" t="s">
        <v>24135</v>
      </c>
      <c r="O1293" s="44" t="s">
        <v>400</v>
      </c>
      <c r="P1293" s="44" t="s">
        <v>401</v>
      </c>
      <c r="Q1293" s="44" t="s">
        <v>24136</v>
      </c>
      <c r="R1293" s="44" t="s">
        <v>100</v>
      </c>
      <c r="S1293" s="2" t="s">
        <v>28</v>
      </c>
      <c r="T1293" s="68" t="s">
        <v>27756</v>
      </c>
      <c r="U1293" s="68" t="s">
        <v>29436</v>
      </c>
      <c r="V1293" s="68" t="s">
        <v>29437</v>
      </c>
      <c r="W1293" s="68" t="s">
        <v>100</v>
      </c>
      <c r="X1293" s="68">
        <v>1593</v>
      </c>
      <c r="Y1293" s="44"/>
      <c r="Z1293" s="44"/>
      <c r="AA1293" s="44"/>
      <c r="AB1293" s="44"/>
      <c r="AC1293" s="44"/>
      <c r="AD1293" s="44"/>
      <c r="AE1293" s="44"/>
      <c r="AF1293" s="44"/>
      <c r="AG1293" s="44"/>
      <c r="AH1293" s="44"/>
      <c r="AI1293" s="44"/>
      <c r="AJ1293" s="44"/>
      <c r="AK1293" s="44"/>
      <c r="AL1293" s="44"/>
      <c r="AM1293" s="44"/>
      <c r="AN1293" s="44"/>
      <c r="AO1293" s="44"/>
      <c r="AP1293" s="44"/>
      <c r="AQ1293" s="44"/>
      <c r="AR1293" s="44"/>
      <c r="AS1293" s="44"/>
      <c r="AT1293" s="44"/>
      <c r="AX1293" s="1"/>
      <c r="AY1293" s="1"/>
      <c r="BC1293" s="1"/>
      <c r="BD1293" s="1"/>
      <c r="BE1293" s="1"/>
      <c r="BF1293" s="1"/>
      <c r="BG1293" s="1"/>
      <c r="BH1293" s="1"/>
      <c r="BI1293" s="1"/>
      <c r="BJ1293" s="1"/>
    </row>
    <row r="1294" spans="1:63" s="11" customFormat="1" ht="12" customHeight="1" x14ac:dyDescent="0.15">
      <c r="A1294" s="44" t="s">
        <v>24137</v>
      </c>
      <c r="B1294" s="44">
        <v>38</v>
      </c>
      <c r="C1294" s="44" t="s">
        <v>114</v>
      </c>
      <c r="D1294" s="44" t="s">
        <v>37</v>
      </c>
      <c r="E1294" s="44"/>
      <c r="F1294" s="72">
        <v>42526</v>
      </c>
      <c r="G1294" s="44" t="s">
        <v>24138</v>
      </c>
      <c r="H1294" s="44" t="s">
        <v>24139</v>
      </c>
      <c r="I1294" s="44" t="s">
        <v>57</v>
      </c>
      <c r="J1294" s="44">
        <v>49014</v>
      </c>
      <c r="K1294" s="44" t="s">
        <v>6104</v>
      </c>
      <c r="L1294" s="44" t="s">
        <v>24140</v>
      </c>
      <c r="M1294" s="44" t="s">
        <v>27</v>
      </c>
      <c r="N1294" s="44" t="s">
        <v>24141</v>
      </c>
      <c r="O1294" s="44" t="s">
        <v>400</v>
      </c>
      <c r="P1294" s="44" t="s">
        <v>401</v>
      </c>
      <c r="Q1294" s="44" t="s">
        <v>24142</v>
      </c>
      <c r="R1294" s="44" t="s">
        <v>100</v>
      </c>
      <c r="S1294" s="44" t="s">
        <v>18</v>
      </c>
      <c r="T1294" s="68"/>
      <c r="U1294" s="68"/>
      <c r="V1294" s="68"/>
      <c r="W1294" s="68"/>
      <c r="X1294" s="68"/>
      <c r="Y1294" s="44"/>
      <c r="Z1294" s="44"/>
      <c r="AA1294" s="44"/>
      <c r="AB1294" s="44"/>
      <c r="AC1294" s="44"/>
      <c r="AD1294" s="44"/>
      <c r="AE1294" s="44"/>
      <c r="AF1294" s="44"/>
      <c r="AG1294" s="44"/>
      <c r="AH1294" s="44"/>
      <c r="AI1294" s="44"/>
      <c r="AJ1294" s="44"/>
      <c r="AK1294" s="44"/>
      <c r="AL1294" s="44"/>
      <c r="AM1294" s="44"/>
      <c r="AN1294" s="44"/>
      <c r="AO1294" s="44"/>
      <c r="AP1294" s="44"/>
      <c r="AQ1294" s="44"/>
      <c r="AR1294" s="44"/>
      <c r="AS1294" s="44"/>
      <c r="AT1294" s="44"/>
      <c r="AW1294" s="1"/>
      <c r="AX1294" s="1"/>
      <c r="AY1294" s="1"/>
      <c r="AZ1294" s="1"/>
      <c r="BA1294" s="1"/>
      <c r="BB1294" s="1"/>
      <c r="BC1294" s="1"/>
      <c r="BD1294" s="1"/>
      <c r="BE1294" s="1"/>
      <c r="BF1294" s="1"/>
      <c r="BG1294" s="1"/>
      <c r="BH1294" s="1"/>
      <c r="BI1294" s="1"/>
      <c r="BJ1294" s="1"/>
      <c r="BK1294" s="1"/>
    </row>
    <row r="1295" spans="1:63" s="11" customFormat="1" ht="12" customHeight="1" x14ac:dyDescent="0.15">
      <c r="A1295" s="44" t="s">
        <v>24120</v>
      </c>
      <c r="B1295" s="68">
        <v>35</v>
      </c>
      <c r="C1295" s="44" t="s">
        <v>20</v>
      </c>
      <c r="D1295" s="44" t="s">
        <v>85</v>
      </c>
      <c r="E1295" s="44" t="s">
        <v>24121</v>
      </c>
      <c r="F1295" s="69">
        <v>42525</v>
      </c>
      <c r="G1295" s="44" t="s">
        <v>24122</v>
      </c>
      <c r="H1295" s="44" t="s">
        <v>13652</v>
      </c>
      <c r="I1295" s="44" t="s">
        <v>94</v>
      </c>
      <c r="J1295" s="44">
        <v>36027</v>
      </c>
      <c r="K1295" s="44" t="s">
        <v>13653</v>
      </c>
      <c r="L1295" s="44" t="s">
        <v>24123</v>
      </c>
      <c r="M1295" s="44" t="s">
        <v>27</v>
      </c>
      <c r="N1295" s="44" t="s">
        <v>24124</v>
      </c>
      <c r="O1295" s="44" t="s">
        <v>400</v>
      </c>
      <c r="P1295" s="44" t="s">
        <v>401</v>
      </c>
      <c r="Q1295" s="44" t="s">
        <v>24125</v>
      </c>
      <c r="R1295" s="44" t="s">
        <v>100</v>
      </c>
      <c r="S1295" s="44" t="s">
        <v>28</v>
      </c>
      <c r="T1295" s="68" t="s">
        <v>27756</v>
      </c>
      <c r="U1295" s="68" t="s">
        <v>29438</v>
      </c>
      <c r="V1295" s="68" t="s">
        <v>21212</v>
      </c>
      <c r="W1295" s="68" t="s">
        <v>555</v>
      </c>
      <c r="X1295" s="68">
        <v>1594</v>
      </c>
      <c r="Y1295" s="44"/>
      <c r="Z1295" s="44"/>
      <c r="AA1295" s="44"/>
      <c r="AB1295" s="44"/>
      <c r="AC1295" s="44"/>
      <c r="AD1295" s="44"/>
      <c r="AE1295" s="44"/>
      <c r="AF1295" s="44"/>
      <c r="AG1295" s="44"/>
      <c r="AH1295" s="44"/>
      <c r="AI1295" s="44"/>
      <c r="AJ1295" s="44"/>
      <c r="AK1295" s="44"/>
      <c r="AL1295" s="44"/>
      <c r="AM1295" s="44"/>
      <c r="AN1295" s="44"/>
      <c r="AO1295" s="44"/>
      <c r="AP1295" s="44"/>
      <c r="AQ1295" s="44"/>
      <c r="AR1295" s="44"/>
      <c r="AS1295" s="44"/>
      <c r="AT1295" s="44"/>
    </row>
    <row r="1296" spans="1:63" s="11" customFormat="1" ht="12" customHeight="1" x14ac:dyDescent="0.15">
      <c r="A1296" s="44" t="s">
        <v>24126</v>
      </c>
      <c r="B1296" s="68">
        <v>31</v>
      </c>
      <c r="C1296" s="44" t="s">
        <v>20</v>
      </c>
      <c r="D1296" s="44" t="s">
        <v>30</v>
      </c>
      <c r="E1296" s="44"/>
      <c r="F1296" s="69">
        <v>42525</v>
      </c>
      <c r="G1296" s="44" t="s">
        <v>24127</v>
      </c>
      <c r="H1296" s="44" t="s">
        <v>4397</v>
      </c>
      <c r="I1296" s="44" t="s">
        <v>45</v>
      </c>
      <c r="J1296" s="44">
        <v>96064</v>
      </c>
      <c r="K1296" s="44" t="s">
        <v>956</v>
      </c>
      <c r="L1296" s="44" t="s">
        <v>957</v>
      </c>
      <c r="M1296" s="44" t="s">
        <v>27</v>
      </c>
      <c r="N1296" s="44" t="s">
        <v>24128</v>
      </c>
      <c r="O1296" s="44" t="s">
        <v>400</v>
      </c>
      <c r="P1296" s="44" t="s">
        <v>401</v>
      </c>
      <c r="Q1296" s="44" t="s">
        <v>24129</v>
      </c>
      <c r="R1296" s="44" t="s">
        <v>29</v>
      </c>
      <c r="S1296" s="44" t="s">
        <v>35</v>
      </c>
      <c r="T1296" s="66" t="s">
        <v>29441</v>
      </c>
      <c r="U1296" s="68" t="s">
        <v>29438</v>
      </c>
      <c r="V1296" s="68" t="s">
        <v>29439</v>
      </c>
      <c r="W1296" s="68" t="s">
        <v>100</v>
      </c>
      <c r="X1296" s="68">
        <v>1592</v>
      </c>
      <c r="Y1296" s="44"/>
      <c r="Z1296" s="44"/>
      <c r="AA1296" s="44"/>
      <c r="AB1296" s="44"/>
      <c r="AC1296" s="44"/>
      <c r="AD1296" s="44"/>
      <c r="AE1296" s="44"/>
      <c r="AF1296" s="44"/>
      <c r="AG1296" s="44"/>
      <c r="AH1296" s="44"/>
      <c r="AI1296" s="44"/>
      <c r="AJ1296" s="44"/>
      <c r="AK1296" s="44"/>
      <c r="AL1296" s="44"/>
      <c r="AM1296" s="44"/>
      <c r="AN1296" s="44"/>
      <c r="AO1296" s="44"/>
      <c r="AP1296" s="44"/>
      <c r="AQ1296" s="44"/>
      <c r="AR1296" s="44"/>
      <c r="AS1296" s="44"/>
      <c r="AT1296" s="44"/>
      <c r="AX1296" s="1"/>
      <c r="AY1296" s="1"/>
      <c r="BA1296" s="1"/>
      <c r="BB1296" s="1"/>
      <c r="BC1296" s="1"/>
      <c r="BD1296" s="1"/>
      <c r="BE1296" s="1"/>
      <c r="BF1296" s="1"/>
      <c r="BG1296" s="1"/>
      <c r="BH1296" s="1"/>
      <c r="BI1296" s="1"/>
      <c r="BJ1296" s="1"/>
      <c r="BK1296" s="1"/>
    </row>
    <row r="1297" spans="1:63" s="11" customFormat="1" ht="12" customHeight="1" x14ac:dyDescent="0.2">
      <c r="A1297" s="44" t="s">
        <v>24130</v>
      </c>
      <c r="B1297" s="68">
        <v>31</v>
      </c>
      <c r="C1297" s="44" t="s">
        <v>20</v>
      </c>
      <c r="D1297" s="44" t="s">
        <v>37</v>
      </c>
      <c r="E1297" s="44" t="s">
        <v>26276</v>
      </c>
      <c r="F1297" s="69">
        <v>42525</v>
      </c>
      <c r="G1297" s="44" t="s">
        <v>24385</v>
      </c>
      <c r="H1297" s="44" t="s">
        <v>905</v>
      </c>
      <c r="I1297" s="44" t="s">
        <v>217</v>
      </c>
      <c r="J1297" s="44">
        <v>47302</v>
      </c>
      <c r="K1297" s="44" t="s">
        <v>906</v>
      </c>
      <c r="L1297" s="44" t="s">
        <v>907</v>
      </c>
      <c r="M1297" s="44" t="s">
        <v>27</v>
      </c>
      <c r="N1297" s="44" t="s">
        <v>24131</v>
      </c>
      <c r="O1297" s="44" t="s">
        <v>400</v>
      </c>
      <c r="P1297" s="44" t="s">
        <v>401</v>
      </c>
      <c r="Q1297" s="44" t="s">
        <v>24132</v>
      </c>
      <c r="R1297" s="68" t="s">
        <v>555</v>
      </c>
      <c r="S1297" s="44" t="s">
        <v>28</v>
      </c>
      <c r="T1297" s="68" t="s">
        <v>29493</v>
      </c>
      <c r="U1297" s="68" t="s">
        <v>29436</v>
      </c>
      <c r="V1297" s="68" t="s">
        <v>29439</v>
      </c>
      <c r="W1297" s="68" t="s">
        <v>555</v>
      </c>
      <c r="X1297" s="68">
        <v>1598</v>
      </c>
      <c r="Y1297" s="44"/>
      <c r="Z1297" s="44"/>
      <c r="AA1297" s="44"/>
      <c r="AB1297" s="44"/>
      <c r="AC1297" s="44"/>
      <c r="AD1297" s="44"/>
      <c r="AE1297" s="44"/>
      <c r="AF1297" s="44"/>
      <c r="AG1297" s="44"/>
      <c r="AH1297" s="44"/>
      <c r="AI1297" s="44"/>
      <c r="AJ1297" s="44"/>
      <c r="AK1297" s="44"/>
      <c r="AL1297" s="44"/>
      <c r="AM1297" s="44"/>
      <c r="AN1297" s="44"/>
      <c r="AO1297" s="44"/>
      <c r="AP1297" s="44"/>
      <c r="AQ1297" s="44"/>
      <c r="AR1297" s="44"/>
      <c r="AS1297" s="44"/>
      <c r="AT1297" s="44"/>
      <c r="AX1297" s="1"/>
      <c r="AY1297" s="1"/>
      <c r="BA1297" s="70"/>
      <c r="BB1297" s="44"/>
      <c r="BC1297" s="1"/>
      <c r="BD1297" s="1"/>
      <c r="BE1297" s="1"/>
      <c r="BF1297" s="1"/>
      <c r="BG1297" s="1"/>
      <c r="BH1297" s="1"/>
      <c r="BI1297" s="1"/>
      <c r="BJ1297" s="1"/>
    </row>
    <row r="1298" spans="1:63" s="11" customFormat="1" ht="12" customHeight="1" x14ac:dyDescent="0.15">
      <c r="A1298" s="44" t="s">
        <v>24108</v>
      </c>
      <c r="B1298" s="68">
        <v>34</v>
      </c>
      <c r="C1298" s="44" t="s">
        <v>20</v>
      </c>
      <c r="D1298" s="44" t="s">
        <v>139</v>
      </c>
      <c r="E1298" s="44"/>
      <c r="F1298" s="69">
        <v>42524</v>
      </c>
      <c r="G1298" s="44" t="s">
        <v>24109</v>
      </c>
      <c r="H1298" s="44" t="s">
        <v>1622</v>
      </c>
      <c r="I1298" s="44" t="s">
        <v>123</v>
      </c>
      <c r="J1298" s="44">
        <v>85344</v>
      </c>
      <c r="K1298" s="44" t="s">
        <v>3997</v>
      </c>
      <c r="L1298" s="44" t="s">
        <v>24110</v>
      </c>
      <c r="M1298" s="44" t="s">
        <v>27</v>
      </c>
      <c r="N1298" s="44" t="s">
        <v>24111</v>
      </c>
      <c r="O1298" s="44" t="s">
        <v>400</v>
      </c>
      <c r="P1298" s="44" t="s">
        <v>401</v>
      </c>
      <c r="Q1298" s="44" t="s">
        <v>24112</v>
      </c>
      <c r="R1298" s="44" t="s">
        <v>29</v>
      </c>
      <c r="S1298" s="44" t="s">
        <v>28</v>
      </c>
      <c r="T1298" s="68" t="s">
        <v>29493</v>
      </c>
      <c r="U1298" s="68" t="s">
        <v>29436</v>
      </c>
      <c r="V1298" s="68" t="s">
        <v>29439</v>
      </c>
      <c r="W1298" s="68" t="s">
        <v>100</v>
      </c>
      <c r="X1298" s="68">
        <v>1591</v>
      </c>
      <c r="Y1298" s="44"/>
      <c r="Z1298" s="44"/>
      <c r="AA1298" s="44"/>
      <c r="AB1298" s="44"/>
      <c r="AC1298" s="44"/>
      <c r="AD1298" s="44"/>
      <c r="AE1298" s="44"/>
      <c r="AF1298" s="44"/>
      <c r="AG1298" s="44"/>
      <c r="AH1298" s="44"/>
      <c r="AI1298" s="44"/>
      <c r="AJ1298" s="44"/>
      <c r="AK1298" s="44"/>
      <c r="AL1298" s="44"/>
      <c r="AM1298" s="44"/>
      <c r="AN1298" s="44"/>
      <c r="AO1298" s="44"/>
      <c r="AP1298" s="44"/>
      <c r="AQ1298" s="44"/>
      <c r="AR1298" s="44"/>
      <c r="AS1298" s="44"/>
      <c r="AT1298" s="44"/>
      <c r="AX1298" s="1"/>
      <c r="AY1298" s="1"/>
      <c r="BA1298" s="1"/>
      <c r="BB1298" s="1"/>
      <c r="BC1298" s="1"/>
      <c r="BD1298" s="1"/>
      <c r="BE1298" s="1"/>
      <c r="BF1298" s="1"/>
      <c r="BG1298" s="1"/>
      <c r="BH1298" s="1"/>
      <c r="BI1298" s="1"/>
      <c r="BJ1298" s="1"/>
    </row>
    <row r="1299" spans="1:63" s="11" customFormat="1" ht="12" customHeight="1" x14ac:dyDescent="0.15">
      <c r="A1299" s="44" t="s">
        <v>24113</v>
      </c>
      <c r="B1299" s="44">
        <v>28</v>
      </c>
      <c r="C1299" s="44" t="s">
        <v>20</v>
      </c>
      <c r="D1299" s="44" t="s">
        <v>139</v>
      </c>
      <c r="E1299" s="44"/>
      <c r="F1299" s="72">
        <v>42524</v>
      </c>
      <c r="G1299" s="44" t="s">
        <v>24114</v>
      </c>
      <c r="H1299" s="44" t="s">
        <v>24115</v>
      </c>
      <c r="I1299" s="44" t="s">
        <v>143</v>
      </c>
      <c r="J1299" s="44">
        <v>57770</v>
      </c>
      <c r="K1299" s="44" t="s">
        <v>24116</v>
      </c>
      <c r="L1299" s="44" t="s">
        <v>24117</v>
      </c>
      <c r="M1299" s="44" t="s">
        <v>27</v>
      </c>
      <c r="N1299" s="44" t="s">
        <v>24118</v>
      </c>
      <c r="O1299" s="44" t="s">
        <v>400</v>
      </c>
      <c r="P1299" s="44" t="s">
        <v>401</v>
      </c>
      <c r="Q1299" s="44" t="s">
        <v>24119</v>
      </c>
      <c r="R1299" s="44" t="s">
        <v>29</v>
      </c>
      <c r="S1299" s="44" t="s">
        <v>28</v>
      </c>
      <c r="T1299" s="68"/>
      <c r="U1299" s="68"/>
      <c r="V1299" s="68"/>
      <c r="W1299" s="68"/>
      <c r="X1299" s="68"/>
      <c r="Y1299" s="44"/>
      <c r="Z1299" s="44"/>
      <c r="AA1299" s="44"/>
      <c r="AB1299" s="44"/>
      <c r="AC1299" s="44"/>
      <c r="AD1299" s="44"/>
      <c r="AE1299" s="44"/>
      <c r="AF1299" s="44"/>
      <c r="AG1299" s="44"/>
      <c r="AH1299" s="44"/>
      <c r="AI1299" s="44"/>
      <c r="AJ1299" s="44"/>
      <c r="AK1299" s="44"/>
      <c r="AL1299" s="44"/>
      <c r="AM1299" s="44"/>
      <c r="AN1299" s="44"/>
      <c r="AO1299" s="44"/>
      <c r="AP1299" s="44"/>
      <c r="AQ1299" s="44"/>
      <c r="AR1299" s="44"/>
      <c r="AS1299" s="44"/>
      <c r="AT1299" s="44"/>
      <c r="AW1299" s="1"/>
      <c r="AX1299" s="1"/>
      <c r="AY1299" s="1"/>
      <c r="AZ1299" s="1"/>
      <c r="BA1299" s="1"/>
      <c r="BB1299" s="1"/>
      <c r="BC1299" s="1"/>
      <c r="BD1299" s="1"/>
      <c r="BE1299" s="1"/>
      <c r="BF1299" s="1"/>
      <c r="BG1299" s="1"/>
      <c r="BH1299" s="1"/>
      <c r="BI1299" s="1"/>
      <c r="BJ1299" s="1"/>
    </row>
    <row r="1300" spans="1:63" s="11" customFormat="1" ht="12" customHeight="1" x14ac:dyDescent="0.15">
      <c r="A1300" s="44" t="s">
        <v>24089</v>
      </c>
      <c r="B1300" s="68">
        <v>33</v>
      </c>
      <c r="C1300" s="44" t="s">
        <v>20</v>
      </c>
      <c r="D1300" s="44" t="s">
        <v>37</v>
      </c>
      <c r="E1300" s="44"/>
      <c r="F1300" s="69">
        <v>42524</v>
      </c>
      <c r="G1300" s="44" t="s">
        <v>24090</v>
      </c>
      <c r="H1300" s="44" t="s">
        <v>24091</v>
      </c>
      <c r="I1300" s="44" t="s">
        <v>330</v>
      </c>
      <c r="J1300" s="44">
        <v>99645</v>
      </c>
      <c r="K1300" s="44" t="s">
        <v>21801</v>
      </c>
      <c r="L1300" s="44" t="s">
        <v>11209</v>
      </c>
      <c r="M1300" s="44" t="s">
        <v>27</v>
      </c>
      <c r="N1300" s="44" t="s">
        <v>24092</v>
      </c>
      <c r="O1300" s="44" t="s">
        <v>400</v>
      </c>
      <c r="P1300" s="44" t="s">
        <v>401</v>
      </c>
      <c r="Q1300" s="44" t="s">
        <v>24093</v>
      </c>
      <c r="R1300" s="44" t="s">
        <v>29</v>
      </c>
      <c r="S1300" s="44" t="s">
        <v>28</v>
      </c>
      <c r="T1300" s="68" t="s">
        <v>29493</v>
      </c>
      <c r="U1300" s="68" t="s">
        <v>29436</v>
      </c>
      <c r="V1300" s="68" t="s">
        <v>29439</v>
      </c>
      <c r="W1300" s="68" t="s">
        <v>100</v>
      </c>
      <c r="X1300" s="68">
        <v>1590</v>
      </c>
      <c r="Y1300" s="44"/>
      <c r="Z1300" s="44"/>
      <c r="AA1300" s="44"/>
      <c r="AB1300" s="44"/>
      <c r="AC1300" s="44"/>
      <c r="AD1300" s="44"/>
      <c r="AE1300" s="44"/>
      <c r="AF1300" s="44"/>
      <c r="AG1300" s="44"/>
      <c r="AH1300" s="44"/>
      <c r="AI1300" s="44"/>
      <c r="AJ1300" s="44"/>
      <c r="AK1300" s="44"/>
      <c r="AL1300" s="44"/>
      <c r="AM1300" s="44"/>
      <c r="AN1300" s="44"/>
      <c r="AO1300" s="44"/>
      <c r="AP1300" s="44"/>
      <c r="AQ1300" s="44"/>
      <c r="AR1300" s="44"/>
      <c r="AS1300" s="44"/>
      <c r="AT1300" s="44"/>
      <c r="AX1300" s="1"/>
      <c r="AY1300" s="1"/>
      <c r="BA1300" s="1"/>
      <c r="BB1300" s="1"/>
      <c r="BC1300" s="1"/>
      <c r="BD1300" s="1"/>
      <c r="BE1300" s="1"/>
      <c r="BF1300" s="1"/>
      <c r="BG1300" s="1"/>
      <c r="BH1300" s="1"/>
      <c r="BI1300" s="1"/>
      <c r="BJ1300" s="1"/>
    </row>
    <row r="1301" spans="1:63" s="11" customFormat="1" ht="12" customHeight="1" x14ac:dyDescent="0.2">
      <c r="A1301" s="44" t="s">
        <v>24094</v>
      </c>
      <c r="B1301" s="68">
        <v>18</v>
      </c>
      <c r="C1301" s="44" t="s">
        <v>20</v>
      </c>
      <c r="D1301" s="44" t="s">
        <v>85</v>
      </c>
      <c r="E1301" s="44"/>
      <c r="F1301" s="69">
        <v>42523</v>
      </c>
      <c r="G1301" s="44" t="s">
        <v>24095</v>
      </c>
      <c r="H1301" s="44" t="s">
        <v>4191</v>
      </c>
      <c r="I1301" s="44" t="s">
        <v>366</v>
      </c>
      <c r="J1301" s="44">
        <v>28262</v>
      </c>
      <c r="K1301" s="44" t="s">
        <v>4193</v>
      </c>
      <c r="L1301" s="44" t="s">
        <v>4194</v>
      </c>
      <c r="M1301" s="44" t="s">
        <v>27</v>
      </c>
      <c r="N1301" s="44" t="s">
        <v>24096</v>
      </c>
      <c r="O1301" s="44" t="s">
        <v>400</v>
      </c>
      <c r="P1301" s="44" t="s">
        <v>401</v>
      </c>
      <c r="Q1301" s="44" t="s">
        <v>24097</v>
      </c>
      <c r="R1301" s="44" t="s">
        <v>100</v>
      </c>
      <c r="S1301" s="44" t="s">
        <v>28</v>
      </c>
      <c r="T1301" s="68" t="s">
        <v>27756</v>
      </c>
      <c r="U1301" s="68" t="s">
        <v>29436</v>
      </c>
      <c r="V1301" s="68" t="s">
        <v>29439</v>
      </c>
      <c r="W1301" s="68" t="s">
        <v>555</v>
      </c>
      <c r="X1301" s="68">
        <v>1589</v>
      </c>
      <c r="Y1301" s="44"/>
      <c r="Z1301" s="44"/>
      <c r="AA1301" s="44"/>
      <c r="AB1301" s="44"/>
      <c r="AC1301" s="44"/>
      <c r="AD1301" s="44"/>
      <c r="AE1301" s="44"/>
      <c r="AF1301" s="44"/>
      <c r="AG1301" s="44"/>
      <c r="AH1301" s="44"/>
      <c r="AI1301" s="44"/>
      <c r="AJ1301" s="44"/>
      <c r="AK1301" s="44"/>
      <c r="AL1301" s="44"/>
      <c r="AM1301" s="44"/>
      <c r="AN1301" s="44"/>
      <c r="AO1301" s="44"/>
      <c r="AP1301" s="44"/>
      <c r="AQ1301" s="44"/>
      <c r="AR1301" s="44"/>
      <c r="AS1301" s="44"/>
      <c r="AT1301" s="44"/>
      <c r="AW1301" s="70"/>
      <c r="AX1301" s="70"/>
      <c r="AY1301" s="70"/>
    </row>
    <row r="1302" spans="1:63" s="11" customFormat="1" ht="12" customHeight="1" x14ac:dyDescent="0.15">
      <c r="A1302" s="44" t="s">
        <v>24098</v>
      </c>
      <c r="B1302" s="44">
        <v>49</v>
      </c>
      <c r="C1302" s="44" t="s">
        <v>20</v>
      </c>
      <c r="D1302" s="44" t="s">
        <v>37</v>
      </c>
      <c r="E1302" s="44" t="s">
        <v>24099</v>
      </c>
      <c r="F1302" s="72">
        <v>42523</v>
      </c>
      <c r="G1302" s="44" t="s">
        <v>24100</v>
      </c>
      <c r="H1302" s="44" t="s">
        <v>9519</v>
      </c>
      <c r="I1302" s="44" t="s">
        <v>315</v>
      </c>
      <c r="J1302" s="44">
        <v>41701</v>
      </c>
      <c r="K1302" s="44" t="s">
        <v>2502</v>
      </c>
      <c r="L1302" s="44" t="s">
        <v>20114</v>
      </c>
      <c r="M1302" s="44" t="s">
        <v>379</v>
      </c>
      <c r="N1302" s="44" t="s">
        <v>24101</v>
      </c>
      <c r="O1302" s="44" t="s">
        <v>400</v>
      </c>
      <c r="P1302" s="44" t="s">
        <v>401</v>
      </c>
      <c r="Q1302" s="44" t="s">
        <v>24102</v>
      </c>
      <c r="R1302" s="44" t="s">
        <v>100</v>
      </c>
      <c r="S1302" s="44" t="s">
        <v>28</v>
      </c>
      <c r="T1302" s="44"/>
      <c r="U1302" s="44"/>
      <c r="V1302" s="44"/>
      <c r="W1302" s="44"/>
      <c r="X1302" s="44"/>
      <c r="Y1302" s="44"/>
      <c r="Z1302" s="44"/>
      <c r="AA1302" s="44"/>
      <c r="AB1302" s="44"/>
      <c r="AC1302" s="44"/>
      <c r="AD1302" s="44"/>
      <c r="AE1302" s="44"/>
      <c r="AF1302" s="44"/>
      <c r="AG1302" s="44"/>
      <c r="AH1302" s="44"/>
      <c r="AI1302" s="44"/>
      <c r="AJ1302" s="44"/>
      <c r="AK1302" s="44"/>
      <c r="AL1302" s="44"/>
      <c r="AM1302" s="44"/>
      <c r="AN1302" s="44"/>
      <c r="AO1302" s="44"/>
      <c r="AP1302" s="44"/>
      <c r="AQ1302" s="44"/>
      <c r="AR1302" s="44"/>
      <c r="AS1302" s="44"/>
      <c r="AT1302" s="44"/>
      <c r="AU1302" s="44"/>
      <c r="AV1302" s="44"/>
      <c r="AW1302" s="44"/>
      <c r="AX1302" s="1"/>
      <c r="AY1302" s="1"/>
      <c r="AZ1302" s="1"/>
      <c r="BA1302" s="1"/>
      <c r="BB1302" s="1"/>
      <c r="BC1302" s="1"/>
      <c r="BD1302" s="1"/>
      <c r="BE1302" s="1"/>
      <c r="BF1302" s="1"/>
      <c r="BG1302" s="1"/>
      <c r="BH1302" s="1"/>
      <c r="BI1302" s="1"/>
      <c r="BJ1302" s="1"/>
      <c r="BK1302" s="1"/>
    </row>
    <row r="1303" spans="1:63" s="11" customFormat="1" ht="12" customHeight="1" x14ac:dyDescent="0.15">
      <c r="A1303" s="44" t="s">
        <v>24103</v>
      </c>
      <c r="B1303" s="68">
        <v>43</v>
      </c>
      <c r="C1303" s="44" t="s">
        <v>20</v>
      </c>
      <c r="D1303" s="44" t="s">
        <v>85</v>
      </c>
      <c r="E1303" s="44" t="s">
        <v>24104</v>
      </c>
      <c r="F1303" s="69">
        <v>42523</v>
      </c>
      <c r="G1303" s="44" t="s">
        <v>24105</v>
      </c>
      <c r="H1303" s="44" t="s">
        <v>3317</v>
      </c>
      <c r="I1303" s="44" t="s">
        <v>244</v>
      </c>
      <c r="J1303" s="44">
        <v>23504</v>
      </c>
      <c r="K1303" s="44" t="s">
        <v>16595</v>
      </c>
      <c r="L1303" s="44" t="s">
        <v>5050</v>
      </c>
      <c r="M1303" s="44" t="s">
        <v>27</v>
      </c>
      <c r="N1303" s="44" t="s">
        <v>24106</v>
      </c>
      <c r="O1303" s="44" t="s">
        <v>400</v>
      </c>
      <c r="P1303" s="44" t="s">
        <v>401</v>
      </c>
      <c r="Q1303" s="44" t="s">
        <v>24107</v>
      </c>
      <c r="R1303" s="68" t="s">
        <v>555</v>
      </c>
      <c r="S1303" s="11" t="s">
        <v>35</v>
      </c>
      <c r="T1303" s="68" t="s">
        <v>29493</v>
      </c>
      <c r="U1303" s="68" t="s">
        <v>29436</v>
      </c>
      <c r="V1303" s="68" t="s">
        <v>29439</v>
      </c>
      <c r="W1303" s="68" t="s">
        <v>555</v>
      </c>
      <c r="X1303" s="68">
        <v>1588</v>
      </c>
      <c r="Y1303" s="44"/>
      <c r="Z1303" s="44"/>
      <c r="AA1303" s="44"/>
      <c r="AB1303" s="44"/>
      <c r="AC1303" s="44"/>
      <c r="AD1303" s="44"/>
      <c r="AE1303" s="44"/>
      <c r="AF1303" s="44"/>
      <c r="AG1303" s="44"/>
      <c r="AH1303" s="44"/>
      <c r="AI1303" s="44"/>
      <c r="AJ1303" s="44"/>
      <c r="AK1303" s="44"/>
      <c r="AL1303" s="44"/>
      <c r="AM1303" s="44"/>
      <c r="AN1303" s="44"/>
      <c r="AO1303" s="44"/>
      <c r="AP1303" s="44"/>
      <c r="AQ1303" s="44"/>
      <c r="AR1303" s="44"/>
      <c r="AS1303" s="44"/>
      <c r="AT1303" s="44"/>
      <c r="AW1303" s="1"/>
      <c r="AX1303" s="44"/>
      <c r="AY1303" s="44"/>
      <c r="BA1303" s="44"/>
      <c r="BK1303" s="1"/>
    </row>
    <row r="1304" spans="1:63" s="11" customFormat="1" ht="12" customHeight="1" x14ac:dyDescent="0.2">
      <c r="A1304" s="44" t="s">
        <v>24076</v>
      </c>
      <c r="B1304" s="68">
        <v>21</v>
      </c>
      <c r="C1304" s="44" t="s">
        <v>20</v>
      </c>
      <c r="D1304" s="44" t="s">
        <v>85</v>
      </c>
      <c r="E1304" s="44" t="s">
        <v>24077</v>
      </c>
      <c r="F1304" s="69">
        <v>42522</v>
      </c>
      <c r="G1304" s="44" t="s">
        <v>24078</v>
      </c>
      <c r="H1304" s="44" t="s">
        <v>24079</v>
      </c>
      <c r="I1304" s="44" t="s">
        <v>173</v>
      </c>
      <c r="J1304" s="44">
        <v>30265</v>
      </c>
      <c r="K1304" s="44" t="s">
        <v>22875</v>
      </c>
      <c r="L1304" s="44" t="s">
        <v>24080</v>
      </c>
      <c r="M1304" s="44" t="s">
        <v>27</v>
      </c>
      <c r="N1304" s="44" t="s">
        <v>24081</v>
      </c>
      <c r="O1304" s="44" t="s">
        <v>400</v>
      </c>
      <c r="P1304" s="44" t="s">
        <v>401</v>
      </c>
      <c r="Q1304" s="44" t="s">
        <v>24082</v>
      </c>
      <c r="R1304" s="44" t="s">
        <v>100</v>
      </c>
      <c r="S1304" s="44" t="s">
        <v>28</v>
      </c>
      <c r="T1304" s="68" t="s">
        <v>27756</v>
      </c>
      <c r="U1304" s="68" t="s">
        <v>29438</v>
      </c>
      <c r="V1304" s="68" t="s">
        <v>29440</v>
      </c>
      <c r="W1304" s="68" t="s">
        <v>555</v>
      </c>
      <c r="X1304" s="68">
        <v>1586</v>
      </c>
      <c r="Y1304" s="44"/>
      <c r="Z1304" s="44"/>
      <c r="AA1304" s="44"/>
      <c r="AB1304" s="44"/>
      <c r="AC1304" s="44"/>
      <c r="AD1304" s="44"/>
      <c r="AE1304" s="44"/>
      <c r="AF1304" s="44"/>
      <c r="AG1304" s="44"/>
      <c r="AH1304" s="44"/>
      <c r="AI1304" s="44"/>
      <c r="AJ1304" s="44"/>
      <c r="AK1304" s="44"/>
      <c r="AL1304" s="44"/>
      <c r="AM1304" s="44"/>
      <c r="AN1304" s="44"/>
      <c r="AO1304" s="44"/>
      <c r="AP1304" s="44"/>
      <c r="AQ1304" s="44"/>
      <c r="AR1304" s="44"/>
      <c r="AS1304" s="44"/>
      <c r="AT1304" s="44"/>
      <c r="AW1304" s="44"/>
      <c r="AX1304" s="70"/>
      <c r="AY1304" s="70"/>
    </row>
    <row r="1305" spans="1:63" s="11" customFormat="1" ht="12" customHeight="1" x14ac:dyDescent="0.15">
      <c r="A1305" s="44" t="s">
        <v>26277</v>
      </c>
      <c r="B1305" s="44" t="s">
        <v>29</v>
      </c>
      <c r="C1305" s="44" t="s">
        <v>20</v>
      </c>
      <c r="D1305" s="44" t="s">
        <v>37</v>
      </c>
      <c r="E1305" s="44" t="s">
        <v>26278</v>
      </c>
      <c r="F1305" s="69">
        <v>42522</v>
      </c>
      <c r="G1305" s="44" t="s">
        <v>24073</v>
      </c>
      <c r="H1305" s="44" t="s">
        <v>632</v>
      </c>
      <c r="I1305" s="44" t="s">
        <v>123</v>
      </c>
      <c r="J1305" s="44">
        <v>85035</v>
      </c>
      <c r="K1305" s="44" t="s">
        <v>633</v>
      </c>
      <c r="L1305" s="44" t="s">
        <v>634</v>
      </c>
      <c r="M1305" s="44" t="s">
        <v>27</v>
      </c>
      <c r="N1305" s="44" t="s">
        <v>24074</v>
      </c>
      <c r="O1305" s="44" t="s">
        <v>400</v>
      </c>
      <c r="P1305" s="44" t="s">
        <v>401</v>
      </c>
      <c r="Q1305" s="44" t="s">
        <v>24075</v>
      </c>
      <c r="R1305" s="44" t="s">
        <v>100</v>
      </c>
      <c r="S1305" s="44" t="s">
        <v>28</v>
      </c>
      <c r="T1305" s="68" t="s">
        <v>27756</v>
      </c>
      <c r="U1305" s="68" t="s">
        <v>29438</v>
      </c>
      <c r="V1305" s="68" t="s">
        <v>29439</v>
      </c>
      <c r="W1305" s="68" t="s">
        <v>100</v>
      </c>
      <c r="X1305" s="68">
        <v>1584</v>
      </c>
      <c r="Y1305" s="44"/>
      <c r="Z1305" s="44"/>
      <c r="AA1305" s="44"/>
      <c r="AB1305" s="44"/>
      <c r="AC1305" s="44"/>
      <c r="AD1305" s="44"/>
      <c r="AE1305" s="44"/>
      <c r="AF1305" s="44"/>
      <c r="AG1305" s="44"/>
      <c r="AH1305" s="44"/>
      <c r="AI1305" s="44"/>
      <c r="AJ1305" s="44"/>
      <c r="AK1305" s="44"/>
      <c r="AL1305" s="44"/>
      <c r="AM1305" s="44"/>
      <c r="AN1305" s="44"/>
      <c r="AO1305" s="44"/>
      <c r="AP1305" s="44"/>
      <c r="AQ1305" s="44"/>
      <c r="AR1305" s="44"/>
      <c r="AS1305" s="44"/>
      <c r="AT1305" s="44"/>
      <c r="AW1305" s="1"/>
      <c r="AX1305" s="1"/>
      <c r="AY1305" s="1"/>
      <c r="BC1305" s="1"/>
      <c r="BD1305" s="1"/>
      <c r="BE1305" s="1"/>
      <c r="BF1305" s="1"/>
      <c r="BG1305" s="1"/>
      <c r="BH1305" s="1"/>
      <c r="BI1305" s="1"/>
      <c r="BJ1305" s="1"/>
    </row>
    <row r="1306" spans="1:63" s="11" customFormat="1" ht="12" customHeight="1" x14ac:dyDescent="0.15">
      <c r="A1306" s="44" t="s">
        <v>24083</v>
      </c>
      <c r="B1306" s="68">
        <v>51</v>
      </c>
      <c r="C1306" s="44" t="s">
        <v>20</v>
      </c>
      <c r="D1306" s="44" t="s">
        <v>37</v>
      </c>
      <c r="E1306" s="44" t="s">
        <v>24084</v>
      </c>
      <c r="F1306" s="69">
        <v>42522</v>
      </c>
      <c r="G1306" s="44" t="s">
        <v>24085</v>
      </c>
      <c r="H1306" s="44" t="s">
        <v>24086</v>
      </c>
      <c r="I1306" s="44" t="s">
        <v>315</v>
      </c>
      <c r="J1306" s="44">
        <v>40403</v>
      </c>
      <c r="K1306" s="44" t="s">
        <v>2160</v>
      </c>
      <c r="L1306" s="44" t="s">
        <v>6995</v>
      </c>
      <c r="M1306" s="44" t="s">
        <v>27</v>
      </c>
      <c r="N1306" s="44" t="s">
        <v>24087</v>
      </c>
      <c r="O1306" s="44" t="s">
        <v>400</v>
      </c>
      <c r="P1306" s="44" t="s">
        <v>401</v>
      </c>
      <c r="Q1306" s="44" t="s">
        <v>24088</v>
      </c>
      <c r="R1306" s="44" t="s">
        <v>100</v>
      </c>
      <c r="S1306" s="44" t="s">
        <v>28</v>
      </c>
      <c r="T1306" s="68" t="s">
        <v>27756</v>
      </c>
      <c r="U1306" s="68" t="s">
        <v>29438</v>
      </c>
      <c r="V1306" s="68" t="s">
        <v>29440</v>
      </c>
      <c r="W1306" s="68" t="s">
        <v>100</v>
      </c>
      <c r="X1306" s="68">
        <v>1587</v>
      </c>
      <c r="Y1306" s="44"/>
      <c r="Z1306" s="44"/>
      <c r="AA1306" s="44"/>
      <c r="AB1306" s="44"/>
      <c r="AC1306" s="44"/>
      <c r="AD1306" s="44"/>
      <c r="AE1306" s="44"/>
      <c r="AF1306" s="44"/>
      <c r="AG1306" s="44"/>
      <c r="AH1306" s="44"/>
      <c r="AI1306" s="44"/>
      <c r="AJ1306" s="44"/>
      <c r="AK1306" s="44"/>
      <c r="AL1306" s="44"/>
      <c r="AM1306" s="44"/>
      <c r="AN1306" s="44"/>
      <c r="AO1306" s="44"/>
      <c r="AP1306" s="44"/>
      <c r="AQ1306" s="44"/>
      <c r="AR1306" s="44"/>
      <c r="AS1306" s="44"/>
      <c r="AT1306" s="44"/>
      <c r="AW1306" s="1"/>
      <c r="AX1306" s="1"/>
      <c r="AY1306" s="1"/>
      <c r="BC1306" s="1"/>
      <c r="BD1306" s="1"/>
      <c r="BE1306" s="1"/>
      <c r="BF1306" s="1"/>
      <c r="BG1306" s="1"/>
      <c r="BH1306" s="1"/>
      <c r="BI1306" s="1"/>
      <c r="BJ1306" s="1"/>
    </row>
    <row r="1307" spans="1:63" s="11" customFormat="1" ht="12" customHeight="1" x14ac:dyDescent="0.15">
      <c r="A1307" s="44" t="s">
        <v>24064</v>
      </c>
      <c r="B1307" s="44">
        <v>18</v>
      </c>
      <c r="C1307" s="44" t="s">
        <v>20</v>
      </c>
      <c r="D1307" s="44" t="s">
        <v>30</v>
      </c>
      <c r="E1307" s="44"/>
      <c r="F1307" s="72">
        <v>42521</v>
      </c>
      <c r="G1307" s="44" t="s">
        <v>24065</v>
      </c>
      <c r="H1307" s="44" t="s">
        <v>632</v>
      </c>
      <c r="I1307" s="44" t="s">
        <v>123</v>
      </c>
      <c r="J1307" s="44">
        <v>85027</v>
      </c>
      <c r="K1307" s="44" t="s">
        <v>633</v>
      </c>
      <c r="L1307" s="44" t="s">
        <v>634</v>
      </c>
      <c r="M1307" s="44" t="s">
        <v>379</v>
      </c>
      <c r="N1307" s="44" t="s">
        <v>24066</v>
      </c>
      <c r="O1307" s="44" t="s">
        <v>400</v>
      </c>
      <c r="P1307" s="44" t="s">
        <v>401</v>
      </c>
      <c r="Q1307" s="44" t="s">
        <v>24067</v>
      </c>
      <c r="R1307" s="44" t="s">
        <v>100</v>
      </c>
      <c r="S1307" s="44" t="s">
        <v>28</v>
      </c>
      <c r="T1307" s="44"/>
      <c r="U1307" s="44"/>
      <c r="V1307" s="44"/>
      <c r="W1307" s="44"/>
      <c r="X1307" s="44"/>
      <c r="Y1307" s="44"/>
      <c r="Z1307" s="44"/>
      <c r="AA1307" s="44"/>
      <c r="AB1307" s="44"/>
      <c r="AC1307" s="44"/>
      <c r="AD1307" s="44"/>
      <c r="AE1307" s="44"/>
      <c r="AF1307" s="44"/>
      <c r="AG1307" s="44"/>
      <c r="AH1307" s="44"/>
      <c r="AI1307" s="44"/>
      <c r="AJ1307" s="44"/>
      <c r="AK1307" s="44"/>
      <c r="AL1307" s="44"/>
      <c r="AM1307" s="44"/>
      <c r="AN1307" s="44"/>
      <c r="AO1307" s="44"/>
      <c r="AP1307" s="44"/>
      <c r="AQ1307" s="44"/>
      <c r="AR1307" s="44"/>
      <c r="AS1307" s="44"/>
      <c r="AT1307" s="44"/>
      <c r="AU1307" s="44"/>
      <c r="AV1307" s="44"/>
      <c r="AW1307" s="44"/>
      <c r="AX1307" s="1"/>
      <c r="AY1307" s="1"/>
      <c r="AZ1307" s="1"/>
      <c r="BA1307" s="1"/>
      <c r="BB1307" s="1"/>
      <c r="BC1307" s="1"/>
      <c r="BD1307" s="1"/>
      <c r="BE1307" s="1"/>
      <c r="BF1307" s="1"/>
      <c r="BG1307" s="1"/>
      <c r="BH1307" s="1"/>
      <c r="BI1307" s="1"/>
      <c r="BJ1307" s="1"/>
      <c r="BK1307" s="1"/>
    </row>
    <row r="1308" spans="1:63" s="11" customFormat="1" ht="12" customHeight="1" x14ac:dyDescent="0.15">
      <c r="A1308" s="44" t="s">
        <v>24068</v>
      </c>
      <c r="B1308" s="68">
        <v>36</v>
      </c>
      <c r="C1308" s="44" t="s">
        <v>20</v>
      </c>
      <c r="D1308" s="44" t="s">
        <v>37</v>
      </c>
      <c r="E1308" s="44" t="s">
        <v>24069</v>
      </c>
      <c r="F1308" s="69">
        <v>42521</v>
      </c>
      <c r="G1308" s="44" t="s">
        <v>24070</v>
      </c>
      <c r="H1308" s="44" t="s">
        <v>12906</v>
      </c>
      <c r="I1308" s="44" t="s">
        <v>117</v>
      </c>
      <c r="J1308" s="44">
        <v>97702</v>
      </c>
      <c r="K1308" s="44" t="s">
        <v>12908</v>
      </c>
      <c r="L1308" s="44" t="s">
        <v>2051</v>
      </c>
      <c r="M1308" s="44" t="s">
        <v>27</v>
      </c>
      <c r="N1308" s="44" t="s">
        <v>24071</v>
      </c>
      <c r="O1308" s="44" t="s">
        <v>400</v>
      </c>
      <c r="P1308" s="44" t="s">
        <v>401</v>
      </c>
      <c r="Q1308" s="44" t="s">
        <v>24072</v>
      </c>
      <c r="R1308" s="44" t="s">
        <v>29</v>
      </c>
      <c r="S1308" s="44" t="s">
        <v>28</v>
      </c>
      <c r="T1308" s="68" t="s">
        <v>29493</v>
      </c>
      <c r="U1308" s="68" t="s">
        <v>29436</v>
      </c>
      <c r="V1308" s="68" t="s">
        <v>29439</v>
      </c>
      <c r="W1308" s="68" t="s">
        <v>100</v>
      </c>
      <c r="X1308" s="68">
        <v>1585</v>
      </c>
      <c r="Y1308" s="44"/>
      <c r="Z1308" s="44"/>
      <c r="AA1308" s="44"/>
      <c r="AB1308" s="44"/>
      <c r="AC1308" s="44"/>
      <c r="AD1308" s="44"/>
      <c r="AE1308" s="44"/>
      <c r="AF1308" s="44"/>
      <c r="AG1308" s="44"/>
      <c r="AH1308" s="44"/>
      <c r="AI1308" s="44"/>
      <c r="AJ1308" s="44"/>
      <c r="AK1308" s="44"/>
      <c r="AL1308" s="44"/>
      <c r="AM1308" s="44"/>
      <c r="AN1308" s="44"/>
      <c r="AO1308" s="44"/>
      <c r="AP1308" s="44"/>
      <c r="AQ1308" s="44"/>
      <c r="AR1308" s="44"/>
      <c r="AS1308" s="44"/>
      <c r="AT1308" s="44"/>
      <c r="AW1308" s="44"/>
      <c r="AX1308" s="1"/>
      <c r="AY1308" s="1"/>
      <c r="BA1308" s="1"/>
      <c r="BB1308" s="1"/>
      <c r="BC1308" s="1"/>
      <c r="BD1308" s="1"/>
      <c r="BE1308" s="1"/>
      <c r="BF1308" s="1"/>
      <c r="BG1308" s="1"/>
      <c r="BH1308" s="1"/>
      <c r="BI1308" s="1"/>
      <c r="BJ1308" s="1"/>
    </row>
    <row r="1309" spans="1:63" s="11" customFormat="1" ht="12" customHeight="1" x14ac:dyDescent="0.15">
      <c r="A1309" s="44" t="s">
        <v>24053</v>
      </c>
      <c r="B1309" s="68">
        <v>33</v>
      </c>
      <c r="C1309" s="44" t="s">
        <v>20</v>
      </c>
      <c r="D1309" s="44" t="s">
        <v>85</v>
      </c>
      <c r="E1309" s="44" t="s">
        <v>24054</v>
      </c>
      <c r="F1309" s="69">
        <v>42520</v>
      </c>
      <c r="G1309" s="44" t="s">
        <v>24055</v>
      </c>
      <c r="H1309" s="44" t="s">
        <v>561</v>
      </c>
      <c r="I1309" s="44" t="s">
        <v>123</v>
      </c>
      <c r="J1309" s="44">
        <v>85712</v>
      </c>
      <c r="K1309" s="44" t="s">
        <v>562</v>
      </c>
      <c r="L1309" s="44" t="s">
        <v>563</v>
      </c>
      <c r="M1309" s="44" t="s">
        <v>27</v>
      </c>
      <c r="N1309" s="44" t="s">
        <v>24056</v>
      </c>
      <c r="O1309" s="44" t="s">
        <v>400</v>
      </c>
      <c r="P1309" s="44" t="s">
        <v>401</v>
      </c>
      <c r="Q1309" s="44" t="s">
        <v>24057</v>
      </c>
      <c r="R1309" s="44" t="s">
        <v>100</v>
      </c>
      <c r="S1309" s="44" t="s">
        <v>28</v>
      </c>
      <c r="T1309" s="68" t="s">
        <v>27756</v>
      </c>
      <c r="U1309" s="68" t="s">
        <v>29438</v>
      </c>
      <c r="V1309" s="68" t="s">
        <v>29439</v>
      </c>
      <c r="W1309" s="68" t="s">
        <v>100</v>
      </c>
      <c r="X1309" s="68">
        <v>1575</v>
      </c>
      <c r="Y1309" s="44"/>
      <c r="Z1309" s="44"/>
      <c r="AA1309" s="44"/>
      <c r="AB1309" s="44"/>
      <c r="AC1309" s="44"/>
      <c r="AD1309" s="44"/>
      <c r="AE1309" s="44"/>
      <c r="AF1309" s="44"/>
      <c r="AG1309" s="44"/>
      <c r="AH1309" s="44"/>
      <c r="AI1309" s="44"/>
      <c r="AJ1309" s="44"/>
      <c r="AK1309" s="44"/>
      <c r="AL1309" s="44"/>
      <c r="AM1309" s="44"/>
      <c r="AN1309" s="44"/>
      <c r="AO1309" s="44"/>
      <c r="AP1309" s="44"/>
      <c r="AQ1309" s="44"/>
      <c r="AR1309" s="44"/>
      <c r="AS1309" s="44"/>
      <c r="AT1309" s="44"/>
    </row>
    <row r="1310" spans="1:63" s="11" customFormat="1" ht="12" customHeight="1" x14ac:dyDescent="0.15">
      <c r="A1310" s="44" t="s">
        <v>24058</v>
      </c>
      <c r="B1310" s="68">
        <v>70</v>
      </c>
      <c r="C1310" s="44" t="s">
        <v>20</v>
      </c>
      <c r="D1310" s="44" t="s">
        <v>37</v>
      </c>
      <c r="E1310" s="44" t="s">
        <v>24059</v>
      </c>
      <c r="F1310" s="69">
        <v>42520</v>
      </c>
      <c r="G1310" s="44" t="s">
        <v>24386</v>
      </c>
      <c r="H1310" s="44" t="s">
        <v>24060</v>
      </c>
      <c r="I1310" s="44" t="s">
        <v>117</v>
      </c>
      <c r="J1310" s="44">
        <v>97062</v>
      </c>
      <c r="K1310" s="44" t="s">
        <v>118</v>
      </c>
      <c r="L1310" s="44" t="s">
        <v>24061</v>
      </c>
      <c r="M1310" s="44" t="s">
        <v>27</v>
      </c>
      <c r="N1310" s="44" t="s">
        <v>24062</v>
      </c>
      <c r="O1310" s="44" t="s">
        <v>400</v>
      </c>
      <c r="P1310" s="44" t="s">
        <v>401</v>
      </c>
      <c r="Q1310" s="44" t="s">
        <v>24063</v>
      </c>
      <c r="R1310" s="44" t="s">
        <v>100</v>
      </c>
      <c r="S1310" s="44" t="s">
        <v>28</v>
      </c>
      <c r="T1310" s="68" t="s">
        <v>27756</v>
      </c>
      <c r="U1310" s="68" t="s">
        <v>29438</v>
      </c>
      <c r="V1310" s="68" t="s">
        <v>29439</v>
      </c>
      <c r="W1310" s="68" t="s">
        <v>100</v>
      </c>
      <c r="X1310" s="68">
        <v>1574</v>
      </c>
      <c r="Y1310" s="44"/>
      <c r="Z1310" s="44"/>
      <c r="AA1310" s="44"/>
      <c r="AB1310" s="44"/>
      <c r="AC1310" s="44"/>
      <c r="AD1310" s="44"/>
      <c r="AE1310" s="44"/>
      <c r="AF1310" s="44"/>
      <c r="AG1310" s="44"/>
      <c r="AH1310" s="44"/>
      <c r="AI1310" s="44"/>
      <c r="AJ1310" s="44"/>
      <c r="AK1310" s="44"/>
      <c r="AL1310" s="44"/>
      <c r="AM1310" s="44"/>
      <c r="AN1310" s="44"/>
      <c r="AO1310" s="44"/>
      <c r="AP1310" s="44"/>
      <c r="AQ1310" s="44"/>
      <c r="AR1310" s="44"/>
      <c r="AS1310" s="44"/>
      <c r="AT1310" s="44"/>
      <c r="AW1310" s="1"/>
      <c r="AX1310" s="1"/>
      <c r="AY1310" s="1"/>
      <c r="BC1310" s="1"/>
      <c r="BD1310" s="1"/>
      <c r="BE1310" s="1"/>
      <c r="BF1310" s="1"/>
      <c r="BG1310" s="1"/>
      <c r="BH1310" s="1"/>
      <c r="BI1310" s="1"/>
      <c r="BJ1310" s="1"/>
    </row>
    <row r="1311" spans="1:63" s="11" customFormat="1" ht="12" customHeight="1" x14ac:dyDescent="0.15">
      <c r="A1311" s="44" t="s">
        <v>24028</v>
      </c>
      <c r="B1311" s="68">
        <v>32</v>
      </c>
      <c r="C1311" s="44" t="s">
        <v>20</v>
      </c>
      <c r="D1311" s="44" t="s">
        <v>37</v>
      </c>
      <c r="E1311" s="44"/>
      <c r="F1311" s="69">
        <v>42519</v>
      </c>
      <c r="G1311" s="44" t="s">
        <v>24029</v>
      </c>
      <c r="H1311" s="44" t="s">
        <v>16816</v>
      </c>
      <c r="I1311" s="44" t="s">
        <v>62</v>
      </c>
      <c r="J1311" s="44">
        <v>32763</v>
      </c>
      <c r="K1311" s="44" t="s">
        <v>3891</v>
      </c>
      <c r="L1311" s="44" t="s">
        <v>261</v>
      </c>
      <c r="M1311" s="44" t="s">
        <v>27</v>
      </c>
      <c r="N1311" s="44" t="s">
        <v>24030</v>
      </c>
      <c r="O1311" s="44" t="s">
        <v>400</v>
      </c>
      <c r="P1311" s="44" t="s">
        <v>401</v>
      </c>
      <c r="Q1311" s="44" t="s">
        <v>24031</v>
      </c>
      <c r="R1311" s="44" t="s">
        <v>100</v>
      </c>
      <c r="S1311" s="44" t="s">
        <v>28</v>
      </c>
      <c r="T1311" s="68" t="s">
        <v>29493</v>
      </c>
      <c r="U1311" s="68" t="s">
        <v>29436</v>
      </c>
      <c r="V1311" s="68" t="s">
        <v>29439</v>
      </c>
      <c r="W1311" s="68" t="s">
        <v>100</v>
      </c>
      <c r="X1311" s="68">
        <v>1577</v>
      </c>
      <c r="Y1311" s="44"/>
      <c r="Z1311" s="44"/>
      <c r="AA1311" s="44"/>
      <c r="AB1311" s="44"/>
      <c r="AC1311" s="44"/>
      <c r="AD1311" s="44"/>
      <c r="AE1311" s="44"/>
      <c r="AF1311" s="44"/>
      <c r="AG1311" s="44"/>
      <c r="AH1311" s="44"/>
      <c r="AI1311" s="44"/>
      <c r="AJ1311" s="44"/>
      <c r="AK1311" s="44"/>
      <c r="AL1311" s="44"/>
      <c r="AM1311" s="44"/>
      <c r="AN1311" s="44"/>
      <c r="AO1311" s="44"/>
      <c r="AP1311" s="44"/>
      <c r="AQ1311" s="44"/>
      <c r="AR1311" s="44"/>
      <c r="AS1311" s="44"/>
      <c r="AT1311" s="44"/>
      <c r="AX1311" s="1"/>
      <c r="AY1311" s="1"/>
      <c r="BC1311" s="1"/>
      <c r="BD1311" s="1"/>
      <c r="BE1311" s="1"/>
      <c r="BF1311" s="1"/>
      <c r="BG1311" s="1"/>
      <c r="BH1311" s="1"/>
      <c r="BI1311" s="1"/>
      <c r="BJ1311" s="1"/>
    </row>
    <row r="1312" spans="1:63" s="11" customFormat="1" ht="12" customHeight="1" x14ac:dyDescent="0.15">
      <c r="A1312" s="44" t="s">
        <v>24049</v>
      </c>
      <c r="B1312" s="44">
        <v>27</v>
      </c>
      <c r="C1312" s="44" t="s">
        <v>20</v>
      </c>
      <c r="D1312" s="44" t="s">
        <v>37</v>
      </c>
      <c r="E1312" s="44"/>
      <c r="F1312" s="72">
        <v>42519</v>
      </c>
      <c r="G1312" s="44" t="s">
        <v>24050</v>
      </c>
      <c r="H1312" s="44" t="s">
        <v>20419</v>
      </c>
      <c r="I1312" s="44" t="s">
        <v>366</v>
      </c>
      <c r="J1312" s="44">
        <v>27104</v>
      </c>
      <c r="K1312" s="44" t="s">
        <v>9363</v>
      </c>
      <c r="L1312" s="44" t="s">
        <v>6418</v>
      </c>
      <c r="M1312" s="44" t="s">
        <v>379</v>
      </c>
      <c r="N1312" s="44" t="s">
        <v>24051</v>
      </c>
      <c r="O1312" s="44" t="s">
        <v>400</v>
      </c>
      <c r="P1312" s="44" t="s">
        <v>401</v>
      </c>
      <c r="Q1312" s="44" t="s">
        <v>24052</v>
      </c>
      <c r="R1312" s="44" t="s">
        <v>100</v>
      </c>
      <c r="S1312" s="44" t="s">
        <v>28</v>
      </c>
      <c r="T1312" s="44"/>
      <c r="U1312" s="44"/>
      <c r="V1312" s="44"/>
      <c r="W1312" s="44"/>
      <c r="X1312" s="44"/>
      <c r="Y1312" s="44"/>
      <c r="Z1312" s="44"/>
      <c r="AA1312" s="44"/>
      <c r="AB1312" s="44"/>
      <c r="AC1312" s="44"/>
      <c r="AD1312" s="44"/>
      <c r="AE1312" s="44"/>
      <c r="AF1312" s="44"/>
      <c r="AG1312" s="44"/>
      <c r="AH1312" s="44"/>
      <c r="AI1312" s="44"/>
      <c r="AJ1312" s="44"/>
      <c r="AK1312" s="44"/>
      <c r="AL1312" s="44"/>
      <c r="AM1312" s="44"/>
      <c r="AN1312" s="44"/>
      <c r="AO1312" s="44"/>
      <c r="AP1312" s="44"/>
      <c r="AQ1312" s="44"/>
      <c r="AR1312" s="44"/>
      <c r="AS1312" s="44"/>
      <c r="AT1312" s="44"/>
      <c r="AU1312" s="44"/>
      <c r="AV1312" s="44"/>
      <c r="AW1312" s="44"/>
      <c r="AX1312" s="1"/>
      <c r="AY1312" s="1"/>
      <c r="AZ1312" s="1"/>
      <c r="BA1312" s="1"/>
      <c r="BB1312" s="1"/>
      <c r="BC1312" s="1"/>
      <c r="BD1312" s="1"/>
      <c r="BE1312" s="1"/>
      <c r="BF1312" s="1"/>
      <c r="BG1312" s="1"/>
      <c r="BH1312" s="1"/>
      <c r="BI1312" s="1"/>
      <c r="BJ1312" s="1"/>
      <c r="BK1312" s="1"/>
    </row>
    <row r="1313" spans="1:63" s="11" customFormat="1" ht="12" customHeight="1" x14ac:dyDescent="0.2">
      <c r="A1313" s="44" t="s">
        <v>24037</v>
      </c>
      <c r="B1313" s="68">
        <v>38</v>
      </c>
      <c r="C1313" s="44" t="s">
        <v>20</v>
      </c>
      <c r="D1313" s="44" t="s">
        <v>37</v>
      </c>
      <c r="E1313" s="44" t="s">
        <v>24038</v>
      </c>
      <c r="F1313" s="69">
        <v>42519</v>
      </c>
      <c r="G1313" s="44" t="s">
        <v>24039</v>
      </c>
      <c r="H1313" s="44" t="s">
        <v>24040</v>
      </c>
      <c r="I1313" s="44" t="s">
        <v>366</v>
      </c>
      <c r="J1313" s="44">
        <v>27048</v>
      </c>
      <c r="K1313" s="44" t="s">
        <v>4759</v>
      </c>
      <c r="L1313" s="44" t="s">
        <v>24041</v>
      </c>
      <c r="M1313" s="68" t="s">
        <v>5411</v>
      </c>
      <c r="N1313" s="44" t="s">
        <v>24042</v>
      </c>
      <c r="O1313" s="44" t="s">
        <v>400</v>
      </c>
      <c r="P1313" s="44" t="s">
        <v>401</v>
      </c>
      <c r="Q1313" s="44" t="s">
        <v>24043</v>
      </c>
      <c r="R1313" s="44" t="s">
        <v>100</v>
      </c>
      <c r="S1313" s="13" t="s">
        <v>18</v>
      </c>
      <c r="T1313" s="68" t="s">
        <v>28345</v>
      </c>
      <c r="U1313" s="68" t="s">
        <v>29436</v>
      </c>
      <c r="V1313" s="68" t="s">
        <v>29437</v>
      </c>
      <c r="W1313" s="68" t="s">
        <v>100</v>
      </c>
      <c r="X1313" s="68">
        <v>1579</v>
      </c>
      <c r="Y1313" s="44"/>
      <c r="Z1313" s="44"/>
      <c r="AA1313" s="44"/>
      <c r="AB1313" s="44"/>
      <c r="AC1313" s="44"/>
      <c r="AD1313" s="44"/>
      <c r="AE1313" s="44"/>
      <c r="AF1313" s="44"/>
      <c r="AG1313" s="44"/>
      <c r="AH1313" s="44"/>
      <c r="AI1313" s="44"/>
      <c r="AJ1313" s="44"/>
      <c r="AK1313" s="44"/>
      <c r="AL1313" s="44"/>
      <c r="AM1313" s="44"/>
      <c r="AN1313" s="44"/>
      <c r="AO1313" s="44"/>
      <c r="AP1313" s="44"/>
      <c r="AQ1313" s="44"/>
      <c r="AR1313" s="44"/>
      <c r="AS1313" s="44"/>
      <c r="AT1313" s="44"/>
      <c r="AX1313" s="1"/>
      <c r="AY1313" s="1"/>
      <c r="BB1313" s="70"/>
      <c r="BC1313" s="1"/>
      <c r="BD1313" s="1"/>
      <c r="BE1313" s="1"/>
      <c r="BF1313" s="1"/>
      <c r="BG1313" s="1"/>
      <c r="BH1313" s="1"/>
      <c r="BI1313" s="1"/>
      <c r="BJ1313" s="1"/>
      <c r="BK1313" s="1"/>
    </row>
    <row r="1314" spans="1:63" s="11" customFormat="1" ht="12" customHeight="1" x14ac:dyDescent="0.15">
      <c r="A1314" s="44" t="s">
        <v>24032</v>
      </c>
      <c r="B1314" s="68">
        <v>53</v>
      </c>
      <c r="C1314" s="44" t="s">
        <v>20</v>
      </c>
      <c r="D1314" s="44" t="s">
        <v>37</v>
      </c>
      <c r="E1314" s="44"/>
      <c r="F1314" s="69">
        <v>42519</v>
      </c>
      <c r="G1314" s="44" t="s">
        <v>24033</v>
      </c>
      <c r="H1314" s="44" t="s">
        <v>6368</v>
      </c>
      <c r="I1314" s="44" t="s">
        <v>366</v>
      </c>
      <c r="J1314" s="44">
        <v>28328</v>
      </c>
      <c r="K1314" s="44" t="s">
        <v>2934</v>
      </c>
      <c r="L1314" s="44" t="s">
        <v>24034</v>
      </c>
      <c r="M1314" s="44" t="s">
        <v>27</v>
      </c>
      <c r="N1314" s="44" t="s">
        <v>24035</v>
      </c>
      <c r="O1314" s="44" t="s">
        <v>400</v>
      </c>
      <c r="P1314" s="44" t="s">
        <v>401</v>
      </c>
      <c r="Q1314" s="44" t="s">
        <v>24036</v>
      </c>
      <c r="R1314" s="44" t="s">
        <v>29</v>
      </c>
      <c r="S1314" s="44" t="s">
        <v>28</v>
      </c>
      <c r="T1314" s="68" t="s">
        <v>27756</v>
      </c>
      <c r="U1314" s="68" t="s">
        <v>29438</v>
      </c>
      <c r="V1314" s="68" t="s">
        <v>29439</v>
      </c>
      <c r="W1314" s="68" t="s">
        <v>555</v>
      </c>
      <c r="X1314" s="68">
        <v>1578</v>
      </c>
      <c r="Y1314" s="44"/>
      <c r="Z1314" s="44"/>
      <c r="AA1314" s="44"/>
      <c r="AB1314" s="44"/>
      <c r="AC1314" s="44"/>
      <c r="AD1314" s="44"/>
      <c r="AE1314" s="44"/>
      <c r="AF1314" s="44"/>
      <c r="AG1314" s="44"/>
      <c r="AH1314" s="44"/>
      <c r="AI1314" s="44"/>
      <c r="AJ1314" s="44"/>
      <c r="AK1314" s="44"/>
      <c r="AL1314" s="44"/>
      <c r="AM1314" s="44"/>
      <c r="AN1314" s="44"/>
      <c r="AO1314" s="44"/>
      <c r="AP1314" s="44"/>
      <c r="AQ1314" s="44"/>
      <c r="AR1314" s="44"/>
      <c r="AS1314" s="44"/>
      <c r="AT1314" s="44"/>
      <c r="AW1314" s="1"/>
      <c r="AX1314" s="1"/>
      <c r="AY1314" s="1"/>
      <c r="BA1314" s="1"/>
      <c r="BB1314" s="1"/>
      <c r="BC1314" s="1"/>
      <c r="BD1314" s="1"/>
      <c r="BE1314" s="1"/>
      <c r="BF1314" s="1"/>
      <c r="BG1314" s="1"/>
      <c r="BH1314" s="1"/>
      <c r="BI1314" s="1"/>
      <c r="BJ1314" s="1"/>
    </row>
    <row r="1315" spans="1:63" s="11" customFormat="1" ht="12" customHeight="1" x14ac:dyDescent="0.2">
      <c r="A1315" s="44" t="s">
        <v>24044</v>
      </c>
      <c r="B1315" s="68">
        <v>25</v>
      </c>
      <c r="C1315" s="44" t="s">
        <v>20</v>
      </c>
      <c r="D1315" s="44" t="s">
        <v>48</v>
      </c>
      <c r="E1315" s="44" t="s">
        <v>24045</v>
      </c>
      <c r="F1315" s="69">
        <v>42519</v>
      </c>
      <c r="G1315" s="44" t="s">
        <v>24046</v>
      </c>
      <c r="H1315" s="44" t="s">
        <v>723</v>
      </c>
      <c r="I1315" s="44" t="s">
        <v>73</v>
      </c>
      <c r="J1315" s="44">
        <v>77079</v>
      </c>
      <c r="K1315" s="44" t="s">
        <v>558</v>
      </c>
      <c r="L1315" s="44" t="s">
        <v>724</v>
      </c>
      <c r="M1315" s="44" t="s">
        <v>27</v>
      </c>
      <c r="N1315" s="44" t="s">
        <v>24047</v>
      </c>
      <c r="O1315" s="44" t="s">
        <v>400</v>
      </c>
      <c r="P1315" s="44" t="s">
        <v>401</v>
      </c>
      <c r="Q1315" s="44" t="s">
        <v>24048</v>
      </c>
      <c r="R1315" s="68" t="s">
        <v>555</v>
      </c>
      <c r="S1315" s="44" t="s">
        <v>28</v>
      </c>
      <c r="T1315" s="68" t="s">
        <v>27756</v>
      </c>
      <c r="U1315" s="68" t="s">
        <v>29438</v>
      </c>
      <c r="V1315" s="68" t="s">
        <v>29439</v>
      </c>
      <c r="W1315" s="68" t="s">
        <v>100</v>
      </c>
      <c r="X1315" s="68">
        <v>1573</v>
      </c>
      <c r="Y1315" s="44"/>
      <c r="Z1315" s="44"/>
      <c r="AA1315" s="44"/>
      <c r="AB1315" s="44"/>
      <c r="AC1315" s="44"/>
      <c r="AD1315" s="44"/>
      <c r="AE1315" s="44"/>
      <c r="AF1315" s="44"/>
      <c r="AG1315" s="44"/>
      <c r="AH1315" s="44"/>
      <c r="AI1315" s="44"/>
      <c r="AJ1315" s="44"/>
      <c r="AK1315" s="44"/>
      <c r="AL1315" s="44"/>
      <c r="AM1315" s="44"/>
      <c r="AN1315" s="44"/>
      <c r="AO1315" s="44"/>
      <c r="AP1315" s="44"/>
      <c r="AQ1315" s="44"/>
      <c r="AR1315" s="44"/>
      <c r="AS1315" s="44"/>
      <c r="AT1315" s="44"/>
      <c r="AX1315" s="1"/>
      <c r="AY1315" s="1"/>
      <c r="BA1315" s="70"/>
      <c r="BB1315" s="44"/>
      <c r="BC1315" s="1"/>
      <c r="BD1315" s="1"/>
      <c r="BE1315" s="1"/>
      <c r="BF1315" s="1"/>
      <c r="BG1315" s="1"/>
      <c r="BH1315" s="1"/>
      <c r="BI1315" s="1"/>
      <c r="BJ1315" s="1"/>
    </row>
    <row r="1316" spans="1:63" s="11" customFormat="1" ht="12" customHeight="1" x14ac:dyDescent="0.15">
      <c r="A1316" s="44" t="s">
        <v>24371</v>
      </c>
      <c r="B1316" s="44">
        <v>30</v>
      </c>
      <c r="C1316" s="44" t="s">
        <v>20</v>
      </c>
      <c r="D1316" s="44" t="s">
        <v>37</v>
      </c>
      <c r="E1316" s="44"/>
      <c r="F1316" s="72">
        <v>42519</v>
      </c>
      <c r="G1316" s="44" t="s">
        <v>24372</v>
      </c>
      <c r="H1316" s="44" t="s">
        <v>13645</v>
      </c>
      <c r="I1316" s="44" t="s">
        <v>217</v>
      </c>
      <c r="J1316" s="44">
        <v>46142</v>
      </c>
      <c r="K1316" s="44" t="s">
        <v>3288</v>
      </c>
      <c r="L1316" s="44" t="s">
        <v>24373</v>
      </c>
      <c r="M1316" s="44" t="s">
        <v>391</v>
      </c>
      <c r="N1316" s="44" t="s">
        <v>24375</v>
      </c>
      <c r="O1316" s="44" t="s">
        <v>400</v>
      </c>
      <c r="P1316" s="44" t="s">
        <v>401</v>
      </c>
      <c r="Q1316" s="44" t="s">
        <v>24374</v>
      </c>
      <c r="R1316" s="44" t="s">
        <v>555</v>
      </c>
      <c r="S1316" s="44" t="s">
        <v>18</v>
      </c>
      <c r="T1316" s="44"/>
      <c r="U1316" s="44"/>
      <c r="V1316" s="44"/>
      <c r="W1316" s="44"/>
      <c r="X1316" s="44"/>
      <c r="Y1316" s="44"/>
      <c r="Z1316" s="44"/>
      <c r="AA1316" s="44"/>
      <c r="AB1316" s="44"/>
      <c r="AC1316" s="44"/>
      <c r="AD1316" s="44"/>
      <c r="AE1316" s="44"/>
      <c r="AF1316" s="44"/>
      <c r="AG1316" s="44"/>
      <c r="AH1316" s="44"/>
      <c r="AI1316" s="44"/>
      <c r="AJ1316" s="44"/>
      <c r="AK1316" s="44"/>
      <c r="AL1316" s="44"/>
      <c r="AM1316" s="44"/>
      <c r="AN1316" s="44"/>
      <c r="AO1316" s="44"/>
      <c r="AP1316" s="44"/>
      <c r="AQ1316" s="44"/>
      <c r="AR1316" s="44"/>
      <c r="AS1316" s="44"/>
      <c r="AT1316" s="44"/>
      <c r="AU1316" s="1"/>
      <c r="AV1316" s="1"/>
      <c r="AW1316" s="1"/>
      <c r="AX1316" s="1"/>
      <c r="AY1316" s="1"/>
      <c r="AZ1316" s="1"/>
      <c r="BA1316" s="1"/>
      <c r="BB1316" s="1"/>
      <c r="BC1316" s="1"/>
      <c r="BD1316" s="1"/>
      <c r="BE1316" s="1"/>
      <c r="BF1316" s="1"/>
      <c r="BG1316" s="1"/>
      <c r="BH1316" s="1"/>
      <c r="BI1316" s="1"/>
      <c r="BJ1316" s="1"/>
      <c r="BK1316" s="1"/>
    </row>
    <row r="1317" spans="1:63" s="11" customFormat="1" ht="12" customHeight="1" x14ac:dyDescent="0.15">
      <c r="A1317" s="44" t="s">
        <v>24020</v>
      </c>
      <c r="B1317" s="44">
        <v>64</v>
      </c>
      <c r="C1317" s="44" t="s">
        <v>20</v>
      </c>
      <c r="D1317" s="44" t="s">
        <v>85</v>
      </c>
      <c r="E1317" s="44" t="s">
        <v>24021</v>
      </c>
      <c r="F1317" s="72">
        <v>42518</v>
      </c>
      <c r="G1317" s="44" t="s">
        <v>24022</v>
      </c>
      <c r="H1317" s="44" t="s">
        <v>2487</v>
      </c>
      <c r="I1317" s="44" t="s">
        <v>395</v>
      </c>
      <c r="J1317" s="44">
        <v>74128</v>
      </c>
      <c r="K1317" s="44" t="s">
        <v>2487</v>
      </c>
      <c r="L1317" s="44" t="s">
        <v>3379</v>
      </c>
      <c r="M1317" s="44" t="s">
        <v>391</v>
      </c>
      <c r="N1317" s="44" t="s">
        <v>24023</v>
      </c>
      <c r="O1317" s="44" t="s">
        <v>400</v>
      </c>
      <c r="P1317" s="44" t="s">
        <v>401</v>
      </c>
      <c r="Q1317" s="44" t="s">
        <v>24024</v>
      </c>
      <c r="R1317" s="11" t="s">
        <v>964</v>
      </c>
      <c r="S1317" s="44" t="s">
        <v>18</v>
      </c>
      <c r="T1317" s="44"/>
      <c r="U1317" s="44"/>
      <c r="V1317" s="44"/>
      <c r="W1317" s="44"/>
      <c r="X1317" s="44"/>
      <c r="Y1317" s="44"/>
      <c r="Z1317" s="44"/>
      <c r="AA1317" s="44"/>
      <c r="AB1317" s="44"/>
      <c r="AC1317" s="44"/>
      <c r="AD1317" s="44"/>
      <c r="AE1317" s="44"/>
      <c r="AF1317" s="44"/>
      <c r="AG1317" s="44"/>
      <c r="AH1317" s="44"/>
      <c r="AI1317" s="44"/>
      <c r="AJ1317" s="44"/>
      <c r="AK1317" s="44"/>
      <c r="AL1317" s="44"/>
      <c r="AM1317" s="44"/>
      <c r="AN1317" s="44"/>
      <c r="AO1317" s="44"/>
      <c r="AP1317" s="44"/>
      <c r="AQ1317" s="44"/>
      <c r="AR1317" s="44"/>
      <c r="AS1317" s="44"/>
      <c r="AT1317" s="44"/>
      <c r="AU1317" s="1"/>
      <c r="AV1317" s="1"/>
      <c r="AW1317" s="1"/>
      <c r="AX1317" s="44"/>
      <c r="AY1317" s="44"/>
      <c r="AZ1317" s="1"/>
      <c r="BA1317" s="1"/>
      <c r="BB1317" s="1"/>
      <c r="BK1317" s="1"/>
    </row>
    <row r="1318" spans="1:63" s="11" customFormat="1" ht="12" customHeight="1" x14ac:dyDescent="0.15">
      <c r="A1318" s="44" t="s">
        <v>24017</v>
      </c>
      <c r="B1318" s="68">
        <v>58</v>
      </c>
      <c r="C1318" s="44" t="s">
        <v>20</v>
      </c>
      <c r="D1318" s="44" t="s">
        <v>37</v>
      </c>
      <c r="E1318" s="44"/>
      <c r="F1318" s="69">
        <v>42518</v>
      </c>
      <c r="G1318" s="44" t="s">
        <v>24388</v>
      </c>
      <c r="H1318" s="44" t="s">
        <v>922</v>
      </c>
      <c r="I1318" s="44" t="s">
        <v>195</v>
      </c>
      <c r="J1318" s="44">
        <v>87110</v>
      </c>
      <c r="K1318" s="44" t="s">
        <v>467</v>
      </c>
      <c r="L1318" s="44" t="s">
        <v>4961</v>
      </c>
      <c r="M1318" s="44" t="s">
        <v>27</v>
      </c>
      <c r="N1318" s="44" t="s">
        <v>24018</v>
      </c>
      <c r="O1318" s="44" t="s">
        <v>400</v>
      </c>
      <c r="P1318" s="44" t="s">
        <v>401</v>
      </c>
      <c r="Q1318" s="44" t="s">
        <v>24019</v>
      </c>
      <c r="R1318" s="44" t="s">
        <v>100</v>
      </c>
      <c r="S1318" s="44" t="s">
        <v>28</v>
      </c>
      <c r="T1318" s="68" t="s">
        <v>27756</v>
      </c>
      <c r="U1318" s="68" t="s">
        <v>29438</v>
      </c>
      <c r="V1318" s="68" t="s">
        <v>29439</v>
      </c>
      <c r="W1318" s="68" t="s">
        <v>555</v>
      </c>
      <c r="X1318" s="68">
        <v>1582</v>
      </c>
      <c r="Y1318" s="44"/>
      <c r="Z1318" s="44"/>
      <c r="AA1318" s="44"/>
      <c r="AB1318" s="44"/>
      <c r="AC1318" s="44"/>
      <c r="AD1318" s="44"/>
      <c r="AE1318" s="44"/>
      <c r="AF1318" s="44"/>
      <c r="AG1318" s="44"/>
      <c r="AH1318" s="44"/>
      <c r="AI1318" s="44"/>
      <c r="AJ1318" s="44"/>
      <c r="AK1318" s="44"/>
      <c r="AL1318" s="44"/>
      <c r="AM1318" s="44"/>
      <c r="AN1318" s="44"/>
      <c r="AO1318" s="44"/>
      <c r="AP1318" s="44"/>
      <c r="AQ1318" s="44"/>
      <c r="AR1318" s="44"/>
      <c r="AS1318" s="44"/>
      <c r="AT1318" s="44"/>
      <c r="AW1318" s="1"/>
      <c r="AX1318" s="1"/>
      <c r="AY1318" s="1"/>
      <c r="BB1318" s="44"/>
      <c r="BC1318" s="1"/>
      <c r="BD1318" s="1"/>
      <c r="BE1318" s="1"/>
      <c r="BF1318" s="1"/>
      <c r="BG1318" s="1"/>
      <c r="BH1318" s="1"/>
      <c r="BI1318" s="1"/>
      <c r="BJ1318" s="1"/>
    </row>
    <row r="1319" spans="1:63" s="11" customFormat="1" ht="12" customHeight="1" x14ac:dyDescent="0.15">
      <c r="A1319" s="44" t="s">
        <v>24025</v>
      </c>
      <c r="B1319" s="44">
        <v>41</v>
      </c>
      <c r="C1319" s="44" t="s">
        <v>20</v>
      </c>
      <c r="D1319" s="44" t="s">
        <v>48</v>
      </c>
      <c r="E1319" s="44"/>
      <c r="F1319" s="72">
        <v>42518</v>
      </c>
      <c r="G1319" s="44" t="s">
        <v>24387</v>
      </c>
      <c r="H1319" s="44" t="s">
        <v>575</v>
      </c>
      <c r="I1319" s="44" t="s">
        <v>73</v>
      </c>
      <c r="J1319" s="44">
        <v>78211</v>
      </c>
      <c r="K1319" s="44" t="s">
        <v>576</v>
      </c>
      <c r="L1319" s="44" t="s">
        <v>577</v>
      </c>
      <c r="M1319" s="44" t="s">
        <v>391</v>
      </c>
      <c r="N1319" s="44" t="s">
        <v>24026</v>
      </c>
      <c r="O1319" s="44" t="s">
        <v>400</v>
      </c>
      <c r="P1319" s="44" t="s">
        <v>401</v>
      </c>
      <c r="Q1319" s="44" t="s">
        <v>24027</v>
      </c>
      <c r="R1319" s="44" t="s">
        <v>29</v>
      </c>
      <c r="S1319" s="44" t="s">
        <v>18</v>
      </c>
      <c r="T1319" s="44"/>
      <c r="U1319" s="44"/>
      <c r="V1319" s="44"/>
      <c r="W1319" s="44"/>
      <c r="X1319" s="44"/>
      <c r="Y1319" s="44"/>
      <c r="Z1319" s="44"/>
      <c r="AA1319" s="44"/>
      <c r="AB1319" s="44"/>
      <c r="AC1319" s="44"/>
      <c r="AD1319" s="44"/>
      <c r="AE1319" s="44"/>
      <c r="AF1319" s="44"/>
      <c r="AG1319" s="44"/>
      <c r="AH1319" s="44"/>
      <c r="AI1319" s="44"/>
      <c r="AJ1319" s="44"/>
      <c r="AK1319" s="44"/>
      <c r="AL1319" s="44"/>
      <c r="AM1319" s="44"/>
      <c r="AN1319" s="44"/>
      <c r="AO1319" s="44"/>
      <c r="AP1319" s="44"/>
      <c r="AQ1319" s="44"/>
      <c r="AR1319" s="44"/>
      <c r="AS1319" s="44"/>
      <c r="AT1319" s="44"/>
      <c r="AU1319" s="1"/>
      <c r="AV1319" s="1"/>
      <c r="AW1319" s="1"/>
      <c r="AX1319" s="1"/>
      <c r="AY1319" s="1"/>
      <c r="AZ1319" s="1"/>
      <c r="BA1319" s="1"/>
      <c r="BB1319" s="1"/>
      <c r="BC1319" s="64"/>
      <c r="BD1319" s="64"/>
      <c r="BE1319" s="64"/>
      <c r="BF1319" s="64"/>
      <c r="BG1319" s="64"/>
      <c r="BH1319" s="64"/>
      <c r="BI1319" s="64"/>
      <c r="BJ1319" s="64"/>
      <c r="BK1319" s="1"/>
    </row>
    <row r="1320" spans="1:63" s="11" customFormat="1" ht="12" customHeight="1" x14ac:dyDescent="0.15">
      <c r="A1320" s="44" t="s">
        <v>24012</v>
      </c>
      <c r="B1320" s="68">
        <v>50</v>
      </c>
      <c r="C1320" s="44" t="s">
        <v>20</v>
      </c>
      <c r="D1320" s="68" t="s">
        <v>85</v>
      </c>
      <c r="E1320" s="44"/>
      <c r="F1320" s="69">
        <v>42518</v>
      </c>
      <c r="G1320" s="44" t="s">
        <v>24013</v>
      </c>
      <c r="H1320" s="44" t="s">
        <v>24014</v>
      </c>
      <c r="I1320" s="44" t="s">
        <v>94</v>
      </c>
      <c r="J1320" s="44">
        <v>36260</v>
      </c>
      <c r="K1320" s="44" t="s">
        <v>6104</v>
      </c>
      <c r="L1320" s="44" t="s">
        <v>31420</v>
      </c>
      <c r="M1320" s="44" t="s">
        <v>27</v>
      </c>
      <c r="N1320" s="44" t="s">
        <v>24015</v>
      </c>
      <c r="O1320" s="44" t="s">
        <v>400</v>
      </c>
      <c r="P1320" s="44" t="s">
        <v>401</v>
      </c>
      <c r="Q1320" s="44" t="s">
        <v>24016</v>
      </c>
      <c r="R1320" s="44" t="s">
        <v>29</v>
      </c>
      <c r="S1320" s="2" t="s">
        <v>35</v>
      </c>
      <c r="T1320" s="68" t="s">
        <v>27756</v>
      </c>
      <c r="U1320" s="68" t="s">
        <v>29438</v>
      </c>
      <c r="V1320" s="68" t="s">
        <v>29439</v>
      </c>
      <c r="W1320" s="68" t="s">
        <v>100</v>
      </c>
      <c r="X1320" s="68">
        <v>1576</v>
      </c>
      <c r="Y1320" s="44"/>
      <c r="Z1320" s="44"/>
      <c r="AA1320" s="44"/>
      <c r="AB1320" s="44"/>
      <c r="AC1320" s="44"/>
      <c r="AD1320" s="44"/>
      <c r="AE1320" s="44"/>
      <c r="AF1320" s="44"/>
      <c r="AG1320" s="44"/>
      <c r="AH1320" s="44"/>
      <c r="AI1320" s="44"/>
      <c r="AJ1320" s="44"/>
      <c r="AK1320" s="44"/>
      <c r="AL1320" s="44"/>
      <c r="AM1320" s="44"/>
      <c r="AN1320" s="44"/>
      <c r="AO1320" s="44"/>
      <c r="AP1320" s="44"/>
      <c r="AQ1320" s="44"/>
      <c r="AR1320" s="44"/>
      <c r="AS1320" s="44"/>
      <c r="AT1320" s="44"/>
      <c r="AW1320" s="1"/>
      <c r="AX1320" s="1"/>
      <c r="AY1320" s="1"/>
      <c r="BA1320" s="1"/>
      <c r="BB1320" s="1"/>
      <c r="BK1320" s="1"/>
    </row>
    <row r="1321" spans="1:63" s="11" customFormat="1" ht="12" customHeight="1" x14ac:dyDescent="0.15">
      <c r="A1321" s="44" t="s">
        <v>24009</v>
      </c>
      <c r="B1321" s="68">
        <v>59</v>
      </c>
      <c r="C1321" s="44" t="s">
        <v>20</v>
      </c>
      <c r="D1321" s="44" t="s">
        <v>37</v>
      </c>
      <c r="E1321" s="44"/>
      <c r="F1321" s="69">
        <v>42517</v>
      </c>
      <c r="G1321" s="44" t="s">
        <v>24389</v>
      </c>
      <c r="H1321" s="44" t="s">
        <v>216</v>
      </c>
      <c r="I1321" s="44" t="s">
        <v>217</v>
      </c>
      <c r="J1321" s="44">
        <v>46225</v>
      </c>
      <c r="K1321" s="44" t="s">
        <v>420</v>
      </c>
      <c r="L1321" s="44" t="s">
        <v>19965</v>
      </c>
      <c r="M1321" s="44" t="s">
        <v>27</v>
      </c>
      <c r="N1321" s="44" t="s">
        <v>24010</v>
      </c>
      <c r="O1321" s="44" t="s">
        <v>400</v>
      </c>
      <c r="P1321" s="44" t="s">
        <v>401</v>
      </c>
      <c r="Q1321" s="44" t="s">
        <v>24011</v>
      </c>
      <c r="R1321" s="44" t="s">
        <v>100</v>
      </c>
      <c r="S1321" s="44" t="s">
        <v>28</v>
      </c>
      <c r="T1321" s="68" t="s">
        <v>27756</v>
      </c>
      <c r="U1321" s="68" t="s">
        <v>29438</v>
      </c>
      <c r="V1321" s="68" t="s">
        <v>29439</v>
      </c>
      <c r="W1321" s="68" t="s">
        <v>100</v>
      </c>
      <c r="X1321" s="68">
        <v>1580</v>
      </c>
      <c r="Y1321" s="44"/>
      <c r="Z1321" s="44"/>
      <c r="AA1321" s="44"/>
      <c r="AB1321" s="44"/>
      <c r="AC1321" s="44"/>
      <c r="AD1321" s="44"/>
      <c r="AE1321" s="44"/>
      <c r="AF1321" s="44"/>
      <c r="AG1321" s="44"/>
      <c r="AH1321" s="44"/>
      <c r="AI1321" s="44"/>
      <c r="AJ1321" s="44"/>
      <c r="AK1321" s="44"/>
      <c r="AL1321" s="44"/>
      <c r="AM1321" s="44"/>
      <c r="AN1321" s="44"/>
      <c r="AO1321" s="44"/>
      <c r="AP1321" s="44"/>
      <c r="AQ1321" s="44"/>
      <c r="AR1321" s="44"/>
      <c r="AS1321" s="44"/>
      <c r="AT1321" s="44"/>
      <c r="AW1321" s="1"/>
      <c r="AX1321" s="1"/>
      <c r="AY1321" s="1"/>
      <c r="BC1321" s="1"/>
      <c r="BD1321" s="1"/>
      <c r="BE1321" s="1"/>
      <c r="BF1321" s="1"/>
      <c r="BG1321" s="1"/>
      <c r="BH1321" s="1"/>
      <c r="BI1321" s="1"/>
      <c r="BJ1321" s="1"/>
    </row>
    <row r="1322" spans="1:63" s="11" customFormat="1" ht="12" customHeight="1" x14ac:dyDescent="0.2">
      <c r="A1322" s="44" t="s">
        <v>23978</v>
      </c>
      <c r="B1322" s="68">
        <v>19</v>
      </c>
      <c r="C1322" s="44" t="s">
        <v>20</v>
      </c>
      <c r="D1322" s="44" t="s">
        <v>48</v>
      </c>
      <c r="E1322" s="44"/>
      <c r="F1322" s="69">
        <v>42516</v>
      </c>
      <c r="G1322" s="44" t="s">
        <v>23979</v>
      </c>
      <c r="H1322" s="44" t="s">
        <v>23980</v>
      </c>
      <c r="I1322" s="44" t="s">
        <v>45</v>
      </c>
      <c r="J1322" s="44">
        <v>93463</v>
      </c>
      <c r="K1322" s="44" t="s">
        <v>1953</v>
      </c>
      <c r="L1322" s="44" t="s">
        <v>957</v>
      </c>
      <c r="M1322" s="44" t="s">
        <v>27</v>
      </c>
      <c r="N1322" s="44" t="s">
        <v>23981</v>
      </c>
      <c r="O1322" s="44" t="s">
        <v>400</v>
      </c>
      <c r="P1322" s="44" t="s">
        <v>401</v>
      </c>
      <c r="Q1322" s="44" t="s">
        <v>23982</v>
      </c>
      <c r="R1322" s="44" t="s">
        <v>100</v>
      </c>
      <c r="S1322" s="44" t="s">
        <v>28</v>
      </c>
      <c r="T1322" s="68" t="s">
        <v>27756</v>
      </c>
      <c r="U1322" s="68" t="s">
        <v>29438</v>
      </c>
      <c r="V1322" s="68" t="s">
        <v>29437</v>
      </c>
      <c r="W1322" s="68" t="s">
        <v>100</v>
      </c>
      <c r="X1322" s="68">
        <v>1572</v>
      </c>
      <c r="Y1322" s="44"/>
      <c r="Z1322" s="44"/>
      <c r="AA1322" s="44"/>
      <c r="AB1322" s="44"/>
      <c r="AC1322" s="44"/>
      <c r="AD1322" s="44"/>
      <c r="AE1322" s="44"/>
      <c r="AF1322" s="44"/>
      <c r="AG1322" s="44"/>
      <c r="AH1322" s="44"/>
      <c r="AI1322" s="44"/>
      <c r="AJ1322" s="44"/>
      <c r="AK1322" s="44"/>
      <c r="AL1322" s="44"/>
      <c r="AM1322" s="44"/>
      <c r="AN1322" s="44"/>
      <c r="AO1322" s="44"/>
      <c r="AP1322" s="44"/>
      <c r="AQ1322" s="44"/>
      <c r="AR1322" s="44"/>
      <c r="AS1322" s="44"/>
      <c r="AT1322" s="44"/>
      <c r="AW1322" s="70"/>
      <c r="AX1322" s="1"/>
      <c r="AY1322" s="1"/>
      <c r="BB1322" s="44"/>
      <c r="BC1322" s="1"/>
      <c r="BD1322" s="1"/>
      <c r="BE1322" s="1"/>
      <c r="BF1322" s="1"/>
      <c r="BG1322" s="1"/>
      <c r="BH1322" s="1"/>
      <c r="BI1322" s="1"/>
      <c r="BJ1322" s="1"/>
    </row>
    <row r="1323" spans="1:63" s="11" customFormat="1" ht="12" customHeight="1" x14ac:dyDescent="0.15">
      <c r="A1323" s="44" t="s">
        <v>24001</v>
      </c>
      <c r="B1323" s="68">
        <v>25</v>
      </c>
      <c r="C1323" s="44" t="s">
        <v>20</v>
      </c>
      <c r="D1323" s="44" t="s">
        <v>48</v>
      </c>
      <c r="E1323" s="44"/>
      <c r="F1323" s="69">
        <v>42516</v>
      </c>
      <c r="G1323" s="44" t="s">
        <v>24002</v>
      </c>
      <c r="H1323" s="44" t="s">
        <v>24003</v>
      </c>
      <c r="I1323" s="44" t="s">
        <v>195</v>
      </c>
      <c r="J1323" s="44">
        <v>87801</v>
      </c>
      <c r="K1323" s="44" t="s">
        <v>24003</v>
      </c>
      <c r="L1323" s="44" t="s">
        <v>3085</v>
      </c>
      <c r="M1323" s="44" t="s">
        <v>27</v>
      </c>
      <c r="N1323" s="44" t="s">
        <v>24004</v>
      </c>
      <c r="O1323" s="44" t="s">
        <v>400</v>
      </c>
      <c r="P1323" s="44" t="s">
        <v>401</v>
      </c>
      <c r="Q1323" s="44" t="s">
        <v>24005</v>
      </c>
      <c r="R1323" s="44" t="s">
        <v>100</v>
      </c>
      <c r="S1323" s="2" t="s">
        <v>28</v>
      </c>
      <c r="T1323" s="68" t="s">
        <v>27756</v>
      </c>
      <c r="U1323" s="68" t="s">
        <v>29438</v>
      </c>
      <c r="V1323" s="68" t="s">
        <v>29437</v>
      </c>
      <c r="W1323" s="68" t="s">
        <v>100</v>
      </c>
      <c r="X1323" s="68">
        <v>1583</v>
      </c>
      <c r="Y1323" s="44"/>
      <c r="Z1323" s="44"/>
      <c r="AA1323" s="44"/>
      <c r="AB1323" s="44"/>
      <c r="AC1323" s="44"/>
      <c r="AD1323" s="44"/>
      <c r="AE1323" s="44"/>
      <c r="AF1323" s="44"/>
      <c r="AG1323" s="44"/>
      <c r="AH1323" s="44"/>
      <c r="AI1323" s="44"/>
      <c r="AJ1323" s="44"/>
      <c r="AK1323" s="44"/>
      <c r="AL1323" s="44"/>
      <c r="AM1323" s="44"/>
      <c r="AN1323" s="44"/>
      <c r="AO1323" s="44"/>
      <c r="AP1323" s="44"/>
      <c r="AQ1323" s="44"/>
      <c r="AR1323" s="44"/>
      <c r="AS1323" s="44"/>
      <c r="AT1323" s="44"/>
      <c r="AX1323" s="1"/>
      <c r="AY1323" s="1"/>
      <c r="BB1323" s="44"/>
      <c r="BC1323" s="1"/>
      <c r="BD1323" s="1"/>
      <c r="BE1323" s="1"/>
      <c r="BF1323" s="1"/>
      <c r="BG1323" s="1"/>
      <c r="BH1323" s="1"/>
      <c r="BI1323" s="1"/>
      <c r="BJ1323" s="1"/>
    </row>
    <row r="1324" spans="1:63" s="11" customFormat="1" ht="12" customHeight="1" x14ac:dyDescent="0.15">
      <c r="A1324" s="44" t="s">
        <v>3252</v>
      </c>
      <c r="B1324" s="44">
        <v>44</v>
      </c>
      <c r="C1324" s="44" t="s">
        <v>20</v>
      </c>
      <c r="D1324" s="44" t="s">
        <v>30</v>
      </c>
      <c r="E1324" s="44"/>
      <c r="F1324" s="69">
        <v>42516</v>
      </c>
      <c r="G1324" s="44" t="s">
        <v>24006</v>
      </c>
      <c r="H1324" s="44" t="s">
        <v>575</v>
      </c>
      <c r="I1324" s="44" t="s">
        <v>73</v>
      </c>
      <c r="J1324" s="44">
        <v>78227</v>
      </c>
      <c r="K1324" s="44" t="s">
        <v>576</v>
      </c>
      <c r="L1324" s="44" t="s">
        <v>577</v>
      </c>
      <c r="M1324" s="44" t="s">
        <v>27</v>
      </c>
      <c r="N1324" s="44" t="s">
        <v>24007</v>
      </c>
      <c r="O1324" s="44" t="s">
        <v>400</v>
      </c>
      <c r="P1324" s="44" t="s">
        <v>401</v>
      </c>
      <c r="Q1324" s="44" t="s">
        <v>24008</v>
      </c>
      <c r="R1324" s="44" t="s">
        <v>100</v>
      </c>
      <c r="S1324" s="44" t="s">
        <v>28</v>
      </c>
      <c r="T1324" s="68" t="s">
        <v>27756</v>
      </c>
      <c r="U1324" s="68" t="s">
        <v>29436</v>
      </c>
      <c r="V1324" s="68" t="s">
        <v>29439</v>
      </c>
      <c r="W1324" s="68" t="s">
        <v>100</v>
      </c>
      <c r="X1324" s="68">
        <v>1570</v>
      </c>
      <c r="Y1324" s="44"/>
      <c r="Z1324" s="44"/>
      <c r="AA1324" s="44"/>
      <c r="AB1324" s="44"/>
      <c r="AC1324" s="44"/>
      <c r="AD1324" s="44"/>
      <c r="AE1324" s="44"/>
      <c r="AF1324" s="44"/>
      <c r="AG1324" s="44"/>
      <c r="AH1324" s="44"/>
      <c r="AI1324" s="44"/>
      <c r="AJ1324" s="44"/>
      <c r="AK1324" s="44"/>
      <c r="AL1324" s="44"/>
      <c r="AM1324" s="44"/>
      <c r="AN1324" s="44"/>
      <c r="AO1324" s="44"/>
      <c r="AP1324" s="44"/>
      <c r="AQ1324" s="44"/>
      <c r="AR1324" s="44"/>
      <c r="AS1324" s="44"/>
      <c r="AT1324" s="44"/>
      <c r="AW1324" s="1"/>
      <c r="AX1324" s="1"/>
      <c r="AY1324" s="1"/>
      <c r="BB1324" s="44"/>
      <c r="BC1324" s="1"/>
      <c r="BD1324" s="1"/>
      <c r="BE1324" s="1"/>
      <c r="BF1324" s="1"/>
      <c r="BG1324" s="1"/>
      <c r="BH1324" s="1"/>
      <c r="BI1324" s="1"/>
      <c r="BJ1324" s="1"/>
      <c r="BK1324" s="44"/>
    </row>
    <row r="1325" spans="1:63" s="11" customFormat="1" ht="12" customHeight="1" x14ac:dyDescent="0.15">
      <c r="A1325" s="44" t="s">
        <v>23997</v>
      </c>
      <c r="B1325" s="68">
        <v>43</v>
      </c>
      <c r="C1325" s="44" t="s">
        <v>20</v>
      </c>
      <c r="D1325" s="44" t="s">
        <v>37</v>
      </c>
      <c r="E1325" s="44"/>
      <c r="F1325" s="69">
        <v>42516</v>
      </c>
      <c r="G1325" s="44" t="s">
        <v>23998</v>
      </c>
      <c r="H1325" s="44" t="s">
        <v>20764</v>
      </c>
      <c r="I1325" s="44" t="s">
        <v>44</v>
      </c>
      <c r="J1325" s="44">
        <v>60438</v>
      </c>
      <c r="K1325" s="44" t="s">
        <v>88</v>
      </c>
      <c r="L1325" s="44" t="s">
        <v>20767</v>
      </c>
      <c r="M1325" s="44" t="s">
        <v>27</v>
      </c>
      <c r="N1325" s="44" t="s">
        <v>23999</v>
      </c>
      <c r="O1325" s="44" t="s">
        <v>400</v>
      </c>
      <c r="P1325" s="44" t="s">
        <v>401</v>
      </c>
      <c r="Q1325" s="44" t="s">
        <v>24000</v>
      </c>
      <c r="R1325" s="44" t="s">
        <v>100</v>
      </c>
      <c r="S1325" s="44" t="s">
        <v>28</v>
      </c>
      <c r="T1325" s="68" t="s">
        <v>27756</v>
      </c>
      <c r="U1325" s="68" t="s">
        <v>29438</v>
      </c>
      <c r="V1325" s="68" t="s">
        <v>29440</v>
      </c>
      <c r="W1325" s="68" t="s">
        <v>100</v>
      </c>
      <c r="X1325" s="68">
        <v>1569</v>
      </c>
      <c r="Y1325" s="44"/>
      <c r="Z1325" s="44"/>
      <c r="AA1325" s="44"/>
      <c r="AB1325" s="44"/>
      <c r="AC1325" s="44"/>
      <c r="AD1325" s="44"/>
      <c r="AE1325" s="44"/>
      <c r="AF1325" s="44"/>
      <c r="AG1325" s="44"/>
      <c r="AH1325" s="44"/>
      <c r="AI1325" s="44"/>
      <c r="AJ1325" s="44"/>
      <c r="AK1325" s="44"/>
      <c r="AL1325" s="44"/>
      <c r="AM1325" s="44"/>
      <c r="AN1325" s="44"/>
      <c r="AO1325" s="44"/>
      <c r="AP1325" s="44"/>
      <c r="AQ1325" s="44"/>
      <c r="AR1325" s="44"/>
      <c r="AS1325" s="44"/>
      <c r="AT1325" s="44"/>
      <c r="AW1325" s="1"/>
      <c r="AX1325" s="1"/>
      <c r="AY1325" s="1"/>
      <c r="BB1325" s="44"/>
      <c r="BC1325" s="1"/>
      <c r="BD1325" s="1"/>
      <c r="BE1325" s="1"/>
      <c r="BF1325" s="1"/>
      <c r="BG1325" s="1"/>
      <c r="BH1325" s="1"/>
      <c r="BI1325" s="1"/>
      <c r="BJ1325" s="1"/>
    </row>
    <row r="1326" spans="1:63" s="11" customFormat="1" ht="12" customHeight="1" x14ac:dyDescent="0.2">
      <c r="A1326" s="44" t="s">
        <v>23991</v>
      </c>
      <c r="B1326" s="68">
        <v>21</v>
      </c>
      <c r="C1326" s="44" t="s">
        <v>20</v>
      </c>
      <c r="D1326" s="44" t="s">
        <v>85</v>
      </c>
      <c r="E1326" s="44"/>
      <c r="F1326" s="69">
        <v>42516</v>
      </c>
      <c r="G1326" s="44" t="s">
        <v>23992</v>
      </c>
      <c r="H1326" s="44" t="s">
        <v>23993</v>
      </c>
      <c r="I1326" s="44" t="s">
        <v>44</v>
      </c>
      <c r="J1326" s="44">
        <v>62204</v>
      </c>
      <c r="K1326" s="44" t="s">
        <v>6581</v>
      </c>
      <c r="L1326" s="44" t="s">
        <v>23994</v>
      </c>
      <c r="M1326" s="44" t="s">
        <v>27</v>
      </c>
      <c r="N1326" s="44" t="s">
        <v>23995</v>
      </c>
      <c r="O1326" s="44" t="s">
        <v>400</v>
      </c>
      <c r="P1326" s="44" t="s">
        <v>401</v>
      </c>
      <c r="Q1326" s="44" t="s">
        <v>23996</v>
      </c>
      <c r="R1326" s="44" t="s">
        <v>100</v>
      </c>
      <c r="S1326" s="11" t="s">
        <v>35</v>
      </c>
      <c r="T1326" s="66" t="s">
        <v>29441</v>
      </c>
      <c r="U1326" s="68" t="s">
        <v>29441</v>
      </c>
      <c r="V1326" s="68" t="s">
        <v>29440</v>
      </c>
      <c r="W1326" s="68" t="s">
        <v>100</v>
      </c>
      <c r="X1326" s="68">
        <v>1571</v>
      </c>
      <c r="Y1326" s="44"/>
      <c r="Z1326" s="44"/>
      <c r="AA1326" s="44"/>
      <c r="AB1326" s="44"/>
      <c r="AC1326" s="44"/>
      <c r="AD1326" s="44"/>
      <c r="AE1326" s="44"/>
      <c r="AF1326" s="44"/>
      <c r="AG1326" s="44"/>
      <c r="AH1326" s="44"/>
      <c r="AI1326" s="44"/>
      <c r="AJ1326" s="44"/>
      <c r="AK1326" s="44"/>
      <c r="AL1326" s="44"/>
      <c r="AM1326" s="44"/>
      <c r="AN1326" s="44"/>
      <c r="AO1326" s="44"/>
      <c r="AP1326" s="44"/>
      <c r="AQ1326" s="44"/>
      <c r="AR1326" s="44"/>
      <c r="AS1326" s="44"/>
      <c r="AT1326" s="44"/>
      <c r="AW1326" s="44"/>
      <c r="AX1326" s="70"/>
      <c r="AY1326" s="70"/>
      <c r="BB1326" s="44"/>
      <c r="BK1326" s="1"/>
    </row>
    <row r="1327" spans="1:63" s="11" customFormat="1" ht="12" customHeight="1" x14ac:dyDescent="0.15">
      <c r="A1327" s="44" t="s">
        <v>26289</v>
      </c>
      <c r="B1327" s="44">
        <v>48</v>
      </c>
      <c r="C1327" s="44" t="s">
        <v>114</v>
      </c>
      <c r="D1327" s="44" t="s">
        <v>37</v>
      </c>
      <c r="E1327" s="44" t="s">
        <v>26288</v>
      </c>
      <c r="F1327" s="69">
        <v>42516</v>
      </c>
      <c r="G1327" s="44" t="s">
        <v>23983</v>
      </c>
      <c r="H1327" s="44" t="s">
        <v>23984</v>
      </c>
      <c r="I1327" s="44" t="s">
        <v>62</v>
      </c>
      <c r="J1327" s="44">
        <v>32460</v>
      </c>
      <c r="K1327" s="44" t="s">
        <v>433</v>
      </c>
      <c r="L1327" s="44" t="s">
        <v>23985</v>
      </c>
      <c r="M1327" s="44" t="s">
        <v>27</v>
      </c>
      <c r="N1327" s="44" t="s">
        <v>23986</v>
      </c>
      <c r="O1327" s="44" t="s">
        <v>400</v>
      </c>
      <c r="P1327" s="44" t="s">
        <v>401</v>
      </c>
      <c r="Q1327" s="44" t="s">
        <v>23987</v>
      </c>
      <c r="R1327" s="44" t="s">
        <v>29</v>
      </c>
      <c r="S1327" s="44" t="s">
        <v>28</v>
      </c>
      <c r="T1327" s="68" t="s">
        <v>29493</v>
      </c>
      <c r="U1327" s="68" t="s">
        <v>29436</v>
      </c>
      <c r="V1327" s="68" t="s">
        <v>29439</v>
      </c>
      <c r="W1327" s="68" t="s">
        <v>100</v>
      </c>
      <c r="X1327" s="68">
        <v>1581</v>
      </c>
      <c r="Y1327" s="44"/>
      <c r="Z1327" s="44"/>
      <c r="AA1327" s="44"/>
      <c r="AB1327" s="44"/>
      <c r="AC1327" s="44"/>
      <c r="AD1327" s="44"/>
      <c r="AE1327" s="44"/>
      <c r="AF1327" s="44"/>
      <c r="AG1327" s="44"/>
      <c r="AH1327" s="44"/>
      <c r="AI1327" s="44"/>
      <c r="AJ1327" s="44"/>
      <c r="AK1327" s="44"/>
      <c r="AL1327" s="44"/>
      <c r="AM1327" s="44"/>
      <c r="AN1327" s="44"/>
      <c r="AO1327" s="44"/>
      <c r="AP1327" s="44"/>
      <c r="AQ1327" s="44"/>
      <c r="AR1327" s="44"/>
      <c r="AS1327" s="44"/>
      <c r="AT1327" s="44"/>
      <c r="AW1327" s="1"/>
      <c r="AX1327" s="1"/>
      <c r="AY1327" s="1"/>
      <c r="BA1327" s="1"/>
      <c r="BB1327" s="1"/>
      <c r="BC1327" s="1"/>
      <c r="BD1327" s="1"/>
      <c r="BE1327" s="1"/>
      <c r="BF1327" s="1"/>
      <c r="BG1327" s="1"/>
      <c r="BH1327" s="1"/>
      <c r="BI1327" s="1"/>
      <c r="BJ1327" s="1"/>
      <c r="BK1327" s="44"/>
    </row>
    <row r="1328" spans="1:63" s="11" customFormat="1" ht="12" customHeight="1" x14ac:dyDescent="0.15">
      <c r="A1328" s="44" t="s">
        <v>23988</v>
      </c>
      <c r="B1328" s="68">
        <v>29</v>
      </c>
      <c r="C1328" s="44" t="s">
        <v>20</v>
      </c>
      <c r="D1328" s="44" t="s">
        <v>37</v>
      </c>
      <c r="E1328" s="44"/>
      <c r="F1328" s="69">
        <v>42516</v>
      </c>
      <c r="G1328" s="44" t="s">
        <v>24390</v>
      </c>
      <c r="H1328" s="44" t="s">
        <v>3592</v>
      </c>
      <c r="I1328" s="44" t="s">
        <v>133</v>
      </c>
      <c r="J1328" s="44">
        <v>55119</v>
      </c>
      <c r="K1328" s="44" t="s">
        <v>3594</v>
      </c>
      <c r="L1328" s="44" t="s">
        <v>4914</v>
      </c>
      <c r="M1328" s="44" t="s">
        <v>27</v>
      </c>
      <c r="N1328" s="44" t="s">
        <v>23989</v>
      </c>
      <c r="O1328" s="44" t="s">
        <v>400</v>
      </c>
      <c r="P1328" s="44" t="s">
        <v>401</v>
      </c>
      <c r="Q1328" s="44" t="s">
        <v>23990</v>
      </c>
      <c r="R1328" s="44" t="s">
        <v>29</v>
      </c>
      <c r="S1328" s="44" t="s">
        <v>28</v>
      </c>
      <c r="T1328" s="68" t="s">
        <v>27756</v>
      </c>
      <c r="U1328" s="68" t="s">
        <v>29438</v>
      </c>
      <c r="V1328" s="68" t="s">
        <v>29439</v>
      </c>
      <c r="W1328" s="68" t="s">
        <v>100</v>
      </c>
      <c r="X1328" s="68">
        <v>1568</v>
      </c>
      <c r="Y1328" s="44"/>
      <c r="Z1328" s="44"/>
      <c r="AA1328" s="44"/>
      <c r="AB1328" s="44"/>
      <c r="AC1328" s="44"/>
      <c r="AD1328" s="44"/>
      <c r="AE1328" s="44"/>
      <c r="AF1328" s="44"/>
      <c r="AG1328" s="44"/>
      <c r="AH1328" s="44"/>
      <c r="AI1328" s="44"/>
      <c r="AJ1328" s="44"/>
      <c r="AK1328" s="44"/>
      <c r="AL1328" s="44"/>
      <c r="AM1328" s="44"/>
      <c r="AN1328" s="44"/>
      <c r="AO1328" s="44"/>
      <c r="AP1328" s="44"/>
      <c r="AQ1328" s="44"/>
      <c r="AR1328" s="44"/>
      <c r="AS1328" s="44"/>
      <c r="AT1328" s="44"/>
      <c r="AW1328" s="44"/>
      <c r="AX1328" s="1"/>
      <c r="AY1328" s="1"/>
      <c r="BA1328" s="1"/>
      <c r="BB1328" s="1"/>
      <c r="BC1328" s="1"/>
      <c r="BD1328" s="1"/>
      <c r="BE1328" s="1"/>
      <c r="BF1328" s="1"/>
      <c r="BG1328" s="1"/>
      <c r="BH1328" s="1"/>
      <c r="BI1328" s="1"/>
      <c r="BJ1328" s="1"/>
      <c r="BK1328" s="44"/>
    </row>
    <row r="1329" spans="1:63" s="11" customFormat="1" ht="12" customHeight="1" x14ac:dyDescent="0.15">
      <c r="A1329" s="44" t="s">
        <v>23969</v>
      </c>
      <c r="B1329" s="68">
        <v>24</v>
      </c>
      <c r="C1329" s="44" t="s">
        <v>20</v>
      </c>
      <c r="D1329" s="44" t="s">
        <v>85</v>
      </c>
      <c r="E1329" s="44" t="s">
        <v>23970</v>
      </c>
      <c r="F1329" s="69">
        <v>42515</v>
      </c>
      <c r="G1329" s="44" t="s">
        <v>23971</v>
      </c>
      <c r="H1329" s="44" t="s">
        <v>4247</v>
      </c>
      <c r="I1329" s="44" t="s">
        <v>62</v>
      </c>
      <c r="J1329" s="44">
        <v>33056</v>
      </c>
      <c r="K1329" s="44" t="s">
        <v>161</v>
      </c>
      <c r="L1329" s="44" t="s">
        <v>1025</v>
      </c>
      <c r="M1329" s="44" t="s">
        <v>27</v>
      </c>
      <c r="N1329" s="44" t="s">
        <v>23972</v>
      </c>
      <c r="O1329" s="44" t="s">
        <v>400</v>
      </c>
      <c r="P1329" s="44" t="s">
        <v>401</v>
      </c>
      <c r="Q1329" s="44" t="s">
        <v>23973</v>
      </c>
      <c r="R1329" s="44" t="s">
        <v>100</v>
      </c>
      <c r="S1329" s="44" t="s">
        <v>379</v>
      </c>
      <c r="T1329" s="68" t="s">
        <v>379</v>
      </c>
      <c r="U1329" s="68" t="s">
        <v>29436</v>
      </c>
      <c r="V1329" s="68" t="s">
        <v>29437</v>
      </c>
      <c r="W1329" s="68" t="s">
        <v>100</v>
      </c>
      <c r="X1329" s="68">
        <v>1566</v>
      </c>
      <c r="Y1329" s="44"/>
      <c r="Z1329" s="44"/>
      <c r="AA1329" s="44"/>
      <c r="AB1329" s="44"/>
      <c r="AC1329" s="44"/>
      <c r="AD1329" s="44"/>
      <c r="AE1329" s="44"/>
      <c r="AF1329" s="44"/>
      <c r="AG1329" s="44"/>
      <c r="AH1329" s="44"/>
      <c r="AI1329" s="44"/>
      <c r="AJ1329" s="44"/>
      <c r="AK1329" s="44"/>
      <c r="AL1329" s="44"/>
      <c r="AM1329" s="44"/>
      <c r="AN1329" s="44"/>
      <c r="AO1329" s="44"/>
      <c r="AP1329" s="44"/>
      <c r="AQ1329" s="44"/>
      <c r="AR1329" s="44"/>
      <c r="AS1329" s="44"/>
      <c r="AT1329" s="44"/>
      <c r="AX1329" s="44"/>
      <c r="AY1329" s="44"/>
      <c r="BB1329" s="44"/>
      <c r="BK1329" s="44"/>
    </row>
    <row r="1330" spans="1:63" s="11" customFormat="1" ht="12" customHeight="1" x14ac:dyDescent="0.15">
      <c r="A1330" s="44" t="s">
        <v>23974</v>
      </c>
      <c r="B1330" s="68">
        <v>43</v>
      </c>
      <c r="C1330" s="44" t="s">
        <v>20</v>
      </c>
      <c r="D1330" s="44" t="s">
        <v>37</v>
      </c>
      <c r="E1330" s="44"/>
      <c r="F1330" s="69">
        <v>42515</v>
      </c>
      <c r="G1330" s="44" t="s">
        <v>23975</v>
      </c>
      <c r="H1330" s="44" t="s">
        <v>1094</v>
      </c>
      <c r="I1330" s="44" t="s">
        <v>395</v>
      </c>
      <c r="J1330" s="44">
        <v>73106</v>
      </c>
      <c r="K1330" s="44" t="s">
        <v>1095</v>
      </c>
      <c r="L1330" s="44" t="s">
        <v>1096</v>
      </c>
      <c r="M1330" s="44" t="s">
        <v>27</v>
      </c>
      <c r="N1330" s="44" t="s">
        <v>23976</v>
      </c>
      <c r="O1330" s="44" t="s">
        <v>400</v>
      </c>
      <c r="P1330" s="44" t="s">
        <v>401</v>
      </c>
      <c r="Q1330" s="44" t="s">
        <v>23977</v>
      </c>
      <c r="R1330" s="68" t="s">
        <v>555</v>
      </c>
      <c r="S1330" s="44" t="s">
        <v>28</v>
      </c>
      <c r="T1330" s="68" t="s">
        <v>29493</v>
      </c>
      <c r="U1330" s="68" t="s">
        <v>29436</v>
      </c>
      <c r="V1330" s="68" t="s">
        <v>29439</v>
      </c>
      <c r="W1330" s="68" t="s">
        <v>100</v>
      </c>
      <c r="X1330" s="68">
        <v>1565</v>
      </c>
      <c r="Y1330" s="44"/>
      <c r="Z1330" s="44"/>
      <c r="AA1330" s="44"/>
      <c r="AB1330" s="44"/>
      <c r="AC1330" s="44"/>
      <c r="AD1330" s="44"/>
      <c r="AE1330" s="44"/>
      <c r="AF1330" s="44"/>
      <c r="AG1330" s="44"/>
      <c r="AH1330" s="44"/>
      <c r="AI1330" s="44"/>
      <c r="AJ1330" s="44"/>
      <c r="AK1330" s="44"/>
      <c r="AL1330" s="44"/>
      <c r="AM1330" s="44"/>
      <c r="AN1330" s="44"/>
      <c r="AO1330" s="44"/>
      <c r="AP1330" s="44"/>
      <c r="AQ1330" s="44"/>
      <c r="AR1330" s="44"/>
      <c r="AS1330" s="44"/>
      <c r="AT1330" s="44"/>
      <c r="AW1330" s="1"/>
      <c r="AX1330" s="1"/>
      <c r="AY1330" s="1"/>
      <c r="BA1330" s="44"/>
      <c r="BC1330" s="1"/>
      <c r="BD1330" s="1"/>
      <c r="BE1330" s="1"/>
      <c r="BF1330" s="1"/>
      <c r="BG1330" s="1"/>
      <c r="BH1330" s="1"/>
      <c r="BI1330" s="1"/>
      <c r="BJ1330" s="1"/>
      <c r="BK1330" s="44"/>
    </row>
    <row r="1331" spans="1:63" s="11" customFormat="1" ht="12" customHeight="1" x14ac:dyDescent="0.15">
      <c r="A1331" s="44" t="s">
        <v>23965</v>
      </c>
      <c r="B1331" s="68">
        <v>31</v>
      </c>
      <c r="C1331" s="44" t="s">
        <v>20</v>
      </c>
      <c r="D1331" s="44" t="s">
        <v>48</v>
      </c>
      <c r="E1331" s="44"/>
      <c r="F1331" s="69">
        <v>42514</v>
      </c>
      <c r="G1331" s="44" t="s">
        <v>23966</v>
      </c>
      <c r="H1331" s="44" t="s">
        <v>922</v>
      </c>
      <c r="I1331" s="44" t="s">
        <v>195</v>
      </c>
      <c r="J1331" s="44">
        <v>87123</v>
      </c>
      <c r="K1331" s="44" t="s">
        <v>467</v>
      </c>
      <c r="L1331" s="44" t="s">
        <v>5634</v>
      </c>
      <c r="M1331" s="44" t="s">
        <v>27</v>
      </c>
      <c r="N1331" s="44" t="s">
        <v>23967</v>
      </c>
      <c r="O1331" s="44" t="s">
        <v>400</v>
      </c>
      <c r="P1331" s="44" t="s">
        <v>401</v>
      </c>
      <c r="Q1331" s="44" t="s">
        <v>23968</v>
      </c>
      <c r="R1331" s="44" t="s">
        <v>100</v>
      </c>
      <c r="S1331" s="44" t="s">
        <v>28</v>
      </c>
      <c r="T1331" s="68" t="s">
        <v>27756</v>
      </c>
      <c r="U1331" s="68" t="s">
        <v>29438</v>
      </c>
      <c r="V1331" s="68" t="s">
        <v>29439</v>
      </c>
      <c r="W1331" s="68" t="s">
        <v>100</v>
      </c>
      <c r="X1331" s="68">
        <v>1567</v>
      </c>
      <c r="Y1331" s="44"/>
      <c r="Z1331" s="44"/>
      <c r="AA1331" s="44"/>
      <c r="AB1331" s="44"/>
      <c r="AC1331" s="44"/>
      <c r="AD1331" s="44"/>
      <c r="AE1331" s="44"/>
      <c r="AF1331" s="44"/>
      <c r="AG1331" s="44"/>
      <c r="AH1331" s="44"/>
      <c r="AI1331" s="44"/>
      <c r="AJ1331" s="44"/>
      <c r="AK1331" s="44"/>
      <c r="AL1331" s="44"/>
      <c r="AM1331" s="44"/>
      <c r="AN1331" s="44"/>
      <c r="AO1331" s="44"/>
      <c r="AP1331" s="44"/>
      <c r="AQ1331" s="44"/>
      <c r="AR1331" s="44"/>
      <c r="AS1331" s="44"/>
      <c r="AT1331" s="44"/>
      <c r="AX1331" s="1"/>
      <c r="AY1331" s="1"/>
      <c r="BB1331" s="44"/>
      <c r="BC1331" s="1"/>
      <c r="BD1331" s="1"/>
      <c r="BE1331" s="1"/>
      <c r="BF1331" s="1"/>
      <c r="BG1331" s="1"/>
      <c r="BH1331" s="1"/>
      <c r="BI1331" s="1"/>
      <c r="BJ1331" s="1"/>
      <c r="BK1331" s="44"/>
    </row>
    <row r="1332" spans="1:63" s="11" customFormat="1" ht="12" customHeight="1" x14ac:dyDescent="0.15">
      <c r="A1332" s="44" t="s">
        <v>23959</v>
      </c>
      <c r="B1332" s="68">
        <v>57</v>
      </c>
      <c r="C1332" s="44" t="s">
        <v>20</v>
      </c>
      <c r="D1332" s="44" t="s">
        <v>37</v>
      </c>
      <c r="E1332" s="44"/>
      <c r="F1332" s="69">
        <v>42514</v>
      </c>
      <c r="G1332" s="44" t="s">
        <v>23960</v>
      </c>
      <c r="H1332" s="44" t="s">
        <v>23961</v>
      </c>
      <c r="I1332" s="44" t="s">
        <v>431</v>
      </c>
      <c r="J1332" s="44">
        <v>64078</v>
      </c>
      <c r="K1332" s="44" t="s">
        <v>8349</v>
      </c>
      <c r="L1332" s="44" t="s">
        <v>23962</v>
      </c>
      <c r="M1332" s="44" t="s">
        <v>27</v>
      </c>
      <c r="N1332" s="44" t="s">
        <v>23963</v>
      </c>
      <c r="O1332" s="44" t="s">
        <v>400</v>
      </c>
      <c r="P1332" s="44" t="s">
        <v>401</v>
      </c>
      <c r="Q1332" s="44" t="s">
        <v>23964</v>
      </c>
      <c r="R1332" s="44" t="s">
        <v>100</v>
      </c>
      <c r="S1332" s="1" t="s">
        <v>28</v>
      </c>
      <c r="T1332" s="68" t="s">
        <v>391</v>
      </c>
      <c r="U1332" s="68" t="s">
        <v>29436</v>
      </c>
      <c r="V1332" s="68" t="s">
        <v>29437</v>
      </c>
      <c r="W1332" s="68" t="s">
        <v>100</v>
      </c>
      <c r="X1332" s="68">
        <v>1564</v>
      </c>
      <c r="Y1332" s="44"/>
      <c r="Z1332" s="44"/>
      <c r="AA1332" s="44"/>
      <c r="AB1332" s="44"/>
      <c r="AC1332" s="44"/>
      <c r="AD1332" s="44"/>
      <c r="AE1332" s="44"/>
      <c r="AF1332" s="44"/>
      <c r="AG1332" s="44"/>
      <c r="AH1332" s="44"/>
      <c r="AI1332" s="44"/>
      <c r="AJ1332" s="44"/>
      <c r="AK1332" s="44"/>
      <c r="AL1332" s="44"/>
      <c r="AM1332" s="44"/>
      <c r="AN1332" s="44"/>
      <c r="AO1332" s="44"/>
      <c r="AP1332" s="44"/>
      <c r="AQ1332" s="44"/>
      <c r="AR1332" s="44"/>
      <c r="AS1332" s="44"/>
      <c r="AT1332" s="44"/>
      <c r="AW1332" s="1"/>
      <c r="AX1332" s="1"/>
      <c r="AY1332" s="1"/>
      <c r="BB1332" s="44"/>
      <c r="BC1332" s="1"/>
      <c r="BD1332" s="1"/>
      <c r="BE1332" s="1"/>
      <c r="BF1332" s="1"/>
      <c r="BG1332" s="1"/>
      <c r="BH1332" s="1"/>
      <c r="BI1332" s="1"/>
      <c r="BJ1332" s="1"/>
      <c r="BK1332" s="44"/>
    </row>
    <row r="1333" spans="1:63" s="11" customFormat="1" ht="12" customHeight="1" x14ac:dyDescent="0.15">
      <c r="A1333" s="44" t="s">
        <v>23953</v>
      </c>
      <c r="B1333" s="68">
        <v>22</v>
      </c>
      <c r="C1333" s="44" t="s">
        <v>20</v>
      </c>
      <c r="D1333" s="44" t="s">
        <v>37</v>
      </c>
      <c r="E1333" s="44" t="s">
        <v>23954</v>
      </c>
      <c r="F1333" s="69">
        <v>42514</v>
      </c>
      <c r="G1333" s="44" t="s">
        <v>24391</v>
      </c>
      <c r="H1333" s="44" t="s">
        <v>23955</v>
      </c>
      <c r="I1333" s="44" t="s">
        <v>117</v>
      </c>
      <c r="J1333" s="44">
        <v>97233</v>
      </c>
      <c r="K1333" s="44" t="s">
        <v>1563</v>
      </c>
      <c r="L1333" s="44" t="s">
        <v>23956</v>
      </c>
      <c r="M1333" s="44" t="s">
        <v>27</v>
      </c>
      <c r="N1333" s="44" t="s">
        <v>23957</v>
      </c>
      <c r="O1333" s="44" t="s">
        <v>400</v>
      </c>
      <c r="P1333" s="44" t="s">
        <v>401</v>
      </c>
      <c r="Q1333" s="44" t="s">
        <v>23958</v>
      </c>
      <c r="R1333" s="44" t="s">
        <v>100</v>
      </c>
      <c r="S1333" s="44" t="s">
        <v>28</v>
      </c>
      <c r="T1333" s="68" t="s">
        <v>29493</v>
      </c>
      <c r="U1333" s="68" t="s">
        <v>29436</v>
      </c>
      <c r="V1333" s="68" t="s">
        <v>29439</v>
      </c>
      <c r="W1333" s="68" t="s">
        <v>100</v>
      </c>
      <c r="X1333" s="68">
        <v>1561</v>
      </c>
      <c r="Y1333" s="44"/>
      <c r="Z1333" s="44"/>
      <c r="AA1333" s="44"/>
      <c r="AB1333" s="44"/>
      <c r="AC1333" s="44"/>
      <c r="AD1333" s="44"/>
      <c r="AE1333" s="44"/>
      <c r="AF1333" s="44"/>
      <c r="AG1333" s="44"/>
      <c r="AH1333" s="44"/>
      <c r="AI1333" s="44"/>
      <c r="AJ1333" s="44"/>
      <c r="AK1333" s="44"/>
      <c r="AL1333" s="44"/>
      <c r="AM1333" s="44"/>
      <c r="AN1333" s="44"/>
      <c r="AO1333" s="44"/>
      <c r="AP1333" s="44"/>
      <c r="AQ1333" s="44"/>
      <c r="AR1333" s="44"/>
      <c r="AS1333" s="44"/>
      <c r="AT1333" s="44"/>
      <c r="AW1333" s="44"/>
      <c r="AX1333" s="1"/>
      <c r="AY1333" s="1"/>
      <c r="BB1333" s="44"/>
      <c r="BC1333" s="1"/>
      <c r="BD1333" s="1"/>
      <c r="BE1333" s="1"/>
      <c r="BF1333" s="1"/>
      <c r="BG1333" s="1"/>
      <c r="BH1333" s="1"/>
      <c r="BI1333" s="1"/>
      <c r="BJ1333" s="1"/>
      <c r="BK1333" s="44"/>
    </row>
    <row r="1334" spans="1:63" s="11" customFormat="1" ht="12" customHeight="1" x14ac:dyDescent="0.15">
      <c r="A1334" s="44" t="s">
        <v>23947</v>
      </c>
      <c r="B1334" s="68">
        <v>26</v>
      </c>
      <c r="C1334" s="44" t="s">
        <v>20</v>
      </c>
      <c r="D1334" s="44" t="s">
        <v>139</v>
      </c>
      <c r="E1334" s="44" t="s">
        <v>23948</v>
      </c>
      <c r="F1334" s="69">
        <v>42513</v>
      </c>
      <c r="G1334" s="44" t="s">
        <v>23949</v>
      </c>
      <c r="H1334" s="44" t="s">
        <v>6882</v>
      </c>
      <c r="I1334" s="44" t="s">
        <v>123</v>
      </c>
      <c r="J1334" s="44">
        <v>86001</v>
      </c>
      <c r="K1334" s="44" t="s">
        <v>23909</v>
      </c>
      <c r="L1334" s="44" t="s">
        <v>23950</v>
      </c>
      <c r="M1334" s="44" t="s">
        <v>27</v>
      </c>
      <c r="N1334" s="44" t="s">
        <v>23951</v>
      </c>
      <c r="O1334" s="44" t="s">
        <v>400</v>
      </c>
      <c r="P1334" s="44" t="s">
        <v>401</v>
      </c>
      <c r="Q1334" s="44" t="s">
        <v>23952</v>
      </c>
      <c r="R1334" s="44" t="s">
        <v>100</v>
      </c>
      <c r="S1334" s="44" t="s">
        <v>28</v>
      </c>
      <c r="T1334" s="68" t="s">
        <v>27756</v>
      </c>
      <c r="U1334" s="68" t="s">
        <v>29438</v>
      </c>
      <c r="V1334" s="68" t="s">
        <v>29440</v>
      </c>
      <c r="W1334" s="68" t="s">
        <v>555</v>
      </c>
      <c r="X1334" s="68">
        <v>1560</v>
      </c>
      <c r="Y1334" s="44"/>
      <c r="Z1334" s="44"/>
      <c r="AA1334" s="44"/>
      <c r="AB1334" s="44"/>
      <c r="AC1334" s="44"/>
      <c r="AD1334" s="44"/>
      <c r="AE1334" s="44"/>
      <c r="AF1334" s="44"/>
      <c r="AG1334" s="44"/>
      <c r="AH1334" s="44"/>
      <c r="AI1334" s="44"/>
      <c r="AJ1334" s="44"/>
      <c r="AK1334" s="44"/>
      <c r="AL1334" s="44"/>
      <c r="AM1334" s="44"/>
      <c r="AN1334" s="44"/>
      <c r="AO1334" s="44"/>
      <c r="AP1334" s="44"/>
      <c r="AQ1334" s="44"/>
      <c r="AR1334" s="44"/>
      <c r="AS1334" s="44"/>
      <c r="AT1334" s="44"/>
      <c r="AW1334" s="44"/>
      <c r="AX1334" s="1"/>
      <c r="AY1334" s="1"/>
      <c r="BB1334" s="44"/>
      <c r="BC1334" s="1"/>
      <c r="BD1334" s="1"/>
      <c r="BE1334" s="1"/>
      <c r="BF1334" s="1"/>
      <c r="BG1334" s="1"/>
      <c r="BH1334" s="1"/>
      <c r="BI1334" s="1"/>
      <c r="BJ1334" s="1"/>
      <c r="BK1334" s="44"/>
    </row>
    <row r="1335" spans="1:63" s="11" customFormat="1" ht="12" customHeight="1" x14ac:dyDescent="0.15">
      <c r="A1335" s="44" t="s">
        <v>23943</v>
      </c>
      <c r="B1335" s="68">
        <v>35</v>
      </c>
      <c r="C1335" s="44" t="s">
        <v>20</v>
      </c>
      <c r="D1335" s="44" t="s">
        <v>48</v>
      </c>
      <c r="E1335" s="44"/>
      <c r="F1335" s="69">
        <v>42512</v>
      </c>
      <c r="G1335" s="44" t="s">
        <v>23944</v>
      </c>
      <c r="H1335" s="44" t="s">
        <v>7820</v>
      </c>
      <c r="I1335" s="44" t="s">
        <v>46</v>
      </c>
      <c r="J1335" s="44">
        <v>1542</v>
      </c>
      <c r="K1335" s="44" t="s">
        <v>950</v>
      </c>
      <c r="L1335" s="44" t="s">
        <v>11586</v>
      </c>
      <c r="M1335" s="44" t="s">
        <v>27</v>
      </c>
      <c r="N1335" s="44" t="s">
        <v>23945</v>
      </c>
      <c r="O1335" s="44" t="s">
        <v>400</v>
      </c>
      <c r="P1335" s="44" t="s">
        <v>401</v>
      </c>
      <c r="Q1335" s="44" t="s">
        <v>23946</v>
      </c>
      <c r="R1335" s="44" t="s">
        <v>100</v>
      </c>
      <c r="S1335" s="44" t="s">
        <v>28</v>
      </c>
      <c r="T1335" s="68" t="s">
        <v>27756</v>
      </c>
      <c r="U1335" s="68" t="s">
        <v>29438</v>
      </c>
      <c r="V1335" s="68" t="s">
        <v>29439</v>
      </c>
      <c r="W1335" s="68" t="s">
        <v>100</v>
      </c>
      <c r="X1335" s="68">
        <v>1555</v>
      </c>
      <c r="Y1335" s="44"/>
      <c r="Z1335" s="44"/>
      <c r="AA1335" s="44"/>
      <c r="AB1335" s="44"/>
      <c r="AC1335" s="44"/>
      <c r="AD1335" s="44"/>
      <c r="AE1335" s="44"/>
      <c r="AF1335" s="44"/>
      <c r="AG1335" s="44"/>
      <c r="AH1335" s="44"/>
      <c r="AI1335" s="44"/>
      <c r="AJ1335" s="44"/>
      <c r="AK1335" s="44"/>
      <c r="AL1335" s="44"/>
      <c r="AM1335" s="44"/>
      <c r="AN1335" s="44"/>
      <c r="AO1335" s="44"/>
      <c r="AP1335" s="44"/>
      <c r="AQ1335" s="44"/>
      <c r="AR1335" s="44"/>
      <c r="AS1335" s="44"/>
      <c r="AT1335" s="44"/>
      <c r="AX1335" s="1"/>
      <c r="AY1335" s="1"/>
      <c r="BB1335" s="44"/>
      <c r="BC1335" s="1"/>
      <c r="BD1335" s="1"/>
      <c r="BE1335" s="1"/>
      <c r="BF1335" s="1"/>
      <c r="BG1335" s="1"/>
      <c r="BH1335" s="1"/>
      <c r="BI1335" s="1"/>
      <c r="BJ1335" s="1"/>
      <c r="BK1335" s="44"/>
    </row>
    <row r="1336" spans="1:63" s="11" customFormat="1" ht="12" customHeight="1" x14ac:dyDescent="0.15">
      <c r="A1336" s="44" t="s">
        <v>23933</v>
      </c>
      <c r="B1336" s="68">
        <v>27</v>
      </c>
      <c r="C1336" s="44" t="s">
        <v>20</v>
      </c>
      <c r="D1336" s="44" t="s">
        <v>85</v>
      </c>
      <c r="E1336" s="44" t="s">
        <v>23934</v>
      </c>
      <c r="F1336" s="69">
        <v>42512</v>
      </c>
      <c r="G1336" s="44" t="s">
        <v>23935</v>
      </c>
      <c r="H1336" s="44" t="s">
        <v>9990</v>
      </c>
      <c r="I1336" s="44" t="s">
        <v>62</v>
      </c>
      <c r="J1336" s="44">
        <v>33009</v>
      </c>
      <c r="K1336" s="44" t="s">
        <v>1123</v>
      </c>
      <c r="L1336" s="44" t="s">
        <v>9992</v>
      </c>
      <c r="M1336" s="44" t="s">
        <v>27</v>
      </c>
      <c r="N1336" s="44" t="s">
        <v>23936</v>
      </c>
      <c r="O1336" s="44" t="s">
        <v>400</v>
      </c>
      <c r="P1336" s="44" t="s">
        <v>401</v>
      </c>
      <c r="Q1336" s="44" t="s">
        <v>23937</v>
      </c>
      <c r="R1336" s="44" t="s">
        <v>100</v>
      </c>
      <c r="S1336" s="44" t="s">
        <v>18</v>
      </c>
      <c r="T1336" s="68" t="s">
        <v>28345</v>
      </c>
      <c r="U1336" s="68" t="s">
        <v>29436</v>
      </c>
      <c r="V1336" s="68" t="s">
        <v>29437</v>
      </c>
      <c r="W1336" s="68" t="s">
        <v>555</v>
      </c>
      <c r="X1336" s="68">
        <v>1554</v>
      </c>
      <c r="Y1336" s="44"/>
      <c r="Z1336" s="44"/>
      <c r="AA1336" s="44"/>
      <c r="AB1336" s="44"/>
      <c r="AC1336" s="44"/>
      <c r="AD1336" s="44"/>
      <c r="AE1336" s="44"/>
      <c r="AF1336" s="44"/>
      <c r="AG1336" s="44"/>
      <c r="AH1336" s="44"/>
      <c r="AI1336" s="44"/>
      <c r="AJ1336" s="44"/>
      <c r="AK1336" s="44"/>
      <c r="AL1336" s="44"/>
      <c r="AM1336" s="44"/>
      <c r="AN1336" s="44"/>
      <c r="AO1336" s="44"/>
      <c r="AP1336" s="44"/>
      <c r="AQ1336" s="44"/>
      <c r="AR1336" s="44"/>
      <c r="AS1336" s="44"/>
      <c r="AT1336" s="44"/>
      <c r="AW1336" s="44"/>
      <c r="BB1336" s="44"/>
      <c r="BK1336" s="1"/>
    </row>
    <row r="1337" spans="1:63" s="11" customFormat="1" ht="12" customHeight="1" x14ac:dyDescent="0.15">
      <c r="A1337" s="44" t="s">
        <v>23938</v>
      </c>
      <c r="B1337" s="68">
        <v>22</v>
      </c>
      <c r="C1337" s="44" t="s">
        <v>20</v>
      </c>
      <c r="D1337" s="44" t="s">
        <v>85</v>
      </c>
      <c r="E1337" s="44" t="s">
        <v>23939</v>
      </c>
      <c r="F1337" s="69">
        <v>42512</v>
      </c>
      <c r="G1337" s="44" t="s">
        <v>23940</v>
      </c>
      <c r="H1337" s="44" t="s">
        <v>651</v>
      </c>
      <c r="I1337" s="44" t="s">
        <v>62</v>
      </c>
      <c r="J1337" s="44">
        <v>32206</v>
      </c>
      <c r="K1337" s="44" t="s">
        <v>652</v>
      </c>
      <c r="L1337" s="11" t="s">
        <v>653</v>
      </c>
      <c r="M1337" s="44" t="s">
        <v>27</v>
      </c>
      <c r="N1337" s="44" t="s">
        <v>23941</v>
      </c>
      <c r="O1337" s="44" t="s">
        <v>400</v>
      </c>
      <c r="P1337" s="44" t="s">
        <v>401</v>
      </c>
      <c r="Q1337" s="44" t="s">
        <v>23942</v>
      </c>
      <c r="R1337" s="44" t="s">
        <v>100</v>
      </c>
      <c r="S1337" s="44" t="s">
        <v>18</v>
      </c>
      <c r="T1337" s="68" t="s">
        <v>28345</v>
      </c>
      <c r="U1337" s="68" t="s">
        <v>29436</v>
      </c>
      <c r="V1337" s="68" t="s">
        <v>29437</v>
      </c>
      <c r="W1337" s="68" t="s">
        <v>100</v>
      </c>
      <c r="X1337" s="68">
        <v>1562</v>
      </c>
      <c r="Y1337" s="44"/>
      <c r="Z1337" s="44"/>
      <c r="AA1337" s="44"/>
      <c r="AB1337" s="44"/>
      <c r="AC1337" s="44"/>
      <c r="AD1337" s="44"/>
      <c r="AE1337" s="44"/>
      <c r="AF1337" s="44"/>
      <c r="AG1337" s="44"/>
      <c r="AH1337" s="44"/>
      <c r="AI1337" s="44"/>
      <c r="AJ1337" s="44"/>
      <c r="AK1337" s="44"/>
      <c r="AL1337" s="44"/>
      <c r="AM1337" s="44"/>
      <c r="AN1337" s="44"/>
      <c r="AO1337" s="44"/>
      <c r="AP1337" s="44"/>
      <c r="AQ1337" s="44"/>
      <c r="AR1337" s="44"/>
      <c r="AS1337" s="44"/>
      <c r="AT1337" s="44"/>
      <c r="AW1337" s="44"/>
      <c r="AX1337" s="44"/>
      <c r="AY1337" s="44"/>
      <c r="BB1337" s="44"/>
      <c r="BK1337" s="1"/>
    </row>
    <row r="1338" spans="1:63" s="11" customFormat="1" ht="12" customHeight="1" x14ac:dyDescent="0.2">
      <c r="A1338" s="44" t="s">
        <v>23929</v>
      </c>
      <c r="B1338" s="68">
        <v>28</v>
      </c>
      <c r="C1338" s="44" t="s">
        <v>20</v>
      </c>
      <c r="D1338" s="44" t="s">
        <v>37</v>
      </c>
      <c r="E1338" s="44"/>
      <c r="F1338" s="69">
        <v>42512</v>
      </c>
      <c r="G1338" s="44" t="s">
        <v>23930</v>
      </c>
      <c r="H1338" s="44" t="s">
        <v>996</v>
      </c>
      <c r="I1338" s="44" t="s">
        <v>209</v>
      </c>
      <c r="J1338" s="44">
        <v>80302</v>
      </c>
      <c r="K1338" s="44" t="s">
        <v>996</v>
      </c>
      <c r="L1338" s="44" t="s">
        <v>997</v>
      </c>
      <c r="M1338" s="44" t="s">
        <v>27</v>
      </c>
      <c r="N1338" s="44" t="s">
        <v>23931</v>
      </c>
      <c r="O1338" s="44" t="s">
        <v>400</v>
      </c>
      <c r="P1338" s="44" t="s">
        <v>401</v>
      </c>
      <c r="Q1338" s="44" t="s">
        <v>23932</v>
      </c>
      <c r="R1338" s="68" t="s">
        <v>555</v>
      </c>
      <c r="S1338" s="44" t="s">
        <v>28</v>
      </c>
      <c r="T1338" s="68" t="s">
        <v>27756</v>
      </c>
      <c r="U1338" s="68" t="s">
        <v>29438</v>
      </c>
      <c r="V1338" s="68" t="s">
        <v>29439</v>
      </c>
      <c r="W1338" s="68" t="s">
        <v>100</v>
      </c>
      <c r="X1338" s="68">
        <v>1563</v>
      </c>
      <c r="Y1338" s="44"/>
      <c r="Z1338" s="44"/>
      <c r="AA1338" s="44"/>
      <c r="AB1338" s="44"/>
      <c r="AC1338" s="44"/>
      <c r="AD1338" s="44"/>
      <c r="AE1338" s="44"/>
      <c r="AF1338" s="44"/>
      <c r="AG1338" s="44"/>
      <c r="AH1338" s="44"/>
      <c r="AI1338" s="44"/>
      <c r="AJ1338" s="44"/>
      <c r="AK1338" s="44"/>
      <c r="AL1338" s="44"/>
      <c r="AM1338" s="44"/>
      <c r="AN1338" s="44"/>
      <c r="AO1338" s="44"/>
      <c r="AP1338" s="44"/>
      <c r="AQ1338" s="44"/>
      <c r="AR1338" s="44"/>
      <c r="AS1338" s="44"/>
      <c r="AT1338" s="44"/>
      <c r="AW1338" s="44"/>
      <c r="AX1338" s="1"/>
      <c r="AY1338" s="1"/>
      <c r="BA1338" s="70"/>
      <c r="BB1338" s="44"/>
      <c r="BC1338" s="1"/>
      <c r="BD1338" s="1"/>
      <c r="BE1338" s="1"/>
      <c r="BF1338" s="1"/>
      <c r="BG1338" s="1"/>
      <c r="BH1338" s="1"/>
      <c r="BI1338" s="1"/>
      <c r="BJ1338" s="1"/>
      <c r="BK1338" s="44"/>
    </row>
    <row r="1339" spans="1:63" s="11" customFormat="1" ht="12" customHeight="1" x14ac:dyDescent="0.15">
      <c r="A1339" s="44" t="s">
        <v>23924</v>
      </c>
      <c r="B1339" s="68">
        <v>63</v>
      </c>
      <c r="C1339" s="44" t="s">
        <v>20</v>
      </c>
      <c r="D1339" s="44" t="s">
        <v>37</v>
      </c>
      <c r="E1339" s="44"/>
      <c r="F1339" s="69">
        <v>42511</v>
      </c>
      <c r="G1339" s="44" t="s">
        <v>23925</v>
      </c>
      <c r="H1339" s="44" t="s">
        <v>11885</v>
      </c>
      <c r="I1339" s="44" t="s">
        <v>32</v>
      </c>
      <c r="J1339" s="44">
        <v>29709</v>
      </c>
      <c r="K1339" s="44" t="s">
        <v>11885</v>
      </c>
      <c r="L1339" s="44" t="s">
        <v>23926</v>
      </c>
      <c r="M1339" s="44" t="s">
        <v>27</v>
      </c>
      <c r="N1339" s="44" t="s">
        <v>23927</v>
      </c>
      <c r="O1339" s="44" t="s">
        <v>400</v>
      </c>
      <c r="P1339" s="44" t="s">
        <v>401</v>
      </c>
      <c r="Q1339" s="44" t="s">
        <v>23928</v>
      </c>
      <c r="R1339" s="44" t="s">
        <v>100</v>
      </c>
      <c r="S1339" s="44" t="s">
        <v>28</v>
      </c>
      <c r="T1339" s="68" t="s">
        <v>27756</v>
      </c>
      <c r="U1339" s="68" t="s">
        <v>29438</v>
      </c>
      <c r="V1339" s="68" t="s">
        <v>29439</v>
      </c>
      <c r="W1339" s="68" t="s">
        <v>100</v>
      </c>
      <c r="X1339" s="68">
        <v>1552</v>
      </c>
      <c r="Y1339" s="44"/>
      <c r="Z1339" s="44"/>
      <c r="AA1339" s="44"/>
      <c r="AB1339" s="44"/>
      <c r="AC1339" s="44"/>
      <c r="AD1339" s="44"/>
      <c r="AE1339" s="44"/>
      <c r="AF1339" s="44"/>
      <c r="AG1339" s="44"/>
      <c r="AH1339" s="44"/>
      <c r="AI1339" s="44"/>
      <c r="AJ1339" s="44"/>
      <c r="AK1339" s="44"/>
      <c r="AL1339" s="44"/>
      <c r="AM1339" s="44"/>
      <c r="AN1339" s="44"/>
      <c r="AO1339" s="44"/>
      <c r="AP1339" s="44"/>
      <c r="AQ1339" s="44"/>
      <c r="AR1339" s="44"/>
      <c r="AS1339" s="44"/>
      <c r="AT1339" s="44"/>
      <c r="AW1339" s="1"/>
      <c r="AX1339" s="1"/>
      <c r="AY1339" s="1"/>
      <c r="BB1339" s="44"/>
      <c r="BC1339" s="1"/>
      <c r="BD1339" s="1"/>
      <c r="BE1339" s="1"/>
      <c r="BF1339" s="1"/>
      <c r="BG1339" s="1"/>
      <c r="BH1339" s="1"/>
      <c r="BI1339" s="1"/>
      <c r="BJ1339" s="1"/>
      <c r="BK1339" s="44"/>
    </row>
    <row r="1340" spans="1:63" s="11" customFormat="1" ht="12" customHeight="1" x14ac:dyDescent="0.15">
      <c r="A1340" s="44" t="s">
        <v>23913</v>
      </c>
      <c r="B1340" s="44">
        <v>59</v>
      </c>
      <c r="C1340" s="44" t="s">
        <v>20</v>
      </c>
      <c r="D1340" s="44" t="s">
        <v>37</v>
      </c>
      <c r="E1340" s="44" t="s">
        <v>23914</v>
      </c>
      <c r="F1340" s="72">
        <v>42511</v>
      </c>
      <c r="G1340" s="44" t="s">
        <v>23915</v>
      </c>
      <c r="H1340" s="44" t="s">
        <v>6435</v>
      </c>
      <c r="I1340" s="44" t="s">
        <v>366</v>
      </c>
      <c r="J1340" s="44">
        <v>28677</v>
      </c>
      <c r="K1340" s="44" t="s">
        <v>6437</v>
      </c>
      <c r="L1340" s="44" t="s">
        <v>23916</v>
      </c>
      <c r="M1340" s="44" t="s">
        <v>379</v>
      </c>
      <c r="N1340" s="44" t="s">
        <v>23917</v>
      </c>
      <c r="O1340" s="44" t="s">
        <v>400</v>
      </c>
      <c r="P1340" s="44" t="s">
        <v>401</v>
      </c>
      <c r="Q1340" s="44" t="s">
        <v>23918</v>
      </c>
      <c r="R1340" s="44" t="s">
        <v>100</v>
      </c>
      <c r="S1340" s="44" t="s">
        <v>28</v>
      </c>
      <c r="T1340" s="44"/>
      <c r="U1340" s="44"/>
      <c r="V1340" s="44"/>
      <c r="W1340" s="44"/>
      <c r="X1340" s="44"/>
      <c r="Y1340" s="44"/>
      <c r="Z1340" s="44"/>
      <c r="AA1340" s="44"/>
      <c r="AB1340" s="44"/>
      <c r="AC1340" s="44"/>
      <c r="AD1340" s="44"/>
      <c r="AE1340" s="44"/>
      <c r="AF1340" s="44"/>
      <c r="AG1340" s="44"/>
      <c r="AH1340" s="44"/>
      <c r="AI1340" s="44"/>
      <c r="AJ1340" s="44"/>
      <c r="AK1340" s="44"/>
      <c r="AL1340" s="44"/>
      <c r="AM1340" s="44"/>
      <c r="AN1340" s="44"/>
      <c r="AO1340" s="44"/>
      <c r="AP1340" s="44"/>
      <c r="AQ1340" s="44"/>
      <c r="AR1340" s="44"/>
      <c r="AS1340" s="44"/>
      <c r="AT1340" s="44"/>
      <c r="AU1340" s="44"/>
      <c r="AV1340" s="44"/>
      <c r="AW1340" s="44"/>
      <c r="AX1340" s="1"/>
      <c r="AY1340" s="1"/>
      <c r="AZ1340" s="1"/>
      <c r="BA1340" s="1"/>
      <c r="BB1340" s="1"/>
      <c r="BC1340" s="1"/>
      <c r="BD1340" s="1"/>
      <c r="BE1340" s="1"/>
      <c r="BF1340" s="1"/>
      <c r="BG1340" s="1"/>
      <c r="BH1340" s="1"/>
      <c r="BI1340" s="1"/>
      <c r="BJ1340" s="1"/>
      <c r="BK1340" s="1"/>
    </row>
    <row r="1341" spans="1:63" s="11" customFormat="1" ht="12" customHeight="1" x14ac:dyDescent="0.15">
      <c r="A1341" s="44" t="s">
        <v>23907</v>
      </c>
      <c r="B1341" s="68">
        <v>31</v>
      </c>
      <c r="C1341" s="44" t="s">
        <v>20</v>
      </c>
      <c r="D1341" s="44" t="s">
        <v>139</v>
      </c>
      <c r="E1341" s="44"/>
      <c r="F1341" s="69">
        <v>42511</v>
      </c>
      <c r="G1341" s="44" t="s">
        <v>23908</v>
      </c>
      <c r="H1341" s="44" t="s">
        <v>6882</v>
      </c>
      <c r="I1341" s="44" t="s">
        <v>123</v>
      </c>
      <c r="J1341" s="44">
        <v>86004</v>
      </c>
      <c r="K1341" s="44" t="s">
        <v>23909</v>
      </c>
      <c r="L1341" s="44" t="s">
        <v>23910</v>
      </c>
      <c r="M1341" s="44" t="s">
        <v>27</v>
      </c>
      <c r="N1341" s="44" t="s">
        <v>23911</v>
      </c>
      <c r="O1341" s="44" t="s">
        <v>400</v>
      </c>
      <c r="P1341" s="44" t="s">
        <v>401</v>
      </c>
      <c r="Q1341" s="44" t="s">
        <v>23912</v>
      </c>
      <c r="R1341" s="44" t="s">
        <v>555</v>
      </c>
      <c r="S1341" s="44" t="s">
        <v>28</v>
      </c>
      <c r="T1341" s="68" t="s">
        <v>27756</v>
      </c>
      <c r="U1341" s="68" t="s">
        <v>29438</v>
      </c>
      <c r="V1341" s="68" t="s">
        <v>29439</v>
      </c>
      <c r="W1341" s="68" t="s">
        <v>555</v>
      </c>
      <c r="X1341" s="68">
        <v>1556</v>
      </c>
      <c r="Y1341" s="44"/>
      <c r="Z1341" s="44"/>
      <c r="AA1341" s="44"/>
      <c r="AB1341" s="44"/>
      <c r="AC1341" s="44"/>
      <c r="AD1341" s="44"/>
      <c r="AE1341" s="44"/>
      <c r="AF1341" s="44"/>
      <c r="AG1341" s="44"/>
      <c r="AH1341" s="44"/>
      <c r="AI1341" s="44"/>
      <c r="AJ1341" s="44"/>
      <c r="AK1341" s="44"/>
      <c r="AL1341" s="44"/>
      <c r="AM1341" s="44"/>
      <c r="AN1341" s="44"/>
      <c r="AO1341" s="44"/>
      <c r="AP1341" s="44"/>
      <c r="AQ1341" s="44"/>
      <c r="AR1341" s="44"/>
      <c r="AS1341" s="44"/>
      <c r="AT1341" s="44"/>
      <c r="AX1341" s="1"/>
      <c r="AY1341" s="1"/>
      <c r="BC1341" s="1"/>
      <c r="BD1341" s="1"/>
      <c r="BE1341" s="1"/>
      <c r="BF1341" s="1"/>
      <c r="BG1341" s="1"/>
      <c r="BH1341" s="1"/>
      <c r="BI1341" s="1"/>
      <c r="BJ1341" s="1"/>
      <c r="BK1341" s="44"/>
    </row>
    <row r="1342" spans="1:63" s="11" customFormat="1" ht="12" customHeight="1" x14ac:dyDescent="0.2">
      <c r="A1342" s="44" t="s">
        <v>23919</v>
      </c>
      <c r="B1342" s="68">
        <v>38</v>
      </c>
      <c r="C1342" s="44" t="s">
        <v>20</v>
      </c>
      <c r="D1342" s="44" t="s">
        <v>37</v>
      </c>
      <c r="E1342" s="44"/>
      <c r="F1342" s="69">
        <v>42511</v>
      </c>
      <c r="G1342" s="44" t="s">
        <v>23920</v>
      </c>
      <c r="H1342" s="44" t="s">
        <v>13199</v>
      </c>
      <c r="I1342" s="44" t="s">
        <v>117</v>
      </c>
      <c r="J1342" s="44">
        <v>97045</v>
      </c>
      <c r="K1342" s="44" t="s">
        <v>4256</v>
      </c>
      <c r="L1342" s="44" t="s">
        <v>23921</v>
      </c>
      <c r="M1342" s="44" t="s">
        <v>27</v>
      </c>
      <c r="N1342" s="44" t="s">
        <v>23922</v>
      </c>
      <c r="O1342" s="44" t="s">
        <v>400</v>
      </c>
      <c r="P1342" s="44" t="s">
        <v>401</v>
      </c>
      <c r="Q1342" s="44" t="s">
        <v>23923</v>
      </c>
      <c r="R1342" s="68" t="s">
        <v>555</v>
      </c>
      <c r="S1342" s="44" t="s">
        <v>18</v>
      </c>
      <c r="T1342" s="68" t="s">
        <v>28345</v>
      </c>
      <c r="U1342" s="68" t="s">
        <v>29438</v>
      </c>
      <c r="V1342" s="68" t="s">
        <v>29439</v>
      </c>
      <c r="W1342" s="68" t="s">
        <v>100</v>
      </c>
      <c r="X1342" s="68">
        <v>1553</v>
      </c>
      <c r="Y1342" s="44"/>
      <c r="Z1342" s="44"/>
      <c r="AA1342" s="44"/>
      <c r="AB1342" s="44"/>
      <c r="AC1342" s="44"/>
      <c r="AD1342" s="44"/>
      <c r="AE1342" s="44"/>
      <c r="AF1342" s="44"/>
      <c r="AG1342" s="44"/>
      <c r="AH1342" s="44"/>
      <c r="AI1342" s="44"/>
      <c r="AJ1342" s="44"/>
      <c r="AK1342" s="44"/>
      <c r="AL1342" s="44"/>
      <c r="AM1342" s="44"/>
      <c r="AN1342" s="44"/>
      <c r="AO1342" s="44"/>
      <c r="AP1342" s="44"/>
      <c r="AQ1342" s="44"/>
      <c r="AR1342" s="44"/>
      <c r="AS1342" s="44"/>
      <c r="AT1342" s="44"/>
      <c r="AX1342" s="1"/>
      <c r="AY1342" s="1"/>
      <c r="BA1342" s="70"/>
      <c r="BB1342" s="44"/>
      <c r="BC1342" s="1"/>
      <c r="BD1342" s="1"/>
      <c r="BE1342" s="1"/>
      <c r="BF1342" s="1"/>
      <c r="BG1342" s="1"/>
      <c r="BH1342" s="1"/>
      <c r="BI1342" s="1"/>
      <c r="BJ1342" s="1"/>
      <c r="BK1342" s="1"/>
    </row>
    <row r="1343" spans="1:63" s="11" customFormat="1" ht="12" customHeight="1" x14ac:dyDescent="0.15">
      <c r="A1343" s="44" t="s">
        <v>23902</v>
      </c>
      <c r="B1343" s="68">
        <v>31</v>
      </c>
      <c r="C1343" s="44" t="s">
        <v>20</v>
      </c>
      <c r="D1343" s="44" t="s">
        <v>85</v>
      </c>
      <c r="E1343" s="44" t="s">
        <v>23903</v>
      </c>
      <c r="F1343" s="69">
        <v>42510</v>
      </c>
      <c r="G1343" s="44" t="s">
        <v>23904</v>
      </c>
      <c r="H1343" s="44" t="s">
        <v>1627</v>
      </c>
      <c r="I1343" s="44" t="s">
        <v>463</v>
      </c>
      <c r="J1343" s="44">
        <v>68116</v>
      </c>
      <c r="K1343" s="44" t="s">
        <v>938</v>
      </c>
      <c r="L1343" s="44" t="s">
        <v>2253</v>
      </c>
      <c r="M1343" s="44" t="s">
        <v>27</v>
      </c>
      <c r="N1343" s="44" t="s">
        <v>23905</v>
      </c>
      <c r="O1343" s="44" t="s">
        <v>400</v>
      </c>
      <c r="P1343" s="44" t="s">
        <v>401</v>
      </c>
      <c r="Q1343" s="44" t="s">
        <v>23906</v>
      </c>
      <c r="R1343" s="44" t="s">
        <v>29</v>
      </c>
      <c r="S1343" s="44" t="s">
        <v>28</v>
      </c>
      <c r="T1343" s="68" t="s">
        <v>29493</v>
      </c>
      <c r="U1343" s="68" t="s">
        <v>29436</v>
      </c>
      <c r="V1343" s="68" t="s">
        <v>29440</v>
      </c>
      <c r="W1343" s="68" t="s">
        <v>555</v>
      </c>
      <c r="X1343" s="68">
        <v>1559</v>
      </c>
      <c r="Y1343" s="44"/>
      <c r="Z1343" s="44"/>
      <c r="AA1343" s="44"/>
      <c r="AB1343" s="44"/>
      <c r="AC1343" s="44"/>
      <c r="AD1343" s="44"/>
      <c r="AE1343" s="44"/>
      <c r="AF1343" s="44"/>
      <c r="AG1343" s="44"/>
      <c r="AH1343" s="44"/>
      <c r="AI1343" s="44"/>
      <c r="AJ1343" s="44"/>
      <c r="AK1343" s="44"/>
      <c r="AL1343" s="44"/>
      <c r="AM1343" s="44"/>
      <c r="AN1343" s="44"/>
      <c r="AO1343" s="44"/>
      <c r="AP1343" s="44"/>
      <c r="AQ1343" s="44"/>
      <c r="AR1343" s="44"/>
      <c r="AS1343" s="44"/>
      <c r="AT1343" s="44"/>
      <c r="BA1343" s="1"/>
      <c r="BB1343" s="1"/>
      <c r="BK1343" s="44"/>
    </row>
    <row r="1344" spans="1:63" s="11" customFormat="1" ht="12" customHeight="1" x14ac:dyDescent="0.15">
      <c r="A1344" s="44" t="s">
        <v>23897</v>
      </c>
      <c r="B1344" s="44">
        <v>40</v>
      </c>
      <c r="C1344" s="44" t="s">
        <v>20</v>
      </c>
      <c r="D1344" s="44" t="s">
        <v>37</v>
      </c>
      <c r="E1344" s="44" t="s">
        <v>23898</v>
      </c>
      <c r="F1344" s="72">
        <v>42510</v>
      </c>
      <c r="G1344" s="44" t="s">
        <v>23899</v>
      </c>
      <c r="H1344" s="44" t="s">
        <v>632</v>
      </c>
      <c r="I1344" s="44" t="s">
        <v>123</v>
      </c>
      <c r="J1344" s="44">
        <v>85013</v>
      </c>
      <c r="K1344" s="44" t="s">
        <v>633</v>
      </c>
      <c r="L1344" s="44" t="s">
        <v>634</v>
      </c>
      <c r="M1344" s="44" t="s">
        <v>2291</v>
      </c>
      <c r="N1344" s="44" t="s">
        <v>23900</v>
      </c>
      <c r="O1344" s="44" t="s">
        <v>400</v>
      </c>
      <c r="P1344" s="44" t="s">
        <v>401</v>
      </c>
      <c r="Q1344" s="44" t="s">
        <v>23901</v>
      </c>
      <c r="R1344" s="44" t="s">
        <v>29</v>
      </c>
      <c r="S1344" s="44" t="s">
        <v>28</v>
      </c>
      <c r="T1344" s="44"/>
      <c r="U1344" s="44"/>
      <c r="V1344" s="44"/>
      <c r="W1344" s="44"/>
      <c r="X1344" s="44"/>
      <c r="Y1344" s="44"/>
      <c r="Z1344" s="44"/>
      <c r="AA1344" s="44"/>
      <c r="AB1344" s="44"/>
      <c r="AC1344" s="44"/>
      <c r="AD1344" s="44"/>
      <c r="AE1344" s="44"/>
      <c r="AF1344" s="44"/>
      <c r="AG1344" s="44"/>
      <c r="AH1344" s="44"/>
      <c r="AI1344" s="44"/>
      <c r="AJ1344" s="44"/>
      <c r="AK1344" s="44"/>
      <c r="AL1344" s="44"/>
      <c r="AM1344" s="44"/>
      <c r="AN1344" s="44"/>
      <c r="AO1344" s="44"/>
      <c r="AP1344" s="44"/>
      <c r="AQ1344" s="44"/>
      <c r="AR1344" s="44"/>
      <c r="AS1344" s="44"/>
      <c r="AT1344" s="44"/>
      <c r="AU1344" s="1"/>
      <c r="AV1344" s="1"/>
      <c r="AW1344" s="1"/>
      <c r="AX1344" s="1"/>
      <c r="AY1344" s="1"/>
      <c r="AZ1344" s="1"/>
      <c r="BA1344" s="1"/>
      <c r="BB1344" s="1"/>
      <c r="BC1344" s="1"/>
      <c r="BD1344" s="1"/>
      <c r="BE1344" s="1"/>
      <c r="BF1344" s="1"/>
      <c r="BG1344" s="1"/>
      <c r="BH1344" s="1"/>
      <c r="BI1344" s="1"/>
      <c r="BJ1344" s="1"/>
      <c r="BK1344" s="1"/>
    </row>
    <row r="1345" spans="1:63" s="11" customFormat="1" ht="12" customHeight="1" x14ac:dyDescent="0.15">
      <c r="A1345" s="44" t="s">
        <v>23892</v>
      </c>
      <c r="B1345" s="68">
        <v>36</v>
      </c>
      <c r="C1345" s="44" t="s">
        <v>20</v>
      </c>
      <c r="D1345" s="44" t="s">
        <v>37</v>
      </c>
      <c r="E1345" s="44"/>
      <c r="F1345" s="69">
        <v>42509</v>
      </c>
      <c r="G1345" s="44" t="s">
        <v>23893</v>
      </c>
      <c r="H1345" s="44" t="s">
        <v>23894</v>
      </c>
      <c r="I1345" s="44" t="s">
        <v>315</v>
      </c>
      <c r="J1345" s="44">
        <v>41740</v>
      </c>
      <c r="K1345" s="44" t="s">
        <v>20113</v>
      </c>
      <c r="L1345" s="44" t="s">
        <v>20114</v>
      </c>
      <c r="M1345" s="44" t="s">
        <v>27</v>
      </c>
      <c r="N1345" s="44" t="s">
        <v>23895</v>
      </c>
      <c r="O1345" s="44" t="s">
        <v>400</v>
      </c>
      <c r="P1345" s="44" t="s">
        <v>401</v>
      </c>
      <c r="Q1345" s="44" t="s">
        <v>23896</v>
      </c>
      <c r="R1345" s="11" t="s">
        <v>964</v>
      </c>
      <c r="S1345" s="44" t="s">
        <v>28</v>
      </c>
      <c r="T1345" s="68" t="s">
        <v>27756</v>
      </c>
      <c r="U1345" s="68" t="s">
        <v>29438</v>
      </c>
      <c r="V1345" s="68" t="s">
        <v>29439</v>
      </c>
      <c r="W1345" s="68" t="s">
        <v>100</v>
      </c>
      <c r="X1345" s="68">
        <v>1550</v>
      </c>
      <c r="Y1345" s="44"/>
      <c r="Z1345" s="44"/>
      <c r="AA1345" s="44"/>
      <c r="AB1345" s="44"/>
      <c r="AC1345" s="44"/>
      <c r="AD1345" s="44"/>
      <c r="AE1345" s="44"/>
      <c r="AF1345" s="44"/>
      <c r="AG1345" s="44"/>
      <c r="AH1345" s="44"/>
      <c r="AI1345" s="44"/>
      <c r="AJ1345" s="44"/>
      <c r="AK1345" s="44"/>
      <c r="AL1345" s="44"/>
      <c r="AM1345" s="44"/>
      <c r="AN1345" s="44"/>
      <c r="AO1345" s="44"/>
      <c r="AP1345" s="44"/>
      <c r="AQ1345" s="44"/>
      <c r="AR1345" s="44"/>
      <c r="AS1345" s="44"/>
      <c r="AT1345" s="44"/>
      <c r="AW1345" s="44"/>
      <c r="AX1345" s="1"/>
      <c r="AY1345" s="1"/>
      <c r="BA1345" s="44"/>
      <c r="BB1345" s="44"/>
      <c r="BC1345" s="1"/>
      <c r="BD1345" s="1"/>
      <c r="BE1345" s="1"/>
      <c r="BF1345" s="1"/>
      <c r="BG1345" s="1"/>
      <c r="BH1345" s="1"/>
      <c r="BI1345" s="1"/>
      <c r="BJ1345" s="1"/>
      <c r="BK1345" s="44"/>
    </row>
    <row r="1346" spans="1:63" s="11" customFormat="1" ht="12" customHeight="1" x14ac:dyDescent="0.15">
      <c r="A1346" s="44" t="s">
        <v>23882</v>
      </c>
      <c r="B1346" s="68">
        <v>22</v>
      </c>
      <c r="C1346" s="44" t="s">
        <v>20</v>
      </c>
      <c r="D1346" s="44" t="s">
        <v>85</v>
      </c>
      <c r="E1346" s="44" t="s">
        <v>23883</v>
      </c>
      <c r="F1346" s="69">
        <v>42509</v>
      </c>
      <c r="G1346" s="44" t="s">
        <v>23884</v>
      </c>
      <c r="H1346" s="44" t="s">
        <v>213</v>
      </c>
      <c r="I1346" s="44" t="s">
        <v>62</v>
      </c>
      <c r="J1346" s="44">
        <v>33147</v>
      </c>
      <c r="K1346" s="44" t="s">
        <v>161</v>
      </c>
      <c r="L1346" s="44" t="s">
        <v>162</v>
      </c>
      <c r="M1346" s="44" t="s">
        <v>27</v>
      </c>
      <c r="N1346" s="44" t="s">
        <v>23885</v>
      </c>
      <c r="O1346" s="44" t="s">
        <v>400</v>
      </c>
      <c r="P1346" s="44" t="s">
        <v>401</v>
      </c>
      <c r="Q1346" s="44" t="s">
        <v>23886</v>
      </c>
      <c r="R1346" s="44" t="s">
        <v>100</v>
      </c>
      <c r="S1346" s="44" t="s">
        <v>28</v>
      </c>
      <c r="T1346" s="68" t="s">
        <v>27756</v>
      </c>
      <c r="U1346" s="68" t="s">
        <v>29436</v>
      </c>
      <c r="V1346" s="68" t="s">
        <v>29439</v>
      </c>
      <c r="W1346" s="68" t="s">
        <v>100</v>
      </c>
      <c r="X1346" s="68">
        <v>1551</v>
      </c>
      <c r="Y1346" s="44"/>
      <c r="Z1346" s="44"/>
      <c r="AA1346" s="44"/>
      <c r="AB1346" s="44"/>
      <c r="AC1346" s="44"/>
      <c r="AD1346" s="44"/>
      <c r="AE1346" s="44"/>
      <c r="AF1346" s="44"/>
      <c r="AG1346" s="44"/>
      <c r="AH1346" s="44"/>
      <c r="AI1346" s="44"/>
      <c r="AJ1346" s="44"/>
      <c r="AK1346" s="44"/>
      <c r="AL1346" s="44"/>
      <c r="AM1346" s="44"/>
      <c r="AN1346" s="44"/>
      <c r="AO1346" s="44"/>
      <c r="AP1346" s="44"/>
      <c r="AQ1346" s="44"/>
      <c r="AR1346" s="44"/>
      <c r="AS1346" s="44"/>
      <c r="AT1346" s="44"/>
      <c r="AW1346" s="44"/>
      <c r="AX1346" s="44"/>
      <c r="AY1346" s="44"/>
      <c r="BK1346" s="44"/>
    </row>
    <row r="1347" spans="1:63" s="11" customFormat="1" ht="12" customHeight="1" x14ac:dyDescent="0.15">
      <c r="A1347" s="44" t="s">
        <v>23878</v>
      </c>
      <c r="B1347" s="68">
        <v>35</v>
      </c>
      <c r="C1347" s="44" t="s">
        <v>20</v>
      </c>
      <c r="D1347" s="44" t="s">
        <v>48</v>
      </c>
      <c r="E1347" s="44" t="s">
        <v>23879</v>
      </c>
      <c r="F1347" s="69">
        <v>42509</v>
      </c>
      <c r="G1347" s="44" t="s">
        <v>24392</v>
      </c>
      <c r="H1347" s="44" t="s">
        <v>1640</v>
      </c>
      <c r="I1347" s="44" t="s">
        <v>45</v>
      </c>
      <c r="J1347" s="44">
        <v>95610</v>
      </c>
      <c r="K1347" s="44" t="s">
        <v>1642</v>
      </c>
      <c r="L1347" s="44" t="s">
        <v>1643</v>
      </c>
      <c r="M1347" s="44" t="s">
        <v>27</v>
      </c>
      <c r="N1347" s="44" t="s">
        <v>23880</v>
      </c>
      <c r="O1347" s="44" t="s">
        <v>400</v>
      </c>
      <c r="P1347" s="44" t="s">
        <v>401</v>
      </c>
      <c r="Q1347" s="44" t="s">
        <v>23881</v>
      </c>
      <c r="R1347" s="44" t="s">
        <v>100</v>
      </c>
      <c r="S1347" s="44" t="s">
        <v>28</v>
      </c>
      <c r="T1347" s="68" t="s">
        <v>29493</v>
      </c>
      <c r="U1347" s="68" t="s">
        <v>29436</v>
      </c>
      <c r="V1347" s="68" t="s">
        <v>29439</v>
      </c>
      <c r="W1347" s="68" t="s">
        <v>555</v>
      </c>
      <c r="X1347" s="68">
        <v>1549</v>
      </c>
      <c r="Y1347" s="44"/>
      <c r="Z1347" s="44"/>
      <c r="AA1347" s="44"/>
      <c r="AB1347" s="44"/>
      <c r="AC1347" s="44"/>
      <c r="AD1347" s="44"/>
      <c r="AE1347" s="44"/>
      <c r="AF1347" s="44"/>
      <c r="AG1347" s="44"/>
      <c r="AH1347" s="44"/>
      <c r="AI1347" s="44"/>
      <c r="AJ1347" s="44"/>
      <c r="AK1347" s="44"/>
      <c r="AL1347" s="44"/>
      <c r="AM1347" s="44"/>
      <c r="AN1347" s="44"/>
      <c r="AO1347" s="44"/>
      <c r="AP1347" s="44"/>
      <c r="AQ1347" s="44"/>
      <c r="AR1347" s="44"/>
      <c r="AS1347" s="44"/>
      <c r="AT1347" s="44"/>
      <c r="AX1347" s="1"/>
      <c r="AY1347" s="1"/>
      <c r="BC1347" s="1"/>
      <c r="BD1347" s="1"/>
      <c r="BE1347" s="1"/>
      <c r="BF1347" s="1"/>
      <c r="BG1347" s="1"/>
      <c r="BH1347" s="1"/>
      <c r="BI1347" s="1"/>
      <c r="BJ1347" s="1"/>
      <c r="BK1347" s="44"/>
    </row>
    <row r="1348" spans="1:63" s="11" customFormat="1" ht="12" customHeight="1" x14ac:dyDescent="0.15">
      <c r="A1348" s="44" t="s">
        <v>23873</v>
      </c>
      <c r="B1348" s="68">
        <v>29</v>
      </c>
      <c r="C1348" s="44" t="s">
        <v>114</v>
      </c>
      <c r="D1348" s="44" t="s">
        <v>85</v>
      </c>
      <c r="E1348" s="44" t="s">
        <v>23874</v>
      </c>
      <c r="F1348" s="69">
        <v>42509</v>
      </c>
      <c r="G1348" s="44" t="s">
        <v>23875</v>
      </c>
      <c r="H1348" s="44" t="s">
        <v>945</v>
      </c>
      <c r="I1348" s="44" t="s">
        <v>45</v>
      </c>
      <c r="J1348" s="44">
        <v>94124</v>
      </c>
      <c r="K1348" s="44" t="s">
        <v>945</v>
      </c>
      <c r="L1348" s="44" t="s">
        <v>946</v>
      </c>
      <c r="M1348" s="44" t="s">
        <v>27</v>
      </c>
      <c r="N1348" s="44" t="s">
        <v>23876</v>
      </c>
      <c r="O1348" s="44" t="s">
        <v>400</v>
      </c>
      <c r="P1348" s="44" t="s">
        <v>401</v>
      </c>
      <c r="Q1348" s="44" t="s">
        <v>23877</v>
      </c>
      <c r="R1348" s="44" t="s">
        <v>100</v>
      </c>
      <c r="S1348" s="44" t="s">
        <v>18</v>
      </c>
      <c r="T1348" s="68" t="s">
        <v>28345</v>
      </c>
      <c r="U1348" s="68" t="s">
        <v>29441</v>
      </c>
      <c r="V1348" s="68" t="s">
        <v>29437</v>
      </c>
      <c r="W1348" s="68" t="s">
        <v>100</v>
      </c>
      <c r="X1348" s="68">
        <v>1548</v>
      </c>
      <c r="Y1348" s="44"/>
      <c r="Z1348" s="44"/>
      <c r="AA1348" s="44"/>
      <c r="AB1348" s="44"/>
      <c r="AC1348" s="44"/>
      <c r="AD1348" s="44"/>
      <c r="AE1348" s="44"/>
      <c r="AF1348" s="44"/>
      <c r="AG1348" s="44"/>
      <c r="AH1348" s="44"/>
      <c r="AI1348" s="44"/>
      <c r="AJ1348" s="44"/>
      <c r="AK1348" s="44"/>
      <c r="AL1348" s="44"/>
      <c r="AM1348" s="44"/>
      <c r="AN1348" s="44"/>
      <c r="AO1348" s="44"/>
      <c r="AP1348" s="44"/>
      <c r="AQ1348" s="44"/>
      <c r="AR1348" s="44"/>
      <c r="AS1348" s="44"/>
      <c r="AT1348" s="44"/>
      <c r="AW1348" s="44"/>
      <c r="BK1348" s="1"/>
    </row>
    <row r="1349" spans="1:63" s="11" customFormat="1" ht="12" customHeight="1" x14ac:dyDescent="0.15">
      <c r="A1349" s="44" t="s">
        <v>23887</v>
      </c>
      <c r="B1349" s="68">
        <v>30</v>
      </c>
      <c r="C1349" s="44" t="s">
        <v>20</v>
      </c>
      <c r="D1349" s="44" t="s">
        <v>48</v>
      </c>
      <c r="E1349" s="44" t="s">
        <v>23888</v>
      </c>
      <c r="F1349" s="69">
        <v>42509</v>
      </c>
      <c r="G1349" s="44" t="s">
        <v>23889</v>
      </c>
      <c r="H1349" s="44" t="s">
        <v>268</v>
      </c>
      <c r="I1349" s="44" t="s">
        <v>269</v>
      </c>
      <c r="J1349" s="44">
        <v>89030</v>
      </c>
      <c r="K1349" s="44" t="s">
        <v>570</v>
      </c>
      <c r="L1349" s="44" t="s">
        <v>571</v>
      </c>
      <c r="M1349" s="44" t="s">
        <v>27</v>
      </c>
      <c r="N1349" s="44" t="s">
        <v>23890</v>
      </c>
      <c r="O1349" s="44" t="s">
        <v>400</v>
      </c>
      <c r="P1349" s="44" t="s">
        <v>401</v>
      </c>
      <c r="Q1349" s="44" t="s">
        <v>23891</v>
      </c>
      <c r="R1349" s="44" t="s">
        <v>29</v>
      </c>
      <c r="S1349" s="44" t="s">
        <v>18</v>
      </c>
      <c r="T1349" s="68" t="s">
        <v>28345</v>
      </c>
      <c r="U1349" s="68" t="s">
        <v>29438</v>
      </c>
      <c r="V1349" s="68" t="s">
        <v>29439</v>
      </c>
      <c r="W1349" s="68" t="s">
        <v>100</v>
      </c>
      <c r="X1349" s="68">
        <v>1547</v>
      </c>
      <c r="Y1349" s="44"/>
      <c r="Z1349" s="44"/>
      <c r="AA1349" s="44"/>
      <c r="AB1349" s="44"/>
      <c r="AC1349" s="44"/>
      <c r="AD1349" s="44"/>
      <c r="AE1349" s="44"/>
      <c r="AF1349" s="44"/>
      <c r="AG1349" s="44"/>
      <c r="AH1349" s="44"/>
      <c r="AI1349" s="44"/>
      <c r="AJ1349" s="44"/>
      <c r="AK1349" s="44"/>
      <c r="AL1349" s="44"/>
      <c r="AM1349" s="44"/>
      <c r="AN1349" s="44"/>
      <c r="AO1349" s="44"/>
      <c r="AP1349" s="44"/>
      <c r="AQ1349" s="44"/>
      <c r="AR1349" s="44"/>
      <c r="AS1349" s="44"/>
      <c r="AT1349" s="44"/>
      <c r="AX1349" s="1"/>
      <c r="AY1349" s="1"/>
      <c r="BA1349" s="1"/>
      <c r="BB1349" s="1"/>
      <c r="BC1349" s="1"/>
      <c r="BD1349" s="1"/>
      <c r="BE1349" s="1"/>
      <c r="BF1349" s="1"/>
      <c r="BG1349" s="1"/>
      <c r="BH1349" s="1"/>
      <c r="BI1349" s="1"/>
      <c r="BJ1349" s="1"/>
      <c r="BK1349" s="1"/>
    </row>
    <row r="1350" spans="1:63" s="11" customFormat="1" ht="12" customHeight="1" x14ac:dyDescent="0.15">
      <c r="A1350" s="44" t="s">
        <v>23869</v>
      </c>
      <c r="B1350" s="44">
        <v>29</v>
      </c>
      <c r="C1350" s="44" t="s">
        <v>20</v>
      </c>
      <c r="D1350" s="44" t="s">
        <v>85</v>
      </c>
      <c r="E1350" s="44"/>
      <c r="F1350" s="72">
        <v>42508</v>
      </c>
      <c r="G1350" s="44" t="s">
        <v>23870</v>
      </c>
      <c r="H1350" s="44" t="s">
        <v>6779</v>
      </c>
      <c r="I1350" s="44" t="s">
        <v>133</v>
      </c>
      <c r="J1350" s="44">
        <v>55411</v>
      </c>
      <c r="K1350" s="44" t="s">
        <v>1072</v>
      </c>
      <c r="L1350" s="44" t="s">
        <v>16779</v>
      </c>
      <c r="M1350" s="44" t="s">
        <v>379</v>
      </c>
      <c r="N1350" s="44" t="s">
        <v>23871</v>
      </c>
      <c r="O1350" s="44" t="s">
        <v>400</v>
      </c>
      <c r="P1350" s="44" t="s">
        <v>401</v>
      </c>
      <c r="Q1350" s="44" t="s">
        <v>23872</v>
      </c>
      <c r="R1350" s="44" t="s">
        <v>100</v>
      </c>
      <c r="S1350" s="44" t="s">
        <v>28</v>
      </c>
      <c r="T1350" s="44"/>
      <c r="U1350" s="44"/>
      <c r="V1350" s="44"/>
      <c r="W1350" s="44"/>
      <c r="X1350" s="44"/>
      <c r="Y1350" s="44"/>
      <c r="Z1350" s="44"/>
      <c r="AA1350" s="44"/>
      <c r="AB1350" s="44"/>
      <c r="AC1350" s="44"/>
      <c r="AD1350" s="44"/>
      <c r="AE1350" s="44"/>
      <c r="AF1350" s="44"/>
      <c r="AG1350" s="44"/>
      <c r="AH1350" s="44"/>
      <c r="AI1350" s="44"/>
      <c r="AJ1350" s="44"/>
      <c r="AK1350" s="44"/>
      <c r="AL1350" s="44"/>
      <c r="AM1350" s="44"/>
      <c r="AN1350" s="44"/>
      <c r="AO1350" s="44"/>
      <c r="AP1350" s="44"/>
      <c r="AQ1350" s="44"/>
      <c r="AR1350" s="44"/>
      <c r="AS1350" s="44"/>
      <c r="AT1350" s="44"/>
      <c r="AU1350" s="44"/>
      <c r="AV1350" s="44"/>
      <c r="AW1350" s="44"/>
      <c r="AX1350" s="44"/>
      <c r="AY1350" s="44"/>
      <c r="AZ1350" s="1"/>
      <c r="BA1350" s="1"/>
      <c r="BB1350" s="1"/>
      <c r="BK1350" s="1"/>
    </row>
    <row r="1351" spans="1:63" s="11" customFormat="1" ht="12" customHeight="1" x14ac:dyDescent="0.2">
      <c r="A1351" s="44" t="s">
        <v>23855</v>
      </c>
      <c r="B1351" s="68">
        <v>20</v>
      </c>
      <c r="C1351" s="44" t="s">
        <v>20</v>
      </c>
      <c r="D1351" s="44" t="s">
        <v>48</v>
      </c>
      <c r="E1351" s="44" t="s">
        <v>23856</v>
      </c>
      <c r="F1351" s="69">
        <v>42508</v>
      </c>
      <c r="G1351" s="44" t="s">
        <v>24393</v>
      </c>
      <c r="H1351" s="44" t="s">
        <v>632</v>
      </c>
      <c r="I1351" s="44" t="s">
        <v>123</v>
      </c>
      <c r="J1351" s="44">
        <v>85339</v>
      </c>
      <c r="K1351" s="44" t="s">
        <v>633</v>
      </c>
      <c r="L1351" s="44" t="s">
        <v>634</v>
      </c>
      <c r="M1351" s="44" t="s">
        <v>27</v>
      </c>
      <c r="N1351" s="44" t="s">
        <v>23857</v>
      </c>
      <c r="O1351" s="44" t="s">
        <v>400</v>
      </c>
      <c r="P1351" s="44" t="s">
        <v>401</v>
      </c>
      <c r="Q1351" s="44" t="s">
        <v>23858</v>
      </c>
      <c r="R1351" s="44" t="s">
        <v>100</v>
      </c>
      <c r="S1351" s="44" t="s">
        <v>28</v>
      </c>
      <c r="T1351" s="68" t="s">
        <v>27756</v>
      </c>
      <c r="U1351" s="68" t="s">
        <v>29438</v>
      </c>
      <c r="V1351" s="68" t="s">
        <v>29439</v>
      </c>
      <c r="W1351" s="68" t="s">
        <v>100</v>
      </c>
      <c r="X1351" s="68">
        <v>1546</v>
      </c>
      <c r="Y1351" s="44"/>
      <c r="Z1351" s="44"/>
      <c r="AA1351" s="44"/>
      <c r="AB1351" s="44"/>
      <c r="AC1351" s="44"/>
      <c r="AD1351" s="44"/>
      <c r="AE1351" s="44"/>
      <c r="AF1351" s="44"/>
      <c r="AG1351" s="44"/>
      <c r="AH1351" s="44"/>
      <c r="AI1351" s="44"/>
      <c r="AJ1351" s="44"/>
      <c r="AK1351" s="44"/>
      <c r="AL1351" s="44"/>
      <c r="AM1351" s="44"/>
      <c r="AN1351" s="44"/>
      <c r="AO1351" s="44"/>
      <c r="AP1351" s="44"/>
      <c r="AQ1351" s="44"/>
      <c r="AR1351" s="44"/>
      <c r="AS1351" s="44"/>
      <c r="AT1351" s="44"/>
      <c r="AW1351" s="70"/>
      <c r="AX1351" s="1"/>
      <c r="AY1351" s="1"/>
      <c r="BC1351" s="1"/>
      <c r="BD1351" s="1"/>
      <c r="BE1351" s="1"/>
      <c r="BF1351" s="1"/>
      <c r="BG1351" s="1"/>
      <c r="BH1351" s="1"/>
      <c r="BI1351" s="1"/>
      <c r="BJ1351" s="1"/>
      <c r="BK1351" s="44"/>
    </row>
    <row r="1352" spans="1:63" s="11" customFormat="1" ht="12" customHeight="1" x14ac:dyDescent="0.15">
      <c r="A1352" s="44" t="s">
        <v>23863</v>
      </c>
      <c r="B1352" s="68">
        <v>44</v>
      </c>
      <c r="C1352" s="44" t="s">
        <v>20</v>
      </c>
      <c r="D1352" s="44" t="s">
        <v>37</v>
      </c>
      <c r="E1352" s="44" t="s">
        <v>23864</v>
      </c>
      <c r="F1352" s="69">
        <v>42508</v>
      </c>
      <c r="G1352" s="44" t="s">
        <v>23865</v>
      </c>
      <c r="H1352" s="44" t="s">
        <v>23866</v>
      </c>
      <c r="I1352" s="44" t="s">
        <v>431</v>
      </c>
      <c r="J1352" s="44">
        <v>65441</v>
      </c>
      <c r="K1352" s="44" t="s">
        <v>11295</v>
      </c>
      <c r="L1352" s="44" t="s">
        <v>9915</v>
      </c>
      <c r="M1352" s="44" t="s">
        <v>27</v>
      </c>
      <c r="N1352" s="44" t="s">
        <v>23867</v>
      </c>
      <c r="O1352" s="44" t="s">
        <v>400</v>
      </c>
      <c r="P1352" s="44" t="s">
        <v>401</v>
      </c>
      <c r="Q1352" s="44" t="s">
        <v>23868</v>
      </c>
      <c r="R1352" s="44" t="s">
        <v>100</v>
      </c>
      <c r="S1352" s="44" t="s">
        <v>28</v>
      </c>
      <c r="T1352" s="68" t="s">
        <v>27756</v>
      </c>
      <c r="U1352" s="68" t="s">
        <v>29438</v>
      </c>
      <c r="V1352" s="68" t="s">
        <v>21212</v>
      </c>
      <c r="W1352" s="68" t="s">
        <v>100</v>
      </c>
      <c r="X1352" s="68">
        <v>1545</v>
      </c>
      <c r="Y1352" s="44"/>
      <c r="Z1352" s="44"/>
      <c r="AA1352" s="44"/>
      <c r="AB1352" s="44"/>
      <c r="AC1352" s="44"/>
      <c r="AD1352" s="44"/>
      <c r="AE1352" s="44"/>
      <c r="AF1352" s="44"/>
      <c r="AG1352" s="44"/>
      <c r="AH1352" s="44"/>
      <c r="AI1352" s="44"/>
      <c r="AJ1352" s="44"/>
      <c r="AK1352" s="44"/>
      <c r="AL1352" s="44"/>
      <c r="AM1352" s="44"/>
      <c r="AN1352" s="44"/>
      <c r="AO1352" s="44"/>
      <c r="AP1352" s="44"/>
      <c r="AQ1352" s="44"/>
      <c r="AR1352" s="44"/>
      <c r="AS1352" s="44"/>
      <c r="AT1352" s="44"/>
      <c r="AW1352" s="1"/>
      <c r="AX1352" s="1"/>
      <c r="AY1352" s="1"/>
      <c r="BC1352" s="1"/>
      <c r="BD1352" s="1"/>
      <c r="BE1352" s="1"/>
      <c r="BF1352" s="1"/>
      <c r="BG1352" s="1"/>
      <c r="BH1352" s="1"/>
      <c r="BI1352" s="1"/>
      <c r="BJ1352" s="1"/>
      <c r="BK1352" s="44"/>
    </row>
    <row r="1353" spans="1:63" s="11" customFormat="1" ht="12" customHeight="1" x14ac:dyDescent="0.15">
      <c r="A1353" s="44" t="s">
        <v>23859</v>
      </c>
      <c r="B1353" s="68">
        <v>46</v>
      </c>
      <c r="C1353" s="44" t="s">
        <v>20</v>
      </c>
      <c r="D1353" s="44" t="s">
        <v>37</v>
      </c>
      <c r="E1353" s="44"/>
      <c r="F1353" s="69">
        <v>42508</v>
      </c>
      <c r="G1353" s="44" t="s">
        <v>23860</v>
      </c>
      <c r="H1353" s="44" t="s">
        <v>754</v>
      </c>
      <c r="I1353" s="44" t="s">
        <v>423</v>
      </c>
      <c r="J1353" s="44">
        <v>10019</v>
      </c>
      <c r="K1353" s="44" t="s">
        <v>754</v>
      </c>
      <c r="L1353" s="44" t="s">
        <v>582</v>
      </c>
      <c r="M1353" s="44" t="s">
        <v>27</v>
      </c>
      <c r="N1353" s="44" t="s">
        <v>23861</v>
      </c>
      <c r="O1353" s="44" t="s">
        <v>400</v>
      </c>
      <c r="P1353" s="44" t="s">
        <v>401</v>
      </c>
      <c r="Q1353" s="44" t="s">
        <v>23862</v>
      </c>
      <c r="R1353" s="68" t="s">
        <v>555</v>
      </c>
      <c r="S1353" s="44" t="s">
        <v>28</v>
      </c>
      <c r="T1353" s="68" t="s">
        <v>29493</v>
      </c>
      <c r="U1353" s="68" t="s">
        <v>29436</v>
      </c>
      <c r="V1353" s="68" t="s">
        <v>29439</v>
      </c>
      <c r="W1353" s="68" t="s">
        <v>100</v>
      </c>
      <c r="X1353" s="68">
        <v>1543</v>
      </c>
      <c r="Y1353" s="44"/>
      <c r="Z1353" s="44"/>
      <c r="AA1353" s="44"/>
      <c r="AB1353" s="44"/>
      <c r="AC1353" s="44"/>
      <c r="AD1353" s="44"/>
      <c r="AE1353" s="44"/>
      <c r="AF1353" s="44"/>
      <c r="AG1353" s="44"/>
      <c r="AH1353" s="44"/>
      <c r="AI1353" s="44"/>
      <c r="AJ1353" s="44"/>
      <c r="AK1353" s="44"/>
      <c r="AL1353" s="44"/>
      <c r="AM1353" s="44"/>
      <c r="AN1353" s="44"/>
      <c r="AO1353" s="44"/>
      <c r="AP1353" s="44"/>
      <c r="AQ1353" s="44"/>
      <c r="AR1353" s="44"/>
      <c r="AS1353" s="44"/>
      <c r="AT1353" s="44"/>
      <c r="AW1353" s="1"/>
      <c r="AX1353" s="1"/>
      <c r="AY1353" s="1"/>
      <c r="BA1353" s="44"/>
      <c r="BC1353" s="1"/>
      <c r="BD1353" s="1"/>
      <c r="BE1353" s="1"/>
      <c r="BF1353" s="1"/>
      <c r="BG1353" s="1"/>
      <c r="BH1353" s="1"/>
      <c r="BI1353" s="1"/>
      <c r="BJ1353" s="1"/>
      <c r="BK1353" s="44"/>
    </row>
    <row r="1354" spans="1:63" s="11" customFormat="1" ht="12" customHeight="1" x14ac:dyDescent="0.15">
      <c r="A1354" s="44" t="s">
        <v>23851</v>
      </c>
      <c r="B1354" s="44">
        <v>45</v>
      </c>
      <c r="C1354" s="44" t="s">
        <v>20</v>
      </c>
      <c r="D1354" s="44" t="s">
        <v>37</v>
      </c>
      <c r="E1354" s="44" t="s">
        <v>23852</v>
      </c>
      <c r="F1354" s="72">
        <v>42507</v>
      </c>
      <c r="G1354" s="44" t="s">
        <v>24394</v>
      </c>
      <c r="H1354" s="44" t="s">
        <v>208</v>
      </c>
      <c r="I1354" s="44" t="s">
        <v>209</v>
      </c>
      <c r="J1354" s="44">
        <v>80817</v>
      </c>
      <c r="K1354" s="44" t="s">
        <v>857</v>
      </c>
      <c r="L1354" s="44" t="s">
        <v>210</v>
      </c>
      <c r="M1354" s="44" t="s">
        <v>2291</v>
      </c>
      <c r="N1354" s="44" t="s">
        <v>23853</v>
      </c>
      <c r="O1354" s="44" t="s">
        <v>400</v>
      </c>
      <c r="P1354" s="44" t="s">
        <v>401</v>
      </c>
      <c r="Q1354" s="44" t="s">
        <v>23854</v>
      </c>
      <c r="R1354" s="44" t="s">
        <v>29</v>
      </c>
      <c r="S1354" s="44" t="s">
        <v>28</v>
      </c>
      <c r="T1354" s="44"/>
      <c r="U1354" s="44"/>
      <c r="V1354" s="44"/>
      <c r="W1354" s="44"/>
      <c r="X1354" s="44"/>
      <c r="Y1354" s="44"/>
      <c r="Z1354" s="44"/>
      <c r="AA1354" s="44"/>
      <c r="AB1354" s="44"/>
      <c r="AC1354" s="44"/>
      <c r="AD1354" s="44"/>
      <c r="AE1354" s="44"/>
      <c r="AF1354" s="44"/>
      <c r="AG1354" s="44"/>
      <c r="AH1354" s="44"/>
      <c r="AI1354" s="44"/>
      <c r="AJ1354" s="44"/>
      <c r="AK1354" s="44"/>
      <c r="AL1354" s="44"/>
      <c r="AM1354" s="44"/>
      <c r="AN1354" s="44"/>
      <c r="AO1354" s="44"/>
      <c r="AP1354" s="44"/>
      <c r="AQ1354" s="44"/>
      <c r="AR1354" s="44"/>
      <c r="AS1354" s="44"/>
      <c r="AT1354" s="44"/>
      <c r="AU1354" s="1"/>
      <c r="AV1354" s="1"/>
      <c r="AW1354" s="1"/>
      <c r="AX1354" s="1"/>
      <c r="AY1354" s="1"/>
      <c r="AZ1354" s="1"/>
      <c r="BA1354" s="1"/>
      <c r="BB1354" s="1"/>
      <c r="BC1354" s="1"/>
      <c r="BD1354" s="1"/>
      <c r="BE1354" s="1"/>
      <c r="BF1354" s="1"/>
      <c r="BG1354" s="1"/>
      <c r="BH1354" s="1"/>
      <c r="BI1354" s="1"/>
      <c r="BJ1354" s="1"/>
      <c r="BK1354" s="1"/>
    </row>
    <row r="1355" spans="1:63" s="11" customFormat="1" ht="12" customHeight="1" x14ac:dyDescent="0.15">
      <c r="A1355" s="44" t="s">
        <v>23846</v>
      </c>
      <c r="B1355" s="68">
        <v>36</v>
      </c>
      <c r="C1355" s="44" t="s">
        <v>20</v>
      </c>
      <c r="D1355" s="44" t="s">
        <v>37</v>
      </c>
      <c r="E1355" s="44"/>
      <c r="F1355" s="69">
        <v>42507</v>
      </c>
      <c r="G1355" s="44" t="s">
        <v>23847</v>
      </c>
      <c r="H1355" s="44" t="s">
        <v>4397</v>
      </c>
      <c r="I1355" s="44" t="s">
        <v>45</v>
      </c>
      <c r="J1355" s="44">
        <v>96064</v>
      </c>
      <c r="K1355" s="44" t="s">
        <v>956</v>
      </c>
      <c r="L1355" s="44" t="s">
        <v>23848</v>
      </c>
      <c r="M1355" s="44" t="s">
        <v>27</v>
      </c>
      <c r="N1355" s="44" t="s">
        <v>23849</v>
      </c>
      <c r="O1355" s="44" t="s">
        <v>400</v>
      </c>
      <c r="P1355" s="44" t="s">
        <v>401</v>
      </c>
      <c r="Q1355" s="44" t="s">
        <v>23850</v>
      </c>
      <c r="R1355" s="68" t="s">
        <v>555</v>
      </c>
      <c r="S1355" s="1" t="s">
        <v>28</v>
      </c>
      <c r="T1355" s="68" t="s">
        <v>29500</v>
      </c>
      <c r="U1355" s="68" t="s">
        <v>29436</v>
      </c>
      <c r="V1355" s="68" t="s">
        <v>29439</v>
      </c>
      <c r="W1355" s="68" t="s">
        <v>100</v>
      </c>
      <c r="X1355" s="68">
        <v>1544</v>
      </c>
      <c r="Y1355" s="44"/>
      <c r="Z1355" s="44"/>
      <c r="AA1355" s="44"/>
      <c r="AB1355" s="44"/>
      <c r="AC1355" s="44"/>
      <c r="AD1355" s="44"/>
      <c r="AE1355" s="44"/>
      <c r="AF1355" s="44"/>
      <c r="AG1355" s="44"/>
      <c r="AH1355" s="44"/>
      <c r="AI1355" s="44"/>
      <c r="AJ1355" s="44"/>
      <c r="AK1355" s="44"/>
      <c r="AL1355" s="44"/>
      <c r="AM1355" s="44"/>
      <c r="AN1355" s="44"/>
      <c r="AO1355" s="44"/>
      <c r="AP1355" s="44"/>
      <c r="AQ1355" s="44"/>
      <c r="AR1355" s="44"/>
      <c r="AS1355" s="44"/>
      <c r="AT1355" s="44"/>
      <c r="AW1355" s="44"/>
      <c r="AX1355" s="1"/>
      <c r="AY1355" s="1"/>
      <c r="BA1355" s="44"/>
      <c r="BC1355" s="1"/>
      <c r="BD1355" s="1"/>
      <c r="BE1355" s="1"/>
      <c r="BF1355" s="1"/>
      <c r="BG1355" s="1"/>
      <c r="BH1355" s="1"/>
      <c r="BI1355" s="1"/>
      <c r="BJ1355" s="1"/>
      <c r="BK1355" s="44"/>
    </row>
    <row r="1356" spans="1:63" s="11" customFormat="1" ht="12" customHeight="1" x14ac:dyDescent="0.15">
      <c r="A1356" s="44" t="s">
        <v>23841</v>
      </c>
      <c r="B1356" s="68">
        <v>23</v>
      </c>
      <c r="C1356" s="44" t="s">
        <v>20</v>
      </c>
      <c r="D1356" s="44" t="s">
        <v>85</v>
      </c>
      <c r="E1356" s="44" t="s">
        <v>23842</v>
      </c>
      <c r="F1356" s="69">
        <v>42506</v>
      </c>
      <c r="G1356" s="44" t="s">
        <v>23843</v>
      </c>
      <c r="H1356" s="44" t="s">
        <v>23180</v>
      </c>
      <c r="I1356" s="44" t="s">
        <v>173</v>
      </c>
      <c r="J1356" s="44">
        <v>30296</v>
      </c>
      <c r="K1356" s="44" t="s">
        <v>1790</v>
      </c>
      <c r="L1356" s="44" t="s">
        <v>13467</v>
      </c>
      <c r="M1356" s="44" t="s">
        <v>27</v>
      </c>
      <c r="N1356" s="44" t="s">
        <v>23844</v>
      </c>
      <c r="O1356" s="44" t="s">
        <v>400</v>
      </c>
      <c r="P1356" s="44" t="s">
        <v>401</v>
      </c>
      <c r="Q1356" s="44" t="s">
        <v>23845</v>
      </c>
      <c r="R1356" s="44" t="s">
        <v>100</v>
      </c>
      <c r="S1356" s="44" t="s">
        <v>28</v>
      </c>
      <c r="T1356" s="68" t="s">
        <v>27756</v>
      </c>
      <c r="U1356" s="68" t="s">
        <v>29438</v>
      </c>
      <c r="V1356" s="68" t="s">
        <v>29440</v>
      </c>
      <c r="W1356" s="68" t="s">
        <v>100</v>
      </c>
      <c r="X1356" s="68">
        <v>1542</v>
      </c>
      <c r="Y1356" s="44"/>
      <c r="Z1356" s="44"/>
      <c r="AA1356" s="44"/>
      <c r="AB1356" s="44"/>
      <c r="AC1356" s="44"/>
      <c r="AD1356" s="44"/>
      <c r="AE1356" s="44"/>
      <c r="AF1356" s="44"/>
      <c r="AG1356" s="44"/>
      <c r="AH1356" s="44"/>
      <c r="AI1356" s="44"/>
      <c r="AJ1356" s="44"/>
      <c r="AK1356" s="44"/>
      <c r="AL1356" s="44"/>
      <c r="AM1356" s="44"/>
      <c r="AN1356" s="44"/>
      <c r="AO1356" s="44"/>
      <c r="AP1356" s="44"/>
      <c r="AQ1356" s="44"/>
      <c r="AR1356" s="44"/>
      <c r="AS1356" s="44"/>
      <c r="AT1356" s="44"/>
      <c r="AW1356" s="44"/>
      <c r="AX1356" s="44"/>
      <c r="AY1356" s="44"/>
      <c r="BK1356" s="44"/>
    </row>
    <row r="1357" spans="1:63" s="11" customFormat="1" ht="12" customHeight="1" x14ac:dyDescent="0.15">
      <c r="A1357" s="44" t="s">
        <v>23834</v>
      </c>
      <c r="B1357" s="44">
        <v>48</v>
      </c>
      <c r="C1357" s="44" t="s">
        <v>20</v>
      </c>
      <c r="D1357" s="44" t="s">
        <v>37</v>
      </c>
      <c r="E1357" s="44" t="s">
        <v>23835</v>
      </c>
      <c r="F1357" s="72">
        <v>42506</v>
      </c>
      <c r="G1357" s="44" t="s">
        <v>23836</v>
      </c>
      <c r="H1357" s="44" t="s">
        <v>23837</v>
      </c>
      <c r="I1357" s="44" t="s">
        <v>46</v>
      </c>
      <c r="J1357" s="44">
        <v>2724</v>
      </c>
      <c r="K1357" s="44" t="s">
        <v>6567</v>
      </c>
      <c r="L1357" s="44" t="s">
        <v>23838</v>
      </c>
      <c r="M1357" s="44" t="s">
        <v>391</v>
      </c>
      <c r="N1357" s="44" t="s">
        <v>23839</v>
      </c>
      <c r="O1357" s="44" t="s">
        <v>400</v>
      </c>
      <c r="P1357" s="44" t="s">
        <v>401</v>
      </c>
      <c r="Q1357" s="44" t="s">
        <v>23840</v>
      </c>
      <c r="R1357" s="44" t="s">
        <v>100</v>
      </c>
      <c r="S1357" s="44" t="s">
        <v>18</v>
      </c>
      <c r="T1357" s="44"/>
      <c r="U1357" s="44"/>
      <c r="V1357" s="44"/>
      <c r="W1357" s="44"/>
      <c r="X1357" s="44"/>
      <c r="Y1357" s="44"/>
      <c r="Z1357" s="44"/>
      <c r="AA1357" s="44"/>
      <c r="AB1357" s="44"/>
      <c r="AC1357" s="44"/>
      <c r="AD1357" s="44"/>
      <c r="AE1357" s="44"/>
      <c r="AF1357" s="44"/>
      <c r="AG1357" s="44"/>
      <c r="AH1357" s="44"/>
      <c r="AI1357" s="44"/>
      <c r="AJ1357" s="44"/>
      <c r="AK1357" s="44"/>
      <c r="AL1357" s="44"/>
      <c r="AM1357" s="44"/>
      <c r="AN1357" s="44"/>
      <c r="AO1357" s="44"/>
      <c r="AP1357" s="44"/>
      <c r="AQ1357" s="44"/>
      <c r="AR1357" s="44"/>
      <c r="AS1357" s="44"/>
      <c r="AT1357" s="44"/>
      <c r="AU1357" s="1"/>
      <c r="AV1357" s="1"/>
      <c r="AW1357" s="1"/>
      <c r="AX1357" s="1"/>
      <c r="AY1357" s="1"/>
      <c r="AZ1357" s="1"/>
      <c r="BA1357" s="1"/>
      <c r="BB1357" s="1"/>
      <c r="BC1357" s="1"/>
      <c r="BD1357" s="1"/>
      <c r="BE1357" s="1"/>
      <c r="BF1357" s="1"/>
      <c r="BG1357" s="1"/>
      <c r="BH1357" s="1"/>
      <c r="BI1357" s="1"/>
      <c r="BJ1357" s="1"/>
      <c r="BK1357" s="1"/>
    </row>
    <row r="1358" spans="1:63" s="11" customFormat="1" ht="12" customHeight="1" x14ac:dyDescent="0.2">
      <c r="A1358" s="66" t="s">
        <v>30642</v>
      </c>
      <c r="B1358" s="66">
        <v>30</v>
      </c>
      <c r="C1358" s="66" t="s">
        <v>114</v>
      </c>
      <c r="D1358" s="66" t="s">
        <v>37</v>
      </c>
      <c r="E1358" s="66" t="s">
        <v>30643</v>
      </c>
      <c r="F1358" s="69">
        <v>42506</v>
      </c>
      <c r="G1358" s="66" t="s">
        <v>30644</v>
      </c>
      <c r="H1358" s="66" t="s">
        <v>26446</v>
      </c>
      <c r="I1358" s="66" t="s">
        <v>978</v>
      </c>
      <c r="J1358" s="66">
        <v>71901</v>
      </c>
      <c r="K1358" s="66" t="s">
        <v>2514</v>
      </c>
      <c r="L1358" s="66" t="s">
        <v>30645</v>
      </c>
      <c r="M1358" s="66" t="s">
        <v>379</v>
      </c>
      <c r="N1358" s="66" t="s">
        <v>30646</v>
      </c>
      <c r="O1358" s="66" t="s">
        <v>1010</v>
      </c>
      <c r="P1358" s="66" t="s">
        <v>30375</v>
      </c>
      <c r="Q1358" s="76" t="s">
        <v>30647</v>
      </c>
      <c r="R1358" s="66" t="s">
        <v>100</v>
      </c>
      <c r="S1358" s="66" t="s">
        <v>379</v>
      </c>
      <c r="T1358" s="66" t="s">
        <v>30738</v>
      </c>
      <c r="U1358" s="1"/>
      <c r="V1358" s="77"/>
      <c r="W1358" s="77"/>
      <c r="X1358" s="77"/>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78"/>
      <c r="AW1358" s="78"/>
      <c r="AX1358" s="78"/>
      <c r="AY1358" s="78"/>
      <c r="AZ1358" s="78"/>
      <c r="BA1358" s="78"/>
      <c r="BB1358" s="78"/>
      <c r="BC1358" s="78"/>
      <c r="BD1358" s="78"/>
      <c r="BE1358" s="78"/>
      <c r="BF1358" s="78"/>
      <c r="BG1358" s="78"/>
      <c r="BH1358" s="78"/>
      <c r="BI1358" s="78"/>
      <c r="BJ1358" s="78"/>
      <c r="BK1358" s="1"/>
    </row>
    <row r="1359" spans="1:63" s="11" customFormat="1" ht="12" customHeight="1" x14ac:dyDescent="0.2">
      <c r="A1359" s="66" t="s">
        <v>30648</v>
      </c>
      <c r="B1359" s="66">
        <v>32</v>
      </c>
      <c r="C1359" s="66" t="s">
        <v>114</v>
      </c>
      <c r="D1359" s="66" t="s">
        <v>37</v>
      </c>
      <c r="E1359" s="66" t="s">
        <v>30649</v>
      </c>
      <c r="F1359" s="69">
        <v>42506</v>
      </c>
      <c r="G1359" s="66" t="s">
        <v>30644</v>
      </c>
      <c r="H1359" s="66" t="s">
        <v>26446</v>
      </c>
      <c r="I1359" s="66" t="s">
        <v>978</v>
      </c>
      <c r="J1359" s="66">
        <v>71901</v>
      </c>
      <c r="K1359" s="66" t="s">
        <v>2514</v>
      </c>
      <c r="L1359" s="66" t="s">
        <v>30645</v>
      </c>
      <c r="M1359" s="66" t="s">
        <v>379</v>
      </c>
      <c r="N1359" s="66" t="s">
        <v>30650</v>
      </c>
      <c r="O1359" s="66" t="s">
        <v>1010</v>
      </c>
      <c r="P1359" s="66" t="s">
        <v>30375</v>
      </c>
      <c r="Q1359" s="76" t="s">
        <v>30647</v>
      </c>
      <c r="R1359" s="66" t="s">
        <v>100</v>
      </c>
      <c r="S1359" s="66" t="s">
        <v>379</v>
      </c>
      <c r="T1359" s="66" t="s">
        <v>30738</v>
      </c>
      <c r="U1359" s="1"/>
      <c r="V1359" s="77"/>
      <c r="W1359" s="77"/>
      <c r="X1359" s="77"/>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78"/>
      <c r="AW1359" s="78"/>
      <c r="AX1359" s="78"/>
      <c r="AY1359" s="78"/>
      <c r="AZ1359" s="78"/>
      <c r="BA1359" s="78"/>
      <c r="BB1359" s="78"/>
      <c r="BC1359" s="78"/>
      <c r="BD1359" s="78"/>
      <c r="BE1359" s="78"/>
      <c r="BF1359" s="78"/>
      <c r="BG1359" s="78"/>
      <c r="BH1359" s="78"/>
      <c r="BI1359" s="78"/>
      <c r="BJ1359" s="78"/>
      <c r="BK1359" s="1"/>
    </row>
    <row r="1360" spans="1:63" s="11" customFormat="1" ht="12" customHeight="1" x14ac:dyDescent="0.15">
      <c r="A1360" s="44" t="s">
        <v>23827</v>
      </c>
      <c r="B1360" s="68">
        <v>35</v>
      </c>
      <c r="C1360" s="44" t="s">
        <v>20</v>
      </c>
      <c r="D1360" s="44" t="s">
        <v>37</v>
      </c>
      <c r="E1360" s="44" t="s">
        <v>23828</v>
      </c>
      <c r="F1360" s="69">
        <v>42505</v>
      </c>
      <c r="G1360" s="44" t="s">
        <v>23829</v>
      </c>
      <c r="H1360" s="44" t="s">
        <v>23830</v>
      </c>
      <c r="I1360" s="44" t="s">
        <v>44</v>
      </c>
      <c r="J1360" s="44">
        <v>62938</v>
      </c>
      <c r="K1360" s="44" t="s">
        <v>6482</v>
      </c>
      <c r="L1360" s="44" t="s">
        <v>23831</v>
      </c>
      <c r="M1360" s="44" t="s">
        <v>27</v>
      </c>
      <c r="N1360" s="44" t="s">
        <v>23832</v>
      </c>
      <c r="O1360" s="44" t="s">
        <v>400</v>
      </c>
      <c r="P1360" s="44" t="s">
        <v>401</v>
      </c>
      <c r="Q1360" s="44" t="s">
        <v>23833</v>
      </c>
      <c r="R1360" s="44" t="s">
        <v>100</v>
      </c>
      <c r="S1360" s="44" t="s">
        <v>28</v>
      </c>
      <c r="T1360" s="68" t="s">
        <v>27756</v>
      </c>
      <c r="U1360" s="68" t="s">
        <v>29438</v>
      </c>
      <c r="V1360" s="68" t="s">
        <v>29440</v>
      </c>
      <c r="W1360" s="68" t="s">
        <v>100</v>
      </c>
      <c r="X1360" s="68">
        <v>1541</v>
      </c>
      <c r="Y1360" s="44"/>
      <c r="Z1360" s="44"/>
      <c r="AA1360" s="44"/>
      <c r="AB1360" s="44"/>
      <c r="AC1360" s="44"/>
      <c r="AD1360" s="44"/>
      <c r="AE1360" s="44"/>
      <c r="AF1360" s="44"/>
      <c r="AG1360" s="44"/>
      <c r="AH1360" s="44"/>
      <c r="AI1360" s="44"/>
      <c r="AJ1360" s="44"/>
      <c r="AK1360" s="44"/>
      <c r="AL1360" s="44"/>
      <c r="AM1360" s="44"/>
      <c r="AN1360" s="44"/>
      <c r="AO1360" s="44"/>
      <c r="AP1360" s="44"/>
      <c r="AQ1360" s="44"/>
      <c r="AR1360" s="44"/>
      <c r="AS1360" s="44"/>
      <c r="AT1360" s="44"/>
      <c r="AX1360" s="1"/>
      <c r="AY1360" s="1"/>
      <c r="BC1360" s="1"/>
      <c r="BD1360" s="1"/>
      <c r="BE1360" s="1"/>
      <c r="BF1360" s="1"/>
      <c r="BG1360" s="1"/>
      <c r="BH1360" s="1"/>
      <c r="BI1360" s="1"/>
      <c r="BJ1360" s="1"/>
      <c r="BK1360" s="44"/>
    </row>
    <row r="1361" spans="1:63" s="11" customFormat="1" ht="12" customHeight="1" x14ac:dyDescent="0.15">
      <c r="A1361" s="44" t="s">
        <v>23808</v>
      </c>
      <c r="B1361" s="68">
        <v>43</v>
      </c>
      <c r="C1361" s="44" t="s">
        <v>20</v>
      </c>
      <c r="D1361" s="44" t="s">
        <v>139</v>
      </c>
      <c r="E1361" s="44" t="s">
        <v>23809</v>
      </c>
      <c r="F1361" s="69">
        <v>42504</v>
      </c>
      <c r="G1361" s="44" t="s">
        <v>23810</v>
      </c>
      <c r="H1361" s="44" t="s">
        <v>632</v>
      </c>
      <c r="I1361" s="44" t="s">
        <v>123</v>
      </c>
      <c r="J1361" s="44">
        <v>85009</v>
      </c>
      <c r="K1361" s="44" t="s">
        <v>633</v>
      </c>
      <c r="L1361" s="44" t="s">
        <v>634</v>
      </c>
      <c r="M1361" s="44" t="s">
        <v>27</v>
      </c>
      <c r="N1361" s="44" t="s">
        <v>23811</v>
      </c>
      <c r="O1361" s="44" t="s">
        <v>400</v>
      </c>
      <c r="P1361" s="44" t="s">
        <v>401</v>
      </c>
      <c r="Q1361" s="44" t="s">
        <v>23812</v>
      </c>
      <c r="R1361" s="44" t="s">
        <v>100</v>
      </c>
      <c r="S1361" s="44" t="s">
        <v>28</v>
      </c>
      <c r="T1361" s="68" t="s">
        <v>27756</v>
      </c>
      <c r="U1361" s="68" t="s">
        <v>29438</v>
      </c>
      <c r="V1361" s="68" t="s">
        <v>29439</v>
      </c>
      <c r="W1361" s="68" t="s">
        <v>555</v>
      </c>
      <c r="X1361" s="68">
        <v>1537</v>
      </c>
      <c r="Y1361" s="44"/>
      <c r="Z1361" s="44"/>
      <c r="AA1361" s="44"/>
      <c r="AB1361" s="44"/>
      <c r="AC1361" s="44"/>
      <c r="AD1361" s="44"/>
      <c r="AE1361" s="44"/>
      <c r="AF1361" s="44"/>
      <c r="AG1361" s="44"/>
      <c r="AH1361" s="44"/>
      <c r="AI1361" s="44"/>
      <c r="AJ1361" s="44"/>
      <c r="AK1361" s="44"/>
      <c r="AL1361" s="44"/>
      <c r="AM1361" s="44"/>
      <c r="AN1361" s="44"/>
      <c r="AO1361" s="44"/>
      <c r="AP1361" s="44"/>
      <c r="AQ1361" s="44"/>
      <c r="AR1361" s="44"/>
      <c r="AS1361" s="44"/>
      <c r="AT1361" s="44"/>
      <c r="AW1361" s="1"/>
      <c r="AX1361" s="1"/>
      <c r="AY1361" s="1"/>
      <c r="BC1361" s="1"/>
      <c r="BD1361" s="1"/>
      <c r="BE1361" s="1"/>
      <c r="BF1361" s="1"/>
      <c r="BG1361" s="1"/>
      <c r="BH1361" s="1"/>
      <c r="BI1361" s="1"/>
      <c r="BJ1361" s="1"/>
      <c r="BK1361" s="44"/>
    </row>
    <row r="1362" spans="1:63" s="11" customFormat="1" ht="12" customHeight="1" x14ac:dyDescent="0.15">
      <c r="A1362" s="44" t="s">
        <v>23813</v>
      </c>
      <c r="B1362" s="68">
        <v>59</v>
      </c>
      <c r="C1362" s="44" t="s">
        <v>20</v>
      </c>
      <c r="D1362" s="44" t="s">
        <v>37</v>
      </c>
      <c r="E1362" s="44"/>
      <c r="F1362" s="69">
        <v>42504</v>
      </c>
      <c r="G1362" s="44" t="s">
        <v>24396</v>
      </c>
      <c r="H1362" s="44" t="s">
        <v>23814</v>
      </c>
      <c r="I1362" s="44" t="s">
        <v>62</v>
      </c>
      <c r="J1362" s="44">
        <v>32764</v>
      </c>
      <c r="K1362" s="44" t="s">
        <v>3891</v>
      </c>
      <c r="L1362" s="44" t="s">
        <v>261</v>
      </c>
      <c r="M1362" s="44" t="s">
        <v>27</v>
      </c>
      <c r="N1362" s="44" t="s">
        <v>23815</v>
      </c>
      <c r="O1362" s="44" t="s">
        <v>400</v>
      </c>
      <c r="P1362" s="44" t="s">
        <v>401</v>
      </c>
      <c r="Q1362" s="44" t="s">
        <v>23816</v>
      </c>
      <c r="R1362" s="44" t="s">
        <v>100</v>
      </c>
      <c r="S1362" s="44" t="s">
        <v>28</v>
      </c>
      <c r="T1362" s="68" t="s">
        <v>27756</v>
      </c>
      <c r="U1362" s="68" t="s">
        <v>29438</v>
      </c>
      <c r="V1362" s="68" t="s">
        <v>29439</v>
      </c>
      <c r="W1362" s="68" t="s">
        <v>100</v>
      </c>
      <c r="X1362" s="68">
        <v>1538</v>
      </c>
      <c r="Y1362" s="44"/>
      <c r="Z1362" s="44"/>
      <c r="AA1362" s="44"/>
      <c r="AB1362" s="44"/>
      <c r="AC1362" s="44"/>
      <c r="AD1362" s="44"/>
      <c r="AE1362" s="44"/>
      <c r="AF1362" s="44"/>
      <c r="AG1362" s="44"/>
      <c r="AH1362" s="44"/>
      <c r="AI1362" s="44"/>
      <c r="AJ1362" s="44"/>
      <c r="AK1362" s="44"/>
      <c r="AL1362" s="44"/>
      <c r="AM1362" s="44"/>
      <c r="AN1362" s="44"/>
      <c r="AO1362" s="44"/>
      <c r="AP1362" s="44"/>
      <c r="AQ1362" s="44"/>
      <c r="AR1362" s="44"/>
      <c r="AS1362" s="44"/>
      <c r="AT1362" s="44"/>
      <c r="AW1362" s="1"/>
      <c r="AX1362" s="1"/>
      <c r="AY1362" s="1"/>
      <c r="BC1362" s="1"/>
      <c r="BD1362" s="1"/>
      <c r="BE1362" s="1"/>
      <c r="BF1362" s="1"/>
      <c r="BG1362" s="1"/>
      <c r="BH1362" s="1"/>
      <c r="BI1362" s="1"/>
      <c r="BJ1362" s="1"/>
      <c r="BK1362" s="44"/>
    </row>
    <row r="1363" spans="1:63" s="11" customFormat="1" ht="12" customHeight="1" x14ac:dyDescent="0.2">
      <c r="A1363" s="44" t="s">
        <v>23817</v>
      </c>
      <c r="B1363" s="68">
        <v>19</v>
      </c>
      <c r="C1363" s="44" t="s">
        <v>20</v>
      </c>
      <c r="D1363" s="44" t="s">
        <v>37</v>
      </c>
      <c r="E1363" s="44" t="s">
        <v>23818</v>
      </c>
      <c r="F1363" s="69">
        <v>42504</v>
      </c>
      <c r="G1363" s="44" t="s">
        <v>23819</v>
      </c>
      <c r="H1363" s="44" t="s">
        <v>651</v>
      </c>
      <c r="I1363" s="44" t="s">
        <v>62</v>
      </c>
      <c r="J1363" s="44">
        <v>32202</v>
      </c>
      <c r="K1363" s="44" t="s">
        <v>652</v>
      </c>
      <c r="L1363" s="11" t="s">
        <v>653</v>
      </c>
      <c r="M1363" s="44" t="s">
        <v>27</v>
      </c>
      <c r="N1363" s="44" t="s">
        <v>23820</v>
      </c>
      <c r="O1363" s="44" t="s">
        <v>400</v>
      </c>
      <c r="P1363" s="44" t="s">
        <v>401</v>
      </c>
      <c r="Q1363" s="44" t="s">
        <v>23821</v>
      </c>
      <c r="R1363" s="68" t="s">
        <v>555</v>
      </c>
      <c r="S1363" s="44" t="s">
        <v>28</v>
      </c>
      <c r="T1363" s="68" t="s">
        <v>29493</v>
      </c>
      <c r="U1363" s="68" t="s">
        <v>29436</v>
      </c>
      <c r="V1363" s="68" t="s">
        <v>29439</v>
      </c>
      <c r="W1363" s="68" t="s">
        <v>100</v>
      </c>
      <c r="X1363" s="68">
        <v>1536</v>
      </c>
      <c r="Y1363" s="44"/>
      <c r="Z1363" s="44"/>
      <c r="AA1363" s="44"/>
      <c r="AB1363" s="44"/>
      <c r="AC1363" s="44"/>
      <c r="AD1363" s="44"/>
      <c r="AE1363" s="44"/>
      <c r="AF1363" s="44"/>
      <c r="AG1363" s="44"/>
      <c r="AH1363" s="44"/>
      <c r="AI1363" s="44"/>
      <c r="AJ1363" s="44"/>
      <c r="AK1363" s="44"/>
      <c r="AL1363" s="44"/>
      <c r="AM1363" s="44"/>
      <c r="AN1363" s="44"/>
      <c r="AO1363" s="44"/>
      <c r="AP1363" s="44"/>
      <c r="AQ1363" s="44"/>
      <c r="AR1363" s="44"/>
      <c r="AS1363" s="44"/>
      <c r="AT1363" s="44"/>
      <c r="AW1363" s="70"/>
      <c r="AX1363" s="1"/>
      <c r="AY1363" s="1"/>
      <c r="BA1363" s="44"/>
      <c r="BC1363" s="1"/>
      <c r="BD1363" s="1"/>
      <c r="BE1363" s="1"/>
      <c r="BF1363" s="1"/>
      <c r="BG1363" s="1"/>
      <c r="BH1363" s="1"/>
      <c r="BI1363" s="1"/>
      <c r="BJ1363" s="1"/>
      <c r="BK1363" s="44"/>
    </row>
    <row r="1364" spans="1:63" s="11" customFormat="1" ht="12" customHeight="1" x14ac:dyDescent="0.2">
      <c r="A1364" s="44" t="s">
        <v>23822</v>
      </c>
      <c r="B1364" s="68">
        <v>34</v>
      </c>
      <c r="C1364" s="44" t="s">
        <v>20</v>
      </c>
      <c r="D1364" s="44" t="s">
        <v>37</v>
      </c>
      <c r="E1364" s="44" t="s">
        <v>23823</v>
      </c>
      <c r="F1364" s="69">
        <v>42504</v>
      </c>
      <c r="G1364" s="44" t="s">
        <v>24395</v>
      </c>
      <c r="H1364" s="44" t="s">
        <v>23824</v>
      </c>
      <c r="I1364" s="44" t="s">
        <v>173</v>
      </c>
      <c r="J1364" s="1">
        <v>30281</v>
      </c>
      <c r="K1364" s="1" t="s">
        <v>8389</v>
      </c>
      <c r="L1364" s="1" t="s">
        <v>8390</v>
      </c>
      <c r="M1364" s="68" t="s">
        <v>5411</v>
      </c>
      <c r="N1364" s="44" t="s">
        <v>23825</v>
      </c>
      <c r="O1364" s="44" t="s">
        <v>400</v>
      </c>
      <c r="P1364" s="44" t="s">
        <v>401</v>
      </c>
      <c r="Q1364" s="44" t="s">
        <v>23826</v>
      </c>
      <c r="R1364" s="44" t="s">
        <v>555</v>
      </c>
      <c r="S1364" s="2" t="s">
        <v>28</v>
      </c>
      <c r="T1364" s="68" t="s">
        <v>27756</v>
      </c>
      <c r="U1364" s="68" t="s">
        <v>29436</v>
      </c>
      <c r="V1364" s="68" t="s">
        <v>29439</v>
      </c>
      <c r="W1364" s="68" t="s">
        <v>100</v>
      </c>
      <c r="X1364" s="68">
        <v>1540</v>
      </c>
      <c r="Y1364" s="44"/>
      <c r="Z1364" s="44"/>
      <c r="AA1364" s="44"/>
      <c r="AB1364" s="44"/>
      <c r="AC1364" s="44"/>
      <c r="AD1364" s="44"/>
      <c r="AE1364" s="44"/>
      <c r="AF1364" s="44"/>
      <c r="AG1364" s="44"/>
      <c r="AH1364" s="44"/>
      <c r="AI1364" s="44"/>
      <c r="AJ1364" s="44"/>
      <c r="AK1364" s="44"/>
      <c r="AL1364" s="44"/>
      <c r="AM1364" s="44"/>
      <c r="AN1364" s="44"/>
      <c r="AO1364" s="44"/>
      <c r="AP1364" s="44"/>
      <c r="AQ1364" s="44"/>
      <c r="AR1364" s="44"/>
      <c r="AS1364" s="44"/>
      <c r="AT1364" s="44"/>
      <c r="AX1364" s="1"/>
      <c r="AY1364" s="1"/>
      <c r="BB1364" s="70"/>
      <c r="BC1364" s="1"/>
      <c r="BD1364" s="1"/>
      <c r="BE1364" s="1"/>
      <c r="BF1364" s="1"/>
      <c r="BG1364" s="1"/>
      <c r="BH1364" s="1"/>
      <c r="BI1364" s="1"/>
      <c r="BJ1364" s="1"/>
      <c r="BK1364" s="1"/>
    </row>
    <row r="1365" spans="1:63" s="11" customFormat="1" ht="12" customHeight="1" x14ac:dyDescent="0.15">
      <c r="A1365" s="44" t="s">
        <v>23803</v>
      </c>
      <c r="B1365" s="44">
        <v>37</v>
      </c>
      <c r="C1365" s="44" t="s">
        <v>20</v>
      </c>
      <c r="D1365" s="44" t="s">
        <v>37</v>
      </c>
      <c r="E1365" s="44" t="s">
        <v>23804</v>
      </c>
      <c r="F1365" s="72">
        <v>42503</v>
      </c>
      <c r="G1365" s="44" t="s">
        <v>23805</v>
      </c>
      <c r="H1365" s="44" t="s">
        <v>670</v>
      </c>
      <c r="I1365" s="44" t="s">
        <v>81</v>
      </c>
      <c r="J1365" s="44">
        <v>7083</v>
      </c>
      <c r="K1365" s="44" t="s">
        <v>670</v>
      </c>
      <c r="L1365" s="44" t="s">
        <v>529</v>
      </c>
      <c r="M1365" s="44" t="s">
        <v>27</v>
      </c>
      <c r="N1365" s="44" t="s">
        <v>23806</v>
      </c>
      <c r="O1365" s="44" t="s">
        <v>400</v>
      </c>
      <c r="P1365" s="44" t="s">
        <v>401</v>
      </c>
      <c r="Q1365" s="44" t="s">
        <v>23807</v>
      </c>
      <c r="R1365" s="11" t="s">
        <v>964</v>
      </c>
      <c r="S1365" s="44" t="s">
        <v>35</v>
      </c>
      <c r="T1365" s="68"/>
      <c r="U1365" s="68"/>
      <c r="V1365" s="68"/>
      <c r="W1365" s="68"/>
      <c r="X1365" s="68"/>
      <c r="Y1365" s="44"/>
      <c r="Z1365" s="44"/>
      <c r="AA1365" s="44"/>
      <c r="AB1365" s="44"/>
      <c r="AC1365" s="44"/>
      <c r="AD1365" s="44"/>
      <c r="AE1365" s="44"/>
      <c r="AF1365" s="44"/>
      <c r="AG1365" s="44"/>
      <c r="AH1365" s="44"/>
      <c r="AI1365" s="44"/>
      <c r="AJ1365" s="44"/>
      <c r="AK1365" s="44"/>
      <c r="AL1365" s="44"/>
      <c r="AM1365" s="44"/>
      <c r="AN1365" s="44"/>
      <c r="AO1365" s="44"/>
      <c r="AP1365" s="44"/>
      <c r="AQ1365" s="44"/>
      <c r="AR1365" s="44"/>
      <c r="AS1365" s="44"/>
      <c r="AT1365" s="44"/>
      <c r="AW1365" s="1"/>
      <c r="AX1365" s="1"/>
      <c r="AY1365" s="1"/>
      <c r="AZ1365" s="1"/>
      <c r="BA1365" s="1"/>
      <c r="BB1365" s="1"/>
      <c r="BC1365" s="1"/>
      <c r="BD1365" s="1"/>
      <c r="BE1365" s="1"/>
      <c r="BF1365" s="1"/>
      <c r="BG1365" s="1"/>
      <c r="BH1365" s="1"/>
      <c r="BI1365" s="1"/>
      <c r="BJ1365" s="1"/>
      <c r="BK1365" s="1"/>
    </row>
    <row r="1366" spans="1:63" s="11" customFormat="1" ht="12" customHeight="1" x14ac:dyDescent="0.15">
      <c r="A1366" s="44" t="s">
        <v>23795</v>
      </c>
      <c r="B1366" s="68">
        <v>28</v>
      </c>
      <c r="C1366" s="44" t="s">
        <v>20</v>
      </c>
      <c r="D1366" s="44" t="s">
        <v>48</v>
      </c>
      <c r="E1366" s="44"/>
      <c r="F1366" s="69">
        <v>42503</v>
      </c>
      <c r="G1366" s="44" t="s">
        <v>24397</v>
      </c>
      <c r="H1366" s="44" t="s">
        <v>98</v>
      </c>
      <c r="I1366" s="44" t="s">
        <v>45</v>
      </c>
      <c r="J1366" s="44">
        <v>90023</v>
      </c>
      <c r="K1366" s="44" t="s">
        <v>98</v>
      </c>
      <c r="L1366" s="44" t="s">
        <v>99</v>
      </c>
      <c r="M1366" s="44" t="s">
        <v>27</v>
      </c>
      <c r="N1366" s="44" t="s">
        <v>23796</v>
      </c>
      <c r="O1366" s="44" t="s">
        <v>400</v>
      </c>
      <c r="P1366" s="44" t="s">
        <v>401</v>
      </c>
      <c r="Q1366" s="44" t="s">
        <v>23797</v>
      </c>
      <c r="R1366" s="44" t="s">
        <v>100</v>
      </c>
      <c r="S1366" s="44" t="s">
        <v>28</v>
      </c>
      <c r="T1366" s="68" t="s">
        <v>27756</v>
      </c>
      <c r="U1366" s="68" t="s">
        <v>29438</v>
      </c>
      <c r="V1366" s="68" t="s">
        <v>29439</v>
      </c>
      <c r="W1366" s="68" t="s">
        <v>555</v>
      </c>
      <c r="X1366" s="68">
        <v>1539</v>
      </c>
      <c r="Y1366" s="44"/>
      <c r="Z1366" s="44"/>
      <c r="AA1366" s="44"/>
      <c r="AB1366" s="44"/>
      <c r="AC1366" s="44"/>
      <c r="AD1366" s="44"/>
      <c r="AE1366" s="44"/>
      <c r="AF1366" s="44"/>
      <c r="AG1366" s="44"/>
      <c r="AH1366" s="44"/>
      <c r="AI1366" s="44"/>
      <c r="AJ1366" s="44"/>
      <c r="AK1366" s="44"/>
      <c r="AL1366" s="44"/>
      <c r="AM1366" s="44"/>
      <c r="AN1366" s="44"/>
      <c r="AO1366" s="44"/>
      <c r="AP1366" s="44"/>
      <c r="AQ1366" s="44"/>
      <c r="AR1366" s="44"/>
      <c r="AS1366" s="44"/>
      <c r="AT1366" s="44"/>
      <c r="AW1366" s="44"/>
      <c r="AX1366" s="1"/>
      <c r="AY1366" s="1"/>
      <c r="BC1366" s="1"/>
      <c r="BD1366" s="1"/>
      <c r="BE1366" s="1"/>
      <c r="BF1366" s="1"/>
      <c r="BG1366" s="1"/>
      <c r="BH1366" s="1"/>
      <c r="BI1366" s="1"/>
      <c r="BJ1366" s="1"/>
      <c r="BK1366" s="44"/>
    </row>
    <row r="1367" spans="1:63" s="11" customFormat="1" ht="12" customHeight="1" x14ac:dyDescent="0.15">
      <c r="A1367" s="44" t="s">
        <v>23801</v>
      </c>
      <c r="B1367" s="44">
        <v>27</v>
      </c>
      <c r="C1367" s="44" t="s">
        <v>114</v>
      </c>
      <c r="D1367" s="44" t="s">
        <v>48</v>
      </c>
      <c r="E1367" s="44" t="s">
        <v>23802</v>
      </c>
      <c r="F1367" s="72">
        <v>42503</v>
      </c>
      <c r="G1367" s="44" t="s">
        <v>23798</v>
      </c>
      <c r="H1367" s="44" t="s">
        <v>1255</v>
      </c>
      <c r="I1367" s="44" t="s">
        <v>62</v>
      </c>
      <c r="J1367" s="44">
        <v>34753</v>
      </c>
      <c r="K1367" s="44" t="s">
        <v>1256</v>
      </c>
      <c r="L1367" s="11" t="s">
        <v>1257</v>
      </c>
      <c r="M1367" s="44" t="s">
        <v>379</v>
      </c>
      <c r="N1367" s="44" t="s">
        <v>23799</v>
      </c>
      <c r="O1367" s="44" t="s">
        <v>400</v>
      </c>
      <c r="P1367" s="44" t="s">
        <v>401</v>
      </c>
      <c r="Q1367" s="44" t="s">
        <v>23800</v>
      </c>
      <c r="R1367" s="44" t="s">
        <v>100</v>
      </c>
      <c r="S1367" s="44" t="s">
        <v>28</v>
      </c>
      <c r="T1367" s="44"/>
      <c r="U1367" s="44"/>
      <c r="V1367" s="44"/>
      <c r="W1367" s="44"/>
      <c r="X1367" s="44"/>
      <c r="Y1367" s="44"/>
      <c r="Z1367" s="44"/>
      <c r="AA1367" s="44"/>
      <c r="AB1367" s="44"/>
      <c r="AC1367" s="44"/>
      <c r="AD1367" s="44"/>
      <c r="AE1367" s="44"/>
      <c r="AF1367" s="44"/>
      <c r="AG1367" s="44"/>
      <c r="AH1367" s="44"/>
      <c r="AI1367" s="44"/>
      <c r="AJ1367" s="44"/>
      <c r="AK1367" s="44"/>
      <c r="AL1367" s="44"/>
      <c r="AM1367" s="44"/>
      <c r="AN1367" s="44"/>
      <c r="AO1367" s="44"/>
      <c r="AP1367" s="44"/>
      <c r="AQ1367" s="44"/>
      <c r="AR1367" s="44"/>
      <c r="AS1367" s="44"/>
      <c r="AT1367" s="44"/>
      <c r="AU1367" s="44"/>
      <c r="AV1367" s="44"/>
      <c r="AW1367" s="44"/>
      <c r="AX1367" s="1"/>
      <c r="AY1367" s="1"/>
      <c r="AZ1367" s="1"/>
      <c r="BA1367" s="1"/>
      <c r="BB1367" s="1"/>
      <c r="BC1367" s="1"/>
      <c r="BD1367" s="1"/>
      <c r="BE1367" s="1"/>
      <c r="BF1367" s="1"/>
      <c r="BG1367" s="1"/>
      <c r="BH1367" s="1"/>
      <c r="BI1367" s="1"/>
      <c r="BJ1367" s="1"/>
      <c r="BK1367" s="1"/>
    </row>
    <row r="1368" spans="1:63" s="11" customFormat="1" ht="12" customHeight="1" x14ac:dyDescent="0.15">
      <c r="A1368" s="44" t="s">
        <v>23791</v>
      </c>
      <c r="B1368" s="44">
        <v>51</v>
      </c>
      <c r="C1368" s="44" t="s">
        <v>20</v>
      </c>
      <c r="D1368" s="44" t="s">
        <v>85</v>
      </c>
      <c r="E1368" s="44" t="s">
        <v>23792</v>
      </c>
      <c r="F1368" s="72">
        <v>42502</v>
      </c>
      <c r="G1368" s="44" t="s">
        <v>24398</v>
      </c>
      <c r="H1368" s="44" t="s">
        <v>4144</v>
      </c>
      <c r="I1368" s="44" t="s">
        <v>94</v>
      </c>
      <c r="J1368" s="44">
        <v>35206</v>
      </c>
      <c r="K1368" s="44" t="s">
        <v>1778</v>
      </c>
      <c r="L1368" s="44" t="s">
        <v>4169</v>
      </c>
      <c r="M1368" s="44" t="s">
        <v>379</v>
      </c>
      <c r="N1368" s="44" t="s">
        <v>23793</v>
      </c>
      <c r="O1368" s="44" t="s">
        <v>400</v>
      </c>
      <c r="P1368" s="44" t="s">
        <v>401</v>
      </c>
      <c r="Q1368" s="44" t="s">
        <v>23794</v>
      </c>
      <c r="R1368" s="44" t="s">
        <v>100</v>
      </c>
      <c r="S1368" s="44" t="s">
        <v>28</v>
      </c>
      <c r="T1368" s="44"/>
      <c r="U1368" s="44"/>
      <c r="V1368" s="44"/>
      <c r="W1368" s="44"/>
      <c r="X1368" s="44"/>
      <c r="Y1368" s="44"/>
      <c r="Z1368" s="44"/>
      <c r="AA1368" s="44"/>
      <c r="AB1368" s="44"/>
      <c r="AC1368" s="44"/>
      <c r="AD1368" s="44"/>
      <c r="AE1368" s="44"/>
      <c r="AF1368" s="44"/>
      <c r="AG1368" s="44"/>
      <c r="AH1368" s="44"/>
      <c r="AI1368" s="44"/>
      <c r="AJ1368" s="44"/>
      <c r="AK1368" s="44"/>
      <c r="AL1368" s="44"/>
      <c r="AM1368" s="44"/>
      <c r="AN1368" s="44"/>
      <c r="AO1368" s="44"/>
      <c r="AP1368" s="44"/>
      <c r="AQ1368" s="44"/>
      <c r="AR1368" s="44"/>
      <c r="AS1368" s="44"/>
      <c r="AT1368" s="44"/>
      <c r="AU1368" s="44"/>
      <c r="AV1368" s="44"/>
      <c r="AW1368" s="44"/>
      <c r="AX1368" s="44"/>
      <c r="AY1368" s="44"/>
      <c r="AZ1368" s="1"/>
      <c r="BA1368" s="1"/>
      <c r="BB1368" s="1"/>
      <c r="BK1368" s="1"/>
    </row>
    <row r="1369" spans="1:63" s="11" customFormat="1" ht="12" customHeight="1" x14ac:dyDescent="0.15">
      <c r="A1369" s="44" t="s">
        <v>23779</v>
      </c>
      <c r="B1369" s="68">
        <v>24</v>
      </c>
      <c r="C1369" s="44" t="s">
        <v>20</v>
      </c>
      <c r="D1369" s="44" t="s">
        <v>85</v>
      </c>
      <c r="E1369" s="44" t="s">
        <v>23780</v>
      </c>
      <c r="F1369" s="69">
        <v>42501</v>
      </c>
      <c r="G1369" s="44" t="s">
        <v>23646</v>
      </c>
      <c r="H1369" s="44" t="s">
        <v>5113</v>
      </c>
      <c r="I1369" s="44" t="s">
        <v>209</v>
      </c>
      <c r="J1369" s="44">
        <v>80620</v>
      </c>
      <c r="K1369" s="44" t="s">
        <v>1705</v>
      </c>
      <c r="L1369" s="44" t="s">
        <v>1706</v>
      </c>
      <c r="M1369" s="44" t="s">
        <v>27</v>
      </c>
      <c r="N1369" s="44" t="s">
        <v>23781</v>
      </c>
      <c r="O1369" s="44" t="s">
        <v>400</v>
      </c>
      <c r="P1369" s="44" t="s">
        <v>401</v>
      </c>
      <c r="Q1369" s="44" t="s">
        <v>23782</v>
      </c>
      <c r="R1369" s="44" t="s">
        <v>100</v>
      </c>
      <c r="S1369" s="44" t="s">
        <v>28</v>
      </c>
      <c r="T1369" s="68" t="s">
        <v>27756</v>
      </c>
      <c r="U1369" s="68" t="s">
        <v>29438</v>
      </c>
      <c r="V1369" s="68" t="s">
        <v>29437</v>
      </c>
      <c r="W1369" s="68" t="s">
        <v>100</v>
      </c>
      <c r="X1369" s="68">
        <v>1534</v>
      </c>
      <c r="Y1369" s="44"/>
      <c r="Z1369" s="44"/>
      <c r="AA1369" s="44"/>
      <c r="AB1369" s="44"/>
      <c r="AC1369" s="44"/>
      <c r="AD1369" s="44"/>
      <c r="AE1369" s="44"/>
      <c r="AF1369" s="44"/>
      <c r="AG1369" s="44"/>
      <c r="AH1369" s="44"/>
      <c r="AI1369" s="44"/>
      <c r="AJ1369" s="44"/>
      <c r="AK1369" s="44"/>
      <c r="AL1369" s="44"/>
      <c r="AM1369" s="44"/>
      <c r="AN1369" s="44"/>
      <c r="AO1369" s="44"/>
      <c r="AP1369" s="44"/>
      <c r="AQ1369" s="44"/>
      <c r="AR1369" s="44"/>
      <c r="AS1369" s="44"/>
      <c r="AT1369" s="44"/>
      <c r="AX1369" s="44"/>
      <c r="AY1369" s="44"/>
      <c r="BK1369" s="44"/>
    </row>
    <row r="1370" spans="1:63" s="11" customFormat="1" ht="12" customHeight="1" x14ac:dyDescent="0.15">
      <c r="A1370" s="44" t="s">
        <v>23785</v>
      </c>
      <c r="B1370" s="44">
        <v>38</v>
      </c>
      <c r="C1370" s="44" t="s">
        <v>20</v>
      </c>
      <c r="D1370" s="44" t="s">
        <v>85</v>
      </c>
      <c r="E1370" s="44"/>
      <c r="F1370" s="72">
        <v>42501</v>
      </c>
      <c r="G1370" s="44" t="s">
        <v>23786</v>
      </c>
      <c r="H1370" s="44" t="s">
        <v>1438</v>
      </c>
      <c r="I1370" s="44" t="s">
        <v>438</v>
      </c>
      <c r="J1370" s="44">
        <v>53024</v>
      </c>
      <c r="K1370" s="44" t="s">
        <v>23787</v>
      </c>
      <c r="L1370" s="44" t="s">
        <v>23788</v>
      </c>
      <c r="M1370" s="44" t="s">
        <v>27</v>
      </c>
      <c r="N1370" s="44" t="s">
        <v>23789</v>
      </c>
      <c r="O1370" s="44" t="s">
        <v>400</v>
      </c>
      <c r="P1370" s="44" t="s">
        <v>401</v>
      </c>
      <c r="Q1370" s="44" t="s">
        <v>23790</v>
      </c>
      <c r="R1370" s="44" t="s">
        <v>100</v>
      </c>
      <c r="S1370" s="44" t="s">
        <v>28</v>
      </c>
      <c r="T1370" s="68"/>
      <c r="U1370" s="68"/>
      <c r="V1370" s="68"/>
      <c r="W1370" s="68"/>
      <c r="X1370" s="68"/>
      <c r="Y1370" s="44"/>
      <c r="Z1370" s="44"/>
      <c r="AA1370" s="44"/>
      <c r="AB1370" s="44"/>
      <c r="AC1370" s="44"/>
      <c r="AD1370" s="44"/>
      <c r="AE1370" s="44"/>
      <c r="AF1370" s="44"/>
      <c r="AG1370" s="44"/>
      <c r="AH1370" s="44"/>
      <c r="AI1370" s="44"/>
      <c r="AJ1370" s="44"/>
      <c r="AK1370" s="44"/>
      <c r="AL1370" s="44"/>
      <c r="AM1370" s="44"/>
      <c r="AN1370" s="44"/>
      <c r="AO1370" s="44"/>
      <c r="AP1370" s="44"/>
      <c r="AQ1370" s="44"/>
      <c r="AR1370" s="44"/>
      <c r="AS1370" s="44"/>
      <c r="AT1370" s="44"/>
      <c r="AW1370" s="1"/>
      <c r="AX1370" s="44"/>
      <c r="AY1370" s="44"/>
      <c r="AZ1370" s="1"/>
      <c r="BA1370" s="1"/>
      <c r="BB1370" s="1"/>
      <c r="BK1370" s="44"/>
    </row>
    <row r="1371" spans="1:63" s="11" customFormat="1" ht="12" customHeight="1" x14ac:dyDescent="0.15">
      <c r="A1371" s="44" t="s">
        <v>23653</v>
      </c>
      <c r="B1371" s="68">
        <v>35</v>
      </c>
      <c r="C1371" s="44" t="s">
        <v>20</v>
      </c>
      <c r="D1371" s="44" t="s">
        <v>37</v>
      </c>
      <c r="E1371" s="44"/>
      <c r="F1371" s="69">
        <v>42501</v>
      </c>
      <c r="G1371" s="44" t="s">
        <v>24400</v>
      </c>
      <c r="H1371" s="44" t="s">
        <v>3823</v>
      </c>
      <c r="I1371" s="44" t="s">
        <v>209</v>
      </c>
      <c r="J1371" s="44">
        <v>80015</v>
      </c>
      <c r="K1371" s="44" t="s">
        <v>3825</v>
      </c>
      <c r="L1371" s="44" t="s">
        <v>3826</v>
      </c>
      <c r="M1371" s="44" t="s">
        <v>27</v>
      </c>
      <c r="N1371" s="44" t="s">
        <v>23777</v>
      </c>
      <c r="O1371" s="44" t="s">
        <v>400</v>
      </c>
      <c r="P1371" s="44" t="s">
        <v>401</v>
      </c>
      <c r="Q1371" s="44" t="s">
        <v>23778</v>
      </c>
      <c r="R1371" s="44" t="s">
        <v>100</v>
      </c>
      <c r="S1371" s="44" t="s">
        <v>28</v>
      </c>
      <c r="T1371" s="68" t="s">
        <v>27756</v>
      </c>
      <c r="U1371" s="68" t="s">
        <v>29438</v>
      </c>
      <c r="V1371" s="68" t="s">
        <v>29437</v>
      </c>
      <c r="W1371" s="68" t="s">
        <v>100</v>
      </c>
      <c r="X1371" s="68">
        <v>1530</v>
      </c>
      <c r="Y1371" s="44"/>
      <c r="Z1371" s="44"/>
      <c r="AA1371" s="44"/>
      <c r="AB1371" s="44"/>
      <c r="AC1371" s="44"/>
      <c r="AD1371" s="44"/>
      <c r="AE1371" s="44"/>
      <c r="AF1371" s="44"/>
      <c r="AG1371" s="44"/>
      <c r="AH1371" s="44"/>
      <c r="AI1371" s="44"/>
      <c r="AJ1371" s="44"/>
      <c r="AK1371" s="44"/>
      <c r="AL1371" s="44"/>
      <c r="AM1371" s="44"/>
      <c r="AN1371" s="44"/>
      <c r="AO1371" s="44"/>
      <c r="AP1371" s="44"/>
      <c r="AQ1371" s="44"/>
      <c r="AR1371" s="44"/>
      <c r="AS1371" s="44"/>
      <c r="AT1371" s="44"/>
      <c r="AX1371" s="1"/>
      <c r="AY1371" s="1"/>
      <c r="BC1371" s="1"/>
      <c r="BD1371" s="1"/>
      <c r="BE1371" s="1"/>
      <c r="BF1371" s="1"/>
      <c r="BG1371" s="1"/>
      <c r="BH1371" s="1"/>
      <c r="BI1371" s="1"/>
      <c r="BJ1371" s="1"/>
      <c r="BK1371" s="44"/>
    </row>
    <row r="1372" spans="1:63" s="11" customFormat="1" ht="12" customHeight="1" x14ac:dyDescent="0.2">
      <c r="A1372" s="44" t="s">
        <v>23647</v>
      </c>
      <c r="B1372" s="68">
        <v>33</v>
      </c>
      <c r="C1372" s="44" t="s">
        <v>20</v>
      </c>
      <c r="D1372" s="44" t="s">
        <v>21</v>
      </c>
      <c r="E1372" s="44" t="s">
        <v>23774</v>
      </c>
      <c r="F1372" s="69">
        <v>42501</v>
      </c>
      <c r="G1372" s="44" t="s">
        <v>24399</v>
      </c>
      <c r="H1372" s="44" t="s">
        <v>156</v>
      </c>
      <c r="I1372" s="44" t="s">
        <v>45</v>
      </c>
      <c r="J1372" s="44">
        <v>92114</v>
      </c>
      <c r="K1372" s="44" t="s">
        <v>156</v>
      </c>
      <c r="L1372" s="44" t="s">
        <v>157</v>
      </c>
      <c r="M1372" s="44" t="s">
        <v>27</v>
      </c>
      <c r="N1372" s="44" t="s">
        <v>23775</v>
      </c>
      <c r="O1372" s="44" t="s">
        <v>400</v>
      </c>
      <c r="P1372" s="44" t="s">
        <v>401</v>
      </c>
      <c r="Q1372" s="44" t="s">
        <v>23776</v>
      </c>
      <c r="R1372" s="44" t="s">
        <v>100</v>
      </c>
      <c r="S1372" s="44" t="s">
        <v>379</v>
      </c>
      <c r="T1372" s="68" t="s">
        <v>379</v>
      </c>
      <c r="U1372" s="68" t="s">
        <v>29436</v>
      </c>
      <c r="V1372" s="68" t="s">
        <v>29437</v>
      </c>
      <c r="W1372" s="68" t="s">
        <v>555</v>
      </c>
      <c r="X1372" s="68">
        <v>1533</v>
      </c>
      <c r="Y1372" s="44"/>
      <c r="Z1372" s="44"/>
      <c r="AA1372" s="44"/>
      <c r="AB1372" s="44"/>
      <c r="AC1372" s="44"/>
      <c r="AD1372" s="44"/>
      <c r="AE1372" s="44"/>
      <c r="AF1372" s="44"/>
      <c r="AG1372" s="44"/>
      <c r="AH1372" s="44"/>
      <c r="AI1372" s="44"/>
      <c r="AJ1372" s="44"/>
      <c r="AK1372" s="44"/>
      <c r="AL1372" s="44"/>
      <c r="AM1372" s="44"/>
      <c r="AN1372" s="44"/>
      <c r="AO1372" s="44"/>
      <c r="AP1372" s="44"/>
      <c r="AQ1372" s="44"/>
      <c r="AR1372" s="44"/>
      <c r="AS1372" s="44"/>
      <c r="AT1372" s="44"/>
      <c r="AX1372" s="70"/>
      <c r="AY1372" s="70"/>
      <c r="BC1372" s="70"/>
      <c r="BD1372" s="70"/>
      <c r="BE1372" s="70"/>
      <c r="BF1372" s="70"/>
      <c r="BG1372" s="70"/>
      <c r="BH1372" s="70"/>
      <c r="BI1372" s="70"/>
      <c r="BJ1372" s="70"/>
      <c r="BK1372" s="44"/>
    </row>
    <row r="1373" spans="1:63" s="11" customFormat="1" ht="12" customHeight="1" x14ac:dyDescent="0.15">
      <c r="A1373" s="44" t="s">
        <v>23648</v>
      </c>
      <c r="B1373" s="44">
        <v>69</v>
      </c>
      <c r="C1373" s="44" t="s">
        <v>20</v>
      </c>
      <c r="D1373" s="44" t="s">
        <v>37</v>
      </c>
      <c r="E1373" s="44"/>
      <c r="F1373" s="69">
        <v>42501</v>
      </c>
      <c r="G1373" s="44"/>
      <c r="H1373" s="44" t="s">
        <v>23649</v>
      </c>
      <c r="I1373" s="44" t="s">
        <v>395</v>
      </c>
      <c r="J1373" s="44">
        <v>74820</v>
      </c>
      <c r="K1373" s="44" t="s">
        <v>23652</v>
      </c>
      <c r="L1373" s="44" t="s">
        <v>23650</v>
      </c>
      <c r="M1373" s="44" t="s">
        <v>27</v>
      </c>
      <c r="N1373" s="44" t="s">
        <v>23783</v>
      </c>
      <c r="O1373" s="44" t="s">
        <v>400</v>
      </c>
      <c r="P1373" s="44" t="s">
        <v>401</v>
      </c>
      <c r="Q1373" s="44" t="s">
        <v>23784</v>
      </c>
      <c r="R1373" s="44" t="s">
        <v>555</v>
      </c>
      <c r="S1373" s="44" t="s">
        <v>28</v>
      </c>
      <c r="T1373" s="68" t="s">
        <v>27756</v>
      </c>
      <c r="U1373" s="68" t="s">
        <v>29438</v>
      </c>
      <c r="V1373" s="68" t="s">
        <v>29437</v>
      </c>
      <c r="W1373" s="68" t="s">
        <v>100</v>
      </c>
      <c r="X1373" s="68">
        <v>1535</v>
      </c>
      <c r="Y1373" s="44"/>
      <c r="Z1373" s="44"/>
      <c r="AA1373" s="44"/>
      <c r="AB1373" s="44"/>
      <c r="AC1373" s="44"/>
      <c r="AD1373" s="44"/>
      <c r="AE1373" s="44"/>
      <c r="AF1373" s="44"/>
      <c r="AG1373" s="44"/>
      <c r="AH1373" s="44"/>
      <c r="AI1373" s="44"/>
      <c r="AJ1373" s="44"/>
      <c r="AK1373" s="44"/>
      <c r="AL1373" s="44"/>
      <c r="AM1373" s="44"/>
      <c r="AN1373" s="44"/>
      <c r="AO1373" s="44"/>
      <c r="AP1373" s="44"/>
      <c r="AQ1373" s="44"/>
      <c r="AR1373" s="44"/>
      <c r="AS1373" s="44"/>
      <c r="AT1373" s="44"/>
      <c r="AW1373" s="1"/>
      <c r="AX1373" s="1"/>
      <c r="AY1373" s="1"/>
      <c r="BC1373" s="1"/>
      <c r="BD1373" s="1"/>
      <c r="BE1373" s="1"/>
      <c r="BF1373" s="1"/>
      <c r="BG1373" s="1"/>
      <c r="BH1373" s="1"/>
      <c r="BI1373" s="1"/>
      <c r="BJ1373" s="1"/>
      <c r="BK1373" s="44"/>
    </row>
    <row r="1374" spans="1:63" s="11" customFormat="1" ht="12" customHeight="1" x14ac:dyDescent="0.2">
      <c r="A1374" s="44" t="s">
        <v>23642</v>
      </c>
      <c r="B1374" s="68">
        <v>28</v>
      </c>
      <c r="C1374" s="44" t="s">
        <v>20</v>
      </c>
      <c r="D1374" s="44" t="s">
        <v>85</v>
      </c>
      <c r="E1374" s="44" t="s">
        <v>23766</v>
      </c>
      <c r="F1374" s="69">
        <v>42500</v>
      </c>
      <c r="G1374" s="44" t="s">
        <v>23643</v>
      </c>
      <c r="H1374" s="44" t="s">
        <v>23644</v>
      </c>
      <c r="I1374" s="44" t="s">
        <v>46</v>
      </c>
      <c r="J1374" s="44">
        <v>2780</v>
      </c>
      <c r="K1374" s="44" t="s">
        <v>6567</v>
      </c>
      <c r="L1374" s="44" t="s">
        <v>23645</v>
      </c>
      <c r="M1374" s="44" t="s">
        <v>27</v>
      </c>
      <c r="N1374" s="44" t="s">
        <v>23767</v>
      </c>
      <c r="O1374" s="44" t="s">
        <v>400</v>
      </c>
      <c r="P1374" s="44" t="s">
        <v>401</v>
      </c>
      <c r="Q1374" s="44" t="s">
        <v>23768</v>
      </c>
      <c r="R1374" s="68" t="s">
        <v>555</v>
      </c>
      <c r="S1374" s="44" t="s">
        <v>28</v>
      </c>
      <c r="T1374" s="68" t="s">
        <v>29493</v>
      </c>
      <c r="U1374" s="68" t="s">
        <v>29438</v>
      </c>
      <c r="V1374" s="68" t="s">
        <v>29439</v>
      </c>
      <c r="W1374" s="68" t="s">
        <v>100</v>
      </c>
      <c r="X1374" s="68">
        <v>1532</v>
      </c>
      <c r="Y1374" s="44"/>
      <c r="Z1374" s="44"/>
      <c r="AA1374" s="44"/>
      <c r="AB1374" s="44"/>
      <c r="AC1374" s="44"/>
      <c r="AD1374" s="44"/>
      <c r="AE1374" s="44"/>
      <c r="AF1374" s="44"/>
      <c r="AG1374" s="44"/>
      <c r="AH1374" s="44"/>
      <c r="AI1374" s="44"/>
      <c r="AJ1374" s="44"/>
      <c r="AK1374" s="44"/>
      <c r="AL1374" s="44"/>
      <c r="AM1374" s="44"/>
      <c r="AN1374" s="44"/>
      <c r="AO1374" s="44"/>
      <c r="AP1374" s="44"/>
      <c r="AQ1374" s="44"/>
      <c r="AR1374" s="44"/>
      <c r="AS1374" s="44"/>
      <c r="AT1374" s="44"/>
      <c r="AW1374" s="44"/>
      <c r="BA1374" s="70"/>
      <c r="BB1374" s="44"/>
      <c r="BK1374" s="44"/>
    </row>
    <row r="1375" spans="1:63" s="11" customFormat="1" ht="12" customHeight="1" x14ac:dyDescent="0.15">
      <c r="A1375" s="44" t="s">
        <v>23769</v>
      </c>
      <c r="B1375" s="44">
        <v>35</v>
      </c>
      <c r="C1375" s="44" t="s">
        <v>114</v>
      </c>
      <c r="D1375" s="44" t="s">
        <v>37</v>
      </c>
      <c r="E1375" s="44"/>
      <c r="F1375" s="72">
        <v>42500</v>
      </c>
      <c r="G1375" s="44" t="s">
        <v>23770</v>
      </c>
      <c r="H1375" s="44" t="s">
        <v>23771</v>
      </c>
      <c r="I1375" s="44" t="s">
        <v>73</v>
      </c>
      <c r="J1375" s="44">
        <v>76140</v>
      </c>
      <c r="K1375" s="44" t="s">
        <v>74</v>
      </c>
      <c r="L1375" s="44" t="s">
        <v>1996</v>
      </c>
      <c r="M1375" s="44" t="s">
        <v>391</v>
      </c>
      <c r="N1375" s="44" t="s">
        <v>23772</v>
      </c>
      <c r="O1375" s="44" t="s">
        <v>400</v>
      </c>
      <c r="P1375" s="44" t="s">
        <v>401</v>
      </c>
      <c r="Q1375" s="44" t="s">
        <v>23773</v>
      </c>
      <c r="R1375" s="44" t="s">
        <v>555</v>
      </c>
      <c r="S1375" s="44" t="s">
        <v>28</v>
      </c>
      <c r="T1375" s="44"/>
      <c r="U1375" s="44"/>
      <c r="V1375" s="44"/>
      <c r="W1375" s="44"/>
      <c r="X1375" s="44"/>
      <c r="Y1375" s="44"/>
      <c r="Z1375" s="44"/>
      <c r="AA1375" s="44"/>
      <c r="AB1375" s="44"/>
      <c r="AC1375" s="44"/>
      <c r="AD1375" s="44"/>
      <c r="AE1375" s="44"/>
      <c r="AF1375" s="44"/>
      <c r="AG1375" s="44"/>
      <c r="AH1375" s="44"/>
      <c r="AI1375" s="44"/>
      <c r="AJ1375" s="44"/>
      <c r="AK1375" s="44"/>
      <c r="AL1375" s="44"/>
      <c r="AM1375" s="44"/>
      <c r="AN1375" s="44"/>
      <c r="AO1375" s="44"/>
      <c r="AP1375" s="44"/>
      <c r="AQ1375" s="44"/>
      <c r="AR1375" s="44"/>
      <c r="AS1375" s="44"/>
      <c r="AT1375" s="44"/>
      <c r="AU1375" s="1"/>
      <c r="AV1375" s="1"/>
      <c r="AW1375" s="1"/>
      <c r="AX1375" s="1"/>
      <c r="AY1375" s="1"/>
      <c r="AZ1375" s="1"/>
      <c r="BA1375" s="1"/>
      <c r="BB1375" s="1"/>
      <c r="BC1375" s="1"/>
      <c r="BD1375" s="1"/>
      <c r="BE1375" s="1"/>
      <c r="BF1375" s="1"/>
      <c r="BG1375" s="1"/>
      <c r="BH1375" s="1"/>
      <c r="BI1375" s="1"/>
      <c r="BJ1375" s="1"/>
      <c r="BK1375" s="1"/>
    </row>
    <row r="1376" spans="1:63" s="11" customFormat="1" ht="12" customHeight="1" x14ac:dyDescent="0.15">
      <c r="A1376" s="44" t="s">
        <v>23635</v>
      </c>
      <c r="B1376" s="68">
        <v>23</v>
      </c>
      <c r="C1376" s="44" t="s">
        <v>20</v>
      </c>
      <c r="D1376" s="44" t="s">
        <v>37</v>
      </c>
      <c r="E1376" s="44" t="s">
        <v>23750</v>
      </c>
      <c r="F1376" s="69">
        <v>42499</v>
      </c>
      <c r="G1376" s="44" t="s">
        <v>23636</v>
      </c>
      <c r="H1376" s="44" t="s">
        <v>22313</v>
      </c>
      <c r="I1376" s="44" t="s">
        <v>669</v>
      </c>
      <c r="J1376" s="44">
        <v>39532</v>
      </c>
      <c r="K1376" s="44" t="s">
        <v>4015</v>
      </c>
      <c r="L1376" s="44" t="s">
        <v>9272</v>
      </c>
      <c r="M1376" s="44" t="s">
        <v>27</v>
      </c>
      <c r="N1376" s="44" t="s">
        <v>23751</v>
      </c>
      <c r="O1376" s="44" t="s">
        <v>400</v>
      </c>
      <c r="P1376" s="44" t="s">
        <v>401</v>
      </c>
      <c r="Q1376" s="44" t="s">
        <v>23752</v>
      </c>
      <c r="R1376" s="11" t="s">
        <v>964</v>
      </c>
      <c r="S1376" s="44" t="s">
        <v>18</v>
      </c>
      <c r="T1376" s="68" t="s">
        <v>28345</v>
      </c>
      <c r="U1376" s="68" t="s">
        <v>29438</v>
      </c>
      <c r="V1376" s="68" t="s">
        <v>29439</v>
      </c>
      <c r="W1376" s="68" t="s">
        <v>100</v>
      </c>
      <c r="X1376" s="68">
        <v>1524</v>
      </c>
      <c r="Y1376" s="44"/>
      <c r="Z1376" s="44"/>
      <c r="AA1376" s="44"/>
      <c r="AB1376" s="44"/>
      <c r="AC1376" s="44"/>
      <c r="AD1376" s="44"/>
      <c r="AE1376" s="44"/>
      <c r="AF1376" s="44"/>
      <c r="AG1376" s="44"/>
      <c r="AH1376" s="44"/>
      <c r="AI1376" s="44"/>
      <c r="AJ1376" s="44"/>
      <c r="AK1376" s="44"/>
      <c r="AL1376" s="44"/>
      <c r="AM1376" s="44"/>
      <c r="AN1376" s="44"/>
      <c r="AO1376" s="44"/>
      <c r="AP1376" s="44"/>
      <c r="AQ1376" s="44"/>
      <c r="AR1376" s="44"/>
      <c r="AS1376" s="44"/>
      <c r="AT1376" s="44"/>
      <c r="AW1376" s="44"/>
      <c r="AX1376" s="1"/>
      <c r="AY1376" s="1"/>
      <c r="BA1376" s="44"/>
      <c r="BB1376" s="44"/>
      <c r="BC1376" s="1"/>
      <c r="BD1376" s="1"/>
      <c r="BE1376" s="1"/>
      <c r="BF1376" s="1"/>
      <c r="BG1376" s="1"/>
      <c r="BH1376" s="1"/>
      <c r="BI1376" s="1"/>
      <c r="BJ1376" s="1"/>
      <c r="BK1376" s="1"/>
    </row>
    <row r="1377" spans="1:63" s="11" customFormat="1" ht="12" customHeight="1" x14ac:dyDescent="0.15">
      <c r="A1377" s="44" t="s">
        <v>23735</v>
      </c>
      <c r="B1377" s="68">
        <v>59</v>
      </c>
      <c r="C1377" s="44" t="s">
        <v>20</v>
      </c>
      <c r="D1377" s="44" t="s">
        <v>30</v>
      </c>
      <c r="E1377" s="44"/>
      <c r="F1377" s="69">
        <v>42499</v>
      </c>
      <c r="G1377" s="44" t="s">
        <v>23736</v>
      </c>
      <c r="H1377" s="44" t="s">
        <v>23737</v>
      </c>
      <c r="I1377" s="44" t="s">
        <v>62</v>
      </c>
      <c r="J1377" s="44">
        <v>32134</v>
      </c>
      <c r="K1377" s="44" t="s">
        <v>420</v>
      </c>
      <c r="L1377" s="44" t="s">
        <v>23738</v>
      </c>
      <c r="M1377" s="44" t="s">
        <v>27</v>
      </c>
      <c r="N1377" s="44" t="s">
        <v>23739</v>
      </c>
      <c r="O1377" s="44" t="s">
        <v>400</v>
      </c>
      <c r="P1377" s="44" t="s">
        <v>401</v>
      </c>
      <c r="Q1377" s="44" t="s">
        <v>23740</v>
      </c>
      <c r="R1377" s="44" t="s">
        <v>100</v>
      </c>
      <c r="S1377" s="44" t="s">
        <v>28</v>
      </c>
      <c r="T1377" s="68" t="s">
        <v>27756</v>
      </c>
      <c r="U1377" s="68" t="s">
        <v>29438</v>
      </c>
      <c r="V1377" s="68" t="s">
        <v>29439</v>
      </c>
      <c r="W1377" s="68" t="s">
        <v>100</v>
      </c>
      <c r="X1377" s="68">
        <v>1528</v>
      </c>
      <c r="Y1377" s="44"/>
      <c r="Z1377" s="44"/>
      <c r="AA1377" s="44"/>
      <c r="AB1377" s="44"/>
      <c r="AC1377" s="44"/>
      <c r="AD1377" s="44"/>
      <c r="AE1377" s="44"/>
      <c r="AF1377" s="44"/>
      <c r="AG1377" s="44"/>
      <c r="AH1377" s="44"/>
      <c r="AI1377" s="44"/>
      <c r="AJ1377" s="44"/>
      <c r="AK1377" s="44"/>
      <c r="AL1377" s="44"/>
      <c r="AM1377" s="44"/>
      <c r="AN1377" s="44"/>
      <c r="AO1377" s="44"/>
      <c r="AP1377" s="44"/>
      <c r="AQ1377" s="44"/>
      <c r="AR1377" s="44"/>
      <c r="AS1377" s="44"/>
      <c r="AT1377" s="44"/>
      <c r="AW1377" s="1"/>
      <c r="AX1377" s="1"/>
      <c r="AY1377" s="1"/>
      <c r="BC1377" s="1"/>
      <c r="BD1377" s="1"/>
      <c r="BE1377" s="1"/>
      <c r="BF1377" s="1"/>
      <c r="BG1377" s="1"/>
      <c r="BH1377" s="1"/>
      <c r="BI1377" s="1"/>
      <c r="BJ1377" s="1"/>
      <c r="BK1377" s="44"/>
    </row>
    <row r="1378" spans="1:63" s="11" customFormat="1" ht="12" customHeight="1" x14ac:dyDescent="0.15">
      <c r="A1378" s="44" t="s">
        <v>23753</v>
      </c>
      <c r="B1378" s="68">
        <v>26</v>
      </c>
      <c r="C1378" s="44" t="s">
        <v>20</v>
      </c>
      <c r="D1378" s="44" t="s">
        <v>37</v>
      </c>
      <c r="E1378" s="44"/>
      <c r="F1378" s="69">
        <v>42499</v>
      </c>
      <c r="G1378" s="44" t="s">
        <v>24402</v>
      </c>
      <c r="H1378" s="44" t="s">
        <v>87</v>
      </c>
      <c r="I1378" s="44" t="s">
        <v>44</v>
      </c>
      <c r="J1378" s="44">
        <v>60632</v>
      </c>
      <c r="K1378" s="44" t="s">
        <v>88</v>
      </c>
      <c r="L1378" s="44" t="s">
        <v>89</v>
      </c>
      <c r="M1378" s="44" t="s">
        <v>27</v>
      </c>
      <c r="N1378" s="44" t="s">
        <v>23754</v>
      </c>
      <c r="O1378" s="44" t="s">
        <v>400</v>
      </c>
      <c r="P1378" s="44" t="s">
        <v>401</v>
      </c>
      <c r="Q1378" s="44" t="s">
        <v>23755</v>
      </c>
      <c r="R1378" s="44" t="s">
        <v>100</v>
      </c>
      <c r="S1378" s="44" t="s">
        <v>28</v>
      </c>
      <c r="T1378" s="68" t="s">
        <v>27756</v>
      </c>
      <c r="U1378" s="68" t="s">
        <v>29436</v>
      </c>
      <c r="V1378" s="68" t="s">
        <v>29440</v>
      </c>
      <c r="W1378" s="68" t="s">
        <v>100</v>
      </c>
      <c r="X1378" s="68">
        <v>1526</v>
      </c>
      <c r="Y1378" s="44"/>
      <c r="Z1378" s="44"/>
      <c r="AA1378" s="44"/>
      <c r="AB1378" s="44"/>
      <c r="AC1378" s="44"/>
      <c r="AD1378" s="44"/>
      <c r="AE1378" s="44"/>
      <c r="AF1378" s="44"/>
      <c r="AG1378" s="44"/>
      <c r="AH1378" s="44"/>
      <c r="AI1378" s="44"/>
      <c r="AJ1378" s="44"/>
      <c r="AK1378" s="44"/>
      <c r="AL1378" s="44"/>
      <c r="AM1378" s="44"/>
      <c r="AN1378" s="44"/>
      <c r="AO1378" s="44"/>
      <c r="AP1378" s="44"/>
      <c r="AQ1378" s="44"/>
      <c r="AR1378" s="44"/>
      <c r="AS1378" s="44"/>
      <c r="AT1378" s="44"/>
      <c r="AW1378" s="44"/>
      <c r="AX1378" s="44"/>
      <c r="AY1378" s="44"/>
      <c r="BC1378" s="1"/>
      <c r="BD1378" s="1"/>
      <c r="BE1378" s="1"/>
      <c r="BF1378" s="1"/>
      <c r="BG1378" s="1"/>
      <c r="BH1378" s="1"/>
      <c r="BI1378" s="1"/>
      <c r="BJ1378" s="1"/>
      <c r="BK1378" s="44"/>
    </row>
    <row r="1379" spans="1:63" s="11" customFormat="1" ht="12" customHeight="1" x14ac:dyDescent="0.15">
      <c r="A1379" s="44" t="s">
        <v>23654</v>
      </c>
      <c r="B1379" s="44">
        <v>50</v>
      </c>
      <c r="C1379" s="44" t="s">
        <v>20</v>
      </c>
      <c r="D1379" s="44" t="s">
        <v>37</v>
      </c>
      <c r="E1379" s="44" t="s">
        <v>23741</v>
      </c>
      <c r="F1379" s="72">
        <v>42499</v>
      </c>
      <c r="G1379" s="44" t="s">
        <v>23742</v>
      </c>
      <c r="H1379" s="44" t="s">
        <v>23743</v>
      </c>
      <c r="I1379" s="44" t="s">
        <v>62</v>
      </c>
      <c r="J1379" s="44">
        <v>34983</v>
      </c>
      <c r="K1379" s="44" t="s">
        <v>3243</v>
      </c>
      <c r="L1379" s="44" t="s">
        <v>23744</v>
      </c>
      <c r="M1379" s="44" t="s">
        <v>379</v>
      </c>
      <c r="N1379" s="44" t="s">
        <v>23745</v>
      </c>
      <c r="O1379" s="44" t="s">
        <v>400</v>
      </c>
      <c r="P1379" s="44" t="s">
        <v>401</v>
      </c>
      <c r="Q1379" s="44" t="s">
        <v>23746</v>
      </c>
      <c r="R1379" s="44" t="s">
        <v>100</v>
      </c>
      <c r="S1379" s="44" t="s">
        <v>28</v>
      </c>
      <c r="T1379" s="44"/>
      <c r="U1379" s="44"/>
      <c r="V1379" s="44"/>
      <c r="W1379" s="44"/>
      <c r="X1379" s="44"/>
      <c r="Y1379" s="44"/>
      <c r="Z1379" s="44"/>
      <c r="AA1379" s="44"/>
      <c r="AB1379" s="44"/>
      <c r="AC1379" s="44"/>
      <c r="AD1379" s="44"/>
      <c r="AE1379" s="44"/>
      <c r="AF1379" s="44"/>
      <c r="AG1379" s="44"/>
      <c r="AH1379" s="44"/>
      <c r="AI1379" s="44"/>
      <c r="AJ1379" s="44"/>
      <c r="AK1379" s="44"/>
      <c r="AL1379" s="44"/>
      <c r="AM1379" s="44"/>
      <c r="AN1379" s="44"/>
      <c r="AO1379" s="44"/>
      <c r="AP1379" s="44"/>
      <c r="AQ1379" s="44"/>
      <c r="AR1379" s="44"/>
      <c r="AS1379" s="44"/>
      <c r="AT1379" s="44"/>
      <c r="AU1379" s="44"/>
      <c r="AV1379" s="44"/>
      <c r="AW1379" s="44"/>
      <c r="AX1379" s="1"/>
      <c r="AY1379" s="1"/>
      <c r="AZ1379" s="1"/>
      <c r="BA1379" s="1"/>
      <c r="BB1379" s="1"/>
      <c r="BC1379" s="1"/>
      <c r="BD1379" s="1"/>
      <c r="BE1379" s="1"/>
      <c r="BF1379" s="1"/>
      <c r="BG1379" s="1"/>
      <c r="BH1379" s="1"/>
      <c r="BI1379" s="1"/>
      <c r="BJ1379" s="1"/>
      <c r="BK1379" s="1"/>
    </row>
    <row r="1380" spans="1:63" s="11" customFormat="1" ht="12" customHeight="1" x14ac:dyDescent="0.15">
      <c r="A1380" s="44" t="s">
        <v>23756</v>
      </c>
      <c r="B1380" s="68">
        <v>33</v>
      </c>
      <c r="C1380" s="44" t="s">
        <v>20</v>
      </c>
      <c r="D1380" s="44" t="s">
        <v>85</v>
      </c>
      <c r="E1380" s="44" t="s">
        <v>23757</v>
      </c>
      <c r="F1380" s="69">
        <v>42499</v>
      </c>
      <c r="G1380" s="44" t="s">
        <v>23641</v>
      </c>
      <c r="H1380" s="44" t="s">
        <v>857</v>
      </c>
      <c r="I1380" s="44" t="s">
        <v>73</v>
      </c>
      <c r="J1380" s="44">
        <v>79934</v>
      </c>
      <c r="K1380" s="44" t="s">
        <v>857</v>
      </c>
      <c r="L1380" s="44" t="s">
        <v>858</v>
      </c>
      <c r="M1380" s="44" t="s">
        <v>27</v>
      </c>
      <c r="N1380" s="44" t="s">
        <v>23758</v>
      </c>
      <c r="O1380" s="44" t="s">
        <v>400</v>
      </c>
      <c r="P1380" s="44" t="s">
        <v>401</v>
      </c>
      <c r="Q1380" s="44" t="s">
        <v>23759</v>
      </c>
      <c r="R1380" s="44" t="s">
        <v>100</v>
      </c>
      <c r="S1380" s="44" t="s">
        <v>18</v>
      </c>
      <c r="T1380" s="68" t="s">
        <v>29612</v>
      </c>
      <c r="U1380" s="68" t="s">
        <v>29436</v>
      </c>
      <c r="V1380" s="68" t="s">
        <v>29439</v>
      </c>
      <c r="W1380" s="68" t="s">
        <v>100</v>
      </c>
      <c r="X1380" s="68">
        <v>1844</v>
      </c>
      <c r="Y1380" s="44"/>
      <c r="Z1380" s="44"/>
      <c r="AA1380" s="44"/>
      <c r="AB1380" s="44"/>
      <c r="AC1380" s="44"/>
      <c r="AD1380" s="44"/>
      <c r="AE1380" s="44"/>
      <c r="AF1380" s="44"/>
      <c r="AG1380" s="44"/>
      <c r="AH1380" s="44"/>
      <c r="AI1380" s="44"/>
      <c r="AJ1380" s="44"/>
      <c r="AK1380" s="44"/>
      <c r="AL1380" s="44"/>
      <c r="AM1380" s="44"/>
      <c r="AN1380" s="44"/>
      <c r="AO1380" s="44"/>
      <c r="AP1380" s="44"/>
      <c r="AQ1380" s="44"/>
      <c r="AR1380" s="44"/>
      <c r="AS1380" s="44"/>
      <c r="AT1380" s="44"/>
      <c r="BK1380" s="1"/>
    </row>
    <row r="1381" spans="1:63" s="11" customFormat="1" ht="12" customHeight="1" x14ac:dyDescent="0.15">
      <c r="A1381" s="44" t="s">
        <v>23747</v>
      </c>
      <c r="B1381" s="68">
        <v>33</v>
      </c>
      <c r="C1381" s="44" t="s">
        <v>20</v>
      </c>
      <c r="D1381" s="44" t="s">
        <v>85</v>
      </c>
      <c r="E1381" s="44"/>
      <c r="F1381" s="69">
        <v>42499</v>
      </c>
      <c r="G1381" s="44" t="s">
        <v>24401</v>
      </c>
      <c r="H1381" s="44" t="s">
        <v>3592</v>
      </c>
      <c r="I1381" s="44" t="s">
        <v>133</v>
      </c>
      <c r="J1381" s="44">
        <v>55117</v>
      </c>
      <c r="K1381" s="44" t="s">
        <v>3594</v>
      </c>
      <c r="L1381" s="44" t="s">
        <v>4914</v>
      </c>
      <c r="M1381" s="44" t="s">
        <v>27</v>
      </c>
      <c r="N1381" s="44" t="s">
        <v>23748</v>
      </c>
      <c r="O1381" s="44" t="s">
        <v>400</v>
      </c>
      <c r="P1381" s="44" t="s">
        <v>401</v>
      </c>
      <c r="Q1381" s="44" t="s">
        <v>23749</v>
      </c>
      <c r="R1381" s="44" t="s">
        <v>29</v>
      </c>
      <c r="S1381" s="44" t="s">
        <v>28</v>
      </c>
      <c r="T1381" s="68" t="s">
        <v>27756</v>
      </c>
      <c r="U1381" s="68" t="s">
        <v>29438</v>
      </c>
      <c r="V1381" s="68" t="s">
        <v>29439</v>
      </c>
      <c r="W1381" s="68" t="s">
        <v>100</v>
      </c>
      <c r="X1381" s="68">
        <v>1520</v>
      </c>
      <c r="Y1381" s="44"/>
      <c r="Z1381" s="44"/>
      <c r="AA1381" s="44"/>
      <c r="AB1381" s="44"/>
      <c r="AC1381" s="44"/>
      <c r="AD1381" s="44"/>
      <c r="AE1381" s="44"/>
      <c r="AF1381" s="44"/>
      <c r="AG1381" s="44"/>
      <c r="AH1381" s="44"/>
      <c r="AI1381" s="44"/>
      <c r="AJ1381" s="44"/>
      <c r="AK1381" s="44"/>
      <c r="AL1381" s="44"/>
      <c r="AM1381" s="44"/>
      <c r="AN1381" s="44"/>
      <c r="AO1381" s="44"/>
      <c r="AP1381" s="44"/>
      <c r="AQ1381" s="44"/>
      <c r="AR1381" s="44"/>
      <c r="AS1381" s="44"/>
      <c r="AT1381" s="44"/>
      <c r="BA1381" s="1"/>
      <c r="BB1381" s="1"/>
      <c r="BK1381" s="44"/>
    </row>
    <row r="1382" spans="1:63" s="11" customFormat="1" ht="12" customHeight="1" x14ac:dyDescent="0.2">
      <c r="A1382" s="44" t="s">
        <v>23760</v>
      </c>
      <c r="B1382" s="68">
        <v>29</v>
      </c>
      <c r="C1382" s="44" t="s">
        <v>20</v>
      </c>
      <c r="D1382" s="44" t="s">
        <v>37</v>
      </c>
      <c r="E1382" s="44" t="s">
        <v>23761</v>
      </c>
      <c r="F1382" s="69">
        <v>42499</v>
      </c>
      <c r="G1382" s="44" t="s">
        <v>23762</v>
      </c>
      <c r="H1382" s="44" t="s">
        <v>10298</v>
      </c>
      <c r="I1382" s="44" t="s">
        <v>73</v>
      </c>
      <c r="J1382" s="44">
        <v>75961</v>
      </c>
      <c r="K1382" s="44" t="s">
        <v>10298</v>
      </c>
      <c r="L1382" s="44" t="s">
        <v>23763</v>
      </c>
      <c r="M1382" s="44" t="s">
        <v>27</v>
      </c>
      <c r="N1382" s="44" t="s">
        <v>23764</v>
      </c>
      <c r="O1382" s="44" t="s">
        <v>400</v>
      </c>
      <c r="P1382" s="44" t="s">
        <v>401</v>
      </c>
      <c r="Q1382" s="44" t="s">
        <v>23765</v>
      </c>
      <c r="R1382" s="68" t="s">
        <v>555</v>
      </c>
      <c r="S1382" s="44" t="s">
        <v>28</v>
      </c>
      <c r="T1382" s="68" t="s">
        <v>27756</v>
      </c>
      <c r="U1382" s="68" t="s">
        <v>29438</v>
      </c>
      <c r="V1382" s="68" t="s">
        <v>21212</v>
      </c>
      <c r="W1382" s="68" t="s">
        <v>100</v>
      </c>
      <c r="X1382" s="68">
        <v>1531</v>
      </c>
      <c r="Y1382" s="44"/>
      <c r="Z1382" s="44"/>
      <c r="AA1382" s="44"/>
      <c r="AB1382" s="44"/>
      <c r="AC1382" s="44"/>
      <c r="AD1382" s="44"/>
      <c r="AE1382" s="44"/>
      <c r="AF1382" s="44"/>
      <c r="AG1382" s="44"/>
      <c r="AH1382" s="44"/>
      <c r="AI1382" s="44"/>
      <c r="AJ1382" s="44"/>
      <c r="AK1382" s="44"/>
      <c r="AL1382" s="44"/>
      <c r="AM1382" s="44"/>
      <c r="AN1382" s="44"/>
      <c r="AO1382" s="44"/>
      <c r="AP1382" s="44"/>
      <c r="AQ1382" s="44"/>
      <c r="AR1382" s="44"/>
      <c r="AS1382" s="44"/>
      <c r="AT1382" s="44"/>
      <c r="AW1382" s="44"/>
      <c r="AX1382" s="1"/>
      <c r="AY1382" s="1"/>
      <c r="BA1382" s="70"/>
      <c r="BB1382" s="44"/>
      <c r="BC1382" s="1"/>
      <c r="BD1382" s="1"/>
      <c r="BE1382" s="1"/>
      <c r="BF1382" s="1"/>
      <c r="BG1382" s="1"/>
      <c r="BH1382" s="1"/>
      <c r="BI1382" s="1"/>
      <c r="BJ1382" s="1"/>
      <c r="BK1382" s="44"/>
    </row>
    <row r="1383" spans="1:63" s="11" customFormat="1" ht="12" customHeight="1" x14ac:dyDescent="0.15">
      <c r="A1383" s="44" t="s">
        <v>23658</v>
      </c>
      <c r="B1383" s="44">
        <v>26</v>
      </c>
      <c r="C1383" s="44" t="s">
        <v>114</v>
      </c>
      <c r="D1383" s="44" t="s">
        <v>37</v>
      </c>
      <c r="E1383" s="44" t="s">
        <v>23727</v>
      </c>
      <c r="F1383" s="72">
        <v>42498</v>
      </c>
      <c r="G1383" s="44" t="s">
        <v>23728</v>
      </c>
      <c r="H1383" s="44" t="s">
        <v>1034</v>
      </c>
      <c r="I1383" s="44" t="s">
        <v>44</v>
      </c>
      <c r="J1383" s="44">
        <v>62526</v>
      </c>
      <c r="K1383" s="44" t="s">
        <v>1549</v>
      </c>
      <c r="L1383" s="44" t="s">
        <v>22029</v>
      </c>
      <c r="M1383" s="44" t="s">
        <v>379</v>
      </c>
      <c r="N1383" s="44" t="s">
        <v>23729</v>
      </c>
      <c r="O1383" s="44" t="s">
        <v>400</v>
      </c>
      <c r="P1383" s="44" t="s">
        <v>401</v>
      </c>
      <c r="Q1383" s="44" t="s">
        <v>23730</v>
      </c>
      <c r="R1383" s="44" t="s">
        <v>100</v>
      </c>
      <c r="S1383" s="44" t="s">
        <v>28</v>
      </c>
      <c r="T1383" s="44"/>
      <c r="U1383" s="44"/>
      <c r="V1383" s="44"/>
      <c r="W1383" s="44"/>
      <c r="X1383" s="44"/>
      <c r="Y1383" s="44"/>
      <c r="Z1383" s="44"/>
      <c r="AA1383" s="44"/>
      <c r="AB1383" s="44"/>
      <c r="AC1383" s="44"/>
      <c r="AD1383" s="44"/>
      <c r="AE1383" s="44"/>
      <c r="AF1383" s="44"/>
      <c r="AG1383" s="44"/>
      <c r="AH1383" s="44"/>
      <c r="AI1383" s="44"/>
      <c r="AJ1383" s="44"/>
      <c r="AK1383" s="44"/>
      <c r="AL1383" s="44"/>
      <c r="AM1383" s="44"/>
      <c r="AN1383" s="44"/>
      <c r="AO1383" s="44"/>
      <c r="AP1383" s="44"/>
      <c r="AQ1383" s="44"/>
      <c r="AR1383" s="44"/>
      <c r="AS1383" s="44"/>
      <c r="AT1383" s="44"/>
      <c r="AU1383" s="44"/>
      <c r="AV1383" s="44"/>
      <c r="AW1383" s="44"/>
      <c r="AX1383" s="1"/>
      <c r="AY1383" s="1"/>
      <c r="AZ1383" s="1"/>
      <c r="BA1383" s="1"/>
      <c r="BB1383" s="1"/>
      <c r="BC1383" s="1"/>
      <c r="BD1383" s="1"/>
      <c r="BE1383" s="1"/>
      <c r="BF1383" s="1"/>
      <c r="BG1383" s="1"/>
      <c r="BH1383" s="1"/>
      <c r="BI1383" s="1"/>
      <c r="BJ1383" s="1"/>
      <c r="BK1383" s="1"/>
    </row>
    <row r="1384" spans="1:63" s="11" customFormat="1" ht="12" customHeight="1" x14ac:dyDescent="0.2">
      <c r="A1384" s="44" t="s">
        <v>23634</v>
      </c>
      <c r="B1384" s="68">
        <v>21</v>
      </c>
      <c r="C1384" s="44" t="s">
        <v>20</v>
      </c>
      <c r="D1384" s="44" t="s">
        <v>85</v>
      </c>
      <c r="E1384" s="44" t="s">
        <v>23707</v>
      </c>
      <c r="F1384" s="69">
        <v>42498</v>
      </c>
      <c r="G1384" s="44" t="s">
        <v>23708</v>
      </c>
      <c r="H1384" s="44" t="s">
        <v>489</v>
      </c>
      <c r="I1384" s="44" t="s">
        <v>45</v>
      </c>
      <c r="J1384" s="44">
        <v>90806</v>
      </c>
      <c r="K1384" s="44" t="s">
        <v>98</v>
      </c>
      <c r="L1384" s="44" t="s">
        <v>490</v>
      </c>
      <c r="M1384" s="44" t="s">
        <v>27</v>
      </c>
      <c r="N1384" s="44" t="s">
        <v>23709</v>
      </c>
      <c r="O1384" s="44" t="s">
        <v>400</v>
      </c>
      <c r="P1384" s="44" t="s">
        <v>401</v>
      </c>
      <c r="Q1384" s="44" t="s">
        <v>23710</v>
      </c>
      <c r="R1384" s="44" t="s">
        <v>100</v>
      </c>
      <c r="S1384" s="44" t="s">
        <v>18</v>
      </c>
      <c r="T1384" s="68" t="s">
        <v>29612</v>
      </c>
      <c r="U1384" s="68" t="s">
        <v>29436</v>
      </c>
      <c r="V1384" s="68" t="s">
        <v>29439</v>
      </c>
      <c r="W1384" s="68" t="s">
        <v>100</v>
      </c>
      <c r="X1384" s="68">
        <v>1522</v>
      </c>
      <c r="Y1384" s="44"/>
      <c r="Z1384" s="44"/>
      <c r="AA1384" s="44"/>
      <c r="AB1384" s="44"/>
      <c r="AC1384" s="44"/>
      <c r="AD1384" s="44"/>
      <c r="AE1384" s="44"/>
      <c r="AF1384" s="44"/>
      <c r="AG1384" s="44"/>
      <c r="AH1384" s="44"/>
      <c r="AI1384" s="44"/>
      <c r="AJ1384" s="44"/>
      <c r="AK1384" s="44"/>
      <c r="AL1384" s="44"/>
      <c r="AM1384" s="44"/>
      <c r="AN1384" s="44"/>
      <c r="AO1384" s="44"/>
      <c r="AP1384" s="44"/>
      <c r="AQ1384" s="44"/>
      <c r="AR1384" s="44"/>
      <c r="AS1384" s="44"/>
      <c r="AT1384" s="44"/>
      <c r="AW1384" s="44"/>
      <c r="AX1384" s="70"/>
      <c r="AY1384" s="70"/>
      <c r="BK1384" s="1"/>
    </row>
    <row r="1385" spans="1:63" s="11" customFormat="1" ht="12" customHeight="1" x14ac:dyDescent="0.15">
      <c r="A1385" s="44" t="s">
        <v>23657</v>
      </c>
      <c r="B1385" s="44">
        <v>44</v>
      </c>
      <c r="C1385" s="44" t="s">
        <v>20</v>
      </c>
      <c r="D1385" s="44" t="s">
        <v>37</v>
      </c>
      <c r="E1385" s="44"/>
      <c r="F1385" s="72">
        <v>42498</v>
      </c>
      <c r="G1385" s="44" t="s">
        <v>23731</v>
      </c>
      <c r="H1385" s="44" t="s">
        <v>23732</v>
      </c>
      <c r="I1385" s="44" t="s">
        <v>395</v>
      </c>
      <c r="J1385" s="44">
        <v>74859</v>
      </c>
      <c r="K1385" s="44" t="s">
        <v>16111</v>
      </c>
      <c r="L1385" s="44" t="s">
        <v>2045</v>
      </c>
      <c r="M1385" s="44" t="s">
        <v>379</v>
      </c>
      <c r="N1385" s="44" t="s">
        <v>23733</v>
      </c>
      <c r="O1385" s="44" t="s">
        <v>400</v>
      </c>
      <c r="P1385" s="44" t="s">
        <v>401</v>
      </c>
      <c r="Q1385" s="44" t="s">
        <v>23734</v>
      </c>
      <c r="R1385" s="44" t="s">
        <v>100</v>
      </c>
      <c r="S1385" s="66" t="s">
        <v>379</v>
      </c>
      <c r="T1385" s="66" t="s">
        <v>30738</v>
      </c>
      <c r="U1385" s="1"/>
      <c r="V1385" s="44"/>
      <c r="W1385" s="44"/>
      <c r="X1385" s="44"/>
      <c r="Y1385" s="44"/>
      <c r="Z1385" s="44"/>
      <c r="AA1385" s="44"/>
      <c r="AB1385" s="44"/>
      <c r="AC1385" s="44"/>
      <c r="AD1385" s="44"/>
      <c r="AE1385" s="44"/>
      <c r="AF1385" s="44"/>
      <c r="AG1385" s="44"/>
      <c r="AH1385" s="44"/>
      <c r="AI1385" s="44"/>
      <c r="AJ1385" s="44"/>
      <c r="AK1385" s="44"/>
      <c r="AL1385" s="44"/>
      <c r="AM1385" s="44"/>
      <c r="AN1385" s="44"/>
      <c r="AO1385" s="44"/>
      <c r="AP1385" s="44"/>
      <c r="AQ1385" s="44"/>
      <c r="AR1385" s="44"/>
      <c r="AS1385" s="44"/>
      <c r="AT1385" s="44"/>
      <c r="AU1385" s="44"/>
      <c r="AV1385" s="44"/>
      <c r="AW1385" s="44"/>
      <c r="AX1385" s="1"/>
      <c r="AY1385" s="1"/>
      <c r="AZ1385" s="1"/>
      <c r="BA1385" s="1"/>
      <c r="BB1385" s="1"/>
      <c r="BC1385" s="1"/>
      <c r="BD1385" s="1"/>
      <c r="BE1385" s="1"/>
      <c r="BF1385" s="1"/>
      <c r="BG1385" s="1"/>
      <c r="BH1385" s="1"/>
      <c r="BI1385" s="1"/>
      <c r="BJ1385" s="1"/>
      <c r="BK1385" s="1"/>
    </row>
    <row r="1386" spans="1:63" s="11" customFormat="1" ht="12" customHeight="1" x14ac:dyDescent="0.15">
      <c r="A1386" s="44" t="s">
        <v>23633</v>
      </c>
      <c r="B1386" s="68">
        <v>37</v>
      </c>
      <c r="C1386" s="44" t="s">
        <v>20</v>
      </c>
      <c r="D1386" s="44" t="s">
        <v>85</v>
      </c>
      <c r="E1386" s="44" t="s">
        <v>23711</v>
      </c>
      <c r="F1386" s="69">
        <v>42497</v>
      </c>
      <c r="G1386" s="44" t="s">
        <v>23712</v>
      </c>
      <c r="H1386" s="44" t="s">
        <v>17647</v>
      </c>
      <c r="I1386" s="44" t="s">
        <v>62</v>
      </c>
      <c r="J1386" s="44">
        <v>33712</v>
      </c>
      <c r="K1386" s="44" t="s">
        <v>2309</v>
      </c>
      <c r="L1386" s="44" t="s">
        <v>5943</v>
      </c>
      <c r="M1386" s="44" t="s">
        <v>27</v>
      </c>
      <c r="N1386" s="44" t="s">
        <v>23713</v>
      </c>
      <c r="O1386" s="44" t="s">
        <v>400</v>
      </c>
      <c r="P1386" s="44" t="s">
        <v>401</v>
      </c>
      <c r="Q1386" s="44" t="s">
        <v>23714</v>
      </c>
      <c r="R1386" s="44" t="s">
        <v>100</v>
      </c>
      <c r="S1386" s="44" t="s">
        <v>28</v>
      </c>
      <c r="T1386" s="68" t="s">
        <v>27756</v>
      </c>
      <c r="U1386" s="68" t="s">
        <v>29438</v>
      </c>
      <c r="V1386" s="68" t="s">
        <v>21212</v>
      </c>
      <c r="W1386" s="68" t="s">
        <v>100</v>
      </c>
      <c r="X1386" s="68">
        <v>1525</v>
      </c>
      <c r="Y1386" s="44"/>
      <c r="Z1386" s="44"/>
      <c r="AA1386" s="44"/>
      <c r="AB1386" s="44"/>
      <c r="AC1386" s="44"/>
      <c r="AD1386" s="44"/>
      <c r="AE1386" s="44"/>
      <c r="AF1386" s="44"/>
      <c r="AG1386" s="44"/>
      <c r="AH1386" s="44"/>
      <c r="AI1386" s="44"/>
      <c r="AJ1386" s="44"/>
      <c r="AK1386" s="44"/>
      <c r="AL1386" s="44"/>
      <c r="AM1386" s="44"/>
      <c r="AN1386" s="44"/>
      <c r="AO1386" s="44"/>
      <c r="AP1386" s="44"/>
      <c r="AQ1386" s="44"/>
      <c r="AR1386" s="44"/>
      <c r="AS1386" s="44"/>
      <c r="AT1386" s="44"/>
      <c r="AW1386" s="44"/>
      <c r="AX1386" s="44"/>
      <c r="AY1386" s="44"/>
      <c r="BK1386" s="44"/>
    </row>
    <row r="1387" spans="1:63" s="11" customFormat="1" ht="12" customHeight="1" x14ac:dyDescent="0.15">
      <c r="A1387" s="44" t="s">
        <v>23722</v>
      </c>
      <c r="B1387" s="44">
        <v>79</v>
      </c>
      <c r="C1387" s="44" t="s">
        <v>20</v>
      </c>
      <c r="D1387" s="44" t="s">
        <v>37</v>
      </c>
      <c r="E1387" s="44" t="s">
        <v>23723</v>
      </c>
      <c r="F1387" s="72">
        <v>42497</v>
      </c>
      <c r="G1387" s="44" t="s">
        <v>23724</v>
      </c>
      <c r="H1387" s="44" t="s">
        <v>3317</v>
      </c>
      <c r="I1387" s="44" t="s">
        <v>244</v>
      </c>
      <c r="J1387" s="44">
        <v>23508</v>
      </c>
      <c r="K1387" s="44" t="s">
        <v>16595</v>
      </c>
      <c r="L1387" s="44" t="s">
        <v>5050</v>
      </c>
      <c r="M1387" s="44" t="s">
        <v>379</v>
      </c>
      <c r="N1387" s="44" t="s">
        <v>23725</v>
      </c>
      <c r="O1387" s="44" t="s">
        <v>400</v>
      </c>
      <c r="P1387" s="44" t="s">
        <v>401</v>
      </c>
      <c r="Q1387" s="44" t="s">
        <v>23726</v>
      </c>
      <c r="R1387" s="44" t="s">
        <v>100</v>
      </c>
      <c r="S1387" s="44" t="s">
        <v>28</v>
      </c>
      <c r="T1387" s="44"/>
      <c r="U1387" s="44"/>
      <c r="V1387" s="44"/>
      <c r="W1387" s="44"/>
      <c r="X1387" s="44"/>
      <c r="Y1387" s="44"/>
      <c r="Z1387" s="44"/>
      <c r="AA1387" s="44"/>
      <c r="AB1387" s="44"/>
      <c r="AC1387" s="44"/>
      <c r="AD1387" s="44"/>
      <c r="AE1387" s="44"/>
      <c r="AF1387" s="44"/>
      <c r="AG1387" s="44"/>
      <c r="AH1387" s="44"/>
      <c r="AI1387" s="44"/>
      <c r="AJ1387" s="44"/>
      <c r="AK1387" s="44"/>
      <c r="AL1387" s="44"/>
      <c r="AM1387" s="44"/>
      <c r="AN1387" s="44"/>
      <c r="AO1387" s="44"/>
      <c r="AP1387" s="44"/>
      <c r="AQ1387" s="44"/>
      <c r="AR1387" s="44"/>
      <c r="AS1387" s="44"/>
      <c r="AT1387" s="44"/>
      <c r="AU1387" s="44"/>
      <c r="AV1387" s="44"/>
      <c r="AW1387" s="44"/>
      <c r="AX1387" s="1"/>
      <c r="AY1387" s="1"/>
      <c r="AZ1387" s="1"/>
      <c r="BA1387" s="1"/>
      <c r="BB1387" s="1"/>
      <c r="BC1387" s="1"/>
      <c r="BD1387" s="1"/>
      <c r="BE1387" s="1"/>
      <c r="BF1387" s="1"/>
      <c r="BG1387" s="1"/>
      <c r="BH1387" s="1"/>
      <c r="BI1387" s="1"/>
      <c r="BJ1387" s="1"/>
      <c r="BK1387" s="1"/>
    </row>
    <row r="1388" spans="1:63" s="11" customFormat="1" ht="12" customHeight="1" x14ac:dyDescent="0.2">
      <c r="A1388" s="44" t="s">
        <v>23637</v>
      </c>
      <c r="B1388" s="68">
        <v>29</v>
      </c>
      <c r="C1388" s="44" t="s">
        <v>20</v>
      </c>
      <c r="D1388" s="68" t="s">
        <v>30</v>
      </c>
      <c r="E1388" s="44" t="s">
        <v>23715</v>
      </c>
      <c r="F1388" s="69">
        <v>42497</v>
      </c>
      <c r="G1388" s="44" t="s">
        <v>23638</v>
      </c>
      <c r="H1388" s="44" t="s">
        <v>23639</v>
      </c>
      <c r="I1388" s="44" t="s">
        <v>4371</v>
      </c>
      <c r="J1388" s="44">
        <v>4769</v>
      </c>
      <c r="K1388" s="44" t="s">
        <v>4373</v>
      </c>
      <c r="L1388" s="44" t="s">
        <v>23640</v>
      </c>
      <c r="M1388" s="68" t="s">
        <v>5411</v>
      </c>
      <c r="N1388" s="44" t="s">
        <v>23716</v>
      </c>
      <c r="O1388" s="44" t="s">
        <v>400</v>
      </c>
      <c r="P1388" s="44" t="s">
        <v>401</v>
      </c>
      <c r="Q1388" s="44" t="s">
        <v>23717</v>
      </c>
      <c r="R1388" s="44" t="s">
        <v>29</v>
      </c>
      <c r="S1388" s="44" t="s">
        <v>28</v>
      </c>
      <c r="T1388" s="68" t="s">
        <v>29493</v>
      </c>
      <c r="U1388" s="68" t="s">
        <v>29436</v>
      </c>
      <c r="V1388" s="68" t="s">
        <v>29439</v>
      </c>
      <c r="W1388" s="68" t="s">
        <v>100</v>
      </c>
      <c r="X1388" s="68">
        <v>1529</v>
      </c>
      <c r="Y1388" s="44"/>
      <c r="Z1388" s="44"/>
      <c r="AA1388" s="44"/>
      <c r="AB1388" s="44"/>
      <c r="AC1388" s="44"/>
      <c r="AD1388" s="44"/>
      <c r="AE1388" s="44"/>
      <c r="AF1388" s="44"/>
      <c r="AG1388" s="44"/>
      <c r="AH1388" s="44"/>
      <c r="AI1388" s="44"/>
      <c r="AJ1388" s="44"/>
      <c r="AK1388" s="44"/>
      <c r="AL1388" s="44"/>
      <c r="AM1388" s="44"/>
      <c r="AN1388" s="44"/>
      <c r="AO1388" s="44"/>
      <c r="AP1388" s="44"/>
      <c r="AQ1388" s="44"/>
      <c r="AR1388" s="44"/>
      <c r="AS1388" s="44"/>
      <c r="AT1388" s="44"/>
      <c r="AW1388" s="44"/>
      <c r="AX1388" s="1"/>
      <c r="AY1388" s="1"/>
      <c r="BA1388" s="1"/>
      <c r="BB1388" s="70"/>
      <c r="BC1388" s="1"/>
      <c r="BD1388" s="1"/>
      <c r="BE1388" s="1"/>
      <c r="BF1388" s="1"/>
      <c r="BG1388" s="1"/>
      <c r="BH1388" s="1"/>
      <c r="BI1388" s="1"/>
      <c r="BJ1388" s="1"/>
      <c r="BK1388" s="1"/>
    </row>
    <row r="1389" spans="1:63" s="11" customFormat="1" ht="12" customHeight="1" x14ac:dyDescent="0.15">
      <c r="A1389" s="44" t="s">
        <v>3252</v>
      </c>
      <c r="B1389" s="68">
        <v>29</v>
      </c>
      <c r="C1389" s="44" t="s">
        <v>20</v>
      </c>
      <c r="D1389" s="68" t="s">
        <v>37</v>
      </c>
      <c r="E1389" s="44"/>
      <c r="F1389" s="69">
        <v>42497</v>
      </c>
      <c r="G1389" s="44" t="s">
        <v>23718</v>
      </c>
      <c r="H1389" s="44" t="s">
        <v>17308</v>
      </c>
      <c r="I1389" s="44" t="s">
        <v>303</v>
      </c>
      <c r="J1389" s="44">
        <v>98258</v>
      </c>
      <c r="K1389" s="44" t="s">
        <v>2150</v>
      </c>
      <c r="L1389" s="44" t="s">
        <v>23719</v>
      </c>
      <c r="M1389" s="44" t="s">
        <v>27</v>
      </c>
      <c r="N1389" s="44" t="s">
        <v>23720</v>
      </c>
      <c r="O1389" s="44" t="s">
        <v>400</v>
      </c>
      <c r="P1389" s="44" t="s">
        <v>401</v>
      </c>
      <c r="Q1389" s="44" t="s">
        <v>23721</v>
      </c>
      <c r="R1389" s="44" t="s">
        <v>555</v>
      </c>
      <c r="S1389" s="44" t="s">
        <v>28</v>
      </c>
      <c r="T1389" s="68" t="s">
        <v>27756</v>
      </c>
      <c r="U1389" s="68" t="s">
        <v>29436</v>
      </c>
      <c r="V1389" s="68" t="s">
        <v>29439</v>
      </c>
      <c r="W1389" s="68" t="s">
        <v>100</v>
      </c>
      <c r="X1389" s="68">
        <v>1523</v>
      </c>
      <c r="Y1389" s="44"/>
      <c r="Z1389" s="44"/>
      <c r="AA1389" s="44"/>
      <c r="AB1389" s="44"/>
      <c r="AC1389" s="44"/>
      <c r="AD1389" s="44"/>
      <c r="AE1389" s="44"/>
      <c r="AF1389" s="44"/>
      <c r="AG1389" s="44"/>
      <c r="AH1389" s="44"/>
      <c r="AI1389" s="44"/>
      <c r="AJ1389" s="44"/>
      <c r="AK1389" s="44"/>
      <c r="AL1389" s="44"/>
      <c r="AM1389" s="44"/>
      <c r="AN1389" s="44"/>
      <c r="AO1389" s="44"/>
      <c r="AP1389" s="44"/>
      <c r="AQ1389" s="44"/>
      <c r="AR1389" s="44"/>
      <c r="AS1389" s="44"/>
      <c r="AT1389" s="44"/>
      <c r="AX1389" s="1"/>
      <c r="AY1389" s="1"/>
      <c r="BC1389" s="1"/>
      <c r="BD1389" s="1"/>
      <c r="BE1389" s="1"/>
      <c r="BF1389" s="1"/>
      <c r="BG1389" s="1"/>
      <c r="BH1389" s="1"/>
      <c r="BI1389" s="1"/>
      <c r="BJ1389" s="1"/>
      <c r="BK1389" s="44"/>
    </row>
    <row r="1390" spans="1:63" s="11" customFormat="1" ht="12" customHeight="1" x14ac:dyDescent="0.15">
      <c r="A1390" s="44" t="s">
        <v>23704</v>
      </c>
      <c r="B1390" s="44">
        <v>23</v>
      </c>
      <c r="C1390" s="44" t="s">
        <v>20</v>
      </c>
      <c r="D1390" s="68" t="s">
        <v>85</v>
      </c>
      <c r="E1390" s="44"/>
      <c r="F1390" s="69">
        <v>42496</v>
      </c>
      <c r="G1390" s="44" t="s">
        <v>24403</v>
      </c>
      <c r="H1390" s="44" t="s">
        <v>23631</v>
      </c>
      <c r="I1390" s="44" t="s">
        <v>150</v>
      </c>
      <c r="J1390" s="44">
        <v>26062</v>
      </c>
      <c r="K1390" s="44" t="s">
        <v>1870</v>
      </c>
      <c r="L1390" s="44" t="s">
        <v>23632</v>
      </c>
      <c r="M1390" s="44" t="s">
        <v>27</v>
      </c>
      <c r="N1390" s="44" t="s">
        <v>23705</v>
      </c>
      <c r="O1390" s="44" t="s">
        <v>400</v>
      </c>
      <c r="P1390" s="44" t="s">
        <v>401</v>
      </c>
      <c r="Q1390" s="44" t="s">
        <v>23706</v>
      </c>
      <c r="R1390" s="68" t="s">
        <v>555</v>
      </c>
      <c r="S1390" s="44" t="s">
        <v>28</v>
      </c>
      <c r="T1390" s="68" t="s">
        <v>27756</v>
      </c>
      <c r="U1390" s="68" t="s">
        <v>29436</v>
      </c>
      <c r="V1390" s="68" t="s">
        <v>29439</v>
      </c>
      <c r="W1390" s="68" t="s">
        <v>100</v>
      </c>
      <c r="X1390" s="68">
        <v>1519</v>
      </c>
      <c r="Y1390" s="44"/>
      <c r="Z1390" s="44"/>
      <c r="AA1390" s="44"/>
      <c r="AB1390" s="44"/>
      <c r="AC1390" s="44"/>
      <c r="AD1390" s="44"/>
      <c r="AE1390" s="44"/>
      <c r="AF1390" s="44"/>
      <c r="AG1390" s="44"/>
      <c r="AH1390" s="44"/>
      <c r="AI1390" s="44"/>
      <c r="AJ1390" s="44"/>
      <c r="AK1390" s="44"/>
      <c r="AL1390" s="44"/>
      <c r="AM1390" s="44"/>
      <c r="AN1390" s="44"/>
      <c r="AO1390" s="44"/>
      <c r="AP1390" s="44"/>
      <c r="AQ1390" s="44"/>
      <c r="AR1390" s="44"/>
      <c r="AS1390" s="44"/>
      <c r="AT1390" s="44"/>
      <c r="AW1390" s="1"/>
      <c r="AX1390" s="1"/>
      <c r="AY1390" s="1"/>
      <c r="BA1390" s="44"/>
      <c r="BB1390" s="44"/>
      <c r="BK1390" s="44"/>
    </row>
    <row r="1391" spans="1:63" s="11" customFormat="1" ht="12" customHeight="1" x14ac:dyDescent="0.15">
      <c r="A1391" s="44" t="s">
        <v>23628</v>
      </c>
      <c r="B1391" s="68">
        <v>26</v>
      </c>
      <c r="C1391" s="44" t="s">
        <v>114</v>
      </c>
      <c r="D1391" s="44" t="s">
        <v>85</v>
      </c>
      <c r="E1391" s="44" t="s">
        <v>23694</v>
      </c>
      <c r="F1391" s="69">
        <v>42495</v>
      </c>
      <c r="G1391" s="44" t="s">
        <v>24404</v>
      </c>
      <c r="H1391" s="44" t="s">
        <v>1060</v>
      </c>
      <c r="I1391" s="44" t="s">
        <v>62</v>
      </c>
      <c r="J1391" s="44">
        <v>32808</v>
      </c>
      <c r="K1391" s="44" t="s">
        <v>1061</v>
      </c>
      <c r="L1391" s="44" t="s">
        <v>4424</v>
      </c>
      <c r="M1391" s="44" t="s">
        <v>27</v>
      </c>
      <c r="N1391" s="44" t="s">
        <v>23695</v>
      </c>
      <c r="O1391" s="44" t="s">
        <v>400</v>
      </c>
      <c r="P1391" s="44" t="s">
        <v>401</v>
      </c>
      <c r="Q1391" s="44" t="s">
        <v>23696</v>
      </c>
      <c r="R1391" s="44" t="s">
        <v>100</v>
      </c>
      <c r="S1391" s="44" t="s">
        <v>28</v>
      </c>
      <c r="T1391" s="68" t="s">
        <v>27756</v>
      </c>
      <c r="U1391" s="68" t="s">
        <v>29438</v>
      </c>
      <c r="V1391" s="68" t="s">
        <v>29439</v>
      </c>
      <c r="W1391" s="68" t="s">
        <v>100</v>
      </c>
      <c r="X1391" s="68">
        <v>1518</v>
      </c>
      <c r="Y1391" s="44"/>
      <c r="Z1391" s="44"/>
      <c r="AA1391" s="44"/>
      <c r="AB1391" s="44"/>
      <c r="AC1391" s="44"/>
      <c r="AD1391" s="44"/>
      <c r="AE1391" s="44"/>
      <c r="AF1391" s="44"/>
      <c r="AG1391" s="44"/>
      <c r="AH1391" s="44"/>
      <c r="AI1391" s="44"/>
      <c r="AJ1391" s="44"/>
      <c r="AK1391" s="44"/>
      <c r="AL1391" s="44"/>
      <c r="AM1391" s="44"/>
      <c r="AN1391" s="44"/>
      <c r="AO1391" s="44"/>
      <c r="AP1391" s="44"/>
      <c r="AQ1391" s="44"/>
      <c r="AR1391" s="44"/>
      <c r="AS1391" s="44"/>
      <c r="AT1391" s="44"/>
      <c r="AW1391" s="44"/>
      <c r="AX1391" s="44"/>
      <c r="AY1391" s="44"/>
      <c r="BK1391" s="44"/>
    </row>
    <row r="1392" spans="1:63" s="11" customFormat="1" ht="12" customHeight="1" x14ac:dyDescent="0.15">
      <c r="A1392" s="44" t="s">
        <v>23701</v>
      </c>
      <c r="B1392" s="68">
        <v>38</v>
      </c>
      <c r="C1392" s="44" t="s">
        <v>20</v>
      </c>
      <c r="D1392" s="44" t="s">
        <v>85</v>
      </c>
      <c r="E1392" s="44"/>
      <c r="F1392" s="69">
        <v>42495</v>
      </c>
      <c r="G1392" s="44" t="s">
        <v>23629</v>
      </c>
      <c r="H1392" s="44" t="s">
        <v>887</v>
      </c>
      <c r="I1392" s="44" t="s">
        <v>438</v>
      </c>
      <c r="J1392" s="44">
        <v>53218</v>
      </c>
      <c r="K1392" s="44" t="s">
        <v>887</v>
      </c>
      <c r="L1392" s="44" t="s">
        <v>3865</v>
      </c>
      <c r="M1392" s="44" t="s">
        <v>27</v>
      </c>
      <c r="N1392" s="44" t="s">
        <v>23702</v>
      </c>
      <c r="O1392" s="44" t="s">
        <v>400</v>
      </c>
      <c r="P1392" s="44" t="s">
        <v>401</v>
      </c>
      <c r="Q1392" s="44" t="s">
        <v>23703</v>
      </c>
      <c r="R1392" s="44" t="s">
        <v>100</v>
      </c>
      <c r="S1392" s="44" t="s">
        <v>28</v>
      </c>
      <c r="T1392" s="68" t="s">
        <v>27756</v>
      </c>
      <c r="U1392" s="68" t="s">
        <v>29438</v>
      </c>
      <c r="V1392" s="68" t="s">
        <v>29440</v>
      </c>
      <c r="W1392" s="68" t="s">
        <v>555</v>
      </c>
      <c r="X1392" s="68">
        <v>1517</v>
      </c>
      <c r="Y1392" s="44"/>
      <c r="Z1392" s="44"/>
      <c r="AA1392" s="44"/>
      <c r="AB1392" s="44"/>
      <c r="AC1392" s="44"/>
      <c r="AD1392" s="44"/>
      <c r="AE1392" s="44"/>
      <c r="AF1392" s="44"/>
      <c r="AG1392" s="44"/>
      <c r="AH1392" s="44"/>
      <c r="AI1392" s="44"/>
      <c r="AJ1392" s="44"/>
      <c r="AK1392" s="44"/>
      <c r="AL1392" s="44"/>
      <c r="AM1392" s="44"/>
      <c r="AN1392" s="44"/>
      <c r="AO1392" s="44"/>
      <c r="AP1392" s="44"/>
      <c r="AQ1392" s="44"/>
      <c r="AR1392" s="44"/>
      <c r="AS1392" s="44"/>
      <c r="AT1392" s="44"/>
      <c r="AX1392" s="44"/>
      <c r="AY1392" s="44"/>
      <c r="BK1392" s="44"/>
    </row>
    <row r="1393" spans="1:63" s="11" customFormat="1" ht="12" customHeight="1" x14ac:dyDescent="0.15">
      <c r="A1393" s="44" t="s">
        <v>23630</v>
      </c>
      <c r="B1393" s="68">
        <v>36</v>
      </c>
      <c r="C1393" s="44" t="s">
        <v>20</v>
      </c>
      <c r="D1393" s="44" t="s">
        <v>37</v>
      </c>
      <c r="E1393" s="44" t="s">
        <v>23697</v>
      </c>
      <c r="F1393" s="69">
        <v>42495</v>
      </c>
      <c r="G1393" s="44" t="s">
        <v>23698</v>
      </c>
      <c r="H1393" s="44" t="s">
        <v>6374</v>
      </c>
      <c r="I1393" s="44" t="s">
        <v>25</v>
      </c>
      <c r="J1393" s="44">
        <v>70053</v>
      </c>
      <c r="K1393" s="44" t="s">
        <v>1778</v>
      </c>
      <c r="L1393" s="44" t="s">
        <v>6377</v>
      </c>
      <c r="M1393" s="44" t="s">
        <v>27</v>
      </c>
      <c r="N1393" s="44" t="s">
        <v>23699</v>
      </c>
      <c r="O1393" s="44" t="s">
        <v>400</v>
      </c>
      <c r="P1393" s="44" t="s">
        <v>401</v>
      </c>
      <c r="Q1393" s="44" t="s">
        <v>23700</v>
      </c>
      <c r="R1393" s="44" t="s">
        <v>100</v>
      </c>
      <c r="S1393" s="68" t="s">
        <v>379</v>
      </c>
      <c r="T1393" s="68" t="s">
        <v>379</v>
      </c>
      <c r="U1393" s="68" t="s">
        <v>29438</v>
      </c>
      <c r="V1393" s="68" t="s">
        <v>29437</v>
      </c>
      <c r="W1393" s="68" t="s">
        <v>100</v>
      </c>
      <c r="X1393" s="68">
        <v>1516</v>
      </c>
      <c r="Y1393" s="44"/>
      <c r="Z1393" s="44"/>
      <c r="AA1393" s="44"/>
      <c r="AB1393" s="44"/>
      <c r="AC1393" s="44"/>
      <c r="AD1393" s="44"/>
      <c r="AE1393" s="44"/>
      <c r="AF1393" s="44"/>
      <c r="AG1393" s="44"/>
      <c r="AH1393" s="44"/>
      <c r="AI1393" s="44"/>
      <c r="AJ1393" s="44"/>
      <c r="AK1393" s="44"/>
      <c r="AL1393" s="44"/>
      <c r="AM1393" s="44"/>
      <c r="AN1393" s="44"/>
      <c r="AO1393" s="44"/>
      <c r="AP1393" s="44"/>
      <c r="AQ1393" s="44"/>
      <c r="AR1393" s="44"/>
      <c r="AS1393" s="44"/>
      <c r="AT1393" s="44"/>
      <c r="AW1393" s="44"/>
      <c r="AX1393" s="1"/>
      <c r="AY1393" s="1"/>
      <c r="BC1393" s="1"/>
      <c r="BD1393" s="1"/>
      <c r="BE1393" s="1"/>
      <c r="BF1393" s="1"/>
      <c r="BG1393" s="1"/>
      <c r="BH1393" s="1"/>
      <c r="BI1393" s="1"/>
      <c r="BJ1393" s="1"/>
      <c r="BK1393" s="44"/>
    </row>
    <row r="1394" spans="1:63" s="11" customFormat="1" ht="12" customHeight="1" x14ac:dyDescent="0.15">
      <c r="A1394" s="44" t="s">
        <v>23683</v>
      </c>
      <c r="B1394" s="68">
        <v>39</v>
      </c>
      <c r="C1394" s="44" t="s">
        <v>20</v>
      </c>
      <c r="D1394" s="44" t="s">
        <v>37</v>
      </c>
      <c r="E1394" s="44"/>
      <c r="F1394" s="69">
        <v>42494</v>
      </c>
      <c r="G1394" s="44" t="s">
        <v>23684</v>
      </c>
      <c r="H1394" s="44" t="s">
        <v>7997</v>
      </c>
      <c r="I1394" s="44" t="s">
        <v>303</v>
      </c>
      <c r="J1394" s="44">
        <v>98166</v>
      </c>
      <c r="K1394" s="44" t="s">
        <v>1209</v>
      </c>
      <c r="L1394" s="44" t="s">
        <v>7999</v>
      </c>
      <c r="M1394" s="44" t="s">
        <v>27</v>
      </c>
      <c r="N1394" s="44" t="s">
        <v>23685</v>
      </c>
      <c r="O1394" s="44" t="s">
        <v>400</v>
      </c>
      <c r="P1394" s="44" t="s">
        <v>401</v>
      </c>
      <c r="Q1394" s="44" t="s">
        <v>23686</v>
      </c>
      <c r="R1394" s="44" t="s">
        <v>100</v>
      </c>
      <c r="S1394" s="44" t="s">
        <v>28</v>
      </c>
      <c r="T1394" s="68" t="s">
        <v>27756</v>
      </c>
      <c r="U1394" s="68" t="s">
        <v>29438</v>
      </c>
      <c r="V1394" s="68" t="s">
        <v>29437</v>
      </c>
      <c r="W1394" s="68" t="s">
        <v>100</v>
      </c>
      <c r="X1394" s="68">
        <v>1511</v>
      </c>
      <c r="Y1394" s="44"/>
      <c r="Z1394" s="44"/>
      <c r="AA1394" s="44"/>
      <c r="AB1394" s="44"/>
      <c r="AC1394" s="44"/>
      <c r="AD1394" s="44"/>
      <c r="AE1394" s="44"/>
      <c r="AF1394" s="44"/>
      <c r="AG1394" s="44"/>
      <c r="AH1394" s="44"/>
      <c r="AI1394" s="44"/>
      <c r="AJ1394" s="44"/>
      <c r="AK1394" s="44"/>
      <c r="AL1394" s="44"/>
      <c r="AM1394" s="44"/>
      <c r="AN1394" s="44"/>
      <c r="AO1394" s="44"/>
      <c r="AP1394" s="44"/>
      <c r="AQ1394" s="44"/>
      <c r="AR1394" s="44"/>
      <c r="AS1394" s="44"/>
      <c r="AT1394" s="44"/>
      <c r="AW1394" s="44"/>
      <c r="AX1394" s="1"/>
      <c r="AY1394" s="1"/>
      <c r="BC1394" s="1"/>
      <c r="BD1394" s="1"/>
      <c r="BE1394" s="1"/>
      <c r="BF1394" s="1"/>
      <c r="BG1394" s="1"/>
      <c r="BH1394" s="1"/>
      <c r="BI1394" s="1"/>
      <c r="BJ1394" s="1"/>
      <c r="BK1394" s="44"/>
    </row>
    <row r="1395" spans="1:63" s="11" customFormat="1" ht="12" customHeight="1" x14ac:dyDescent="0.15">
      <c r="A1395" s="44" t="s">
        <v>23624</v>
      </c>
      <c r="B1395" s="68">
        <v>52</v>
      </c>
      <c r="C1395" s="44" t="s">
        <v>20</v>
      </c>
      <c r="D1395" s="44" t="s">
        <v>37</v>
      </c>
      <c r="E1395" s="44"/>
      <c r="F1395" s="69">
        <v>42494</v>
      </c>
      <c r="G1395" s="44" t="s">
        <v>24405</v>
      </c>
      <c r="H1395" s="44" t="s">
        <v>1100</v>
      </c>
      <c r="I1395" s="44" t="s">
        <v>404</v>
      </c>
      <c r="J1395" s="44">
        <v>19151</v>
      </c>
      <c r="K1395" s="44" t="s">
        <v>1100</v>
      </c>
      <c r="L1395" s="44" t="s">
        <v>1101</v>
      </c>
      <c r="M1395" s="44" t="s">
        <v>27</v>
      </c>
      <c r="N1395" s="44" t="s">
        <v>23692</v>
      </c>
      <c r="O1395" s="44" t="s">
        <v>400</v>
      </c>
      <c r="P1395" s="44" t="s">
        <v>401</v>
      </c>
      <c r="Q1395" s="44" t="s">
        <v>23693</v>
      </c>
      <c r="R1395" s="44" t="s">
        <v>100</v>
      </c>
      <c r="S1395" s="13" t="s">
        <v>379</v>
      </c>
      <c r="T1395" s="68" t="s">
        <v>379</v>
      </c>
      <c r="U1395" s="68" t="s">
        <v>29436</v>
      </c>
      <c r="V1395" s="68" t="s">
        <v>29439</v>
      </c>
      <c r="W1395" s="68" t="s">
        <v>100</v>
      </c>
      <c r="X1395" s="68">
        <v>1509</v>
      </c>
      <c r="Y1395" s="44"/>
      <c r="Z1395" s="44"/>
      <c r="AA1395" s="44"/>
      <c r="AB1395" s="44"/>
      <c r="AC1395" s="44"/>
      <c r="AD1395" s="44"/>
      <c r="AE1395" s="44"/>
      <c r="AF1395" s="44"/>
      <c r="AG1395" s="44"/>
      <c r="AH1395" s="44"/>
      <c r="AI1395" s="44"/>
      <c r="AJ1395" s="44"/>
      <c r="AK1395" s="44"/>
      <c r="AL1395" s="44"/>
      <c r="AM1395" s="44"/>
      <c r="AN1395" s="44"/>
      <c r="AO1395" s="44"/>
      <c r="AP1395" s="44"/>
      <c r="AQ1395" s="44"/>
      <c r="AR1395" s="44"/>
      <c r="AS1395" s="44"/>
      <c r="AT1395" s="44"/>
      <c r="AW1395" s="1"/>
      <c r="AX1395" s="1"/>
      <c r="AY1395" s="1"/>
      <c r="BC1395" s="1"/>
      <c r="BD1395" s="1"/>
      <c r="BE1395" s="1"/>
      <c r="BF1395" s="1"/>
      <c r="BG1395" s="1"/>
      <c r="BH1395" s="1"/>
      <c r="BI1395" s="1"/>
      <c r="BJ1395" s="1"/>
      <c r="BK1395" s="44"/>
    </row>
    <row r="1396" spans="1:63" s="11" customFormat="1" ht="12" customHeight="1" x14ac:dyDescent="0.2">
      <c r="A1396" s="44" t="s">
        <v>23625</v>
      </c>
      <c r="B1396" s="68">
        <v>18</v>
      </c>
      <c r="C1396" s="44" t="s">
        <v>20</v>
      </c>
      <c r="D1396" s="44" t="s">
        <v>30</v>
      </c>
      <c r="E1396" s="44"/>
      <c r="F1396" s="69">
        <v>42494</v>
      </c>
      <c r="G1396" s="44" t="s">
        <v>23626</v>
      </c>
      <c r="H1396" s="44" t="s">
        <v>18037</v>
      </c>
      <c r="I1396" s="44" t="s">
        <v>45</v>
      </c>
      <c r="J1396" s="44">
        <v>92592</v>
      </c>
      <c r="K1396" s="44" t="s">
        <v>783</v>
      </c>
      <c r="L1396" s="44" t="s">
        <v>23627</v>
      </c>
      <c r="M1396" s="44" t="s">
        <v>27</v>
      </c>
      <c r="N1396" s="44" t="s">
        <v>23681</v>
      </c>
      <c r="O1396" s="44" t="s">
        <v>400</v>
      </c>
      <c r="P1396" s="44" t="s">
        <v>401</v>
      </c>
      <c r="Q1396" s="44" t="s">
        <v>23682</v>
      </c>
      <c r="R1396" s="44" t="s">
        <v>29</v>
      </c>
      <c r="S1396" s="44" t="s">
        <v>28</v>
      </c>
      <c r="T1396" s="68" t="s">
        <v>29493</v>
      </c>
      <c r="U1396" s="68" t="s">
        <v>29436</v>
      </c>
      <c r="V1396" s="68" t="s">
        <v>29439</v>
      </c>
      <c r="W1396" s="68" t="s">
        <v>100</v>
      </c>
      <c r="X1396" s="68">
        <v>1512</v>
      </c>
      <c r="Y1396" s="44"/>
      <c r="Z1396" s="44"/>
      <c r="AA1396" s="44"/>
      <c r="AB1396" s="44"/>
      <c r="AC1396" s="44"/>
      <c r="AD1396" s="44"/>
      <c r="AE1396" s="44"/>
      <c r="AF1396" s="44"/>
      <c r="AG1396" s="44"/>
      <c r="AH1396" s="44"/>
      <c r="AI1396" s="44"/>
      <c r="AJ1396" s="44"/>
      <c r="AK1396" s="44"/>
      <c r="AL1396" s="44"/>
      <c r="AM1396" s="44"/>
      <c r="AN1396" s="44"/>
      <c r="AO1396" s="44"/>
      <c r="AP1396" s="44"/>
      <c r="AQ1396" s="44"/>
      <c r="AR1396" s="44"/>
      <c r="AS1396" s="44"/>
      <c r="AT1396" s="44"/>
      <c r="AW1396" s="70"/>
      <c r="AX1396" s="1"/>
      <c r="AY1396" s="1"/>
      <c r="BA1396" s="1"/>
      <c r="BB1396" s="1"/>
      <c r="BC1396" s="1"/>
      <c r="BD1396" s="1"/>
      <c r="BE1396" s="1"/>
      <c r="BF1396" s="1"/>
      <c r="BG1396" s="1"/>
      <c r="BH1396" s="1"/>
      <c r="BI1396" s="1"/>
      <c r="BJ1396" s="1"/>
      <c r="BK1396" s="44"/>
    </row>
    <row r="1397" spans="1:63" s="11" customFormat="1" ht="12" customHeight="1" x14ac:dyDescent="0.15">
      <c r="A1397" s="44" t="s">
        <v>23687</v>
      </c>
      <c r="B1397" s="68">
        <v>40</v>
      </c>
      <c r="C1397" s="44" t="s">
        <v>20</v>
      </c>
      <c r="D1397" s="44" t="s">
        <v>37</v>
      </c>
      <c r="E1397" s="44"/>
      <c r="F1397" s="69">
        <v>42494</v>
      </c>
      <c r="G1397" s="44" t="s">
        <v>23688</v>
      </c>
      <c r="H1397" s="44" t="s">
        <v>13265</v>
      </c>
      <c r="I1397" s="44" t="s">
        <v>431</v>
      </c>
      <c r="J1397" s="44">
        <v>65622</v>
      </c>
      <c r="K1397" s="44" t="s">
        <v>285</v>
      </c>
      <c r="L1397" s="44" t="s">
        <v>23689</v>
      </c>
      <c r="M1397" s="44" t="s">
        <v>27</v>
      </c>
      <c r="N1397" s="44" t="s">
        <v>23690</v>
      </c>
      <c r="O1397" s="44" t="s">
        <v>400</v>
      </c>
      <c r="P1397" s="44" t="s">
        <v>401</v>
      </c>
      <c r="Q1397" s="44" t="s">
        <v>23691</v>
      </c>
      <c r="R1397" s="44" t="s">
        <v>29</v>
      </c>
      <c r="S1397" s="44" t="s">
        <v>35</v>
      </c>
      <c r="T1397" s="66" t="s">
        <v>29441</v>
      </c>
      <c r="U1397" s="68" t="s">
        <v>29438</v>
      </c>
      <c r="V1397" s="68" t="s">
        <v>29439</v>
      </c>
      <c r="W1397" s="68" t="s">
        <v>100</v>
      </c>
      <c r="X1397" s="68">
        <v>1513</v>
      </c>
      <c r="Y1397" s="44"/>
      <c r="Z1397" s="44"/>
      <c r="AA1397" s="44"/>
      <c r="AB1397" s="44"/>
      <c r="AC1397" s="44"/>
      <c r="AD1397" s="44"/>
      <c r="AE1397" s="44"/>
      <c r="AF1397" s="44"/>
      <c r="AG1397" s="44"/>
      <c r="AH1397" s="44"/>
      <c r="AI1397" s="44"/>
      <c r="AJ1397" s="44"/>
      <c r="AK1397" s="44"/>
      <c r="AL1397" s="44"/>
      <c r="AM1397" s="44"/>
      <c r="AN1397" s="44"/>
      <c r="AO1397" s="44"/>
      <c r="AP1397" s="44"/>
      <c r="AQ1397" s="44"/>
      <c r="AR1397" s="44"/>
      <c r="AS1397" s="44"/>
      <c r="AT1397" s="44"/>
      <c r="AW1397" s="44"/>
      <c r="AX1397" s="1"/>
      <c r="AY1397" s="1"/>
      <c r="BA1397" s="1"/>
      <c r="BB1397" s="1"/>
      <c r="BC1397" s="1"/>
      <c r="BD1397" s="1"/>
      <c r="BE1397" s="1"/>
      <c r="BF1397" s="1"/>
      <c r="BG1397" s="1"/>
      <c r="BH1397" s="1"/>
      <c r="BI1397" s="1"/>
      <c r="BJ1397" s="1"/>
      <c r="BK1397" s="1"/>
    </row>
    <row r="1398" spans="1:63" s="11" customFormat="1" ht="12" customHeight="1" x14ac:dyDescent="0.15">
      <c r="A1398" s="44" t="s">
        <v>23675</v>
      </c>
      <c r="B1398" s="44">
        <v>67</v>
      </c>
      <c r="C1398" s="44" t="s">
        <v>20</v>
      </c>
      <c r="D1398" s="44" t="s">
        <v>30</v>
      </c>
      <c r="E1398" s="44"/>
      <c r="F1398" s="72">
        <v>42493</v>
      </c>
      <c r="G1398" s="44" t="s">
        <v>23676</v>
      </c>
      <c r="H1398" s="44" t="s">
        <v>23677</v>
      </c>
      <c r="I1398" s="44" t="s">
        <v>52</v>
      </c>
      <c r="J1398" s="44">
        <v>21842</v>
      </c>
      <c r="K1398" s="44" t="s">
        <v>950</v>
      </c>
      <c r="L1398" s="44" t="s">
        <v>23678</v>
      </c>
      <c r="M1398" s="44" t="s">
        <v>379</v>
      </c>
      <c r="N1398" s="44" t="s">
        <v>23679</v>
      </c>
      <c r="O1398" s="44" t="s">
        <v>400</v>
      </c>
      <c r="P1398" s="44" t="s">
        <v>401</v>
      </c>
      <c r="Q1398" s="44" t="s">
        <v>23680</v>
      </c>
      <c r="R1398" s="44" t="s">
        <v>100</v>
      </c>
      <c r="S1398" s="44" t="s">
        <v>28</v>
      </c>
      <c r="T1398" s="44"/>
      <c r="U1398" s="44"/>
      <c r="V1398" s="44"/>
      <c r="W1398" s="44"/>
      <c r="X1398" s="44"/>
      <c r="Y1398" s="44"/>
      <c r="Z1398" s="44"/>
      <c r="AA1398" s="44"/>
      <c r="AB1398" s="44"/>
      <c r="AC1398" s="44"/>
      <c r="AD1398" s="44"/>
      <c r="AE1398" s="44"/>
      <c r="AF1398" s="44"/>
      <c r="AG1398" s="44"/>
      <c r="AH1398" s="44"/>
      <c r="AI1398" s="44"/>
      <c r="AJ1398" s="44"/>
      <c r="AK1398" s="44"/>
      <c r="AL1398" s="44"/>
      <c r="AM1398" s="44"/>
      <c r="AN1398" s="44"/>
      <c r="AO1398" s="44"/>
      <c r="AP1398" s="44"/>
      <c r="AQ1398" s="44"/>
      <c r="AR1398" s="44"/>
      <c r="AS1398" s="44"/>
      <c r="AT1398" s="44"/>
      <c r="AU1398" s="44"/>
      <c r="AV1398" s="44"/>
      <c r="AW1398" s="44"/>
      <c r="AX1398" s="1"/>
      <c r="AY1398" s="1"/>
      <c r="AZ1398" s="1"/>
      <c r="BA1398" s="1"/>
      <c r="BB1398" s="1"/>
      <c r="BC1398" s="1"/>
      <c r="BD1398" s="1"/>
      <c r="BE1398" s="1"/>
      <c r="BF1398" s="1"/>
      <c r="BG1398" s="1"/>
      <c r="BH1398" s="1"/>
      <c r="BI1398" s="1"/>
      <c r="BJ1398" s="1"/>
      <c r="BK1398" s="1"/>
    </row>
    <row r="1399" spans="1:63" s="11" customFormat="1" ht="12" customHeight="1" x14ac:dyDescent="0.15">
      <c r="A1399" s="44" t="s">
        <v>23622</v>
      </c>
      <c r="B1399" s="68">
        <v>59</v>
      </c>
      <c r="C1399" s="44" t="s">
        <v>20</v>
      </c>
      <c r="D1399" s="44" t="s">
        <v>37</v>
      </c>
      <c r="E1399" s="44"/>
      <c r="F1399" s="69">
        <v>42493</v>
      </c>
      <c r="G1399" s="44" t="s">
        <v>23623</v>
      </c>
      <c r="H1399" s="44" t="s">
        <v>1747</v>
      </c>
      <c r="I1399" s="44" t="s">
        <v>45</v>
      </c>
      <c r="J1399" s="44">
        <v>93292</v>
      </c>
      <c r="K1399" s="44" t="s">
        <v>1163</v>
      </c>
      <c r="L1399" s="44" t="s">
        <v>1749</v>
      </c>
      <c r="M1399" s="44" t="s">
        <v>27</v>
      </c>
      <c r="N1399" s="44" t="s">
        <v>23673</v>
      </c>
      <c r="O1399" s="44" t="s">
        <v>400</v>
      </c>
      <c r="P1399" s="44" t="s">
        <v>401</v>
      </c>
      <c r="Q1399" s="44" t="s">
        <v>23674</v>
      </c>
      <c r="R1399" s="44" t="s">
        <v>555</v>
      </c>
      <c r="S1399" s="44" t="s">
        <v>28</v>
      </c>
      <c r="T1399" s="68" t="s">
        <v>29493</v>
      </c>
      <c r="U1399" s="68" t="s">
        <v>29436</v>
      </c>
      <c r="V1399" s="68" t="s">
        <v>29439</v>
      </c>
      <c r="W1399" s="68" t="s">
        <v>100</v>
      </c>
      <c r="X1399" s="68">
        <v>1510</v>
      </c>
      <c r="Y1399" s="44"/>
      <c r="Z1399" s="44"/>
      <c r="AA1399" s="44"/>
      <c r="AB1399" s="44"/>
      <c r="AC1399" s="44"/>
      <c r="AD1399" s="44"/>
      <c r="AE1399" s="44"/>
      <c r="AF1399" s="44"/>
      <c r="AG1399" s="44"/>
      <c r="AH1399" s="44"/>
      <c r="AI1399" s="44"/>
      <c r="AJ1399" s="44"/>
      <c r="AK1399" s="44"/>
      <c r="AL1399" s="44"/>
      <c r="AM1399" s="44"/>
      <c r="AN1399" s="44"/>
      <c r="AO1399" s="44"/>
      <c r="AP1399" s="44"/>
      <c r="AQ1399" s="44"/>
      <c r="AR1399" s="44"/>
      <c r="AS1399" s="44"/>
      <c r="AT1399" s="44"/>
      <c r="AW1399" s="1"/>
      <c r="AX1399" s="1"/>
      <c r="AY1399" s="1"/>
      <c r="BA1399" s="1"/>
      <c r="BB1399" s="1"/>
      <c r="BC1399" s="1"/>
      <c r="BD1399" s="1"/>
      <c r="BE1399" s="1"/>
      <c r="BF1399" s="1"/>
      <c r="BG1399" s="1"/>
      <c r="BH1399" s="1"/>
      <c r="BI1399" s="1"/>
      <c r="BJ1399" s="1"/>
      <c r="BK1399" s="44"/>
    </row>
    <row r="1400" spans="1:63" s="11" customFormat="1" ht="12" customHeight="1" x14ac:dyDescent="0.15">
      <c r="A1400" s="44" t="s">
        <v>23668</v>
      </c>
      <c r="B1400" s="68">
        <v>52</v>
      </c>
      <c r="C1400" s="44" t="s">
        <v>20</v>
      </c>
      <c r="D1400" s="44" t="s">
        <v>85</v>
      </c>
      <c r="E1400" s="44" t="s">
        <v>23669</v>
      </c>
      <c r="F1400" s="69">
        <v>42492</v>
      </c>
      <c r="G1400" s="44" t="s">
        <v>23670</v>
      </c>
      <c r="H1400" s="44" t="s">
        <v>20393</v>
      </c>
      <c r="I1400" s="44" t="s">
        <v>32</v>
      </c>
      <c r="J1400" s="44">
        <v>29687</v>
      </c>
      <c r="K1400" s="44" t="s">
        <v>33</v>
      </c>
      <c r="L1400" s="44" t="s">
        <v>34</v>
      </c>
      <c r="M1400" s="44" t="s">
        <v>27</v>
      </c>
      <c r="N1400" s="44" t="s">
        <v>23671</v>
      </c>
      <c r="O1400" s="44" t="s">
        <v>400</v>
      </c>
      <c r="P1400" s="44" t="s">
        <v>401</v>
      </c>
      <c r="Q1400" s="44" t="s">
        <v>23672</v>
      </c>
      <c r="R1400" s="44" t="s">
        <v>100</v>
      </c>
      <c r="S1400" s="44" t="s">
        <v>28</v>
      </c>
      <c r="T1400" s="68" t="s">
        <v>27756</v>
      </c>
      <c r="U1400" s="68" t="s">
        <v>29438</v>
      </c>
      <c r="V1400" s="68" t="s">
        <v>29439</v>
      </c>
      <c r="W1400" s="68" t="s">
        <v>100</v>
      </c>
      <c r="X1400" s="68">
        <v>1842</v>
      </c>
      <c r="Y1400" s="44"/>
      <c r="Z1400" s="44"/>
      <c r="AA1400" s="44"/>
      <c r="AB1400" s="44"/>
      <c r="AC1400" s="44"/>
      <c r="AD1400" s="44"/>
      <c r="AE1400" s="44"/>
      <c r="AF1400" s="44"/>
      <c r="AG1400" s="44"/>
      <c r="AH1400" s="44"/>
      <c r="AI1400" s="44"/>
      <c r="AJ1400" s="44"/>
      <c r="AK1400" s="44"/>
      <c r="AL1400" s="44"/>
      <c r="AM1400" s="44"/>
      <c r="AN1400" s="44"/>
      <c r="AO1400" s="44"/>
      <c r="AP1400" s="44"/>
      <c r="AQ1400" s="44"/>
      <c r="AR1400" s="44"/>
      <c r="AS1400" s="44"/>
      <c r="AT1400" s="44"/>
      <c r="AW1400" s="1"/>
      <c r="AX1400" s="44"/>
      <c r="AY1400" s="44"/>
      <c r="BK1400" s="44"/>
    </row>
    <row r="1401" spans="1:63" s="11" customFormat="1" ht="12" customHeight="1" x14ac:dyDescent="0.15">
      <c r="A1401" s="44" t="s">
        <v>23659</v>
      </c>
      <c r="B1401" s="44">
        <v>26</v>
      </c>
      <c r="C1401" s="44" t="s">
        <v>20</v>
      </c>
      <c r="D1401" s="44" t="s">
        <v>85</v>
      </c>
      <c r="E1401" s="44" t="s">
        <v>23663</v>
      </c>
      <c r="F1401" s="72">
        <v>42491</v>
      </c>
      <c r="G1401" s="44" t="s">
        <v>23664</v>
      </c>
      <c r="H1401" s="44" t="s">
        <v>252</v>
      </c>
      <c r="I1401" s="44" t="s">
        <v>32</v>
      </c>
      <c r="J1401" s="44">
        <v>29621</v>
      </c>
      <c r="K1401" s="44" t="s">
        <v>252</v>
      </c>
      <c r="L1401" s="44" t="s">
        <v>12455</v>
      </c>
      <c r="M1401" s="44" t="s">
        <v>391</v>
      </c>
      <c r="N1401" s="44" t="s">
        <v>24370</v>
      </c>
      <c r="O1401" s="44" t="s">
        <v>400</v>
      </c>
      <c r="P1401" s="44" t="s">
        <v>401</v>
      </c>
      <c r="Q1401" s="44" t="s">
        <v>23660</v>
      </c>
      <c r="R1401" s="11" t="s">
        <v>964</v>
      </c>
      <c r="S1401" s="44" t="s">
        <v>28</v>
      </c>
      <c r="T1401" s="44"/>
      <c r="U1401" s="44"/>
      <c r="V1401" s="44"/>
      <c r="W1401" s="44"/>
      <c r="X1401" s="44"/>
      <c r="Y1401" s="44"/>
      <c r="Z1401" s="44"/>
      <c r="AA1401" s="44"/>
      <c r="AB1401" s="44"/>
      <c r="AC1401" s="44"/>
      <c r="AD1401" s="44"/>
      <c r="AE1401" s="44"/>
      <c r="AF1401" s="44"/>
      <c r="AG1401" s="44"/>
      <c r="AH1401" s="44"/>
      <c r="AI1401" s="44"/>
      <c r="AJ1401" s="44"/>
      <c r="AK1401" s="44"/>
      <c r="AL1401" s="44"/>
      <c r="AM1401" s="44"/>
      <c r="AN1401" s="44"/>
      <c r="AO1401" s="44"/>
      <c r="AP1401" s="44"/>
      <c r="AQ1401" s="44"/>
      <c r="AR1401" s="44"/>
      <c r="AS1401" s="44"/>
      <c r="AT1401" s="44"/>
      <c r="AU1401" s="1"/>
      <c r="AV1401" s="1"/>
      <c r="AW1401" s="1"/>
      <c r="AX1401" s="44"/>
      <c r="AY1401" s="44"/>
      <c r="AZ1401" s="1"/>
      <c r="BA1401" s="1"/>
      <c r="BB1401" s="1"/>
      <c r="BK1401" s="1"/>
    </row>
    <row r="1402" spans="1:63" s="11" customFormat="1" ht="12" customHeight="1" x14ac:dyDescent="0.15">
      <c r="A1402" s="44" t="s">
        <v>23619</v>
      </c>
      <c r="B1402" s="68">
        <v>25</v>
      </c>
      <c r="C1402" s="44" t="s">
        <v>20</v>
      </c>
      <c r="D1402" s="44" t="s">
        <v>85</v>
      </c>
      <c r="E1402" s="44"/>
      <c r="F1402" s="69">
        <v>42491</v>
      </c>
      <c r="G1402" s="44" t="s">
        <v>24406</v>
      </c>
      <c r="H1402" s="44" t="s">
        <v>1060</v>
      </c>
      <c r="I1402" s="44" t="s">
        <v>62</v>
      </c>
      <c r="J1402" s="44">
        <v>32805</v>
      </c>
      <c r="K1402" s="44" t="s">
        <v>1061</v>
      </c>
      <c r="L1402" s="44" t="s">
        <v>1062</v>
      </c>
      <c r="M1402" s="44" t="s">
        <v>27</v>
      </c>
      <c r="N1402" s="44" t="s">
        <v>23661</v>
      </c>
      <c r="O1402" s="44" t="s">
        <v>400</v>
      </c>
      <c r="P1402" s="44" t="s">
        <v>401</v>
      </c>
      <c r="Q1402" s="44" t="s">
        <v>23662</v>
      </c>
      <c r="R1402" s="44" t="s">
        <v>100</v>
      </c>
      <c r="S1402" s="44" t="s">
        <v>18</v>
      </c>
      <c r="T1402" s="68" t="s">
        <v>29612</v>
      </c>
      <c r="U1402" s="68" t="s">
        <v>29438</v>
      </c>
      <c r="V1402" s="68" t="s">
        <v>29439</v>
      </c>
      <c r="W1402" s="68" t="s">
        <v>100</v>
      </c>
      <c r="X1402" s="68">
        <v>1502</v>
      </c>
      <c r="Y1402" s="44"/>
      <c r="Z1402" s="44"/>
      <c r="AA1402" s="44"/>
      <c r="AB1402" s="44"/>
      <c r="AC1402" s="44"/>
      <c r="AD1402" s="44"/>
      <c r="AE1402" s="44"/>
      <c r="AF1402" s="44"/>
      <c r="AG1402" s="44"/>
      <c r="AH1402" s="44"/>
      <c r="AI1402" s="44"/>
      <c r="AJ1402" s="44"/>
      <c r="AK1402" s="44"/>
      <c r="AL1402" s="44"/>
      <c r="AM1402" s="44"/>
      <c r="AN1402" s="44"/>
      <c r="AO1402" s="44"/>
      <c r="AP1402" s="44"/>
      <c r="AQ1402" s="44"/>
      <c r="AR1402" s="44"/>
      <c r="AS1402" s="44"/>
      <c r="AT1402" s="44"/>
      <c r="AX1402" s="44"/>
      <c r="AY1402" s="44"/>
      <c r="BK1402" s="1"/>
    </row>
    <row r="1403" spans="1:63" s="11" customFormat="1" ht="12" customHeight="1" x14ac:dyDescent="0.2">
      <c r="A1403" s="44" t="s">
        <v>23620</v>
      </c>
      <c r="B1403" s="68">
        <v>28</v>
      </c>
      <c r="C1403" s="44" t="s">
        <v>20</v>
      </c>
      <c r="D1403" s="44" t="s">
        <v>37</v>
      </c>
      <c r="E1403" s="44"/>
      <c r="F1403" s="69">
        <v>42491</v>
      </c>
      <c r="G1403" s="44" t="s">
        <v>24407</v>
      </c>
      <c r="H1403" s="44" t="s">
        <v>23621</v>
      </c>
      <c r="I1403" s="44" t="s">
        <v>319</v>
      </c>
      <c r="J1403" s="44">
        <v>38001</v>
      </c>
      <c r="K1403" s="44" t="s">
        <v>23651</v>
      </c>
      <c r="L1403" s="44" t="s">
        <v>23665</v>
      </c>
      <c r="M1403" s="44" t="s">
        <v>27</v>
      </c>
      <c r="N1403" s="44" t="s">
        <v>23666</v>
      </c>
      <c r="O1403" s="44" t="s">
        <v>400</v>
      </c>
      <c r="P1403" s="44" t="s">
        <v>401</v>
      </c>
      <c r="Q1403" s="44" t="s">
        <v>23667</v>
      </c>
      <c r="R1403" s="68" t="s">
        <v>555</v>
      </c>
      <c r="S1403" s="44" t="s">
        <v>28</v>
      </c>
      <c r="T1403" s="68" t="s">
        <v>27756</v>
      </c>
      <c r="U1403" s="68" t="s">
        <v>29436</v>
      </c>
      <c r="V1403" s="68" t="s">
        <v>29439</v>
      </c>
      <c r="W1403" s="68" t="s">
        <v>100</v>
      </c>
      <c r="X1403" s="68">
        <v>1503</v>
      </c>
      <c r="Y1403" s="44"/>
      <c r="Z1403" s="44"/>
      <c r="AA1403" s="44"/>
      <c r="AB1403" s="44"/>
      <c r="AC1403" s="44"/>
      <c r="AD1403" s="44"/>
      <c r="AE1403" s="44"/>
      <c r="AF1403" s="44"/>
      <c r="AG1403" s="44"/>
      <c r="AH1403" s="44"/>
      <c r="AI1403" s="44"/>
      <c r="AJ1403" s="44"/>
      <c r="AK1403" s="44"/>
      <c r="AL1403" s="44"/>
      <c r="AM1403" s="44"/>
      <c r="AN1403" s="44"/>
      <c r="AO1403" s="44"/>
      <c r="AP1403" s="44"/>
      <c r="AQ1403" s="44"/>
      <c r="AR1403" s="44"/>
      <c r="AS1403" s="44"/>
      <c r="AT1403" s="44"/>
      <c r="AX1403" s="1"/>
      <c r="AY1403" s="1"/>
      <c r="BA1403" s="70"/>
      <c r="BB1403" s="44"/>
      <c r="BC1403" s="1"/>
      <c r="BD1403" s="1"/>
      <c r="BE1403" s="1"/>
      <c r="BF1403" s="1"/>
      <c r="BG1403" s="1"/>
      <c r="BH1403" s="1"/>
      <c r="BI1403" s="1"/>
      <c r="BJ1403" s="1"/>
      <c r="BK1403" s="44"/>
    </row>
    <row r="1404" spans="1:63" s="11" customFormat="1" ht="12" customHeight="1" x14ac:dyDescent="0.15">
      <c r="A1404" s="44" t="s">
        <v>23540</v>
      </c>
      <c r="B1404" s="68">
        <v>28</v>
      </c>
      <c r="C1404" s="44" t="s">
        <v>20</v>
      </c>
      <c r="D1404" s="44" t="s">
        <v>48</v>
      </c>
      <c r="E1404" s="44"/>
      <c r="F1404" s="69">
        <v>42490</v>
      </c>
      <c r="G1404" s="44" t="s">
        <v>23416</v>
      </c>
      <c r="H1404" s="44" t="s">
        <v>98</v>
      </c>
      <c r="I1404" s="44" t="s">
        <v>45</v>
      </c>
      <c r="J1404" s="48">
        <v>91343</v>
      </c>
      <c r="K1404" s="44" t="s">
        <v>98</v>
      </c>
      <c r="L1404" s="44" t="s">
        <v>99</v>
      </c>
      <c r="M1404" s="44" t="s">
        <v>27</v>
      </c>
      <c r="N1404" s="44" t="s">
        <v>23415</v>
      </c>
      <c r="O1404" s="44" t="s">
        <v>400</v>
      </c>
      <c r="P1404" s="44" t="s">
        <v>401</v>
      </c>
      <c r="Q1404" s="44" t="s">
        <v>23417</v>
      </c>
      <c r="R1404" s="44" t="s">
        <v>100</v>
      </c>
      <c r="S1404" s="44" t="s">
        <v>28</v>
      </c>
      <c r="T1404" s="68" t="s">
        <v>29493</v>
      </c>
      <c r="U1404" s="68" t="s">
        <v>29436</v>
      </c>
      <c r="V1404" s="68" t="s">
        <v>29439</v>
      </c>
      <c r="W1404" s="68" t="s">
        <v>555</v>
      </c>
      <c r="X1404" s="68">
        <v>1508</v>
      </c>
      <c r="Y1404" s="44"/>
      <c r="Z1404" s="44"/>
      <c r="AA1404" s="44"/>
      <c r="AB1404" s="44"/>
      <c r="AC1404" s="44"/>
      <c r="AD1404" s="44"/>
      <c r="AE1404" s="44"/>
      <c r="AF1404" s="44"/>
      <c r="AG1404" s="44"/>
      <c r="AH1404" s="44"/>
      <c r="AI1404" s="44"/>
      <c r="AW1404" s="44"/>
      <c r="AX1404" s="1"/>
      <c r="AY1404" s="1"/>
      <c r="BC1404" s="1"/>
      <c r="BD1404" s="1"/>
      <c r="BE1404" s="1"/>
      <c r="BF1404" s="1"/>
      <c r="BG1404" s="1"/>
      <c r="BH1404" s="1"/>
      <c r="BI1404" s="1"/>
      <c r="BJ1404" s="1"/>
      <c r="BK1404" s="44"/>
    </row>
    <row r="1405" spans="1:63" s="11" customFormat="1" ht="12" customHeight="1" x14ac:dyDescent="0.15">
      <c r="A1405" s="44" t="s">
        <v>23405</v>
      </c>
      <c r="B1405" s="68">
        <v>33</v>
      </c>
      <c r="C1405" s="44" t="s">
        <v>20</v>
      </c>
      <c r="D1405" s="44" t="s">
        <v>37</v>
      </c>
      <c r="E1405" s="44"/>
      <c r="F1405" s="69">
        <v>42490</v>
      </c>
      <c r="G1405" s="44" t="s">
        <v>23406</v>
      </c>
      <c r="H1405" s="44" t="s">
        <v>589</v>
      </c>
      <c r="I1405" s="44" t="s">
        <v>240</v>
      </c>
      <c r="J1405" s="48">
        <v>84660</v>
      </c>
      <c r="K1405" s="44" t="s">
        <v>590</v>
      </c>
      <c r="L1405" s="44" t="s">
        <v>23407</v>
      </c>
      <c r="M1405" s="44" t="s">
        <v>27</v>
      </c>
      <c r="N1405" s="44" t="s">
        <v>23408</v>
      </c>
      <c r="O1405" s="44" t="s">
        <v>400</v>
      </c>
      <c r="P1405" s="44" t="s">
        <v>401</v>
      </c>
      <c r="Q1405" s="44" t="s">
        <v>23409</v>
      </c>
      <c r="R1405" s="44" t="s">
        <v>100</v>
      </c>
      <c r="S1405" s="44" t="s">
        <v>28</v>
      </c>
      <c r="T1405" s="68" t="s">
        <v>29493</v>
      </c>
      <c r="U1405" s="68" t="s">
        <v>29436</v>
      </c>
      <c r="V1405" s="68" t="s">
        <v>29440</v>
      </c>
      <c r="W1405" s="68" t="s">
        <v>100</v>
      </c>
      <c r="X1405" s="68">
        <v>1505</v>
      </c>
      <c r="Y1405" s="44"/>
      <c r="Z1405" s="44"/>
      <c r="AA1405" s="44"/>
      <c r="AB1405" s="44"/>
      <c r="AC1405" s="44"/>
      <c r="AD1405" s="44"/>
      <c r="AE1405" s="44"/>
      <c r="AF1405" s="44"/>
      <c r="AG1405" s="44"/>
      <c r="AH1405" s="44"/>
      <c r="AI1405" s="44"/>
      <c r="AX1405" s="1"/>
      <c r="AY1405" s="1"/>
      <c r="BB1405" s="44"/>
      <c r="BC1405" s="1"/>
      <c r="BD1405" s="1"/>
      <c r="BE1405" s="1"/>
      <c r="BF1405" s="1"/>
      <c r="BG1405" s="1"/>
      <c r="BH1405" s="1"/>
      <c r="BI1405" s="1"/>
      <c r="BJ1405" s="1"/>
      <c r="BK1405" s="44"/>
    </row>
    <row r="1406" spans="1:63" s="11" customFormat="1" ht="12" customHeight="1" x14ac:dyDescent="0.15">
      <c r="A1406" s="44" t="s">
        <v>23487</v>
      </c>
      <c r="B1406" s="68">
        <v>42</v>
      </c>
      <c r="C1406" s="44" t="s">
        <v>20</v>
      </c>
      <c r="D1406" s="44" t="s">
        <v>37</v>
      </c>
      <c r="E1406" s="44"/>
      <c r="F1406" s="69">
        <v>42490</v>
      </c>
      <c r="G1406" s="44" t="s">
        <v>23412</v>
      </c>
      <c r="H1406" s="44" t="s">
        <v>23413</v>
      </c>
      <c r="I1406" s="44" t="s">
        <v>438</v>
      </c>
      <c r="J1406" s="48">
        <v>54403</v>
      </c>
      <c r="K1406" s="44" t="s">
        <v>23488</v>
      </c>
      <c r="L1406" s="44" t="s">
        <v>23411</v>
      </c>
      <c r="M1406" s="44" t="s">
        <v>27</v>
      </c>
      <c r="N1406" s="44" t="s">
        <v>23410</v>
      </c>
      <c r="O1406" s="44" t="s">
        <v>400</v>
      </c>
      <c r="P1406" s="44" t="s">
        <v>401</v>
      </c>
      <c r="Q1406" s="44" t="s">
        <v>23414</v>
      </c>
      <c r="R1406" s="44" t="s">
        <v>100</v>
      </c>
      <c r="S1406" s="44" t="s">
        <v>28</v>
      </c>
      <c r="T1406" s="68" t="s">
        <v>29493</v>
      </c>
      <c r="U1406" s="68" t="s">
        <v>29436</v>
      </c>
      <c r="V1406" s="68" t="s">
        <v>29439</v>
      </c>
      <c r="W1406" s="68" t="s">
        <v>100</v>
      </c>
      <c r="X1406" s="68">
        <v>1504</v>
      </c>
      <c r="Y1406" s="44"/>
      <c r="Z1406" s="44"/>
      <c r="AA1406" s="44"/>
      <c r="AB1406" s="44"/>
      <c r="AC1406" s="44"/>
      <c r="AD1406" s="44"/>
      <c r="AE1406" s="44"/>
      <c r="AF1406" s="44"/>
      <c r="AG1406" s="44"/>
      <c r="AH1406" s="44"/>
      <c r="AI1406" s="44"/>
      <c r="AW1406" s="1"/>
      <c r="AX1406" s="1"/>
      <c r="AY1406" s="1"/>
      <c r="BB1406" s="44"/>
      <c r="BC1406" s="1"/>
      <c r="BD1406" s="1"/>
      <c r="BE1406" s="1"/>
      <c r="BF1406" s="1"/>
      <c r="BG1406" s="1"/>
      <c r="BH1406" s="1"/>
      <c r="BI1406" s="1"/>
      <c r="BJ1406" s="1"/>
      <c r="BK1406" s="44"/>
    </row>
    <row r="1407" spans="1:63" s="11" customFormat="1" ht="12" customHeight="1" x14ac:dyDescent="0.15">
      <c r="A1407" s="44" t="s">
        <v>23395</v>
      </c>
      <c r="B1407" s="68">
        <v>55</v>
      </c>
      <c r="C1407" s="44" t="s">
        <v>20</v>
      </c>
      <c r="D1407" s="44" t="s">
        <v>37</v>
      </c>
      <c r="E1407" s="44"/>
      <c r="F1407" s="69">
        <v>42490</v>
      </c>
      <c r="G1407" s="44" t="s">
        <v>23396</v>
      </c>
      <c r="H1407" s="44" t="s">
        <v>23397</v>
      </c>
      <c r="I1407" s="44" t="s">
        <v>123</v>
      </c>
      <c r="J1407" s="48">
        <v>85143</v>
      </c>
      <c r="K1407" s="44" t="s">
        <v>2390</v>
      </c>
      <c r="L1407" s="44" t="s">
        <v>23398</v>
      </c>
      <c r="M1407" s="44" t="s">
        <v>27</v>
      </c>
      <c r="N1407" s="44" t="s">
        <v>23399</v>
      </c>
      <c r="O1407" s="44" t="s">
        <v>400</v>
      </c>
      <c r="P1407" s="44" t="s">
        <v>401</v>
      </c>
      <c r="Q1407" s="44" t="s">
        <v>23400</v>
      </c>
      <c r="R1407" s="44" t="s">
        <v>100</v>
      </c>
      <c r="S1407" s="44" t="s">
        <v>379</v>
      </c>
      <c r="T1407" s="68" t="s">
        <v>379</v>
      </c>
      <c r="U1407" s="68" t="s">
        <v>29438</v>
      </c>
      <c r="V1407" s="68" t="s">
        <v>29437</v>
      </c>
      <c r="W1407" s="68" t="s">
        <v>100</v>
      </c>
      <c r="X1407" s="68">
        <v>1507</v>
      </c>
      <c r="Y1407" s="44"/>
      <c r="Z1407" s="44"/>
      <c r="AA1407" s="44"/>
      <c r="AB1407" s="44"/>
      <c r="AC1407" s="44"/>
      <c r="AD1407" s="44"/>
      <c r="AE1407" s="44"/>
      <c r="AF1407" s="44"/>
      <c r="AG1407" s="44"/>
      <c r="AH1407" s="44"/>
      <c r="AI1407" s="44"/>
      <c r="AW1407" s="1"/>
      <c r="AX1407" s="1"/>
      <c r="AY1407" s="1"/>
      <c r="BB1407" s="44"/>
      <c r="BC1407" s="1"/>
      <c r="BD1407" s="1"/>
      <c r="BE1407" s="1"/>
      <c r="BF1407" s="1"/>
      <c r="BG1407" s="1"/>
      <c r="BH1407" s="1"/>
      <c r="BI1407" s="1"/>
      <c r="BJ1407" s="1"/>
      <c r="BK1407" s="44"/>
    </row>
    <row r="1408" spans="1:63" s="11" customFormat="1" ht="12" customHeight="1" x14ac:dyDescent="0.15">
      <c r="A1408" s="44" t="s">
        <v>18816</v>
      </c>
      <c r="B1408" s="44" t="s">
        <v>29</v>
      </c>
      <c r="C1408" s="44" t="s">
        <v>20</v>
      </c>
      <c r="D1408" s="44" t="s">
        <v>30</v>
      </c>
      <c r="E1408" s="44"/>
      <c r="F1408" s="72">
        <v>42489</v>
      </c>
      <c r="G1408" s="44" t="s">
        <v>23520</v>
      </c>
      <c r="H1408" s="44" t="s">
        <v>23519</v>
      </c>
      <c r="I1408" s="44" t="s">
        <v>117</v>
      </c>
      <c r="J1408" s="48">
        <v>97060</v>
      </c>
      <c r="K1408" s="44" t="s">
        <v>1563</v>
      </c>
      <c r="L1408" s="44" t="s">
        <v>23518</v>
      </c>
      <c r="M1408" s="44" t="s">
        <v>379</v>
      </c>
      <c r="N1408" s="44" t="s">
        <v>23516</v>
      </c>
      <c r="O1408" s="44" t="s">
        <v>400</v>
      </c>
      <c r="P1408" s="44" t="s">
        <v>401</v>
      </c>
      <c r="Q1408" s="44" t="s">
        <v>23517</v>
      </c>
      <c r="R1408" s="44" t="s">
        <v>100</v>
      </c>
      <c r="S1408" s="44" t="s">
        <v>18</v>
      </c>
      <c r="U1408" s="44"/>
      <c r="V1408" s="44"/>
      <c r="W1408" s="44"/>
      <c r="X1408" s="44"/>
      <c r="Y1408" s="44"/>
      <c r="Z1408" s="44"/>
      <c r="AA1408" s="44"/>
      <c r="AB1408" s="44"/>
      <c r="AC1408" s="44"/>
      <c r="AD1408" s="44"/>
      <c r="AE1408" s="44"/>
      <c r="AF1408" s="44"/>
      <c r="AG1408" s="44"/>
      <c r="AH1408" s="44"/>
      <c r="AI1408" s="44"/>
      <c r="AU1408" s="44"/>
      <c r="AV1408" s="44"/>
      <c r="AW1408" s="44"/>
      <c r="AX1408" s="1"/>
      <c r="AY1408" s="1"/>
      <c r="AZ1408" s="1"/>
      <c r="BA1408" s="1"/>
      <c r="BB1408" s="1"/>
      <c r="BC1408" s="1"/>
      <c r="BD1408" s="1"/>
      <c r="BE1408" s="1"/>
      <c r="BF1408" s="1"/>
      <c r="BG1408" s="1"/>
      <c r="BH1408" s="1"/>
      <c r="BI1408" s="1"/>
      <c r="BJ1408" s="1"/>
      <c r="BK1408" s="1"/>
    </row>
    <row r="1409" spans="1:63" s="11" customFormat="1" ht="12" customHeight="1" x14ac:dyDescent="0.15">
      <c r="A1409" s="44" t="s">
        <v>23401</v>
      </c>
      <c r="B1409" s="68">
        <v>48</v>
      </c>
      <c r="C1409" s="44" t="s">
        <v>20</v>
      </c>
      <c r="D1409" s="44" t="s">
        <v>37</v>
      </c>
      <c r="E1409" s="44" t="s">
        <v>23534</v>
      </c>
      <c r="F1409" s="69">
        <v>42489</v>
      </c>
      <c r="G1409" s="44" t="s">
        <v>23403</v>
      </c>
      <c r="H1409" s="44" t="s">
        <v>433</v>
      </c>
      <c r="I1409" s="44" t="s">
        <v>431</v>
      </c>
      <c r="J1409" s="48">
        <v>63755</v>
      </c>
      <c r="K1409" s="44" t="s">
        <v>23489</v>
      </c>
      <c r="L1409" s="44" t="s">
        <v>9915</v>
      </c>
      <c r="M1409" s="44" t="s">
        <v>27</v>
      </c>
      <c r="N1409" s="44" t="s">
        <v>23402</v>
      </c>
      <c r="O1409" s="44" t="s">
        <v>400</v>
      </c>
      <c r="P1409" s="44" t="s">
        <v>401</v>
      </c>
      <c r="Q1409" s="44" t="s">
        <v>23404</v>
      </c>
      <c r="R1409" s="44" t="s">
        <v>100</v>
      </c>
      <c r="S1409" s="44" t="s">
        <v>379</v>
      </c>
      <c r="T1409" s="68" t="s">
        <v>379</v>
      </c>
      <c r="U1409" s="68" t="s">
        <v>29438</v>
      </c>
      <c r="V1409" s="68" t="s">
        <v>29437</v>
      </c>
      <c r="W1409" s="68" t="s">
        <v>100</v>
      </c>
      <c r="X1409" s="68">
        <v>1506</v>
      </c>
      <c r="Y1409" s="44"/>
      <c r="Z1409" s="44"/>
      <c r="AA1409" s="44"/>
      <c r="AB1409" s="44"/>
      <c r="AC1409" s="44"/>
      <c r="AD1409" s="44"/>
      <c r="AE1409" s="44"/>
      <c r="AF1409" s="44"/>
      <c r="AG1409" s="44"/>
      <c r="AH1409" s="44"/>
      <c r="AI1409" s="44"/>
      <c r="AW1409" s="1"/>
      <c r="AX1409" s="1"/>
      <c r="AY1409" s="1"/>
      <c r="BB1409" s="44"/>
      <c r="BC1409" s="1"/>
      <c r="BD1409" s="1"/>
      <c r="BE1409" s="1"/>
      <c r="BF1409" s="1"/>
      <c r="BG1409" s="1"/>
      <c r="BH1409" s="1"/>
      <c r="BI1409" s="1"/>
      <c r="BJ1409" s="1"/>
      <c r="BK1409" s="44"/>
    </row>
    <row r="1410" spans="1:63" s="11" customFormat="1" ht="12" customHeight="1" x14ac:dyDescent="0.15">
      <c r="A1410" s="44" t="s">
        <v>23531</v>
      </c>
      <c r="B1410" s="68">
        <v>24</v>
      </c>
      <c r="C1410" s="44" t="s">
        <v>20</v>
      </c>
      <c r="D1410" s="44" t="s">
        <v>85</v>
      </c>
      <c r="E1410" s="44" t="s">
        <v>23532</v>
      </c>
      <c r="F1410" s="69">
        <v>42488</v>
      </c>
      <c r="G1410" s="44" t="s">
        <v>23250</v>
      </c>
      <c r="H1410" s="44" t="s">
        <v>723</v>
      </c>
      <c r="I1410" s="44" t="s">
        <v>73</v>
      </c>
      <c r="J1410" s="48">
        <v>77049</v>
      </c>
      <c r="K1410" s="44" t="s">
        <v>558</v>
      </c>
      <c r="L1410" s="44" t="s">
        <v>23251</v>
      </c>
      <c r="M1410" s="44" t="s">
        <v>27</v>
      </c>
      <c r="N1410" s="44" t="s">
        <v>23470</v>
      </c>
      <c r="O1410" s="44" t="s">
        <v>400</v>
      </c>
      <c r="P1410" s="44" t="s">
        <v>401</v>
      </c>
      <c r="Q1410" s="44" t="s">
        <v>23471</v>
      </c>
      <c r="R1410" s="44" t="s">
        <v>100</v>
      </c>
      <c r="S1410" s="68" t="s">
        <v>379</v>
      </c>
      <c r="T1410" s="68" t="s">
        <v>379</v>
      </c>
      <c r="U1410" s="68" t="s">
        <v>29436</v>
      </c>
      <c r="V1410" s="68" t="s">
        <v>29437</v>
      </c>
      <c r="W1410" s="68" t="s">
        <v>100</v>
      </c>
      <c r="X1410" s="68">
        <v>1501</v>
      </c>
      <c r="Y1410" s="44"/>
      <c r="Z1410" s="44"/>
      <c r="AA1410" s="44"/>
      <c r="AB1410" s="44"/>
      <c r="AC1410" s="44"/>
      <c r="AD1410" s="44"/>
      <c r="AE1410" s="44"/>
      <c r="AF1410" s="44"/>
      <c r="AG1410" s="44"/>
      <c r="AX1410" s="44"/>
      <c r="AY1410" s="44"/>
      <c r="BB1410" s="44"/>
      <c r="BK1410" s="44"/>
    </row>
    <row r="1411" spans="1:63" s="11" customFormat="1" ht="12" customHeight="1" x14ac:dyDescent="0.15">
      <c r="A1411" s="44" t="s">
        <v>23419</v>
      </c>
      <c r="B1411" s="68">
        <v>53</v>
      </c>
      <c r="C1411" s="44" t="s">
        <v>20</v>
      </c>
      <c r="D1411" s="44" t="s">
        <v>37</v>
      </c>
      <c r="E1411" s="44" t="s">
        <v>23533</v>
      </c>
      <c r="F1411" s="69">
        <v>42488</v>
      </c>
      <c r="G1411" s="44" t="s">
        <v>23253</v>
      </c>
      <c r="H1411" s="44" t="s">
        <v>4238</v>
      </c>
      <c r="I1411" s="44" t="s">
        <v>790</v>
      </c>
      <c r="J1411" s="48">
        <v>83709</v>
      </c>
      <c r="K1411" s="44" t="s">
        <v>4240</v>
      </c>
      <c r="L1411" s="44" t="s">
        <v>23254</v>
      </c>
      <c r="M1411" s="44" t="s">
        <v>27</v>
      </c>
      <c r="N1411" s="44" t="s">
        <v>23423</v>
      </c>
      <c r="O1411" s="44" t="s">
        <v>400</v>
      </c>
      <c r="P1411" s="44" t="s">
        <v>401</v>
      </c>
      <c r="Q1411" s="44" t="s">
        <v>23424</v>
      </c>
      <c r="R1411" s="44" t="s">
        <v>555</v>
      </c>
      <c r="S1411" s="44" t="s">
        <v>28</v>
      </c>
      <c r="T1411" s="68" t="s">
        <v>27756</v>
      </c>
      <c r="U1411" s="68" t="s">
        <v>29438</v>
      </c>
      <c r="V1411" s="68" t="s">
        <v>29439</v>
      </c>
      <c r="W1411" s="68" t="s">
        <v>555</v>
      </c>
      <c r="X1411" s="68">
        <v>1499</v>
      </c>
      <c r="Y1411" s="44"/>
      <c r="Z1411" s="44"/>
      <c r="AA1411" s="44"/>
      <c r="AB1411" s="44"/>
      <c r="AC1411" s="44"/>
      <c r="AD1411" s="44"/>
      <c r="AE1411" s="44"/>
      <c r="AF1411" s="44"/>
      <c r="AG1411" s="44"/>
      <c r="AH1411" s="44"/>
      <c r="AI1411" s="44"/>
      <c r="AW1411" s="1"/>
      <c r="AX1411" s="1"/>
      <c r="AY1411" s="1"/>
      <c r="BC1411" s="1"/>
      <c r="BD1411" s="1"/>
      <c r="BE1411" s="1"/>
      <c r="BF1411" s="1"/>
      <c r="BG1411" s="1"/>
      <c r="BH1411" s="1"/>
      <c r="BI1411" s="1"/>
      <c r="BJ1411" s="1"/>
      <c r="BK1411" s="44"/>
    </row>
    <row r="1412" spans="1:63" s="11" customFormat="1" ht="12" customHeight="1" x14ac:dyDescent="0.2">
      <c r="A1412" s="44" t="s">
        <v>23418</v>
      </c>
      <c r="B1412" s="68">
        <v>45</v>
      </c>
      <c r="C1412" s="44" t="s">
        <v>20</v>
      </c>
      <c r="D1412" s="68" t="s">
        <v>37</v>
      </c>
      <c r="E1412" s="44"/>
      <c r="F1412" s="69">
        <v>42488</v>
      </c>
      <c r="G1412" s="44" t="s">
        <v>23252</v>
      </c>
      <c r="H1412" s="44" t="s">
        <v>838</v>
      </c>
      <c r="I1412" s="44" t="s">
        <v>303</v>
      </c>
      <c r="J1412" s="48">
        <v>99201</v>
      </c>
      <c r="K1412" s="44" t="s">
        <v>838</v>
      </c>
      <c r="L1412" s="44" t="s">
        <v>839</v>
      </c>
      <c r="M1412" s="68" t="s">
        <v>5411</v>
      </c>
      <c r="N1412" s="44" t="s">
        <v>23421</v>
      </c>
      <c r="O1412" s="44" t="s">
        <v>400</v>
      </c>
      <c r="P1412" s="44" t="s">
        <v>401</v>
      </c>
      <c r="Q1412" s="44" t="s">
        <v>23422</v>
      </c>
      <c r="R1412" s="44" t="s">
        <v>555</v>
      </c>
      <c r="S1412" s="44" t="s">
        <v>28</v>
      </c>
      <c r="T1412" s="68" t="s">
        <v>29493</v>
      </c>
      <c r="U1412" s="68" t="s">
        <v>29436</v>
      </c>
      <c r="V1412" s="68" t="s">
        <v>29439</v>
      </c>
      <c r="W1412" s="68" t="s">
        <v>555</v>
      </c>
      <c r="X1412" s="68">
        <v>1500</v>
      </c>
      <c r="Y1412" s="44"/>
      <c r="Z1412" s="44"/>
      <c r="AA1412" s="44"/>
      <c r="AB1412" s="44"/>
      <c r="AC1412" s="44"/>
      <c r="AD1412" s="44"/>
      <c r="AE1412" s="44"/>
      <c r="AF1412" s="44"/>
      <c r="AG1412" s="44"/>
      <c r="AW1412" s="1"/>
      <c r="AX1412" s="1"/>
      <c r="AY1412" s="1"/>
      <c r="BB1412" s="70"/>
      <c r="BC1412" s="1"/>
      <c r="BD1412" s="1"/>
      <c r="BE1412" s="1"/>
      <c r="BF1412" s="1"/>
      <c r="BG1412" s="1"/>
      <c r="BH1412" s="1"/>
      <c r="BI1412" s="1"/>
      <c r="BJ1412" s="1"/>
      <c r="BK1412" s="1"/>
    </row>
    <row r="1413" spans="1:63" s="11" customFormat="1" ht="12" customHeight="1" x14ac:dyDescent="0.15">
      <c r="A1413" s="44" t="s">
        <v>23530</v>
      </c>
      <c r="B1413" s="68">
        <v>37</v>
      </c>
      <c r="C1413" s="44" t="s">
        <v>20</v>
      </c>
      <c r="D1413" s="44" t="s">
        <v>48</v>
      </c>
      <c r="E1413" s="44"/>
      <c r="F1413" s="69">
        <v>42488</v>
      </c>
      <c r="G1413" s="44" t="s">
        <v>23249</v>
      </c>
      <c r="H1413" s="44" t="s">
        <v>213</v>
      </c>
      <c r="I1413" s="44" t="s">
        <v>62</v>
      </c>
      <c r="J1413" s="48">
        <v>33128</v>
      </c>
      <c r="K1413" s="44" t="s">
        <v>161</v>
      </c>
      <c r="L1413" s="44" t="s">
        <v>456</v>
      </c>
      <c r="M1413" s="44" t="s">
        <v>27</v>
      </c>
      <c r="N1413" s="44" t="s">
        <v>23469</v>
      </c>
      <c r="O1413" s="44" t="s">
        <v>400</v>
      </c>
      <c r="P1413" s="44" t="s">
        <v>401</v>
      </c>
      <c r="Q1413" s="44" t="s">
        <v>23474</v>
      </c>
      <c r="R1413" s="1" t="s">
        <v>29</v>
      </c>
      <c r="S1413" s="44" t="s">
        <v>28</v>
      </c>
      <c r="T1413" s="68" t="s">
        <v>29493</v>
      </c>
      <c r="U1413" s="68" t="s">
        <v>29438</v>
      </c>
      <c r="V1413" s="68" t="s">
        <v>29439</v>
      </c>
      <c r="W1413" s="68" t="s">
        <v>100</v>
      </c>
      <c r="X1413" s="68">
        <v>1498</v>
      </c>
      <c r="Y1413" s="44"/>
      <c r="Z1413" s="44"/>
      <c r="AA1413" s="44"/>
      <c r="AB1413" s="44"/>
      <c r="AC1413" s="44"/>
      <c r="AD1413" s="44"/>
      <c r="AE1413" s="44"/>
      <c r="AF1413" s="44"/>
      <c r="AG1413" s="44"/>
      <c r="AH1413" s="44"/>
      <c r="AI1413" s="44"/>
      <c r="AW1413" s="44"/>
      <c r="AX1413" s="1"/>
      <c r="AY1413" s="1"/>
      <c r="BA1413" s="1"/>
      <c r="BB1413" s="1"/>
      <c r="BC1413" s="1"/>
      <c r="BD1413" s="1"/>
      <c r="BE1413" s="1"/>
      <c r="BF1413" s="1"/>
      <c r="BG1413" s="1"/>
      <c r="BH1413" s="1"/>
      <c r="BI1413" s="1"/>
      <c r="BJ1413" s="1"/>
      <c r="BK1413" s="44"/>
    </row>
    <row r="1414" spans="1:63" s="11" customFormat="1" ht="12" customHeight="1" x14ac:dyDescent="0.15">
      <c r="A1414" s="44" t="s">
        <v>23529</v>
      </c>
      <c r="B1414" s="68">
        <v>21</v>
      </c>
      <c r="C1414" s="44" t="s">
        <v>20</v>
      </c>
      <c r="D1414" s="44" t="s">
        <v>37</v>
      </c>
      <c r="E1414" s="44"/>
      <c r="F1414" s="69">
        <v>42487</v>
      </c>
      <c r="G1414" s="44" t="s">
        <v>23255</v>
      </c>
      <c r="H1414" s="44" t="s">
        <v>23256</v>
      </c>
      <c r="I1414" s="44" t="s">
        <v>209</v>
      </c>
      <c r="J1414" s="48">
        <v>80030</v>
      </c>
      <c r="K1414" s="44" t="s">
        <v>1778</v>
      </c>
      <c r="L1414" s="44" t="s">
        <v>23257</v>
      </c>
      <c r="M1414" s="44" t="s">
        <v>27</v>
      </c>
      <c r="N1414" s="44" t="s">
        <v>23472</v>
      </c>
      <c r="O1414" s="44" t="s">
        <v>400</v>
      </c>
      <c r="P1414" s="44" t="s">
        <v>401</v>
      </c>
      <c r="Q1414" s="44" t="s">
        <v>23473</v>
      </c>
      <c r="R1414" s="44" t="s">
        <v>100</v>
      </c>
      <c r="S1414" s="44" t="s">
        <v>28</v>
      </c>
      <c r="T1414" s="68" t="s">
        <v>27756</v>
      </c>
      <c r="U1414" s="68" t="s">
        <v>29438</v>
      </c>
      <c r="V1414" s="68" t="s">
        <v>29439</v>
      </c>
      <c r="W1414" s="68" t="s">
        <v>100</v>
      </c>
      <c r="X1414" s="68">
        <v>1495</v>
      </c>
      <c r="Y1414" s="44"/>
      <c r="Z1414" s="44"/>
      <c r="AA1414" s="44"/>
      <c r="AB1414" s="44"/>
      <c r="AC1414" s="44"/>
      <c r="AD1414" s="44"/>
      <c r="AE1414" s="44"/>
      <c r="AF1414" s="44"/>
      <c r="AG1414" s="44"/>
      <c r="AH1414" s="44"/>
      <c r="AI1414" s="44"/>
      <c r="AW1414" s="44"/>
      <c r="AX1414" s="1"/>
      <c r="AY1414" s="1"/>
      <c r="BB1414" s="44"/>
      <c r="BC1414" s="1"/>
      <c r="BD1414" s="1"/>
      <c r="BE1414" s="1"/>
      <c r="BF1414" s="1"/>
      <c r="BG1414" s="1"/>
      <c r="BH1414" s="1"/>
      <c r="BI1414" s="1"/>
      <c r="BJ1414" s="1"/>
    </row>
    <row r="1415" spans="1:63" s="11" customFormat="1" ht="12" customHeight="1" x14ac:dyDescent="0.15">
      <c r="A1415" s="66" t="s">
        <v>29593</v>
      </c>
      <c r="B1415" s="66">
        <v>36</v>
      </c>
      <c r="C1415" s="66" t="s">
        <v>20</v>
      </c>
      <c r="D1415" s="66" t="s">
        <v>37</v>
      </c>
      <c r="E1415" s="66"/>
      <c r="F1415" s="67">
        <v>42487</v>
      </c>
      <c r="G1415" s="67"/>
      <c r="H1415" s="66" t="s">
        <v>29592</v>
      </c>
      <c r="I1415" s="66" t="s">
        <v>240</v>
      </c>
      <c r="J1415" s="66"/>
      <c r="K1415" s="66"/>
      <c r="L1415" s="66"/>
      <c r="M1415" s="66" t="s">
        <v>27</v>
      </c>
      <c r="N1415" s="66"/>
      <c r="O1415" s="66" t="s">
        <v>400</v>
      </c>
      <c r="P1415" s="66" t="s">
        <v>401</v>
      </c>
      <c r="Q1415" s="66"/>
      <c r="R1415" s="66" t="s">
        <v>100</v>
      </c>
      <c r="S1415" s="66" t="s">
        <v>28</v>
      </c>
      <c r="T1415" s="66" t="s">
        <v>27756</v>
      </c>
      <c r="U1415" s="66" t="s">
        <v>29438</v>
      </c>
      <c r="V1415" s="66" t="s">
        <v>29439</v>
      </c>
      <c r="W1415" s="66" t="s">
        <v>100</v>
      </c>
      <c r="X1415" s="66">
        <v>1840</v>
      </c>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1"/>
      <c r="BD1415" s="1"/>
      <c r="BE1415" s="1"/>
      <c r="BF1415" s="1"/>
      <c r="BG1415" s="1"/>
      <c r="BH1415" s="1"/>
      <c r="BI1415" s="1"/>
      <c r="BJ1415" s="1"/>
      <c r="BK1415" s="44"/>
    </row>
    <row r="1416" spans="1:63" s="11" customFormat="1" ht="12" customHeight="1" x14ac:dyDescent="0.2">
      <c r="A1416" s="44" t="s">
        <v>23420</v>
      </c>
      <c r="B1416" s="68">
        <v>34</v>
      </c>
      <c r="C1416" s="44" t="s">
        <v>20</v>
      </c>
      <c r="D1416" s="44" t="s">
        <v>21</v>
      </c>
      <c r="E1416" s="44" t="s">
        <v>23535</v>
      </c>
      <c r="F1416" s="69">
        <v>42487</v>
      </c>
      <c r="G1416" s="44" t="s">
        <v>23258</v>
      </c>
      <c r="H1416" s="44" t="s">
        <v>1916</v>
      </c>
      <c r="I1416" s="44" t="s">
        <v>173</v>
      </c>
      <c r="J1416" s="48">
        <v>30345</v>
      </c>
      <c r="K1416" s="44" t="s">
        <v>861</v>
      </c>
      <c r="L1416" s="44" t="s">
        <v>862</v>
      </c>
      <c r="M1416" s="44" t="s">
        <v>27</v>
      </c>
      <c r="N1416" s="44" t="s">
        <v>23428</v>
      </c>
      <c r="O1416" s="44" t="s">
        <v>400</v>
      </c>
      <c r="P1416" s="44" t="s">
        <v>401</v>
      </c>
      <c r="Q1416" s="44" t="s">
        <v>23429</v>
      </c>
      <c r="R1416" s="44" t="s">
        <v>555</v>
      </c>
      <c r="S1416" s="44" t="s">
        <v>28</v>
      </c>
      <c r="T1416" s="68" t="s">
        <v>29459</v>
      </c>
      <c r="U1416" s="68" t="s">
        <v>29436</v>
      </c>
      <c r="V1416" s="68" t="s">
        <v>29439</v>
      </c>
      <c r="W1416" s="68" t="s">
        <v>100</v>
      </c>
      <c r="X1416" s="68">
        <v>1494</v>
      </c>
      <c r="Y1416" s="44"/>
      <c r="Z1416" s="44"/>
      <c r="AA1416" s="44"/>
      <c r="AB1416" s="44"/>
      <c r="AC1416" s="44"/>
      <c r="AD1416" s="44"/>
      <c r="AE1416" s="44"/>
      <c r="AF1416" s="44"/>
      <c r="AG1416" s="44"/>
      <c r="AH1416" s="44"/>
      <c r="AI1416" s="44"/>
      <c r="AX1416" s="70"/>
      <c r="AY1416" s="70"/>
      <c r="BA1416" s="1"/>
      <c r="BB1416" s="1"/>
      <c r="BC1416" s="70"/>
      <c r="BD1416" s="70"/>
      <c r="BE1416" s="70"/>
      <c r="BF1416" s="70"/>
      <c r="BG1416" s="70"/>
      <c r="BH1416" s="70"/>
      <c r="BI1416" s="70"/>
      <c r="BJ1416" s="70"/>
      <c r="BK1416" s="44"/>
    </row>
    <row r="1417" spans="1:63" s="11" customFormat="1" ht="12" customHeight="1" x14ac:dyDescent="0.15">
      <c r="A1417" s="44" t="s">
        <v>23425</v>
      </c>
      <c r="B1417" s="68">
        <v>28</v>
      </c>
      <c r="C1417" s="44" t="s">
        <v>20</v>
      </c>
      <c r="D1417" s="44" t="s">
        <v>37</v>
      </c>
      <c r="E1417" s="44" t="s">
        <v>23539</v>
      </c>
      <c r="F1417" s="69">
        <v>42486</v>
      </c>
      <c r="G1417" s="44" t="s">
        <v>23259</v>
      </c>
      <c r="H1417" s="44" t="s">
        <v>1433</v>
      </c>
      <c r="I1417" s="44" t="s">
        <v>209</v>
      </c>
      <c r="J1417" s="48">
        <v>80226</v>
      </c>
      <c r="K1417" s="44" t="s">
        <v>1778</v>
      </c>
      <c r="L1417" s="44" t="s">
        <v>2743</v>
      </c>
      <c r="M1417" s="44" t="s">
        <v>27</v>
      </c>
      <c r="N1417" s="44" t="s">
        <v>23426</v>
      </c>
      <c r="O1417" s="44" t="s">
        <v>400</v>
      </c>
      <c r="P1417" s="44" t="s">
        <v>401</v>
      </c>
      <c r="Q1417" s="44" t="s">
        <v>23427</v>
      </c>
      <c r="R1417" s="44" t="s">
        <v>100</v>
      </c>
      <c r="S1417" s="44" t="s">
        <v>28</v>
      </c>
      <c r="T1417" s="68" t="s">
        <v>27756</v>
      </c>
      <c r="U1417" s="68" t="s">
        <v>29438</v>
      </c>
      <c r="V1417" s="68" t="s">
        <v>29440</v>
      </c>
      <c r="W1417" s="68" t="s">
        <v>100</v>
      </c>
      <c r="X1417" s="68">
        <v>1490</v>
      </c>
      <c r="Y1417" s="44"/>
      <c r="Z1417" s="44"/>
      <c r="AA1417" s="44"/>
      <c r="AB1417" s="44"/>
      <c r="AC1417" s="44"/>
      <c r="AD1417" s="44"/>
      <c r="AE1417" s="44"/>
      <c r="AF1417" s="44"/>
      <c r="AG1417" s="44"/>
      <c r="AH1417" s="44"/>
      <c r="AI1417" s="44"/>
      <c r="AW1417" s="44"/>
      <c r="AX1417" s="1"/>
      <c r="AY1417" s="1"/>
      <c r="BB1417" s="44"/>
      <c r="BC1417" s="1"/>
      <c r="BD1417" s="1"/>
      <c r="BE1417" s="1"/>
      <c r="BF1417" s="1"/>
      <c r="BG1417" s="1"/>
      <c r="BH1417" s="1"/>
      <c r="BI1417" s="1"/>
      <c r="BJ1417" s="1"/>
      <c r="BK1417" s="44"/>
    </row>
    <row r="1418" spans="1:63" s="11" customFormat="1" ht="12" customHeight="1" x14ac:dyDescent="0.15">
      <c r="A1418" s="44" t="s">
        <v>23278</v>
      </c>
      <c r="B1418" s="68">
        <v>44</v>
      </c>
      <c r="C1418" s="44" t="s">
        <v>20</v>
      </c>
      <c r="D1418" s="44" t="s">
        <v>37</v>
      </c>
      <c r="E1418" s="44" t="s">
        <v>23536</v>
      </c>
      <c r="F1418" s="69">
        <v>42486</v>
      </c>
      <c r="G1418" s="44" t="s">
        <v>23279</v>
      </c>
      <c r="H1418" s="44" t="s">
        <v>23280</v>
      </c>
      <c r="I1418" s="44" t="s">
        <v>73</v>
      </c>
      <c r="J1418" s="48">
        <v>78638</v>
      </c>
      <c r="K1418" s="44" t="s">
        <v>6698</v>
      </c>
      <c r="L1418" s="44" t="s">
        <v>23281</v>
      </c>
      <c r="M1418" s="44" t="s">
        <v>27</v>
      </c>
      <c r="N1418" s="44" t="s">
        <v>23430</v>
      </c>
      <c r="O1418" s="44" t="s">
        <v>400</v>
      </c>
      <c r="P1418" s="11" t="s">
        <v>401</v>
      </c>
      <c r="Q1418" s="44" t="s">
        <v>23431</v>
      </c>
      <c r="R1418" s="44" t="s">
        <v>100</v>
      </c>
      <c r="S1418" s="44" t="s">
        <v>28</v>
      </c>
      <c r="T1418" s="68" t="s">
        <v>27756</v>
      </c>
      <c r="U1418" s="68" t="s">
        <v>29436</v>
      </c>
      <c r="V1418" s="68" t="s">
        <v>21212</v>
      </c>
      <c r="W1418" s="68" t="s">
        <v>100</v>
      </c>
      <c r="X1418" s="68">
        <v>1493</v>
      </c>
      <c r="Y1418" s="44"/>
      <c r="Z1418" s="44"/>
      <c r="AA1418" s="44"/>
      <c r="AB1418" s="44"/>
      <c r="AC1418" s="44"/>
      <c r="AD1418" s="44"/>
      <c r="AE1418" s="44"/>
      <c r="AF1418" s="44"/>
      <c r="AG1418" s="44"/>
      <c r="AW1418" s="1"/>
      <c r="AX1418" s="1"/>
      <c r="AY1418" s="1"/>
      <c r="BB1418" s="44"/>
      <c r="BC1418" s="1"/>
      <c r="BD1418" s="1"/>
      <c r="BE1418" s="1"/>
      <c r="BF1418" s="1"/>
      <c r="BG1418" s="1"/>
      <c r="BH1418" s="1"/>
      <c r="BI1418" s="1"/>
      <c r="BJ1418" s="1"/>
      <c r="BK1418" s="44"/>
    </row>
    <row r="1419" spans="1:63" s="11" customFormat="1" ht="12" customHeight="1" x14ac:dyDescent="0.15">
      <c r="A1419" s="44" t="s">
        <v>23479</v>
      </c>
      <c r="B1419" s="44">
        <v>46</v>
      </c>
      <c r="C1419" s="44" t="s">
        <v>20</v>
      </c>
      <c r="D1419" s="44" t="s">
        <v>37</v>
      </c>
      <c r="E1419" s="44" t="s">
        <v>23480</v>
      </c>
      <c r="F1419" s="72">
        <v>42486</v>
      </c>
      <c r="G1419" s="44" t="s">
        <v>23484</v>
      </c>
      <c r="H1419" s="44" t="s">
        <v>23485</v>
      </c>
      <c r="I1419" s="44" t="s">
        <v>870</v>
      </c>
      <c r="J1419" s="48">
        <v>96737</v>
      </c>
      <c r="K1419" s="44" t="s">
        <v>23486</v>
      </c>
      <c r="L1419" s="44" t="s">
        <v>23483</v>
      </c>
      <c r="M1419" s="44" t="s">
        <v>2291</v>
      </c>
      <c r="N1419" s="44" t="s">
        <v>23481</v>
      </c>
      <c r="O1419" s="44" t="s">
        <v>400</v>
      </c>
      <c r="P1419" s="11" t="s">
        <v>401</v>
      </c>
      <c r="Q1419" s="44" t="s">
        <v>23482</v>
      </c>
      <c r="R1419" s="44" t="s">
        <v>29</v>
      </c>
      <c r="S1419" s="44" t="s">
        <v>18</v>
      </c>
      <c r="U1419" s="44"/>
      <c r="V1419" s="44"/>
      <c r="W1419" s="44"/>
      <c r="X1419" s="44"/>
      <c r="Y1419" s="44"/>
      <c r="Z1419" s="44"/>
      <c r="AA1419" s="44"/>
      <c r="AB1419" s="44"/>
      <c r="AC1419" s="44"/>
      <c r="AD1419" s="44"/>
      <c r="AE1419" s="44"/>
      <c r="AF1419" s="44"/>
      <c r="AG1419" s="44"/>
      <c r="AH1419" s="44"/>
      <c r="AI1419" s="44"/>
      <c r="AU1419" s="1"/>
      <c r="AV1419" s="1"/>
      <c r="AW1419" s="1"/>
      <c r="AX1419" s="1"/>
      <c r="AY1419" s="1"/>
      <c r="AZ1419" s="1"/>
      <c r="BA1419" s="1"/>
      <c r="BB1419" s="1"/>
      <c r="BC1419" s="1"/>
      <c r="BD1419" s="1"/>
      <c r="BE1419" s="1"/>
      <c r="BF1419" s="1"/>
      <c r="BG1419" s="1"/>
      <c r="BH1419" s="1"/>
      <c r="BI1419" s="1"/>
      <c r="BJ1419" s="1"/>
      <c r="BK1419" s="1"/>
    </row>
    <row r="1420" spans="1:63" s="11" customFormat="1" ht="12" customHeight="1" x14ac:dyDescent="0.15">
      <c r="A1420" s="44" t="s">
        <v>23171</v>
      </c>
      <c r="B1420" s="68">
        <v>26</v>
      </c>
      <c r="C1420" s="44" t="s">
        <v>20</v>
      </c>
      <c r="D1420" s="44" t="s">
        <v>85</v>
      </c>
      <c r="E1420" s="44" t="s">
        <v>23537</v>
      </c>
      <c r="F1420" s="69">
        <v>42486</v>
      </c>
      <c r="G1420" s="44" t="s">
        <v>23172</v>
      </c>
      <c r="H1420" s="44" t="s">
        <v>4863</v>
      </c>
      <c r="I1420" s="44" t="s">
        <v>244</v>
      </c>
      <c r="J1420" s="48">
        <v>23325</v>
      </c>
      <c r="K1420" s="44" t="s">
        <v>23173</v>
      </c>
      <c r="L1420" s="44" t="s">
        <v>4865</v>
      </c>
      <c r="M1420" s="44" t="s">
        <v>27</v>
      </c>
      <c r="N1420" s="44" t="s">
        <v>23174</v>
      </c>
      <c r="O1420" s="44" t="s">
        <v>400</v>
      </c>
      <c r="P1420" s="11" t="s">
        <v>401</v>
      </c>
      <c r="Q1420" s="44" t="s">
        <v>23175</v>
      </c>
      <c r="R1420" s="44" t="s">
        <v>555</v>
      </c>
      <c r="S1420" s="8" t="s">
        <v>28</v>
      </c>
      <c r="T1420" s="68" t="s">
        <v>27756</v>
      </c>
      <c r="U1420" s="68" t="s">
        <v>29438</v>
      </c>
      <c r="V1420" s="68" t="s">
        <v>29439</v>
      </c>
      <c r="W1420" s="68" t="s">
        <v>555</v>
      </c>
      <c r="X1420" s="68">
        <v>1491</v>
      </c>
      <c r="Y1420" s="44"/>
      <c r="Z1420" s="44"/>
      <c r="AA1420" s="44"/>
      <c r="AB1420" s="44"/>
      <c r="AC1420" s="44"/>
      <c r="AD1420" s="44"/>
      <c r="AE1420" s="44"/>
      <c r="AF1420" s="44"/>
      <c r="AG1420" s="44"/>
      <c r="AW1420" s="44"/>
      <c r="AX1420" s="44"/>
      <c r="AY1420" s="44"/>
      <c r="BK1420" s="44"/>
    </row>
    <row r="1421" spans="1:63" s="11" customFormat="1" ht="12" customHeight="1" x14ac:dyDescent="0.2">
      <c r="A1421" s="44" t="s">
        <v>23275</v>
      </c>
      <c r="B1421" s="68">
        <v>24</v>
      </c>
      <c r="C1421" s="44" t="s">
        <v>114</v>
      </c>
      <c r="D1421" s="44" t="s">
        <v>37</v>
      </c>
      <c r="E1421" s="44" t="s">
        <v>23538</v>
      </c>
      <c r="F1421" s="69">
        <v>42486</v>
      </c>
      <c r="G1421" s="44" t="s">
        <v>23276</v>
      </c>
      <c r="H1421" s="44" t="s">
        <v>922</v>
      </c>
      <c r="I1421" s="44" t="s">
        <v>195</v>
      </c>
      <c r="J1421" s="48">
        <v>87111</v>
      </c>
      <c r="K1421" s="44" t="s">
        <v>467</v>
      </c>
      <c r="L1421" s="44" t="s">
        <v>23277</v>
      </c>
      <c r="M1421" s="44" t="s">
        <v>27</v>
      </c>
      <c r="N1421" s="44" t="s">
        <v>23432</v>
      </c>
      <c r="O1421" s="44" t="s">
        <v>400</v>
      </c>
      <c r="P1421" s="44" t="s">
        <v>401</v>
      </c>
      <c r="Q1421" s="44" t="s">
        <v>23433</v>
      </c>
      <c r="R1421" s="68" t="s">
        <v>555</v>
      </c>
      <c r="S1421" s="44" t="s">
        <v>28</v>
      </c>
      <c r="T1421" s="68" t="s">
        <v>27756</v>
      </c>
      <c r="U1421" s="68" t="s">
        <v>29438</v>
      </c>
      <c r="V1421" s="68" t="s">
        <v>29437</v>
      </c>
      <c r="W1421" s="68" t="s">
        <v>100</v>
      </c>
      <c r="X1421" s="68">
        <v>1492</v>
      </c>
      <c r="Y1421" s="44"/>
      <c r="Z1421" s="44"/>
      <c r="AA1421" s="44"/>
      <c r="AB1421" s="44"/>
      <c r="AC1421" s="44"/>
      <c r="AD1421" s="44"/>
      <c r="AE1421" s="44"/>
      <c r="AF1421" s="44"/>
      <c r="AG1421" s="44"/>
      <c r="AH1421" s="44"/>
      <c r="AI1421" s="44"/>
      <c r="AX1421" s="1"/>
      <c r="AY1421" s="1"/>
      <c r="BA1421" s="70"/>
      <c r="BB1421" s="44"/>
      <c r="BC1421" s="1"/>
      <c r="BD1421" s="1"/>
      <c r="BE1421" s="1"/>
      <c r="BF1421" s="1"/>
      <c r="BG1421" s="1"/>
      <c r="BH1421" s="1"/>
      <c r="BI1421" s="1"/>
      <c r="BJ1421" s="1"/>
      <c r="BK1421" s="44"/>
    </row>
    <row r="1422" spans="1:63" s="11" customFormat="1" ht="12" customHeight="1" x14ac:dyDescent="0.15">
      <c r="A1422" s="44" t="s">
        <v>23260</v>
      </c>
      <c r="B1422" s="68">
        <v>60</v>
      </c>
      <c r="C1422" s="44" t="s">
        <v>114</v>
      </c>
      <c r="D1422" s="68" t="s">
        <v>37</v>
      </c>
      <c r="E1422" s="44"/>
      <c r="F1422" s="69">
        <v>42485</v>
      </c>
      <c r="G1422" s="44" t="s">
        <v>23261</v>
      </c>
      <c r="H1422" s="44" t="s">
        <v>23262</v>
      </c>
      <c r="I1422" s="44" t="s">
        <v>366</v>
      </c>
      <c r="J1422" s="47">
        <v>28726</v>
      </c>
      <c r="K1422" s="8" t="s">
        <v>1277</v>
      </c>
      <c r="L1422" s="44" t="s">
        <v>1278</v>
      </c>
      <c r="M1422" s="44" t="s">
        <v>27</v>
      </c>
      <c r="N1422" s="8" t="s">
        <v>23490</v>
      </c>
      <c r="O1422" s="8" t="s">
        <v>400</v>
      </c>
      <c r="P1422" s="11" t="s">
        <v>401</v>
      </c>
      <c r="Q1422" s="14" t="s">
        <v>23451</v>
      </c>
      <c r="R1422" s="8" t="s">
        <v>555</v>
      </c>
      <c r="S1422" s="8" t="s">
        <v>28</v>
      </c>
      <c r="T1422" s="68" t="s">
        <v>27756</v>
      </c>
      <c r="U1422" s="68" t="s">
        <v>29438</v>
      </c>
      <c r="V1422" s="68" t="s">
        <v>29439</v>
      </c>
      <c r="W1422" s="68" t="s">
        <v>100</v>
      </c>
      <c r="X1422" s="68">
        <v>1489</v>
      </c>
      <c r="Y1422" s="44"/>
      <c r="Z1422" s="44"/>
      <c r="AA1422" s="44"/>
      <c r="AB1422" s="44"/>
      <c r="AC1422" s="44"/>
      <c r="AD1422" s="44"/>
      <c r="AE1422" s="44"/>
      <c r="AF1422" s="44"/>
      <c r="AG1422" s="44"/>
      <c r="AH1422" s="44"/>
      <c r="AI1422" s="44"/>
      <c r="AW1422" s="1"/>
      <c r="AX1422" s="1"/>
      <c r="AY1422" s="1"/>
      <c r="BC1422" s="1"/>
      <c r="BD1422" s="1"/>
      <c r="BE1422" s="1"/>
      <c r="BF1422" s="1"/>
      <c r="BG1422" s="1"/>
      <c r="BH1422" s="1"/>
      <c r="BI1422" s="1"/>
      <c r="BJ1422" s="1"/>
      <c r="BK1422" s="44"/>
    </row>
    <row r="1423" spans="1:63" s="11" customFormat="1" ht="12" customHeight="1" x14ac:dyDescent="0.15">
      <c r="A1423" s="44" t="s">
        <v>23282</v>
      </c>
      <c r="B1423" s="44">
        <v>53</v>
      </c>
      <c r="C1423" s="44" t="s">
        <v>20</v>
      </c>
      <c r="D1423" s="44" t="s">
        <v>37</v>
      </c>
      <c r="E1423" s="44"/>
      <c r="F1423" s="72">
        <v>42484</v>
      </c>
      <c r="G1423" s="44" t="s">
        <v>23283</v>
      </c>
      <c r="H1423" s="44" t="s">
        <v>4013</v>
      </c>
      <c r="I1423" s="44" t="s">
        <v>669</v>
      </c>
      <c r="J1423" s="47">
        <v>39501</v>
      </c>
      <c r="K1423" s="8" t="s">
        <v>4015</v>
      </c>
      <c r="L1423" s="44" t="s">
        <v>4016</v>
      </c>
      <c r="M1423" s="44" t="s">
        <v>391</v>
      </c>
      <c r="N1423" s="44" t="s">
        <v>23434</v>
      </c>
      <c r="O1423" s="44" t="s">
        <v>400</v>
      </c>
      <c r="P1423" s="11" t="s">
        <v>401</v>
      </c>
      <c r="Q1423" s="44" t="s">
        <v>23477</v>
      </c>
      <c r="R1423" s="1" t="s">
        <v>29</v>
      </c>
      <c r="S1423" s="44" t="s">
        <v>18</v>
      </c>
      <c r="U1423" s="44"/>
      <c r="V1423" s="44"/>
      <c r="W1423" s="44"/>
      <c r="X1423" s="44"/>
      <c r="Y1423" s="44"/>
      <c r="Z1423" s="44"/>
      <c r="AA1423" s="44"/>
      <c r="AB1423" s="44"/>
      <c r="AC1423" s="44"/>
      <c r="AD1423" s="44"/>
      <c r="AE1423" s="44"/>
      <c r="AF1423" s="44"/>
      <c r="AG1423" s="44"/>
      <c r="AH1423" s="44"/>
      <c r="AI1423" s="44"/>
      <c r="AU1423" s="1"/>
      <c r="AV1423" s="1"/>
      <c r="AW1423" s="1"/>
      <c r="AX1423" s="1"/>
      <c r="AY1423" s="1"/>
      <c r="AZ1423" s="1"/>
      <c r="BA1423" s="1"/>
      <c r="BB1423" s="1"/>
      <c r="BC1423" s="1"/>
      <c r="BD1423" s="1"/>
      <c r="BE1423" s="1"/>
      <c r="BF1423" s="1"/>
      <c r="BG1423" s="1"/>
      <c r="BH1423" s="1"/>
      <c r="BI1423" s="1"/>
      <c r="BJ1423" s="1"/>
      <c r="BK1423" s="1"/>
    </row>
    <row r="1424" spans="1:63" s="11" customFormat="1" ht="12" customHeight="1" x14ac:dyDescent="0.15">
      <c r="A1424" s="8" t="s">
        <v>23346</v>
      </c>
      <c r="B1424" s="8">
        <v>28</v>
      </c>
      <c r="C1424" s="8" t="s">
        <v>20</v>
      </c>
      <c r="D1424" s="8" t="s">
        <v>85</v>
      </c>
      <c r="E1424" s="14" t="s">
        <v>23347</v>
      </c>
      <c r="F1424" s="72">
        <v>42483</v>
      </c>
      <c r="G1424" s="8" t="s">
        <v>23348</v>
      </c>
      <c r="H1424" s="8" t="s">
        <v>2788</v>
      </c>
      <c r="I1424" s="8" t="s">
        <v>363</v>
      </c>
      <c r="J1424" s="47">
        <v>66609</v>
      </c>
      <c r="K1424" s="8" t="s">
        <v>2790</v>
      </c>
      <c r="L1424" s="8" t="s">
        <v>5634</v>
      </c>
      <c r="M1424" s="8" t="s">
        <v>27</v>
      </c>
      <c r="N1424" s="8" t="s">
        <v>23349</v>
      </c>
      <c r="O1424" s="8" t="s">
        <v>400</v>
      </c>
      <c r="P1424" s="11" t="s">
        <v>401</v>
      </c>
      <c r="Q1424" s="14" t="s">
        <v>23350</v>
      </c>
      <c r="R1424" s="8" t="s">
        <v>100</v>
      </c>
      <c r="S1424" s="8" t="s">
        <v>28</v>
      </c>
      <c r="T1424" s="68"/>
      <c r="U1424" s="68"/>
      <c r="V1424" s="68"/>
      <c r="W1424" s="68"/>
      <c r="X1424" s="68"/>
      <c r="Y1424" s="44"/>
      <c r="Z1424" s="44"/>
      <c r="AA1424" s="44"/>
      <c r="AB1424" s="44"/>
      <c r="AC1424" s="44"/>
      <c r="AD1424" s="44"/>
      <c r="AE1424" s="44"/>
      <c r="AF1424" s="44"/>
      <c r="AG1424" s="44"/>
      <c r="AH1424" s="44"/>
      <c r="AI1424" s="44"/>
      <c r="AW1424" s="1"/>
      <c r="AX1424" s="44"/>
      <c r="AY1424" s="44"/>
      <c r="AZ1424" s="1"/>
      <c r="BA1424" s="1"/>
      <c r="BB1424" s="1"/>
      <c r="BK1424" s="44"/>
    </row>
    <row r="1425" spans="1:63" s="11" customFormat="1" ht="12" customHeight="1" x14ac:dyDescent="0.2">
      <c r="A1425" s="44" t="s">
        <v>23286</v>
      </c>
      <c r="B1425" s="68">
        <v>18</v>
      </c>
      <c r="C1425" s="44" t="s">
        <v>20</v>
      </c>
      <c r="D1425" s="44" t="s">
        <v>37</v>
      </c>
      <c r="E1425" s="44" t="s">
        <v>23369</v>
      </c>
      <c r="F1425" s="69">
        <v>42483</v>
      </c>
      <c r="G1425" s="44" t="s">
        <v>23287</v>
      </c>
      <c r="H1425" s="44" t="s">
        <v>23288</v>
      </c>
      <c r="I1425" s="44" t="s">
        <v>438</v>
      </c>
      <c r="J1425" s="47">
        <v>54409</v>
      </c>
      <c r="K1425" s="8" t="s">
        <v>23373</v>
      </c>
      <c r="L1425" s="44" t="s">
        <v>23289</v>
      </c>
      <c r="M1425" s="44" t="s">
        <v>27</v>
      </c>
      <c r="N1425" s="8" t="s">
        <v>23394</v>
      </c>
      <c r="O1425" s="8" t="s">
        <v>400</v>
      </c>
      <c r="P1425" s="11" t="s">
        <v>401</v>
      </c>
      <c r="Q1425" s="14" t="s">
        <v>23463</v>
      </c>
      <c r="R1425" s="8" t="s">
        <v>100</v>
      </c>
      <c r="S1425" s="44" t="s">
        <v>28</v>
      </c>
      <c r="T1425" s="68" t="s">
        <v>27756</v>
      </c>
      <c r="U1425" s="68" t="s">
        <v>29438</v>
      </c>
      <c r="V1425" s="68" t="s">
        <v>29439</v>
      </c>
      <c r="W1425" s="68" t="s">
        <v>100</v>
      </c>
      <c r="X1425" s="68">
        <v>1487</v>
      </c>
      <c r="Y1425" s="44"/>
      <c r="Z1425" s="44"/>
      <c r="AA1425" s="44"/>
      <c r="AB1425" s="44"/>
      <c r="AC1425" s="44"/>
      <c r="AD1425" s="44"/>
      <c r="AE1425" s="44"/>
      <c r="AF1425" s="44"/>
      <c r="AG1425" s="44"/>
      <c r="AW1425" s="70"/>
      <c r="AX1425" s="1"/>
      <c r="AY1425" s="1"/>
      <c r="BB1425" s="44"/>
      <c r="BC1425" s="1"/>
      <c r="BD1425" s="1"/>
      <c r="BE1425" s="1"/>
      <c r="BF1425" s="1"/>
      <c r="BG1425" s="1"/>
      <c r="BH1425" s="1"/>
      <c r="BI1425" s="1"/>
      <c r="BJ1425" s="1"/>
      <c r="BK1425" s="44"/>
    </row>
    <row r="1426" spans="1:63" s="11" customFormat="1" ht="12" customHeight="1" x14ac:dyDescent="0.2">
      <c r="A1426" s="44" t="s">
        <v>23160</v>
      </c>
      <c r="B1426" s="68">
        <v>21</v>
      </c>
      <c r="C1426" s="44" t="s">
        <v>20</v>
      </c>
      <c r="D1426" s="44" t="s">
        <v>85</v>
      </c>
      <c r="E1426" s="44" t="s">
        <v>23354</v>
      </c>
      <c r="F1426" s="69">
        <v>42483</v>
      </c>
      <c r="G1426" s="44" t="s">
        <v>23161</v>
      </c>
      <c r="H1426" s="44" t="s">
        <v>3241</v>
      </c>
      <c r="I1426" s="44" t="s">
        <v>62</v>
      </c>
      <c r="J1426" s="47">
        <v>34950</v>
      </c>
      <c r="K1426" s="8" t="s">
        <v>3243</v>
      </c>
      <c r="L1426" s="44" t="s">
        <v>19088</v>
      </c>
      <c r="M1426" s="44" t="s">
        <v>27</v>
      </c>
      <c r="N1426" s="44" t="s">
        <v>23162</v>
      </c>
      <c r="O1426" s="8" t="s">
        <v>400</v>
      </c>
      <c r="P1426" s="11" t="s">
        <v>401</v>
      </c>
      <c r="Q1426" s="14" t="s">
        <v>23441</v>
      </c>
      <c r="R1426" s="8" t="s">
        <v>100</v>
      </c>
      <c r="S1426" s="8" t="s">
        <v>379</v>
      </c>
      <c r="T1426" s="68" t="s">
        <v>379</v>
      </c>
      <c r="U1426" s="68" t="s">
        <v>29438</v>
      </c>
      <c r="V1426" s="68" t="s">
        <v>29437</v>
      </c>
      <c r="W1426" s="68" t="s">
        <v>100</v>
      </c>
      <c r="X1426" s="68">
        <v>1483</v>
      </c>
      <c r="Y1426" s="44"/>
      <c r="Z1426" s="44"/>
      <c r="AA1426" s="44"/>
      <c r="AB1426" s="44"/>
      <c r="AC1426" s="44"/>
      <c r="AD1426" s="44"/>
      <c r="AE1426" s="44"/>
      <c r="AF1426" s="44"/>
      <c r="AG1426" s="44"/>
      <c r="AH1426" s="44"/>
      <c r="AI1426" s="44"/>
      <c r="AW1426" s="44"/>
      <c r="AX1426" s="70"/>
      <c r="AY1426" s="70"/>
      <c r="BB1426" s="44"/>
      <c r="BK1426" s="44"/>
    </row>
    <row r="1427" spans="1:63" s="11" customFormat="1" ht="12" customHeight="1" x14ac:dyDescent="0.15">
      <c r="A1427" s="44" t="s">
        <v>23284</v>
      </c>
      <c r="B1427" s="68">
        <v>24</v>
      </c>
      <c r="C1427" s="44" t="s">
        <v>20</v>
      </c>
      <c r="D1427" s="44" t="s">
        <v>37</v>
      </c>
      <c r="E1427" s="44" t="s">
        <v>23352</v>
      </c>
      <c r="F1427" s="69">
        <v>42483</v>
      </c>
      <c r="G1427" s="44" t="s">
        <v>23285</v>
      </c>
      <c r="H1427" s="44" t="s">
        <v>5105</v>
      </c>
      <c r="I1427" s="44" t="s">
        <v>123</v>
      </c>
      <c r="J1427" s="47">
        <v>85286</v>
      </c>
      <c r="K1427" s="8" t="s">
        <v>633</v>
      </c>
      <c r="L1427" s="44" t="s">
        <v>5107</v>
      </c>
      <c r="M1427" s="44" t="s">
        <v>27</v>
      </c>
      <c r="N1427" s="8" t="s">
        <v>23375</v>
      </c>
      <c r="O1427" s="8" t="s">
        <v>400</v>
      </c>
      <c r="P1427" s="11" t="s">
        <v>401</v>
      </c>
      <c r="Q1427" s="14" t="s">
        <v>23436</v>
      </c>
      <c r="R1427" s="8" t="s">
        <v>555</v>
      </c>
      <c r="S1427" s="8" t="s">
        <v>28</v>
      </c>
      <c r="T1427" s="68" t="s">
        <v>27756</v>
      </c>
      <c r="U1427" s="68" t="s">
        <v>29438</v>
      </c>
      <c r="V1427" s="68" t="s">
        <v>29439</v>
      </c>
      <c r="W1427" s="68" t="s">
        <v>100</v>
      </c>
      <c r="X1427" s="68">
        <v>1486</v>
      </c>
      <c r="Y1427" s="44"/>
      <c r="Z1427" s="44"/>
      <c r="AA1427" s="44"/>
      <c r="AB1427" s="44"/>
      <c r="AC1427" s="44"/>
      <c r="AD1427" s="44"/>
      <c r="AE1427" s="44"/>
      <c r="AF1427" s="44"/>
      <c r="AG1427" s="44"/>
      <c r="AH1427" s="44"/>
      <c r="AI1427" s="44"/>
      <c r="AX1427" s="1"/>
      <c r="AY1427" s="1"/>
      <c r="BC1427" s="1"/>
      <c r="BD1427" s="1"/>
      <c r="BE1427" s="1"/>
      <c r="BF1427" s="1"/>
      <c r="BG1427" s="1"/>
      <c r="BH1427" s="1"/>
      <c r="BI1427" s="1"/>
      <c r="BJ1427" s="1"/>
      <c r="BK1427" s="44"/>
    </row>
    <row r="1428" spans="1:63" s="11" customFormat="1" ht="12" customHeight="1" x14ac:dyDescent="0.15">
      <c r="A1428" s="44" t="s">
        <v>23290</v>
      </c>
      <c r="B1428" s="68">
        <v>30</v>
      </c>
      <c r="C1428" s="44" t="s">
        <v>20</v>
      </c>
      <c r="D1428" s="44" t="s">
        <v>37</v>
      </c>
      <c r="E1428" s="44"/>
      <c r="F1428" s="69">
        <v>42483</v>
      </c>
      <c r="G1428" s="44" t="s">
        <v>23291</v>
      </c>
      <c r="H1428" s="44" t="s">
        <v>3317</v>
      </c>
      <c r="I1428" s="44" t="s">
        <v>244</v>
      </c>
      <c r="J1428" s="47">
        <v>23504</v>
      </c>
      <c r="K1428" s="8" t="s">
        <v>16595</v>
      </c>
      <c r="L1428" s="44" t="s">
        <v>5050</v>
      </c>
      <c r="M1428" s="44" t="s">
        <v>27</v>
      </c>
      <c r="N1428" s="8" t="s">
        <v>23393</v>
      </c>
      <c r="O1428" s="8" t="s">
        <v>400</v>
      </c>
      <c r="P1428" s="11" t="s">
        <v>401</v>
      </c>
      <c r="Q1428" s="14" t="s">
        <v>23462</v>
      </c>
      <c r="R1428" s="8" t="s">
        <v>555</v>
      </c>
      <c r="S1428" s="44" t="s">
        <v>28</v>
      </c>
      <c r="T1428" s="68" t="s">
        <v>27756</v>
      </c>
      <c r="U1428" s="68" t="s">
        <v>29438</v>
      </c>
      <c r="V1428" s="68" t="s">
        <v>29439</v>
      </c>
      <c r="W1428" s="68" t="s">
        <v>100</v>
      </c>
      <c r="X1428" s="68">
        <v>1488</v>
      </c>
      <c r="Y1428" s="44"/>
      <c r="Z1428" s="44"/>
      <c r="AA1428" s="44"/>
      <c r="AB1428" s="44"/>
      <c r="AC1428" s="44"/>
      <c r="AD1428" s="44"/>
      <c r="AE1428" s="44"/>
      <c r="AF1428" s="44"/>
      <c r="AG1428" s="44"/>
      <c r="AX1428" s="1"/>
      <c r="AY1428" s="1"/>
      <c r="BC1428" s="1"/>
      <c r="BD1428" s="1"/>
      <c r="BE1428" s="1"/>
      <c r="BF1428" s="1"/>
      <c r="BG1428" s="1"/>
      <c r="BH1428" s="1"/>
      <c r="BI1428" s="1"/>
      <c r="BJ1428" s="1"/>
      <c r="BK1428" s="44"/>
    </row>
    <row r="1429" spans="1:63" s="11" customFormat="1" ht="12" customHeight="1" x14ac:dyDescent="0.2">
      <c r="A1429" s="44" t="s">
        <v>23655</v>
      </c>
      <c r="B1429" s="68">
        <v>33</v>
      </c>
      <c r="C1429" s="44" t="s">
        <v>20</v>
      </c>
      <c r="D1429" s="44" t="s">
        <v>85</v>
      </c>
      <c r="E1429" s="44"/>
      <c r="F1429" s="69">
        <v>42483</v>
      </c>
      <c r="G1429" s="44" t="s">
        <v>24377</v>
      </c>
      <c r="H1429" s="44" t="s">
        <v>5949</v>
      </c>
      <c r="I1429" s="44" t="s">
        <v>978</v>
      </c>
      <c r="J1429" s="44">
        <v>72703</v>
      </c>
      <c r="K1429" s="44" t="s">
        <v>118</v>
      </c>
      <c r="L1429" s="44" t="s">
        <v>5951</v>
      </c>
      <c r="M1429" s="68" t="s">
        <v>5411</v>
      </c>
      <c r="N1429" s="44" t="s">
        <v>24378</v>
      </c>
      <c r="O1429" s="44" t="s">
        <v>400</v>
      </c>
      <c r="P1429" s="44" t="s">
        <v>401</v>
      </c>
      <c r="Q1429" s="44" t="s">
        <v>23656</v>
      </c>
      <c r="R1429" s="1" t="s">
        <v>29</v>
      </c>
      <c r="S1429" s="44" t="s">
        <v>379</v>
      </c>
      <c r="T1429" s="68" t="s">
        <v>379</v>
      </c>
      <c r="U1429" s="68" t="s">
        <v>29436</v>
      </c>
      <c r="V1429" s="68" t="s">
        <v>29437</v>
      </c>
      <c r="W1429" s="68" t="s">
        <v>555</v>
      </c>
      <c r="X1429" s="68">
        <v>1527</v>
      </c>
      <c r="Y1429" s="44"/>
      <c r="Z1429" s="44"/>
      <c r="AA1429" s="44"/>
      <c r="AB1429" s="44"/>
      <c r="AC1429" s="44"/>
      <c r="AD1429" s="44"/>
      <c r="AE1429" s="44"/>
      <c r="AF1429" s="44"/>
      <c r="AG1429" s="44"/>
      <c r="AH1429" s="44"/>
      <c r="AI1429" s="44"/>
      <c r="AJ1429" s="44"/>
      <c r="AK1429" s="44"/>
      <c r="AL1429" s="44"/>
      <c r="AM1429" s="44"/>
      <c r="AN1429" s="44"/>
      <c r="AO1429" s="44"/>
      <c r="AP1429" s="44"/>
      <c r="AQ1429" s="44"/>
      <c r="AR1429" s="44"/>
      <c r="BA1429" s="1"/>
      <c r="BB1429" s="70"/>
      <c r="BK1429" s="1"/>
    </row>
    <row r="1430" spans="1:63" s="11" customFormat="1" ht="12" customHeight="1" x14ac:dyDescent="0.15">
      <c r="A1430" s="44" t="s">
        <v>23294</v>
      </c>
      <c r="B1430" s="68">
        <v>51</v>
      </c>
      <c r="C1430" s="44" t="s">
        <v>20</v>
      </c>
      <c r="D1430" s="44" t="s">
        <v>37</v>
      </c>
      <c r="E1430" s="44" t="s">
        <v>23363</v>
      </c>
      <c r="F1430" s="69">
        <v>42482</v>
      </c>
      <c r="G1430" s="44" t="s">
        <v>23295</v>
      </c>
      <c r="H1430" s="44" t="s">
        <v>23296</v>
      </c>
      <c r="I1430" s="44" t="s">
        <v>423</v>
      </c>
      <c r="J1430" s="47">
        <v>12023</v>
      </c>
      <c r="K1430" s="8" t="s">
        <v>3109</v>
      </c>
      <c r="L1430" s="44" t="s">
        <v>22920</v>
      </c>
      <c r="M1430" s="44" t="s">
        <v>27</v>
      </c>
      <c r="N1430" s="8" t="s">
        <v>23387</v>
      </c>
      <c r="O1430" s="8" t="s">
        <v>400</v>
      </c>
      <c r="P1430" s="11" t="s">
        <v>401</v>
      </c>
      <c r="Q1430" s="14" t="s">
        <v>23454</v>
      </c>
      <c r="R1430" s="8" t="s">
        <v>555</v>
      </c>
      <c r="S1430" s="44" t="s">
        <v>28</v>
      </c>
      <c r="T1430" s="68" t="s">
        <v>29493</v>
      </c>
      <c r="U1430" s="68" t="s">
        <v>29438</v>
      </c>
      <c r="V1430" s="68" t="s">
        <v>29439</v>
      </c>
      <c r="W1430" s="68" t="s">
        <v>100</v>
      </c>
      <c r="X1430" s="68">
        <v>1485</v>
      </c>
      <c r="Y1430" s="44"/>
      <c r="Z1430" s="44"/>
      <c r="AA1430" s="44"/>
      <c r="AB1430" s="44"/>
      <c r="AC1430" s="44"/>
      <c r="AD1430" s="44"/>
      <c r="AE1430" s="44"/>
      <c r="AF1430" s="44"/>
      <c r="AG1430" s="44"/>
      <c r="AH1430" s="44"/>
      <c r="AI1430" s="44"/>
      <c r="AW1430" s="1"/>
      <c r="AX1430" s="1"/>
      <c r="AY1430" s="1"/>
      <c r="BC1430" s="1"/>
      <c r="BD1430" s="1"/>
      <c r="BE1430" s="1"/>
      <c r="BF1430" s="1"/>
      <c r="BG1430" s="1"/>
      <c r="BH1430" s="1"/>
      <c r="BI1430" s="1"/>
      <c r="BJ1430" s="1"/>
      <c r="BK1430" s="44"/>
    </row>
    <row r="1431" spans="1:63" s="11" customFormat="1" ht="12" customHeight="1" x14ac:dyDescent="0.2">
      <c r="A1431" s="44" t="s">
        <v>23292</v>
      </c>
      <c r="B1431" s="68">
        <v>29</v>
      </c>
      <c r="C1431" s="44" t="s">
        <v>20</v>
      </c>
      <c r="D1431" s="44" t="s">
        <v>37</v>
      </c>
      <c r="E1431" s="44" t="s">
        <v>23367</v>
      </c>
      <c r="F1431" s="69">
        <v>42482</v>
      </c>
      <c r="G1431" s="44" t="s">
        <v>23293</v>
      </c>
      <c r="H1431" s="44" t="s">
        <v>1313</v>
      </c>
      <c r="I1431" s="44" t="s">
        <v>73</v>
      </c>
      <c r="J1431" s="47">
        <v>78739</v>
      </c>
      <c r="K1431" s="8" t="s">
        <v>1314</v>
      </c>
      <c r="L1431" s="44" t="s">
        <v>1315</v>
      </c>
      <c r="M1431" s="44" t="s">
        <v>27</v>
      </c>
      <c r="N1431" s="8" t="s">
        <v>23390</v>
      </c>
      <c r="O1431" s="8" t="s">
        <v>400</v>
      </c>
      <c r="P1431" s="11" t="s">
        <v>401</v>
      </c>
      <c r="Q1431" s="14" t="s">
        <v>23459</v>
      </c>
      <c r="R1431" s="68" t="s">
        <v>555</v>
      </c>
      <c r="S1431" s="44" t="s">
        <v>28</v>
      </c>
      <c r="T1431" s="68" t="s">
        <v>29493</v>
      </c>
      <c r="U1431" s="68" t="s">
        <v>29438</v>
      </c>
      <c r="V1431" s="68" t="s">
        <v>29439</v>
      </c>
      <c r="W1431" s="68" t="s">
        <v>100</v>
      </c>
      <c r="X1431" s="68">
        <v>1484</v>
      </c>
      <c r="Y1431" s="44"/>
      <c r="Z1431" s="44"/>
      <c r="AA1431" s="44"/>
      <c r="AB1431" s="44"/>
      <c r="AC1431" s="44"/>
      <c r="AD1431" s="44"/>
      <c r="AE1431" s="44"/>
      <c r="AF1431" s="44"/>
      <c r="AG1431" s="44"/>
      <c r="AW1431" s="44"/>
      <c r="AX1431" s="1"/>
      <c r="AY1431" s="1"/>
      <c r="BA1431" s="70"/>
      <c r="BB1431" s="44"/>
      <c r="BC1431" s="1"/>
      <c r="BD1431" s="1"/>
      <c r="BE1431" s="1"/>
      <c r="BF1431" s="1"/>
      <c r="BG1431" s="1"/>
      <c r="BH1431" s="1"/>
      <c r="BI1431" s="1"/>
      <c r="BJ1431" s="1"/>
      <c r="BK1431" s="44"/>
    </row>
    <row r="1432" spans="1:63" s="11" customFormat="1" ht="12" customHeight="1" x14ac:dyDescent="0.15">
      <c r="A1432" s="44" t="s">
        <v>23493</v>
      </c>
      <c r="B1432" s="44">
        <v>31</v>
      </c>
      <c r="C1432" s="44" t="s">
        <v>114</v>
      </c>
      <c r="D1432" s="44" t="s">
        <v>37</v>
      </c>
      <c r="E1432" s="44"/>
      <c r="F1432" s="72">
        <v>42481</v>
      </c>
      <c r="G1432" s="44" t="s">
        <v>23494</v>
      </c>
      <c r="H1432" s="44" t="s">
        <v>23495</v>
      </c>
      <c r="I1432" s="44" t="s">
        <v>195</v>
      </c>
      <c r="J1432" s="48">
        <v>88061</v>
      </c>
      <c r="K1432" s="44" t="s">
        <v>397</v>
      </c>
      <c r="L1432" s="44" t="s">
        <v>23496</v>
      </c>
      <c r="M1432" s="44" t="s">
        <v>27</v>
      </c>
      <c r="N1432" s="44" t="s">
        <v>23497</v>
      </c>
      <c r="O1432" s="44" t="s">
        <v>400</v>
      </c>
      <c r="P1432" s="44" t="s">
        <v>401</v>
      </c>
      <c r="Q1432" s="44" t="s">
        <v>23498</v>
      </c>
      <c r="R1432" s="44" t="s">
        <v>100</v>
      </c>
      <c r="S1432" s="44" t="s">
        <v>18</v>
      </c>
      <c r="T1432" s="68"/>
      <c r="U1432" s="68"/>
      <c r="V1432" s="68"/>
      <c r="W1432" s="68"/>
      <c r="X1432" s="68"/>
      <c r="Y1432" s="44"/>
      <c r="Z1432" s="44"/>
      <c r="AA1432" s="44"/>
      <c r="AB1432" s="44"/>
      <c r="AC1432" s="44"/>
      <c r="AD1432" s="44"/>
      <c r="AE1432" s="44"/>
      <c r="AF1432" s="44"/>
      <c r="AG1432" s="44"/>
      <c r="AH1432" s="44"/>
      <c r="AI1432" s="44"/>
      <c r="AW1432" s="1"/>
      <c r="AX1432" s="1"/>
      <c r="AY1432" s="1"/>
      <c r="AZ1432" s="1"/>
      <c r="BA1432" s="1"/>
      <c r="BB1432" s="1"/>
      <c r="BC1432" s="1"/>
      <c r="BD1432" s="1"/>
      <c r="BE1432" s="1"/>
      <c r="BF1432" s="1"/>
      <c r="BG1432" s="1"/>
      <c r="BH1432" s="1"/>
      <c r="BI1432" s="1"/>
      <c r="BJ1432" s="1"/>
      <c r="BK1432" s="1"/>
    </row>
    <row r="1433" spans="1:63" s="11" customFormat="1" ht="12" customHeight="1" x14ac:dyDescent="0.15">
      <c r="A1433" s="44" t="s">
        <v>18778</v>
      </c>
      <c r="B1433" s="68">
        <v>48</v>
      </c>
      <c r="C1433" s="44" t="s">
        <v>20</v>
      </c>
      <c r="D1433" s="44" t="s">
        <v>48</v>
      </c>
      <c r="E1433" s="44" t="s">
        <v>23359</v>
      </c>
      <c r="F1433" s="69">
        <v>42481</v>
      </c>
      <c r="G1433" s="44" t="s">
        <v>23235</v>
      </c>
      <c r="H1433" s="44" t="s">
        <v>16743</v>
      </c>
      <c r="I1433" s="44" t="s">
        <v>46</v>
      </c>
      <c r="J1433" s="47" t="s">
        <v>23370</v>
      </c>
      <c r="K1433" s="8" t="s">
        <v>42</v>
      </c>
      <c r="L1433" s="44" t="s">
        <v>23236</v>
      </c>
      <c r="M1433" s="44" t="s">
        <v>27</v>
      </c>
      <c r="N1433" s="8" t="s">
        <v>23385</v>
      </c>
      <c r="O1433" s="8" t="s">
        <v>400</v>
      </c>
      <c r="P1433" s="11" t="s">
        <v>401</v>
      </c>
      <c r="Q1433" s="14" t="s">
        <v>23448</v>
      </c>
      <c r="R1433" s="8" t="s">
        <v>555</v>
      </c>
      <c r="S1433" s="8" t="s">
        <v>28</v>
      </c>
      <c r="T1433" s="68" t="s">
        <v>29493</v>
      </c>
      <c r="U1433" s="68" t="s">
        <v>29436</v>
      </c>
      <c r="V1433" s="68" t="s">
        <v>29439</v>
      </c>
      <c r="W1433" s="68" t="s">
        <v>100</v>
      </c>
      <c r="X1433" s="68">
        <v>1482</v>
      </c>
      <c r="Y1433" s="44"/>
      <c r="Z1433" s="44"/>
      <c r="AA1433" s="44"/>
      <c r="AB1433" s="44"/>
      <c r="AC1433" s="44"/>
      <c r="AD1433" s="44"/>
      <c r="AE1433" s="44"/>
      <c r="AF1433" s="44"/>
      <c r="AG1433" s="44"/>
      <c r="AH1433" s="44"/>
      <c r="AI1433" s="44"/>
      <c r="AW1433" s="1"/>
      <c r="AX1433" s="1"/>
      <c r="AY1433" s="1"/>
      <c r="BA1433" s="1"/>
      <c r="BB1433" s="1"/>
      <c r="BC1433" s="1"/>
      <c r="BD1433" s="1"/>
      <c r="BE1433" s="1"/>
      <c r="BF1433" s="1"/>
      <c r="BG1433" s="1"/>
      <c r="BH1433" s="1"/>
      <c r="BI1433" s="1"/>
      <c r="BJ1433" s="1"/>
      <c r="BK1433" s="44"/>
    </row>
    <row r="1434" spans="1:63" s="11" customFormat="1" ht="12" customHeight="1" x14ac:dyDescent="0.15">
      <c r="A1434" s="44" t="s">
        <v>23263</v>
      </c>
      <c r="B1434" s="68">
        <v>41</v>
      </c>
      <c r="C1434" s="44" t="s">
        <v>20</v>
      </c>
      <c r="D1434" s="44" t="s">
        <v>37</v>
      </c>
      <c r="E1434" s="44" t="s">
        <v>23355</v>
      </c>
      <c r="F1434" s="69">
        <v>42480</v>
      </c>
      <c r="G1434" s="44" t="s">
        <v>23264</v>
      </c>
      <c r="H1434" s="44" t="s">
        <v>1224</v>
      </c>
      <c r="I1434" s="44" t="s">
        <v>62</v>
      </c>
      <c r="J1434" s="47">
        <v>33034</v>
      </c>
      <c r="K1434" s="8" t="s">
        <v>161</v>
      </c>
      <c r="L1434" s="44" t="s">
        <v>162</v>
      </c>
      <c r="M1434" s="44" t="s">
        <v>27</v>
      </c>
      <c r="N1434" s="8" t="s">
        <v>23380</v>
      </c>
      <c r="O1434" s="8" t="s">
        <v>400</v>
      </c>
      <c r="P1434" s="11" t="s">
        <v>401</v>
      </c>
      <c r="Q1434" s="14" t="s">
        <v>23442</v>
      </c>
      <c r="R1434" s="8" t="s">
        <v>100</v>
      </c>
      <c r="S1434" s="8" t="s">
        <v>28</v>
      </c>
      <c r="T1434" s="68" t="s">
        <v>27756</v>
      </c>
      <c r="U1434" s="68" t="s">
        <v>29438</v>
      </c>
      <c r="V1434" s="68" t="s">
        <v>29439</v>
      </c>
      <c r="W1434" s="68" t="s">
        <v>100</v>
      </c>
      <c r="X1434" s="68">
        <v>1480</v>
      </c>
      <c r="Y1434" s="44"/>
      <c r="Z1434" s="44"/>
      <c r="AA1434" s="44"/>
      <c r="AB1434" s="44"/>
      <c r="AC1434" s="44"/>
      <c r="AD1434" s="44"/>
      <c r="AE1434" s="44"/>
      <c r="AF1434" s="44"/>
      <c r="AG1434" s="44"/>
      <c r="AH1434" s="44"/>
      <c r="AI1434" s="44"/>
      <c r="AW1434" s="1"/>
      <c r="AX1434" s="1"/>
      <c r="AY1434" s="1"/>
      <c r="BB1434" s="44"/>
      <c r="BC1434" s="1"/>
      <c r="BD1434" s="1"/>
      <c r="BE1434" s="1"/>
      <c r="BF1434" s="1"/>
      <c r="BG1434" s="1"/>
      <c r="BH1434" s="1"/>
      <c r="BI1434" s="1"/>
      <c r="BJ1434" s="1"/>
      <c r="BK1434" s="44"/>
    </row>
    <row r="1435" spans="1:63" s="11" customFormat="1" ht="12" customHeight="1" x14ac:dyDescent="0.15">
      <c r="A1435" s="44" t="s">
        <v>23265</v>
      </c>
      <c r="B1435" s="68">
        <v>52</v>
      </c>
      <c r="C1435" s="44" t="s">
        <v>20</v>
      </c>
      <c r="D1435" s="68" t="s">
        <v>37</v>
      </c>
      <c r="E1435" s="44"/>
      <c r="F1435" s="69">
        <v>42480</v>
      </c>
      <c r="G1435" s="44" t="s">
        <v>23266</v>
      </c>
      <c r="H1435" s="44" t="s">
        <v>23267</v>
      </c>
      <c r="I1435" s="44" t="s">
        <v>978</v>
      </c>
      <c r="J1435" s="48">
        <v>72126</v>
      </c>
      <c r="K1435" s="44" t="s">
        <v>3288</v>
      </c>
      <c r="L1435" s="44" t="s">
        <v>15371</v>
      </c>
      <c r="M1435" s="44" t="s">
        <v>27</v>
      </c>
      <c r="N1435" s="44" t="s">
        <v>23467</v>
      </c>
      <c r="O1435" s="44" t="s">
        <v>400</v>
      </c>
      <c r="P1435" s="11" t="s">
        <v>401</v>
      </c>
      <c r="Q1435" s="44" t="s">
        <v>23476</v>
      </c>
      <c r="R1435" s="1" t="s">
        <v>29</v>
      </c>
      <c r="S1435" s="44" t="s">
        <v>35</v>
      </c>
      <c r="T1435" s="66" t="s">
        <v>29441</v>
      </c>
      <c r="U1435" s="68" t="s">
        <v>29436</v>
      </c>
      <c r="V1435" s="68" t="s">
        <v>29439</v>
      </c>
      <c r="W1435" s="68" t="s">
        <v>100</v>
      </c>
      <c r="X1435" s="68">
        <v>1481</v>
      </c>
      <c r="Y1435" s="44"/>
      <c r="Z1435" s="44"/>
      <c r="AA1435" s="44"/>
      <c r="AB1435" s="44"/>
      <c r="AC1435" s="44"/>
      <c r="AD1435" s="44"/>
      <c r="AE1435" s="44"/>
      <c r="AF1435" s="44"/>
      <c r="AG1435" s="44"/>
      <c r="AH1435" s="44"/>
      <c r="AI1435" s="44"/>
      <c r="AW1435" s="1"/>
      <c r="AX1435" s="1"/>
      <c r="AY1435" s="1"/>
      <c r="BA1435" s="1"/>
      <c r="BB1435" s="1"/>
      <c r="BC1435" s="1"/>
      <c r="BD1435" s="1"/>
      <c r="BE1435" s="1"/>
      <c r="BF1435" s="1"/>
      <c r="BG1435" s="1"/>
      <c r="BH1435" s="1"/>
      <c r="BI1435" s="1"/>
      <c r="BJ1435" s="1"/>
      <c r="BK1435" s="1"/>
    </row>
    <row r="1436" spans="1:63" s="11" customFormat="1" ht="12" customHeight="1" x14ac:dyDescent="0.2">
      <c r="A1436" s="44" t="s">
        <v>23151</v>
      </c>
      <c r="B1436" s="68">
        <v>15</v>
      </c>
      <c r="C1436" s="44" t="s">
        <v>20</v>
      </c>
      <c r="D1436" s="44" t="s">
        <v>85</v>
      </c>
      <c r="E1436" s="44" t="s">
        <v>23361</v>
      </c>
      <c r="F1436" s="69">
        <v>42479</v>
      </c>
      <c r="G1436" s="44" t="s">
        <v>23152</v>
      </c>
      <c r="H1436" s="44" t="s">
        <v>709</v>
      </c>
      <c r="I1436" s="44" t="s">
        <v>431</v>
      </c>
      <c r="J1436" s="47">
        <v>63106</v>
      </c>
      <c r="K1436" s="8" t="s">
        <v>20282</v>
      </c>
      <c r="L1436" s="44" t="s">
        <v>4516</v>
      </c>
      <c r="M1436" s="44" t="s">
        <v>27</v>
      </c>
      <c r="N1436" s="44" t="s">
        <v>23153</v>
      </c>
      <c r="O1436" s="8" t="s">
        <v>400</v>
      </c>
      <c r="P1436" s="11" t="s">
        <v>401</v>
      </c>
      <c r="Q1436" s="14" t="s">
        <v>23450</v>
      </c>
      <c r="R1436" s="8" t="s">
        <v>100</v>
      </c>
      <c r="S1436" s="8" t="s">
        <v>28</v>
      </c>
      <c r="T1436" s="68" t="s">
        <v>27756</v>
      </c>
      <c r="U1436" s="68" t="s">
        <v>29438</v>
      </c>
      <c r="V1436" s="68" t="s">
        <v>21212</v>
      </c>
      <c r="W1436" s="68" t="s">
        <v>100</v>
      </c>
      <c r="X1436" s="68">
        <v>1477</v>
      </c>
      <c r="Y1436" s="44"/>
      <c r="Z1436" s="44"/>
      <c r="AA1436" s="44"/>
      <c r="AB1436" s="44"/>
      <c r="AC1436" s="44"/>
      <c r="AD1436" s="44"/>
      <c r="AE1436" s="44"/>
      <c r="AF1436" s="44"/>
      <c r="AG1436" s="44"/>
      <c r="AH1436" s="44"/>
      <c r="AI1436" s="44"/>
      <c r="AW1436" s="70"/>
      <c r="AX1436" s="70"/>
      <c r="AY1436" s="70"/>
      <c r="BB1436" s="44"/>
      <c r="BK1436" s="44"/>
    </row>
    <row r="1437" spans="1:63" s="11" customFormat="1" ht="12" customHeight="1" x14ac:dyDescent="0.15">
      <c r="A1437" s="44" t="s">
        <v>23297</v>
      </c>
      <c r="B1437" s="68">
        <v>38</v>
      </c>
      <c r="C1437" s="44" t="s">
        <v>20</v>
      </c>
      <c r="D1437" s="44" t="s">
        <v>37</v>
      </c>
      <c r="E1437" s="44" t="s">
        <v>23351</v>
      </c>
      <c r="F1437" s="69">
        <v>42479</v>
      </c>
      <c r="G1437" s="44" t="s">
        <v>23298</v>
      </c>
      <c r="H1437" s="44" t="s">
        <v>6289</v>
      </c>
      <c r="I1437" s="44" t="s">
        <v>94</v>
      </c>
      <c r="J1437" s="47">
        <v>35031</v>
      </c>
      <c r="K1437" s="8" t="s">
        <v>6291</v>
      </c>
      <c r="L1437" s="44" t="s">
        <v>23299</v>
      </c>
      <c r="M1437" s="44" t="s">
        <v>27</v>
      </c>
      <c r="N1437" s="8" t="s">
        <v>23374</v>
      </c>
      <c r="O1437" s="8" t="s">
        <v>400</v>
      </c>
      <c r="P1437" s="11" t="s">
        <v>401</v>
      </c>
      <c r="Q1437" s="14" t="s">
        <v>23435</v>
      </c>
      <c r="R1437" s="8" t="s">
        <v>100</v>
      </c>
      <c r="S1437" s="8" t="s">
        <v>28</v>
      </c>
      <c r="T1437" s="68" t="s">
        <v>27756</v>
      </c>
      <c r="U1437" s="68" t="s">
        <v>29438</v>
      </c>
      <c r="V1437" s="68" t="s">
        <v>29437</v>
      </c>
      <c r="W1437" s="68" t="s">
        <v>100</v>
      </c>
      <c r="X1437" s="68">
        <v>1478</v>
      </c>
      <c r="Y1437" s="44"/>
      <c r="Z1437" s="44"/>
      <c r="AA1437" s="44"/>
      <c r="AB1437" s="44"/>
      <c r="AC1437" s="44"/>
      <c r="AD1437" s="44"/>
      <c r="AE1437" s="44"/>
      <c r="AF1437" s="44"/>
      <c r="AG1437" s="44"/>
      <c r="AH1437" s="44"/>
      <c r="AI1437" s="44"/>
      <c r="AX1437" s="1"/>
      <c r="AY1437" s="1"/>
      <c r="BB1437" s="44"/>
      <c r="BC1437" s="1"/>
      <c r="BD1437" s="1"/>
      <c r="BE1437" s="1"/>
      <c r="BF1437" s="1"/>
      <c r="BG1437" s="1"/>
      <c r="BH1437" s="1"/>
      <c r="BI1437" s="1"/>
      <c r="BJ1437" s="1"/>
      <c r="BK1437" s="44"/>
    </row>
    <row r="1438" spans="1:63" s="11" customFormat="1" ht="12" customHeight="1" x14ac:dyDescent="0.2">
      <c r="A1438" s="44" t="s">
        <v>23233</v>
      </c>
      <c r="B1438" s="68">
        <v>41</v>
      </c>
      <c r="C1438" s="44" t="s">
        <v>20</v>
      </c>
      <c r="D1438" s="44" t="s">
        <v>942</v>
      </c>
      <c r="E1438" s="44" t="s">
        <v>23362</v>
      </c>
      <c r="F1438" s="69">
        <v>42479</v>
      </c>
      <c r="G1438" s="44" t="s">
        <v>23234</v>
      </c>
      <c r="H1438" s="44" t="s">
        <v>4191</v>
      </c>
      <c r="I1438" s="44" t="s">
        <v>366</v>
      </c>
      <c r="J1438" s="47">
        <v>28214</v>
      </c>
      <c r="K1438" s="8" t="s">
        <v>4193</v>
      </c>
      <c r="L1438" s="44" t="s">
        <v>4194</v>
      </c>
      <c r="M1438" s="44" t="s">
        <v>27</v>
      </c>
      <c r="N1438" s="8" t="s">
        <v>23386</v>
      </c>
      <c r="O1438" s="8" t="s">
        <v>400</v>
      </c>
      <c r="P1438" s="44" t="s">
        <v>401</v>
      </c>
      <c r="Q1438" s="14" t="s">
        <v>23452</v>
      </c>
      <c r="R1438" s="68" t="s">
        <v>555</v>
      </c>
      <c r="S1438" s="8" t="s">
        <v>28</v>
      </c>
      <c r="T1438" s="68" t="s">
        <v>27756</v>
      </c>
      <c r="U1438" s="68" t="s">
        <v>29438</v>
      </c>
      <c r="V1438" s="68" t="s">
        <v>29439</v>
      </c>
      <c r="W1438" s="68" t="s">
        <v>100</v>
      </c>
      <c r="X1438" s="68">
        <v>1474</v>
      </c>
      <c r="Y1438" s="44"/>
      <c r="Z1438" s="44"/>
      <c r="AA1438" s="44"/>
      <c r="AB1438" s="44"/>
      <c r="AC1438" s="44"/>
      <c r="AD1438" s="44"/>
      <c r="AE1438" s="44"/>
      <c r="AF1438" s="44"/>
      <c r="AG1438" s="44"/>
      <c r="AH1438" s="44"/>
      <c r="AI1438" s="44"/>
      <c r="AW1438" s="1"/>
      <c r="AX1438" s="1"/>
      <c r="AY1438" s="1"/>
      <c r="BA1438" s="70"/>
      <c r="BB1438" s="44"/>
      <c r="BC1438" s="1"/>
      <c r="BD1438" s="1"/>
      <c r="BE1438" s="1"/>
      <c r="BF1438" s="1"/>
      <c r="BG1438" s="1"/>
      <c r="BH1438" s="1"/>
      <c r="BI1438" s="1"/>
      <c r="BJ1438" s="1"/>
      <c r="BK1438" s="44"/>
    </row>
    <row r="1439" spans="1:63" s="11" customFormat="1" ht="12" customHeight="1" x14ac:dyDescent="0.2">
      <c r="A1439" s="44" t="s">
        <v>23157</v>
      </c>
      <c r="B1439" s="68">
        <v>18</v>
      </c>
      <c r="C1439" s="44" t="s">
        <v>20</v>
      </c>
      <c r="D1439" s="44" t="s">
        <v>85</v>
      </c>
      <c r="E1439" s="44" t="s">
        <v>23356</v>
      </c>
      <c r="F1439" s="69">
        <v>42478</v>
      </c>
      <c r="G1439" s="44" t="s">
        <v>23159</v>
      </c>
      <c r="H1439" s="44" t="s">
        <v>12858</v>
      </c>
      <c r="I1439" s="44" t="s">
        <v>173</v>
      </c>
      <c r="J1439" s="47">
        <v>30126</v>
      </c>
      <c r="K1439" s="8" t="s">
        <v>3309</v>
      </c>
      <c r="L1439" s="44" t="s">
        <v>3310</v>
      </c>
      <c r="M1439" s="44" t="s">
        <v>27</v>
      </c>
      <c r="N1439" s="44" t="s">
        <v>23158</v>
      </c>
      <c r="O1439" s="8" t="s">
        <v>400</v>
      </c>
      <c r="P1439" s="11" t="s">
        <v>401</v>
      </c>
      <c r="Q1439" s="14" t="s">
        <v>23444</v>
      </c>
      <c r="R1439" s="8" t="s">
        <v>100</v>
      </c>
      <c r="S1439" s="8" t="s">
        <v>28</v>
      </c>
      <c r="T1439" s="68" t="s">
        <v>27756</v>
      </c>
      <c r="U1439" s="68" t="s">
        <v>29438</v>
      </c>
      <c r="V1439" s="68" t="s">
        <v>29439</v>
      </c>
      <c r="W1439" s="68" t="s">
        <v>100</v>
      </c>
      <c r="X1439" s="68">
        <v>1479</v>
      </c>
      <c r="Y1439" s="44"/>
      <c r="Z1439" s="44"/>
      <c r="AA1439" s="44"/>
      <c r="AB1439" s="44"/>
      <c r="AC1439" s="44"/>
      <c r="AD1439" s="44"/>
      <c r="AE1439" s="44"/>
      <c r="AF1439" s="44"/>
      <c r="AG1439" s="44"/>
      <c r="AH1439" s="44"/>
      <c r="AI1439" s="44"/>
      <c r="AW1439" s="70"/>
      <c r="AX1439" s="70"/>
      <c r="AY1439" s="70"/>
      <c r="BB1439" s="44"/>
      <c r="BK1439" s="44"/>
    </row>
    <row r="1440" spans="1:63" s="11" customFormat="1" ht="12" customHeight="1" x14ac:dyDescent="0.15">
      <c r="A1440" s="44" t="s">
        <v>23146</v>
      </c>
      <c r="B1440" s="68">
        <v>28</v>
      </c>
      <c r="C1440" s="44" t="s">
        <v>20</v>
      </c>
      <c r="D1440" s="44" t="s">
        <v>85</v>
      </c>
      <c r="E1440" s="44" t="s">
        <v>23360</v>
      </c>
      <c r="F1440" s="69">
        <v>42478</v>
      </c>
      <c r="G1440" s="44" t="s">
        <v>23149</v>
      </c>
      <c r="H1440" s="44" t="s">
        <v>23150</v>
      </c>
      <c r="I1440" s="44" t="s">
        <v>52</v>
      </c>
      <c r="J1440" s="47">
        <v>20770</v>
      </c>
      <c r="K1440" s="8" t="s">
        <v>6546</v>
      </c>
      <c r="L1440" s="44" t="s">
        <v>23148</v>
      </c>
      <c r="M1440" s="44" t="s">
        <v>27</v>
      </c>
      <c r="N1440" s="44" t="s">
        <v>23147</v>
      </c>
      <c r="O1440" s="8" t="s">
        <v>400</v>
      </c>
      <c r="P1440" s="11" t="s">
        <v>401</v>
      </c>
      <c r="Q1440" s="14" t="s">
        <v>23449</v>
      </c>
      <c r="R1440" s="8" t="s">
        <v>100</v>
      </c>
      <c r="S1440" s="8" t="s">
        <v>28</v>
      </c>
      <c r="T1440" s="68" t="s">
        <v>27756</v>
      </c>
      <c r="U1440" s="68" t="s">
        <v>29438</v>
      </c>
      <c r="V1440" s="68" t="s">
        <v>29439</v>
      </c>
      <c r="W1440" s="68" t="s">
        <v>100</v>
      </c>
      <c r="X1440" s="68">
        <v>1475</v>
      </c>
      <c r="Y1440" s="44"/>
      <c r="Z1440" s="44"/>
      <c r="AA1440" s="44"/>
      <c r="AB1440" s="44"/>
      <c r="AC1440" s="44"/>
      <c r="AD1440" s="44"/>
      <c r="AE1440" s="44"/>
      <c r="AF1440" s="44"/>
      <c r="AG1440" s="44"/>
      <c r="AH1440" s="44"/>
      <c r="AI1440" s="44"/>
      <c r="AW1440" s="44"/>
      <c r="BB1440" s="44"/>
      <c r="BK1440" s="44"/>
    </row>
    <row r="1441" spans="1:63" s="11" customFormat="1" ht="12" customHeight="1" x14ac:dyDescent="0.15">
      <c r="A1441" s="44" t="s">
        <v>23069</v>
      </c>
      <c r="B1441" s="68">
        <v>31</v>
      </c>
      <c r="C1441" s="44" t="s">
        <v>20</v>
      </c>
      <c r="D1441" s="44" t="s">
        <v>85</v>
      </c>
      <c r="E1441" s="44"/>
      <c r="F1441" s="69">
        <v>42477</v>
      </c>
      <c r="G1441" s="44" t="s">
        <v>23070</v>
      </c>
      <c r="H1441" s="44" t="s">
        <v>3150</v>
      </c>
      <c r="I1441" s="44" t="s">
        <v>81</v>
      </c>
      <c r="J1441" s="47" t="s">
        <v>3151</v>
      </c>
      <c r="K1441" s="8" t="s">
        <v>3152</v>
      </c>
      <c r="L1441" s="44" t="s">
        <v>3153</v>
      </c>
      <c r="M1441" s="44" t="s">
        <v>27</v>
      </c>
      <c r="N1441" s="44" t="s">
        <v>23071</v>
      </c>
      <c r="O1441" s="8" t="s">
        <v>400</v>
      </c>
      <c r="P1441" s="11" t="s">
        <v>401</v>
      </c>
      <c r="Q1441" s="14" t="s">
        <v>23453</v>
      </c>
      <c r="R1441" s="8" t="s">
        <v>100</v>
      </c>
      <c r="S1441" s="8" t="s">
        <v>28</v>
      </c>
      <c r="T1441" s="68" t="s">
        <v>27756</v>
      </c>
      <c r="U1441" s="68" t="s">
        <v>29438</v>
      </c>
      <c r="V1441" s="68" t="s">
        <v>29440</v>
      </c>
      <c r="W1441" s="68" t="s">
        <v>100</v>
      </c>
      <c r="X1441" s="68">
        <v>1467</v>
      </c>
      <c r="Y1441" s="44"/>
      <c r="Z1441" s="44"/>
      <c r="AA1441" s="44"/>
      <c r="AB1441" s="44"/>
      <c r="AC1441" s="44"/>
      <c r="AD1441" s="44"/>
      <c r="AE1441" s="44"/>
      <c r="AF1441" s="44"/>
      <c r="AG1441" s="44"/>
      <c r="AH1441" s="44"/>
      <c r="AI1441" s="44"/>
      <c r="BB1441" s="44"/>
      <c r="BK1441" s="44"/>
    </row>
    <row r="1442" spans="1:63" s="11" customFormat="1" ht="12" customHeight="1" x14ac:dyDescent="0.15">
      <c r="A1442" s="44" t="s">
        <v>23167</v>
      </c>
      <c r="B1442" s="68">
        <v>32</v>
      </c>
      <c r="C1442" s="44" t="s">
        <v>20</v>
      </c>
      <c r="D1442" s="44" t="s">
        <v>85</v>
      </c>
      <c r="E1442" s="44"/>
      <c r="F1442" s="69">
        <v>42477</v>
      </c>
      <c r="G1442" s="44" t="s">
        <v>23168</v>
      </c>
      <c r="H1442" s="44" t="s">
        <v>754</v>
      </c>
      <c r="I1442" s="44" t="s">
        <v>423</v>
      </c>
      <c r="J1442" s="47">
        <v>11420</v>
      </c>
      <c r="K1442" s="8" t="s">
        <v>2675</v>
      </c>
      <c r="L1442" s="44" t="s">
        <v>582</v>
      </c>
      <c r="M1442" s="44" t="s">
        <v>27</v>
      </c>
      <c r="N1442" s="44" t="s">
        <v>23169</v>
      </c>
      <c r="O1442" s="8" t="s">
        <v>400</v>
      </c>
      <c r="P1442" s="11" t="s">
        <v>401</v>
      </c>
      <c r="Q1442" s="14" t="s">
        <v>23170</v>
      </c>
      <c r="R1442" s="8" t="s">
        <v>100</v>
      </c>
      <c r="S1442" s="8" t="s">
        <v>28</v>
      </c>
      <c r="T1442" s="68" t="s">
        <v>27756</v>
      </c>
      <c r="U1442" s="68" t="s">
        <v>29438</v>
      </c>
      <c r="V1442" s="68" t="s">
        <v>29440</v>
      </c>
      <c r="W1442" s="68" t="s">
        <v>100</v>
      </c>
      <c r="X1442" s="68">
        <v>1470</v>
      </c>
      <c r="Y1442" s="44"/>
      <c r="Z1442" s="44"/>
      <c r="AA1442" s="44"/>
      <c r="AB1442" s="44"/>
      <c r="AC1442" s="44"/>
      <c r="AD1442" s="44"/>
      <c r="AE1442" s="44"/>
      <c r="AF1442" s="44"/>
      <c r="AG1442" s="44"/>
      <c r="AH1442" s="44"/>
      <c r="AI1442" s="44"/>
      <c r="BB1442" s="44"/>
      <c r="BK1442" s="44"/>
    </row>
    <row r="1443" spans="1:63" s="11" customFormat="1" ht="12" customHeight="1" x14ac:dyDescent="0.15">
      <c r="A1443" s="44" t="s">
        <v>23068</v>
      </c>
      <c r="B1443" s="68">
        <v>35</v>
      </c>
      <c r="C1443" s="44" t="s">
        <v>114</v>
      </c>
      <c r="D1443" s="44" t="s">
        <v>85</v>
      </c>
      <c r="E1443" s="44" t="s">
        <v>23365</v>
      </c>
      <c r="F1443" s="69">
        <v>42477</v>
      </c>
      <c r="G1443" s="44" t="s">
        <v>23073</v>
      </c>
      <c r="H1443" s="44" t="s">
        <v>1055</v>
      </c>
      <c r="I1443" s="44" t="s">
        <v>69</v>
      </c>
      <c r="J1443" s="47">
        <v>45417</v>
      </c>
      <c r="K1443" s="8" t="s">
        <v>1056</v>
      </c>
      <c r="L1443" s="44" t="s">
        <v>6011</v>
      </c>
      <c r="M1443" s="44" t="s">
        <v>27</v>
      </c>
      <c r="N1443" s="44" t="s">
        <v>23072</v>
      </c>
      <c r="O1443" s="8" t="s">
        <v>400</v>
      </c>
      <c r="P1443" s="11" t="s">
        <v>401</v>
      </c>
      <c r="Q1443" s="14" t="s">
        <v>23456</v>
      </c>
      <c r="R1443" s="8" t="s">
        <v>100</v>
      </c>
      <c r="S1443" s="8" t="s">
        <v>28</v>
      </c>
      <c r="T1443" s="68" t="s">
        <v>27756</v>
      </c>
      <c r="U1443" s="68" t="s">
        <v>29436</v>
      </c>
      <c r="V1443" s="68" t="s">
        <v>29437</v>
      </c>
      <c r="W1443" s="68" t="s">
        <v>100</v>
      </c>
      <c r="X1443" s="68">
        <v>1464</v>
      </c>
      <c r="Y1443" s="44"/>
      <c r="Z1443" s="44"/>
      <c r="AA1443" s="44"/>
      <c r="AB1443" s="44"/>
      <c r="AC1443" s="44"/>
      <c r="AD1443" s="44"/>
      <c r="AE1443" s="44"/>
      <c r="AF1443" s="44"/>
      <c r="AG1443" s="44"/>
      <c r="AH1443" s="44"/>
      <c r="AI1443" s="44"/>
      <c r="BB1443" s="44"/>
      <c r="BK1443" s="44"/>
    </row>
    <row r="1444" spans="1:63" s="11" customFormat="1" ht="12" customHeight="1" x14ac:dyDescent="0.15">
      <c r="A1444" s="44" t="s">
        <v>23067</v>
      </c>
      <c r="B1444" s="68">
        <v>37</v>
      </c>
      <c r="C1444" s="44" t="s">
        <v>20</v>
      </c>
      <c r="D1444" s="44" t="s">
        <v>85</v>
      </c>
      <c r="E1444" s="44" t="s">
        <v>23364</v>
      </c>
      <c r="F1444" s="69">
        <v>42477</v>
      </c>
      <c r="G1444" s="44" t="s">
        <v>23075</v>
      </c>
      <c r="H1444" s="44" t="s">
        <v>663</v>
      </c>
      <c r="I1444" s="44" t="s">
        <v>423</v>
      </c>
      <c r="J1444" s="47">
        <v>12180</v>
      </c>
      <c r="K1444" s="8" t="s">
        <v>664</v>
      </c>
      <c r="L1444" s="44" t="s">
        <v>665</v>
      </c>
      <c r="M1444" s="44" t="s">
        <v>27</v>
      </c>
      <c r="N1444" s="44" t="s">
        <v>23074</v>
      </c>
      <c r="O1444" s="8" t="s">
        <v>400</v>
      </c>
      <c r="P1444" s="11" t="s">
        <v>401</v>
      </c>
      <c r="Q1444" s="14" t="s">
        <v>23455</v>
      </c>
      <c r="R1444" s="8" t="s">
        <v>100</v>
      </c>
      <c r="S1444" s="8" t="s">
        <v>379</v>
      </c>
      <c r="T1444" s="68" t="s">
        <v>379</v>
      </c>
      <c r="U1444" s="68" t="s">
        <v>29438</v>
      </c>
      <c r="V1444" s="68" t="s">
        <v>29437</v>
      </c>
      <c r="W1444" s="68" t="s">
        <v>100</v>
      </c>
      <c r="X1444" s="68">
        <v>1472</v>
      </c>
      <c r="Y1444" s="44"/>
      <c r="Z1444" s="44"/>
      <c r="AA1444" s="44"/>
      <c r="AB1444" s="44"/>
      <c r="AC1444" s="44"/>
      <c r="AD1444" s="44"/>
      <c r="AE1444" s="44"/>
      <c r="AF1444" s="44"/>
      <c r="AG1444" s="44"/>
      <c r="AH1444" s="44"/>
      <c r="AI1444" s="44"/>
      <c r="AW1444" s="44"/>
      <c r="AX1444" s="44"/>
      <c r="AY1444" s="44"/>
      <c r="BB1444" s="44"/>
      <c r="BK1444" s="44"/>
    </row>
    <row r="1445" spans="1:63" s="11" customFormat="1" ht="12" customHeight="1" x14ac:dyDescent="0.15">
      <c r="A1445" s="44" t="s">
        <v>23268</v>
      </c>
      <c r="B1445" s="68">
        <v>22</v>
      </c>
      <c r="C1445" s="44" t="s">
        <v>20</v>
      </c>
      <c r="D1445" s="68" t="s">
        <v>37</v>
      </c>
      <c r="E1445" s="44"/>
      <c r="F1445" s="69">
        <v>42477</v>
      </c>
      <c r="G1445" s="44" t="s">
        <v>23269</v>
      </c>
      <c r="H1445" s="44" t="s">
        <v>857</v>
      </c>
      <c r="I1445" s="44" t="s">
        <v>73</v>
      </c>
      <c r="J1445" s="47">
        <v>79912</v>
      </c>
      <c r="K1445" s="8" t="s">
        <v>857</v>
      </c>
      <c r="L1445" s="44" t="s">
        <v>858</v>
      </c>
      <c r="M1445" s="44" t="s">
        <v>27</v>
      </c>
      <c r="N1445" s="8" t="s">
        <v>23391</v>
      </c>
      <c r="O1445" s="8" t="s">
        <v>400</v>
      </c>
      <c r="P1445" s="44" t="s">
        <v>401</v>
      </c>
      <c r="Q1445" s="14" t="s">
        <v>23460</v>
      </c>
      <c r="R1445" s="8" t="s">
        <v>555</v>
      </c>
      <c r="S1445" s="44" t="s">
        <v>18</v>
      </c>
      <c r="T1445" s="68" t="s">
        <v>28345</v>
      </c>
      <c r="U1445" s="68" t="s">
        <v>29436</v>
      </c>
      <c r="V1445" s="68" t="s">
        <v>29439</v>
      </c>
      <c r="W1445" s="68" t="s">
        <v>100</v>
      </c>
      <c r="X1445" s="68">
        <v>1466</v>
      </c>
      <c r="Y1445" s="44"/>
      <c r="Z1445" s="44"/>
      <c r="AA1445" s="44"/>
      <c r="AB1445" s="44"/>
      <c r="AC1445" s="44"/>
      <c r="AD1445" s="44"/>
      <c r="AE1445" s="44"/>
      <c r="AF1445" s="44"/>
      <c r="AG1445" s="44"/>
      <c r="AW1445" s="44"/>
      <c r="AX1445" s="1"/>
      <c r="AY1445" s="1"/>
      <c r="BC1445" s="1"/>
      <c r="BD1445" s="1"/>
      <c r="BE1445" s="1"/>
      <c r="BF1445" s="1"/>
      <c r="BG1445" s="1"/>
      <c r="BH1445" s="1"/>
      <c r="BI1445" s="1"/>
      <c r="BJ1445" s="1"/>
      <c r="BK1445" s="1"/>
    </row>
    <row r="1446" spans="1:63" s="11" customFormat="1" ht="12" customHeight="1" x14ac:dyDescent="0.15">
      <c r="A1446" s="44" t="s">
        <v>23300</v>
      </c>
      <c r="B1446" s="68">
        <v>53</v>
      </c>
      <c r="C1446" s="44" t="s">
        <v>20</v>
      </c>
      <c r="D1446" s="44" t="s">
        <v>37</v>
      </c>
      <c r="E1446" s="44" t="s">
        <v>23357</v>
      </c>
      <c r="F1446" s="69">
        <v>42476</v>
      </c>
      <c r="G1446" s="44" t="s">
        <v>23301</v>
      </c>
      <c r="H1446" s="44" t="s">
        <v>878</v>
      </c>
      <c r="I1446" s="44" t="s">
        <v>44</v>
      </c>
      <c r="J1446" s="47">
        <v>60002</v>
      </c>
      <c r="K1446" s="8" t="s">
        <v>1256</v>
      </c>
      <c r="L1446" s="44" t="s">
        <v>23302</v>
      </c>
      <c r="M1446" s="44" t="s">
        <v>27</v>
      </c>
      <c r="N1446" s="8" t="s">
        <v>23382</v>
      </c>
      <c r="O1446" s="8" t="s">
        <v>400</v>
      </c>
      <c r="P1446" s="44" t="s">
        <v>401</v>
      </c>
      <c r="Q1446" s="14" t="s">
        <v>23445</v>
      </c>
      <c r="R1446" s="8" t="s">
        <v>100</v>
      </c>
      <c r="S1446" s="8" t="s">
        <v>28</v>
      </c>
      <c r="T1446" s="68" t="s">
        <v>27756</v>
      </c>
      <c r="U1446" s="68" t="s">
        <v>29438</v>
      </c>
      <c r="V1446" s="68" t="s">
        <v>29439</v>
      </c>
      <c r="W1446" s="68" t="s">
        <v>100</v>
      </c>
      <c r="X1446" s="68">
        <v>1473</v>
      </c>
      <c r="Y1446" s="44"/>
      <c r="Z1446" s="44"/>
      <c r="AA1446" s="44"/>
      <c r="AB1446" s="44"/>
      <c r="AC1446" s="44"/>
      <c r="AD1446" s="44"/>
      <c r="AE1446" s="44"/>
      <c r="AF1446" s="44"/>
      <c r="AG1446" s="44"/>
      <c r="AH1446" s="44"/>
      <c r="AI1446" s="44"/>
      <c r="AW1446" s="1"/>
      <c r="AX1446" s="1"/>
      <c r="AY1446" s="1"/>
      <c r="BB1446" s="44"/>
      <c r="BC1446" s="1"/>
      <c r="BD1446" s="1"/>
      <c r="BE1446" s="1"/>
      <c r="BF1446" s="1"/>
      <c r="BG1446" s="1"/>
      <c r="BH1446" s="1"/>
      <c r="BI1446" s="1"/>
      <c r="BJ1446" s="1"/>
      <c r="BK1446" s="44"/>
    </row>
    <row r="1447" spans="1:63" s="11" customFormat="1" ht="12" customHeight="1" x14ac:dyDescent="0.15">
      <c r="A1447" s="44" t="s">
        <v>23303</v>
      </c>
      <c r="B1447" s="68">
        <v>26</v>
      </c>
      <c r="C1447" s="44" t="s">
        <v>20</v>
      </c>
      <c r="D1447" s="44" t="s">
        <v>37</v>
      </c>
      <c r="E1447" s="44" t="s">
        <v>23358</v>
      </c>
      <c r="F1447" s="69">
        <v>42475</v>
      </c>
      <c r="G1447" s="44" t="s">
        <v>23304</v>
      </c>
      <c r="H1447" s="44" t="s">
        <v>905</v>
      </c>
      <c r="I1447" s="44" t="s">
        <v>217</v>
      </c>
      <c r="J1447" s="47">
        <v>47303</v>
      </c>
      <c r="K1447" s="8" t="s">
        <v>906</v>
      </c>
      <c r="L1447" s="44" t="s">
        <v>907</v>
      </c>
      <c r="M1447" s="44" t="s">
        <v>27</v>
      </c>
      <c r="N1447" s="8" t="s">
        <v>23383</v>
      </c>
      <c r="O1447" s="8" t="s">
        <v>400</v>
      </c>
      <c r="P1447" s="44" t="s">
        <v>401</v>
      </c>
      <c r="Q1447" s="14" t="s">
        <v>23446</v>
      </c>
      <c r="R1447" s="8" t="s">
        <v>100</v>
      </c>
      <c r="S1447" s="44" t="s">
        <v>35</v>
      </c>
      <c r="T1447" s="68" t="s">
        <v>29441</v>
      </c>
      <c r="U1447" s="68" t="s">
        <v>29438</v>
      </c>
      <c r="V1447" s="68" t="s">
        <v>29440</v>
      </c>
      <c r="W1447" s="68" t="s">
        <v>555</v>
      </c>
      <c r="X1447" s="68">
        <v>1471</v>
      </c>
      <c r="Y1447" s="44"/>
      <c r="Z1447" s="44"/>
      <c r="AA1447" s="44"/>
      <c r="AB1447" s="44"/>
      <c r="AC1447" s="44"/>
      <c r="AD1447" s="44"/>
      <c r="AE1447" s="44"/>
      <c r="AF1447" s="44"/>
      <c r="AG1447" s="44"/>
      <c r="AH1447" s="44"/>
      <c r="AI1447" s="44"/>
      <c r="AW1447" s="44"/>
      <c r="AX1447" s="1"/>
      <c r="AY1447" s="1"/>
      <c r="BB1447" s="44"/>
      <c r="BC1447" s="1"/>
      <c r="BD1447" s="1"/>
      <c r="BE1447" s="1"/>
      <c r="BF1447" s="1"/>
      <c r="BG1447" s="1"/>
      <c r="BH1447" s="1"/>
      <c r="BI1447" s="1"/>
      <c r="BJ1447" s="1"/>
      <c r="BK1447" s="1"/>
    </row>
    <row r="1448" spans="1:63" s="11" customFormat="1" ht="12" customHeight="1" x14ac:dyDescent="0.15">
      <c r="A1448" s="44" t="s">
        <v>23270</v>
      </c>
      <c r="B1448" s="68">
        <v>38</v>
      </c>
      <c r="C1448" s="44" t="s">
        <v>20</v>
      </c>
      <c r="D1448" s="44" t="s">
        <v>48</v>
      </c>
      <c r="E1448" s="44"/>
      <c r="F1448" s="69">
        <v>42475</v>
      </c>
      <c r="G1448" s="44" t="s">
        <v>23271</v>
      </c>
      <c r="H1448" s="44" t="s">
        <v>12021</v>
      </c>
      <c r="I1448" s="44" t="s">
        <v>45</v>
      </c>
      <c r="J1448" s="47">
        <v>92530</v>
      </c>
      <c r="K1448" s="8" t="s">
        <v>783</v>
      </c>
      <c r="L1448" s="44" t="s">
        <v>12023</v>
      </c>
      <c r="M1448" s="44" t="s">
        <v>27</v>
      </c>
      <c r="N1448" s="8" t="s">
        <v>23376</v>
      </c>
      <c r="O1448" s="8" t="s">
        <v>400</v>
      </c>
      <c r="P1448" s="44" t="s">
        <v>401</v>
      </c>
      <c r="Q1448" s="14" t="s">
        <v>23437</v>
      </c>
      <c r="R1448" s="8" t="s">
        <v>29</v>
      </c>
      <c r="S1448" s="44" t="s">
        <v>28</v>
      </c>
      <c r="T1448" s="68" t="s">
        <v>29446</v>
      </c>
      <c r="U1448" s="68" t="s">
        <v>29436</v>
      </c>
      <c r="V1448" s="68" t="s">
        <v>29439</v>
      </c>
      <c r="W1448" s="68" t="s">
        <v>100</v>
      </c>
      <c r="X1448" s="68">
        <v>1465</v>
      </c>
      <c r="Y1448" s="44"/>
      <c r="Z1448" s="44"/>
      <c r="AA1448" s="44"/>
      <c r="AB1448" s="44"/>
      <c r="AC1448" s="44"/>
      <c r="AD1448" s="44"/>
      <c r="AE1448" s="44"/>
      <c r="AF1448" s="44"/>
      <c r="AG1448" s="44"/>
      <c r="AH1448" s="44"/>
      <c r="AI1448" s="44"/>
      <c r="AX1448" s="1"/>
      <c r="AY1448" s="1"/>
      <c r="BA1448" s="1"/>
      <c r="BB1448" s="1"/>
      <c r="BC1448" s="1"/>
      <c r="BD1448" s="1"/>
      <c r="BE1448" s="1"/>
      <c r="BF1448" s="1"/>
      <c r="BG1448" s="1"/>
      <c r="BH1448" s="1"/>
      <c r="BI1448" s="1"/>
      <c r="BJ1448" s="1"/>
      <c r="BK1448" s="44"/>
    </row>
    <row r="1449" spans="1:63" s="11" customFormat="1" ht="12" customHeight="1" x14ac:dyDescent="0.15">
      <c r="A1449" s="44" t="s">
        <v>23305</v>
      </c>
      <c r="B1449" s="68">
        <v>52</v>
      </c>
      <c r="C1449" s="44" t="s">
        <v>20</v>
      </c>
      <c r="D1449" s="44" t="s">
        <v>37</v>
      </c>
      <c r="E1449" s="44"/>
      <c r="F1449" s="69">
        <v>42475</v>
      </c>
      <c r="G1449" s="44" t="s">
        <v>23306</v>
      </c>
      <c r="H1449" s="44" t="s">
        <v>991</v>
      </c>
      <c r="I1449" s="44" t="s">
        <v>395</v>
      </c>
      <c r="J1449" s="47">
        <v>73527</v>
      </c>
      <c r="K1449" s="8" t="s">
        <v>11060</v>
      </c>
      <c r="L1449" s="44" t="s">
        <v>23307</v>
      </c>
      <c r="M1449" s="44" t="s">
        <v>27</v>
      </c>
      <c r="N1449" s="8" t="s">
        <v>23466</v>
      </c>
      <c r="O1449" s="44" t="s">
        <v>400</v>
      </c>
      <c r="P1449" s="44" t="s">
        <v>401</v>
      </c>
      <c r="Q1449" s="44" t="s">
        <v>23478</v>
      </c>
      <c r="R1449" s="68" t="s">
        <v>555</v>
      </c>
      <c r="S1449" s="44" t="s">
        <v>28</v>
      </c>
      <c r="T1449" s="68" t="s">
        <v>27756</v>
      </c>
      <c r="U1449" s="68" t="s">
        <v>29438</v>
      </c>
      <c r="V1449" s="68" t="s">
        <v>29439</v>
      </c>
      <c r="W1449" s="68" t="s">
        <v>100</v>
      </c>
      <c r="X1449" s="68">
        <v>1469</v>
      </c>
      <c r="Y1449" s="44"/>
      <c r="Z1449" s="44"/>
      <c r="AA1449" s="44"/>
      <c r="AB1449" s="44"/>
      <c r="AC1449" s="44"/>
      <c r="AD1449" s="44"/>
      <c r="AE1449" s="44"/>
      <c r="AF1449" s="44"/>
      <c r="AG1449" s="44"/>
      <c r="AW1449" s="1"/>
      <c r="AX1449" s="1"/>
      <c r="AY1449" s="1"/>
      <c r="BA1449" s="44"/>
      <c r="BB1449" s="44"/>
      <c r="BC1449" s="1"/>
      <c r="BD1449" s="1"/>
      <c r="BE1449" s="1"/>
      <c r="BF1449" s="1"/>
      <c r="BG1449" s="1"/>
      <c r="BH1449" s="1"/>
      <c r="BI1449" s="1"/>
      <c r="BJ1449" s="1"/>
      <c r="BK1449" s="44"/>
    </row>
    <row r="1450" spans="1:63" s="11" customFormat="1" ht="12" customHeight="1" x14ac:dyDescent="0.15">
      <c r="A1450" s="44" t="s">
        <v>23163</v>
      </c>
      <c r="B1450" s="44">
        <v>44</v>
      </c>
      <c r="C1450" s="44" t="s">
        <v>20</v>
      </c>
      <c r="D1450" s="44" t="s">
        <v>85</v>
      </c>
      <c r="E1450" s="44"/>
      <c r="F1450" s="72">
        <v>42475</v>
      </c>
      <c r="G1450" s="44" t="s">
        <v>23165</v>
      </c>
      <c r="H1450" s="44" t="s">
        <v>1592</v>
      </c>
      <c r="I1450" s="44" t="s">
        <v>52</v>
      </c>
      <c r="J1450" s="48">
        <v>21223</v>
      </c>
      <c r="K1450" s="44" t="s">
        <v>4697</v>
      </c>
      <c r="L1450" s="44" t="s">
        <v>2770</v>
      </c>
      <c r="M1450" s="44" t="s">
        <v>27</v>
      </c>
      <c r="N1450" s="44" t="s">
        <v>23164</v>
      </c>
      <c r="O1450" s="44" t="s">
        <v>400</v>
      </c>
      <c r="P1450" s="44" t="s">
        <v>401</v>
      </c>
      <c r="Q1450" s="44" t="s">
        <v>23166</v>
      </c>
      <c r="R1450" s="1" t="s">
        <v>29</v>
      </c>
      <c r="S1450" s="8" t="s">
        <v>28</v>
      </c>
      <c r="T1450" s="68"/>
      <c r="U1450" s="68"/>
      <c r="V1450" s="68"/>
      <c r="W1450" s="68"/>
      <c r="X1450" s="68"/>
      <c r="Y1450" s="44"/>
      <c r="Z1450" s="44"/>
      <c r="AA1450" s="44"/>
      <c r="AB1450" s="44"/>
      <c r="AC1450" s="44"/>
      <c r="AD1450" s="44"/>
      <c r="AE1450" s="44"/>
      <c r="AF1450" s="44"/>
      <c r="AG1450" s="44"/>
      <c r="AH1450" s="44"/>
      <c r="AI1450" s="44"/>
      <c r="AW1450" s="1"/>
      <c r="AX1450" s="44"/>
      <c r="AY1450" s="44"/>
      <c r="AZ1450" s="1"/>
      <c r="BA1450" s="1"/>
      <c r="BB1450" s="1"/>
      <c r="BK1450" s="44"/>
    </row>
    <row r="1451" spans="1:63" s="11" customFormat="1" ht="12" customHeight="1" x14ac:dyDescent="0.2">
      <c r="A1451" s="44" t="s">
        <v>23345</v>
      </c>
      <c r="B1451" s="68">
        <v>54</v>
      </c>
      <c r="C1451" s="44" t="s">
        <v>20</v>
      </c>
      <c r="D1451" s="68" t="s">
        <v>37</v>
      </c>
      <c r="E1451" s="44"/>
      <c r="F1451" s="69">
        <v>42474</v>
      </c>
      <c r="G1451" s="44" t="s">
        <v>23272</v>
      </c>
      <c r="H1451" s="44" t="s">
        <v>9415</v>
      </c>
      <c r="I1451" s="44" t="s">
        <v>363</v>
      </c>
      <c r="J1451" s="47">
        <v>67460</v>
      </c>
      <c r="K1451" s="8" t="s">
        <v>9415</v>
      </c>
      <c r="L1451" s="44" t="s">
        <v>23273</v>
      </c>
      <c r="M1451" s="68" t="s">
        <v>5411</v>
      </c>
      <c r="N1451" s="8" t="s">
        <v>23384</v>
      </c>
      <c r="O1451" s="8" t="s">
        <v>400</v>
      </c>
      <c r="P1451" s="44" t="s">
        <v>401</v>
      </c>
      <c r="Q1451" s="14" t="s">
        <v>23447</v>
      </c>
      <c r="R1451" s="68" t="s">
        <v>555</v>
      </c>
      <c r="S1451" s="8" t="s">
        <v>18</v>
      </c>
      <c r="T1451" s="68" t="s">
        <v>28345</v>
      </c>
      <c r="U1451" s="68" t="s">
        <v>29438</v>
      </c>
      <c r="V1451" s="68" t="s">
        <v>29439</v>
      </c>
      <c r="W1451" s="68" t="s">
        <v>100</v>
      </c>
      <c r="X1451" s="68">
        <v>1463</v>
      </c>
      <c r="Y1451" s="44"/>
      <c r="Z1451" s="44"/>
      <c r="AA1451" s="44"/>
      <c r="AB1451" s="44"/>
      <c r="AC1451" s="44"/>
      <c r="AD1451" s="44"/>
      <c r="AE1451" s="44"/>
      <c r="AF1451" s="44"/>
      <c r="AG1451" s="44"/>
      <c r="AH1451" s="44"/>
      <c r="AI1451" s="44"/>
      <c r="AW1451" s="1"/>
      <c r="AX1451" s="1"/>
      <c r="AY1451" s="1"/>
      <c r="BA1451" s="44"/>
      <c r="BB1451" s="70"/>
      <c r="BC1451" s="1"/>
      <c r="BD1451" s="1"/>
      <c r="BE1451" s="1"/>
      <c r="BF1451" s="1"/>
      <c r="BG1451" s="1"/>
      <c r="BH1451" s="1"/>
      <c r="BI1451" s="1"/>
      <c r="BJ1451" s="1"/>
      <c r="BK1451" s="1"/>
    </row>
    <row r="1452" spans="1:63" s="11" customFormat="1" ht="12" customHeight="1" x14ac:dyDescent="0.15">
      <c r="A1452" s="44" t="s">
        <v>23312</v>
      </c>
      <c r="B1452" s="68">
        <v>26</v>
      </c>
      <c r="C1452" s="44" t="s">
        <v>20</v>
      </c>
      <c r="D1452" s="44" t="s">
        <v>37</v>
      </c>
      <c r="E1452" s="44" t="s">
        <v>23366</v>
      </c>
      <c r="F1452" s="69">
        <v>42473</v>
      </c>
      <c r="G1452" s="44" t="s">
        <v>23313</v>
      </c>
      <c r="H1452" s="44" t="s">
        <v>12331</v>
      </c>
      <c r="I1452" s="44" t="s">
        <v>319</v>
      </c>
      <c r="J1452" s="47">
        <v>38583</v>
      </c>
      <c r="K1452" s="8" t="s">
        <v>37</v>
      </c>
      <c r="L1452" s="44" t="s">
        <v>23314</v>
      </c>
      <c r="M1452" s="44" t="s">
        <v>27</v>
      </c>
      <c r="N1452" s="8" t="s">
        <v>23389</v>
      </c>
      <c r="O1452" s="8" t="s">
        <v>400</v>
      </c>
      <c r="P1452" s="44" t="s">
        <v>401</v>
      </c>
      <c r="Q1452" s="14" t="s">
        <v>23458</v>
      </c>
      <c r="R1452" s="8" t="s">
        <v>100</v>
      </c>
      <c r="S1452" s="44" t="s">
        <v>28</v>
      </c>
      <c r="T1452" s="68" t="s">
        <v>27756</v>
      </c>
      <c r="U1452" s="68" t="s">
        <v>29438</v>
      </c>
      <c r="V1452" s="68" t="s">
        <v>29437</v>
      </c>
      <c r="W1452" s="68" t="s">
        <v>100</v>
      </c>
      <c r="X1452" s="68">
        <v>1462</v>
      </c>
      <c r="Y1452" s="44"/>
      <c r="Z1452" s="44"/>
      <c r="AA1452" s="44"/>
      <c r="AB1452" s="44"/>
      <c r="AC1452" s="44"/>
      <c r="AD1452" s="44"/>
      <c r="AE1452" s="44"/>
      <c r="AF1452" s="44"/>
      <c r="AG1452" s="44"/>
      <c r="AW1452" s="44"/>
      <c r="AX1452" s="1"/>
      <c r="AY1452" s="1"/>
      <c r="BB1452" s="44"/>
      <c r="BC1452" s="1"/>
      <c r="BD1452" s="1"/>
      <c r="BE1452" s="1"/>
      <c r="BF1452" s="1"/>
      <c r="BG1452" s="1"/>
      <c r="BH1452" s="1"/>
      <c r="BI1452" s="1"/>
      <c r="BJ1452" s="1"/>
      <c r="BK1452" s="44"/>
    </row>
    <row r="1453" spans="1:63" s="11" customFormat="1" ht="12" customHeight="1" x14ac:dyDescent="0.15">
      <c r="A1453" s="44" t="s">
        <v>23308</v>
      </c>
      <c r="B1453" s="68">
        <v>52</v>
      </c>
      <c r="C1453" s="44" t="s">
        <v>20</v>
      </c>
      <c r="D1453" s="44" t="s">
        <v>37</v>
      </c>
      <c r="E1453" s="44" t="s">
        <v>23368</v>
      </c>
      <c r="F1453" s="69">
        <v>42473</v>
      </c>
      <c r="G1453" s="44" t="s">
        <v>23309</v>
      </c>
      <c r="H1453" s="44" t="s">
        <v>23310</v>
      </c>
      <c r="I1453" s="44" t="s">
        <v>73</v>
      </c>
      <c r="J1453" s="47">
        <v>78643</v>
      </c>
      <c r="K1453" s="8" t="s">
        <v>23310</v>
      </c>
      <c r="L1453" s="44" t="s">
        <v>23311</v>
      </c>
      <c r="M1453" s="44" t="s">
        <v>27</v>
      </c>
      <c r="N1453" s="8" t="s">
        <v>23392</v>
      </c>
      <c r="O1453" s="8" t="s">
        <v>400</v>
      </c>
      <c r="P1453" s="44" t="s">
        <v>401</v>
      </c>
      <c r="Q1453" s="14" t="s">
        <v>23461</v>
      </c>
      <c r="R1453" s="8" t="s">
        <v>100</v>
      </c>
      <c r="S1453" s="44" t="s">
        <v>28</v>
      </c>
      <c r="T1453" s="68" t="s">
        <v>27756</v>
      </c>
      <c r="U1453" s="68" t="s">
        <v>29438</v>
      </c>
      <c r="V1453" s="68" t="s">
        <v>29439</v>
      </c>
      <c r="W1453" s="68" t="s">
        <v>100</v>
      </c>
      <c r="X1453" s="68">
        <v>1460</v>
      </c>
      <c r="Y1453" s="44"/>
      <c r="Z1453" s="44"/>
      <c r="AA1453" s="44"/>
      <c r="AB1453" s="44"/>
      <c r="AC1453" s="44"/>
      <c r="AD1453" s="44"/>
      <c r="AE1453" s="44"/>
      <c r="AF1453" s="44"/>
      <c r="AG1453" s="44"/>
      <c r="AW1453" s="1"/>
      <c r="AX1453" s="1"/>
      <c r="AY1453" s="1"/>
      <c r="BB1453" s="44"/>
      <c r="BC1453" s="1"/>
      <c r="BD1453" s="1"/>
      <c r="BE1453" s="1"/>
      <c r="BF1453" s="1"/>
      <c r="BG1453" s="1"/>
      <c r="BH1453" s="1"/>
      <c r="BI1453" s="1"/>
      <c r="BJ1453" s="1"/>
      <c r="BK1453" s="44"/>
    </row>
    <row r="1454" spans="1:63" s="11" customFormat="1" ht="12" customHeight="1" x14ac:dyDescent="0.15">
      <c r="A1454" s="44" t="s">
        <v>23064</v>
      </c>
      <c r="B1454" s="68">
        <v>35</v>
      </c>
      <c r="C1454" s="44" t="s">
        <v>20</v>
      </c>
      <c r="D1454" s="44" t="s">
        <v>85</v>
      </c>
      <c r="E1454" s="44"/>
      <c r="F1454" s="69">
        <v>42473</v>
      </c>
      <c r="G1454" s="44" t="s">
        <v>23065</v>
      </c>
      <c r="H1454" s="44" t="s">
        <v>1760</v>
      </c>
      <c r="I1454" s="44" t="s">
        <v>45</v>
      </c>
      <c r="J1454" s="47">
        <v>95210</v>
      </c>
      <c r="K1454" s="8" t="s">
        <v>1762</v>
      </c>
      <c r="L1454" s="44" t="s">
        <v>1763</v>
      </c>
      <c r="M1454" s="44" t="s">
        <v>27</v>
      </c>
      <c r="N1454" s="44" t="s">
        <v>23076</v>
      </c>
      <c r="O1454" s="8" t="s">
        <v>400</v>
      </c>
      <c r="P1454" s="44" t="s">
        <v>401</v>
      </c>
      <c r="Q1454" s="14" t="s">
        <v>23066</v>
      </c>
      <c r="R1454" s="8" t="s">
        <v>100</v>
      </c>
      <c r="S1454" s="8" t="s">
        <v>35</v>
      </c>
      <c r="T1454" s="68" t="s">
        <v>29441</v>
      </c>
      <c r="U1454" s="68" t="s">
        <v>29438</v>
      </c>
      <c r="V1454" s="68" t="s">
        <v>29439</v>
      </c>
      <c r="W1454" s="68" t="s">
        <v>100</v>
      </c>
      <c r="X1454" s="68">
        <v>1459</v>
      </c>
      <c r="Y1454" s="44"/>
      <c r="Z1454" s="44"/>
      <c r="AA1454" s="44"/>
      <c r="AB1454" s="44"/>
      <c r="AC1454" s="44"/>
      <c r="AD1454" s="44"/>
      <c r="AE1454" s="44"/>
      <c r="AF1454" s="44"/>
      <c r="AG1454" s="44"/>
      <c r="AH1454" s="44"/>
      <c r="AI1454" s="44"/>
      <c r="BB1454" s="44"/>
      <c r="BK1454" s="1"/>
    </row>
    <row r="1455" spans="1:63" s="11" customFormat="1" ht="12" customHeight="1" x14ac:dyDescent="0.15">
      <c r="A1455" s="44" t="s">
        <v>23061</v>
      </c>
      <c r="B1455" s="68">
        <v>38</v>
      </c>
      <c r="C1455" s="44" t="s">
        <v>20</v>
      </c>
      <c r="D1455" s="44" t="s">
        <v>48</v>
      </c>
      <c r="E1455" s="44"/>
      <c r="F1455" s="69">
        <v>42472</v>
      </c>
      <c r="G1455" s="44" t="s">
        <v>23237</v>
      </c>
      <c r="H1455" s="44" t="s">
        <v>2508</v>
      </c>
      <c r="I1455" s="44" t="s">
        <v>44</v>
      </c>
      <c r="J1455" s="47">
        <v>62812</v>
      </c>
      <c r="K1455" s="8" t="s">
        <v>1288</v>
      </c>
      <c r="L1455" s="44" t="s">
        <v>23238</v>
      </c>
      <c r="M1455" s="44" t="s">
        <v>27</v>
      </c>
      <c r="N1455" s="8" t="s">
        <v>23062</v>
      </c>
      <c r="O1455" s="8" t="s">
        <v>400</v>
      </c>
      <c r="P1455" s="44" t="s">
        <v>401</v>
      </c>
      <c r="Q1455" s="14" t="s">
        <v>23063</v>
      </c>
      <c r="R1455" s="8" t="s">
        <v>100</v>
      </c>
      <c r="S1455" s="8" t="s">
        <v>28</v>
      </c>
      <c r="T1455" s="68" t="s">
        <v>27756</v>
      </c>
      <c r="U1455" s="68" t="s">
        <v>29438</v>
      </c>
      <c r="V1455" s="68" t="s">
        <v>29437</v>
      </c>
      <c r="W1455" s="68" t="s">
        <v>100</v>
      </c>
      <c r="X1455" s="68">
        <v>1457</v>
      </c>
      <c r="Y1455" s="44"/>
      <c r="Z1455" s="44"/>
      <c r="AA1455" s="44"/>
      <c r="AB1455" s="44"/>
      <c r="AC1455" s="44"/>
      <c r="AD1455" s="44"/>
      <c r="AE1455" s="44"/>
      <c r="AF1455" s="44"/>
      <c r="AG1455" s="44"/>
      <c r="AH1455" s="44"/>
      <c r="AI1455" s="44"/>
      <c r="AW1455" s="44"/>
      <c r="AX1455" s="1"/>
      <c r="AY1455" s="1"/>
      <c r="BB1455" s="1"/>
      <c r="BC1455" s="1"/>
      <c r="BD1455" s="1"/>
      <c r="BE1455" s="1"/>
      <c r="BF1455" s="1"/>
      <c r="BG1455" s="1"/>
      <c r="BH1455" s="1"/>
      <c r="BI1455" s="1"/>
      <c r="BJ1455" s="1"/>
      <c r="BK1455" s="44"/>
    </row>
    <row r="1456" spans="1:63" s="11" customFormat="1" ht="12" customHeight="1" x14ac:dyDescent="0.15">
      <c r="A1456" s="44" t="s">
        <v>23315</v>
      </c>
      <c r="B1456" s="68">
        <v>40</v>
      </c>
      <c r="C1456" s="44" t="s">
        <v>20</v>
      </c>
      <c r="D1456" s="44" t="s">
        <v>37</v>
      </c>
      <c r="E1456" s="44" t="s">
        <v>23353</v>
      </c>
      <c r="F1456" s="69">
        <v>42472</v>
      </c>
      <c r="G1456" s="44" t="s">
        <v>23316</v>
      </c>
      <c r="H1456" s="44" t="s">
        <v>1298</v>
      </c>
      <c r="I1456" s="44" t="s">
        <v>209</v>
      </c>
      <c r="J1456" s="47">
        <v>80202</v>
      </c>
      <c r="K1456" s="8" t="s">
        <v>1298</v>
      </c>
      <c r="L1456" s="44" t="s">
        <v>1299</v>
      </c>
      <c r="M1456" s="44" t="s">
        <v>27</v>
      </c>
      <c r="N1456" s="8" t="s">
        <v>23379</v>
      </c>
      <c r="O1456" s="8" t="s">
        <v>400</v>
      </c>
      <c r="P1456" s="44" t="s">
        <v>401</v>
      </c>
      <c r="Q1456" s="14" t="s">
        <v>23440</v>
      </c>
      <c r="R1456" s="8" t="s">
        <v>100</v>
      </c>
      <c r="S1456" s="8" t="s">
        <v>18</v>
      </c>
      <c r="T1456" s="68" t="s">
        <v>28345</v>
      </c>
      <c r="U1456" s="68" t="s">
        <v>29436</v>
      </c>
      <c r="V1456" s="68" t="s">
        <v>29437</v>
      </c>
      <c r="W1456" s="68" t="s">
        <v>100</v>
      </c>
      <c r="X1456" s="68">
        <v>1456</v>
      </c>
      <c r="Y1456" s="44"/>
      <c r="Z1456" s="44"/>
      <c r="AA1456" s="44"/>
      <c r="AB1456" s="44"/>
      <c r="AC1456" s="44"/>
      <c r="AD1456" s="44"/>
      <c r="AE1456" s="44"/>
      <c r="AF1456" s="44"/>
      <c r="AG1456" s="44"/>
      <c r="AH1456" s="44"/>
      <c r="AI1456" s="44"/>
      <c r="AW1456" s="44"/>
      <c r="AX1456" s="1"/>
      <c r="AY1456" s="1"/>
      <c r="BB1456" s="1"/>
      <c r="BC1456" s="1"/>
      <c r="BD1456" s="1"/>
      <c r="BE1456" s="1"/>
      <c r="BF1456" s="1"/>
      <c r="BG1456" s="1"/>
      <c r="BH1456" s="1"/>
      <c r="BI1456" s="1"/>
      <c r="BJ1456" s="1"/>
      <c r="BK1456" s="1"/>
    </row>
    <row r="1457" spans="1:63" s="11" customFormat="1" ht="12" customHeight="1" x14ac:dyDescent="0.2">
      <c r="A1457" s="44" t="s">
        <v>23317</v>
      </c>
      <c r="B1457" s="68">
        <v>20</v>
      </c>
      <c r="C1457" s="44" t="s">
        <v>20</v>
      </c>
      <c r="D1457" s="44" t="s">
        <v>37</v>
      </c>
      <c r="E1457" s="44"/>
      <c r="F1457" s="69">
        <v>42472</v>
      </c>
      <c r="G1457" s="44"/>
      <c r="H1457" s="44" t="s">
        <v>23318</v>
      </c>
      <c r="I1457" s="44" t="s">
        <v>62</v>
      </c>
      <c r="J1457" s="47">
        <v>32425</v>
      </c>
      <c r="K1457" s="8" t="s">
        <v>15776</v>
      </c>
      <c r="L1457" s="44" t="s">
        <v>23319</v>
      </c>
      <c r="M1457" s="44" t="s">
        <v>27</v>
      </c>
      <c r="N1457" s="8" t="s">
        <v>23381</v>
      </c>
      <c r="O1457" s="8" t="s">
        <v>400</v>
      </c>
      <c r="P1457" s="44" t="s">
        <v>401</v>
      </c>
      <c r="Q1457" s="14" t="s">
        <v>23443</v>
      </c>
      <c r="R1457" s="8" t="s">
        <v>100</v>
      </c>
      <c r="S1457" s="68" t="s">
        <v>379</v>
      </c>
      <c r="T1457" s="68" t="s">
        <v>379</v>
      </c>
      <c r="U1457" s="68" t="s">
        <v>29436</v>
      </c>
      <c r="V1457" s="68" t="s">
        <v>29437</v>
      </c>
      <c r="W1457" s="68" t="s">
        <v>555</v>
      </c>
      <c r="X1457" s="68">
        <v>1458</v>
      </c>
      <c r="Y1457" s="44"/>
      <c r="Z1457" s="44"/>
      <c r="AA1457" s="44"/>
      <c r="AB1457" s="44"/>
      <c r="AC1457" s="44"/>
      <c r="AD1457" s="44"/>
      <c r="AE1457" s="44"/>
      <c r="AF1457" s="44"/>
      <c r="AG1457" s="44"/>
      <c r="AH1457" s="44"/>
      <c r="AI1457" s="44"/>
      <c r="AW1457" s="70"/>
      <c r="AX1457" s="1"/>
      <c r="AY1457" s="1"/>
      <c r="BB1457" s="1"/>
      <c r="BC1457" s="1"/>
      <c r="BD1457" s="1"/>
      <c r="BE1457" s="1"/>
      <c r="BF1457" s="1"/>
      <c r="BG1457" s="1"/>
      <c r="BH1457" s="1"/>
      <c r="BI1457" s="1"/>
      <c r="BJ1457" s="1"/>
      <c r="BK1457" s="44"/>
    </row>
    <row r="1458" spans="1:63" s="11" customFormat="1" ht="12" customHeight="1" x14ac:dyDescent="0.2">
      <c r="A1458" s="44" t="s">
        <v>23058</v>
      </c>
      <c r="B1458" s="68">
        <v>16</v>
      </c>
      <c r="C1458" s="44" t="s">
        <v>20</v>
      </c>
      <c r="D1458" s="44" t="s">
        <v>85</v>
      </c>
      <c r="E1458" s="44" t="s">
        <v>23059</v>
      </c>
      <c r="F1458" s="69">
        <v>42471</v>
      </c>
      <c r="G1458" s="44" t="s">
        <v>24408</v>
      </c>
      <c r="H1458" s="44" t="s">
        <v>87</v>
      </c>
      <c r="I1458" s="44" t="s">
        <v>44</v>
      </c>
      <c r="J1458" s="47">
        <v>60624</v>
      </c>
      <c r="K1458" s="8" t="s">
        <v>88</v>
      </c>
      <c r="L1458" s="44" t="s">
        <v>89</v>
      </c>
      <c r="M1458" s="44" t="s">
        <v>27</v>
      </c>
      <c r="N1458" s="44" t="s">
        <v>23077</v>
      </c>
      <c r="O1458" s="8" t="s">
        <v>400</v>
      </c>
      <c r="P1458" s="44" t="s">
        <v>401</v>
      </c>
      <c r="Q1458" s="14" t="s">
        <v>23060</v>
      </c>
      <c r="R1458" s="8" t="s">
        <v>100</v>
      </c>
      <c r="S1458" s="8" t="s">
        <v>28</v>
      </c>
      <c r="T1458" s="68" t="s">
        <v>27756</v>
      </c>
      <c r="U1458" s="68" t="s">
        <v>29438</v>
      </c>
      <c r="V1458" s="68" t="s">
        <v>29440</v>
      </c>
      <c r="W1458" s="68" t="s">
        <v>100</v>
      </c>
      <c r="X1458" s="68">
        <v>1455</v>
      </c>
      <c r="Y1458" s="44"/>
      <c r="Z1458" s="44"/>
      <c r="AA1458" s="44"/>
      <c r="AB1458" s="44"/>
      <c r="AC1458" s="44"/>
      <c r="AD1458" s="44"/>
      <c r="AE1458" s="44"/>
      <c r="AF1458" s="44"/>
      <c r="AG1458" s="44"/>
      <c r="AH1458" s="44"/>
      <c r="AI1458" s="44"/>
      <c r="AW1458" s="70"/>
      <c r="AX1458" s="70"/>
      <c r="AY1458" s="70"/>
      <c r="BB1458" s="1"/>
      <c r="BK1458" s="44"/>
    </row>
    <row r="1459" spans="1:63" s="11" customFormat="1" ht="12" customHeight="1" x14ac:dyDescent="0.15">
      <c r="A1459" s="44" t="s">
        <v>23055</v>
      </c>
      <c r="B1459" s="68">
        <v>22</v>
      </c>
      <c r="C1459" s="44" t="s">
        <v>20</v>
      </c>
      <c r="D1459" s="44" t="s">
        <v>48</v>
      </c>
      <c r="E1459" s="44"/>
      <c r="F1459" s="69">
        <v>42471</v>
      </c>
      <c r="G1459" s="44" t="s">
        <v>23274</v>
      </c>
      <c r="H1459" s="44" t="s">
        <v>655</v>
      </c>
      <c r="I1459" s="44" t="s">
        <v>269</v>
      </c>
      <c r="J1459" s="47">
        <v>89104</v>
      </c>
      <c r="K1459" s="8" t="s">
        <v>570</v>
      </c>
      <c r="L1459" s="44" t="s">
        <v>571</v>
      </c>
      <c r="M1459" s="44" t="s">
        <v>27</v>
      </c>
      <c r="N1459" s="8" t="s">
        <v>23056</v>
      </c>
      <c r="O1459" s="8" t="s">
        <v>400</v>
      </c>
      <c r="P1459" s="44" t="s">
        <v>401</v>
      </c>
      <c r="Q1459" s="14" t="s">
        <v>23057</v>
      </c>
      <c r="R1459" s="8" t="s">
        <v>100</v>
      </c>
      <c r="S1459" s="2" t="s">
        <v>28</v>
      </c>
      <c r="T1459" s="68" t="s">
        <v>27756</v>
      </c>
      <c r="U1459" s="68" t="s">
        <v>29438</v>
      </c>
      <c r="V1459" s="68" t="s">
        <v>29439</v>
      </c>
      <c r="W1459" s="68" t="s">
        <v>100</v>
      </c>
      <c r="X1459" s="68">
        <v>1454</v>
      </c>
      <c r="Y1459" s="44"/>
      <c r="Z1459" s="44"/>
      <c r="AA1459" s="44"/>
      <c r="AB1459" s="44"/>
      <c r="AC1459" s="44"/>
      <c r="AD1459" s="44"/>
      <c r="AE1459" s="44"/>
      <c r="AF1459" s="44"/>
      <c r="AG1459" s="44"/>
      <c r="AH1459" s="44"/>
      <c r="AI1459" s="44"/>
      <c r="AW1459" s="44"/>
      <c r="AX1459" s="1"/>
      <c r="AY1459" s="1"/>
      <c r="BB1459" s="1"/>
      <c r="BC1459" s="1"/>
      <c r="BD1459" s="1"/>
      <c r="BE1459" s="1"/>
      <c r="BF1459" s="1"/>
      <c r="BG1459" s="1"/>
      <c r="BH1459" s="1"/>
      <c r="BI1459" s="1"/>
      <c r="BJ1459" s="1"/>
      <c r="BK1459" s="44"/>
    </row>
    <row r="1460" spans="1:63" s="11" customFormat="1" ht="12" customHeight="1" x14ac:dyDescent="0.15">
      <c r="A1460" s="44" t="s">
        <v>23239</v>
      </c>
      <c r="B1460" s="68">
        <v>28</v>
      </c>
      <c r="C1460" s="44" t="s">
        <v>20</v>
      </c>
      <c r="D1460" s="44" t="s">
        <v>48</v>
      </c>
      <c r="E1460" s="44"/>
      <c r="F1460" s="69">
        <v>42470</v>
      </c>
      <c r="G1460" s="44" t="s">
        <v>23240</v>
      </c>
      <c r="H1460" s="44" t="s">
        <v>98</v>
      </c>
      <c r="I1460" s="44" t="s">
        <v>45</v>
      </c>
      <c r="J1460" s="47">
        <v>90033</v>
      </c>
      <c r="K1460" s="8" t="s">
        <v>98</v>
      </c>
      <c r="L1460" s="44" t="s">
        <v>99</v>
      </c>
      <c r="M1460" s="44" t="s">
        <v>27</v>
      </c>
      <c r="N1460" s="8" t="s">
        <v>23377</v>
      </c>
      <c r="O1460" s="8" t="s">
        <v>400</v>
      </c>
      <c r="P1460" s="44" t="s">
        <v>401</v>
      </c>
      <c r="Q1460" s="14" t="s">
        <v>23438</v>
      </c>
      <c r="R1460" s="8" t="s">
        <v>100</v>
      </c>
      <c r="S1460" s="8" t="s">
        <v>28</v>
      </c>
      <c r="T1460" s="68" t="s">
        <v>29493</v>
      </c>
      <c r="U1460" s="68" t="s">
        <v>29438</v>
      </c>
      <c r="V1460" s="68" t="s">
        <v>29439</v>
      </c>
      <c r="W1460" s="68" t="s">
        <v>100</v>
      </c>
      <c r="X1460" s="68">
        <v>1452</v>
      </c>
      <c r="Y1460" s="44"/>
      <c r="Z1460" s="44"/>
      <c r="AA1460" s="44"/>
      <c r="AB1460" s="44"/>
      <c r="AC1460" s="44"/>
      <c r="AD1460" s="44"/>
      <c r="AE1460" s="44"/>
      <c r="AF1460" s="44"/>
      <c r="AG1460" s="44"/>
      <c r="AH1460" s="44"/>
      <c r="AI1460" s="44"/>
      <c r="AW1460" s="44"/>
      <c r="AX1460" s="1"/>
      <c r="AY1460" s="1"/>
      <c r="BB1460" s="1"/>
      <c r="BC1460" s="1"/>
      <c r="BD1460" s="1"/>
      <c r="BE1460" s="1"/>
      <c r="BF1460" s="1"/>
      <c r="BG1460" s="1"/>
      <c r="BH1460" s="1"/>
      <c r="BI1460" s="1"/>
      <c r="BJ1460" s="1"/>
      <c r="BK1460" s="44"/>
    </row>
    <row r="1461" spans="1:63" s="11" customFormat="1" ht="12" customHeight="1" x14ac:dyDescent="0.15">
      <c r="A1461" s="44" t="s">
        <v>23241</v>
      </c>
      <c r="B1461" s="44">
        <v>29</v>
      </c>
      <c r="C1461" s="44" t="s">
        <v>20</v>
      </c>
      <c r="D1461" s="44" t="s">
        <v>48</v>
      </c>
      <c r="E1461" s="44"/>
      <c r="F1461" s="72">
        <v>42470</v>
      </c>
      <c r="G1461" s="44" t="s">
        <v>23242</v>
      </c>
      <c r="H1461" s="44" t="s">
        <v>1192</v>
      </c>
      <c r="I1461" s="44" t="s">
        <v>319</v>
      </c>
      <c r="J1461" s="47">
        <v>38111</v>
      </c>
      <c r="K1461" s="8" t="s">
        <v>1193</v>
      </c>
      <c r="L1461" s="44" t="s">
        <v>1194</v>
      </c>
      <c r="M1461" s="44" t="s">
        <v>27</v>
      </c>
      <c r="N1461" s="8" t="s">
        <v>23049</v>
      </c>
      <c r="O1461" s="8" t="s">
        <v>400</v>
      </c>
      <c r="P1461" s="44" t="s">
        <v>401</v>
      </c>
      <c r="Q1461" s="14" t="s">
        <v>23050</v>
      </c>
      <c r="R1461" s="8" t="s">
        <v>100</v>
      </c>
      <c r="S1461" s="44" t="s">
        <v>28</v>
      </c>
      <c r="T1461" s="68"/>
      <c r="U1461" s="68"/>
      <c r="V1461" s="68"/>
      <c r="W1461" s="68"/>
      <c r="X1461" s="68"/>
      <c r="Y1461" s="44"/>
      <c r="Z1461" s="44"/>
      <c r="AA1461" s="44"/>
      <c r="AB1461" s="44"/>
      <c r="AC1461" s="44"/>
      <c r="AD1461" s="44"/>
      <c r="AE1461" s="44"/>
      <c r="AF1461" s="44"/>
      <c r="AG1461" s="44"/>
      <c r="AW1461" s="1"/>
      <c r="AX1461" s="1"/>
      <c r="AY1461" s="1"/>
      <c r="AZ1461" s="1"/>
      <c r="BA1461" s="1"/>
      <c r="BB1461" s="1"/>
      <c r="BC1461" s="1"/>
      <c r="BD1461" s="1"/>
      <c r="BE1461" s="1"/>
      <c r="BF1461" s="1"/>
      <c r="BG1461" s="1"/>
      <c r="BH1461" s="1"/>
      <c r="BI1461" s="1"/>
      <c r="BJ1461" s="1"/>
      <c r="BK1461" s="44"/>
    </row>
    <row r="1462" spans="1:63" s="11" customFormat="1" ht="12" customHeight="1" x14ac:dyDescent="0.15">
      <c r="A1462" s="44" t="s">
        <v>23320</v>
      </c>
      <c r="B1462" s="68">
        <v>39</v>
      </c>
      <c r="C1462" s="44" t="s">
        <v>20</v>
      </c>
      <c r="D1462" s="44" t="s">
        <v>37</v>
      </c>
      <c r="E1462" s="44"/>
      <c r="F1462" s="69">
        <v>42470</v>
      </c>
      <c r="G1462" s="44" t="s">
        <v>23321</v>
      </c>
      <c r="H1462" s="44" t="s">
        <v>10247</v>
      </c>
      <c r="I1462" s="44" t="s">
        <v>45</v>
      </c>
      <c r="J1462" s="47">
        <v>95354</v>
      </c>
      <c r="K1462" s="8" t="s">
        <v>3204</v>
      </c>
      <c r="L1462" s="44" t="s">
        <v>10249</v>
      </c>
      <c r="M1462" s="44" t="s">
        <v>27</v>
      </c>
      <c r="N1462" s="8" t="s">
        <v>23378</v>
      </c>
      <c r="O1462" s="8" t="s">
        <v>400</v>
      </c>
      <c r="P1462" s="44" t="s">
        <v>401</v>
      </c>
      <c r="Q1462" s="14" t="s">
        <v>23439</v>
      </c>
      <c r="R1462" s="8" t="s">
        <v>100</v>
      </c>
      <c r="S1462" s="8" t="s">
        <v>28</v>
      </c>
      <c r="T1462" s="68" t="s">
        <v>27756</v>
      </c>
      <c r="U1462" s="68" t="s">
        <v>29436</v>
      </c>
      <c r="V1462" s="68" t="s">
        <v>29437</v>
      </c>
      <c r="W1462" s="68" t="s">
        <v>100</v>
      </c>
      <c r="X1462" s="68">
        <v>1449</v>
      </c>
      <c r="Y1462" s="44"/>
      <c r="Z1462" s="44"/>
      <c r="AA1462" s="44"/>
      <c r="AB1462" s="44"/>
      <c r="AC1462" s="44"/>
      <c r="AD1462" s="44"/>
      <c r="AE1462" s="44"/>
      <c r="AF1462" s="44"/>
      <c r="AG1462" s="44"/>
      <c r="AH1462" s="44"/>
      <c r="AI1462" s="44"/>
      <c r="AW1462" s="44"/>
      <c r="AX1462" s="1"/>
      <c r="AY1462" s="1"/>
      <c r="BB1462" s="1"/>
      <c r="BC1462" s="1"/>
      <c r="BD1462" s="1"/>
      <c r="BE1462" s="1"/>
      <c r="BF1462" s="1"/>
      <c r="BG1462" s="1"/>
      <c r="BH1462" s="1"/>
      <c r="BI1462" s="1"/>
      <c r="BJ1462" s="1"/>
      <c r="BK1462" s="44"/>
    </row>
    <row r="1463" spans="1:63" s="11" customFormat="1" ht="12" customHeight="1" x14ac:dyDescent="0.15">
      <c r="A1463" s="44" t="s">
        <v>23322</v>
      </c>
      <c r="B1463" s="68">
        <v>30</v>
      </c>
      <c r="C1463" s="44" t="s">
        <v>20</v>
      </c>
      <c r="D1463" s="44" t="s">
        <v>37</v>
      </c>
      <c r="E1463" s="44"/>
      <c r="F1463" s="69">
        <v>42470</v>
      </c>
      <c r="G1463" s="44" t="s">
        <v>23323</v>
      </c>
      <c r="H1463" s="44" t="s">
        <v>23051</v>
      </c>
      <c r="I1463" s="44" t="s">
        <v>423</v>
      </c>
      <c r="J1463" s="47">
        <v>12303</v>
      </c>
      <c r="K1463" s="8" t="s">
        <v>16930</v>
      </c>
      <c r="L1463" s="44" t="s">
        <v>23052</v>
      </c>
      <c r="M1463" s="44" t="s">
        <v>27</v>
      </c>
      <c r="N1463" s="8" t="s">
        <v>23053</v>
      </c>
      <c r="O1463" s="8" t="s">
        <v>550</v>
      </c>
      <c r="P1463" s="44" t="s">
        <v>401</v>
      </c>
      <c r="Q1463" s="14" t="s">
        <v>23054</v>
      </c>
      <c r="R1463" s="8" t="s">
        <v>555</v>
      </c>
      <c r="S1463" s="44" t="s">
        <v>28</v>
      </c>
      <c r="T1463" s="68" t="s">
        <v>29493</v>
      </c>
      <c r="U1463" s="68" t="s">
        <v>29438</v>
      </c>
      <c r="V1463" s="68" t="s">
        <v>29439</v>
      </c>
      <c r="W1463" s="68" t="s">
        <v>100</v>
      </c>
      <c r="X1463" s="68">
        <v>1451</v>
      </c>
      <c r="Y1463" s="44"/>
      <c r="Z1463" s="44"/>
      <c r="AA1463" s="44"/>
      <c r="AB1463" s="44"/>
      <c r="AC1463" s="44"/>
      <c r="AD1463" s="44"/>
      <c r="AE1463" s="44"/>
      <c r="AF1463" s="44"/>
      <c r="AG1463" s="44"/>
      <c r="AH1463" s="44"/>
      <c r="AI1463" s="44"/>
      <c r="AX1463" s="1"/>
      <c r="AY1463" s="1"/>
      <c r="BC1463" s="1"/>
      <c r="BD1463" s="1"/>
      <c r="BE1463" s="1"/>
      <c r="BF1463" s="1"/>
      <c r="BG1463" s="1"/>
      <c r="BH1463" s="1"/>
      <c r="BI1463" s="1"/>
      <c r="BJ1463" s="1"/>
      <c r="BK1463" s="44"/>
    </row>
    <row r="1464" spans="1:63" s="11" customFormat="1" ht="12" customHeight="1" x14ac:dyDescent="0.15">
      <c r="A1464" s="44" t="s">
        <v>23039</v>
      </c>
      <c r="B1464" s="68">
        <v>27</v>
      </c>
      <c r="C1464" s="44" t="s">
        <v>20</v>
      </c>
      <c r="D1464" s="44" t="s">
        <v>85</v>
      </c>
      <c r="E1464" s="44" t="s">
        <v>23040</v>
      </c>
      <c r="F1464" s="69">
        <v>42469</v>
      </c>
      <c r="G1464" s="44" t="s">
        <v>23041</v>
      </c>
      <c r="H1464" s="44" t="s">
        <v>23042</v>
      </c>
      <c r="I1464" s="44" t="s">
        <v>81</v>
      </c>
      <c r="J1464" s="53" t="s">
        <v>23372</v>
      </c>
      <c r="K1464" s="2" t="s">
        <v>2190</v>
      </c>
      <c r="L1464" s="1" t="s">
        <v>23043</v>
      </c>
      <c r="M1464" s="44" t="s">
        <v>27</v>
      </c>
      <c r="N1464" s="44" t="s">
        <v>23044</v>
      </c>
      <c r="O1464" s="8" t="s">
        <v>400</v>
      </c>
      <c r="P1464" s="44" t="s">
        <v>401</v>
      </c>
      <c r="Q1464" s="14" t="s">
        <v>23045</v>
      </c>
      <c r="R1464" s="8" t="s">
        <v>100</v>
      </c>
      <c r="S1464" s="8" t="s">
        <v>28</v>
      </c>
      <c r="T1464" s="68" t="s">
        <v>27756</v>
      </c>
      <c r="U1464" s="68" t="s">
        <v>29438</v>
      </c>
      <c r="V1464" s="68" t="s">
        <v>29440</v>
      </c>
      <c r="W1464" s="68" t="s">
        <v>100</v>
      </c>
      <c r="X1464" s="68">
        <v>1447</v>
      </c>
      <c r="Y1464" s="44"/>
      <c r="Z1464" s="44"/>
      <c r="AA1464" s="44"/>
      <c r="AB1464" s="44"/>
      <c r="AC1464" s="44"/>
      <c r="AD1464" s="44"/>
      <c r="AE1464" s="44"/>
      <c r="AF1464" s="44"/>
      <c r="AG1464" s="44"/>
      <c r="AH1464" s="44"/>
      <c r="AI1464" s="44"/>
      <c r="AW1464" s="44"/>
      <c r="BB1464" s="44"/>
      <c r="BK1464" s="44"/>
    </row>
    <row r="1465" spans="1:63" s="11" customFormat="1" ht="12" customHeight="1" x14ac:dyDescent="0.2">
      <c r="A1465" s="44" t="s">
        <v>23046</v>
      </c>
      <c r="B1465" s="68">
        <v>19</v>
      </c>
      <c r="C1465" s="44" t="s">
        <v>20</v>
      </c>
      <c r="D1465" s="44" t="s">
        <v>85</v>
      </c>
      <c r="E1465" s="44"/>
      <c r="F1465" s="69">
        <v>42469</v>
      </c>
      <c r="G1465" s="44" t="s">
        <v>24409</v>
      </c>
      <c r="H1465" s="44" t="s">
        <v>1100</v>
      </c>
      <c r="I1465" s="44" t="s">
        <v>404</v>
      </c>
      <c r="J1465" s="47">
        <v>19141</v>
      </c>
      <c r="K1465" s="8" t="s">
        <v>1100</v>
      </c>
      <c r="L1465" s="44" t="s">
        <v>1101</v>
      </c>
      <c r="M1465" s="44" t="s">
        <v>27</v>
      </c>
      <c r="N1465" s="44" t="s">
        <v>23047</v>
      </c>
      <c r="O1465" s="8" t="s">
        <v>400</v>
      </c>
      <c r="P1465" s="44" t="s">
        <v>401</v>
      </c>
      <c r="Q1465" s="14" t="s">
        <v>23048</v>
      </c>
      <c r="R1465" s="8" t="s">
        <v>100</v>
      </c>
      <c r="S1465" s="8" t="s">
        <v>28</v>
      </c>
      <c r="T1465" s="68" t="s">
        <v>27756</v>
      </c>
      <c r="U1465" s="68" t="s">
        <v>29438</v>
      </c>
      <c r="V1465" s="68" t="s">
        <v>29440</v>
      </c>
      <c r="W1465" s="68" t="s">
        <v>100</v>
      </c>
      <c r="X1465" s="68">
        <v>1453</v>
      </c>
      <c r="Y1465" s="44"/>
      <c r="Z1465" s="44"/>
      <c r="AA1465" s="44"/>
      <c r="AB1465" s="44"/>
      <c r="AC1465" s="44"/>
      <c r="AD1465" s="44"/>
      <c r="AE1465" s="44"/>
      <c r="AF1465" s="44"/>
      <c r="AG1465" s="44"/>
      <c r="AW1465" s="70"/>
      <c r="AX1465" s="70"/>
      <c r="AY1465" s="70"/>
      <c r="BB1465" s="1"/>
      <c r="BK1465" s="44"/>
    </row>
    <row r="1466" spans="1:63" s="11" customFormat="1" ht="12" customHeight="1" x14ac:dyDescent="0.15">
      <c r="A1466" s="44" t="s">
        <v>23033</v>
      </c>
      <c r="B1466" s="68">
        <v>43</v>
      </c>
      <c r="C1466" s="44" t="s">
        <v>20</v>
      </c>
      <c r="D1466" s="44" t="s">
        <v>85</v>
      </c>
      <c r="E1466" s="44" t="s">
        <v>23034</v>
      </c>
      <c r="F1466" s="69">
        <v>42468</v>
      </c>
      <c r="G1466" s="44" t="s">
        <v>23035</v>
      </c>
      <c r="H1466" s="44" t="s">
        <v>18874</v>
      </c>
      <c r="I1466" s="44" t="s">
        <v>57</v>
      </c>
      <c r="J1466" s="47">
        <v>49512</v>
      </c>
      <c r="K1466" s="8" t="s">
        <v>2534</v>
      </c>
      <c r="L1466" s="44" t="s">
        <v>18875</v>
      </c>
      <c r="M1466" s="44" t="s">
        <v>27</v>
      </c>
      <c r="N1466" s="44" t="s">
        <v>23078</v>
      </c>
      <c r="O1466" s="8" t="s">
        <v>400</v>
      </c>
      <c r="P1466" s="44" t="s">
        <v>401</v>
      </c>
      <c r="Q1466" s="14" t="s">
        <v>23036</v>
      </c>
      <c r="R1466" s="8" t="s">
        <v>100</v>
      </c>
      <c r="S1466" s="8" t="s">
        <v>28</v>
      </c>
      <c r="T1466" s="68" t="s">
        <v>29493</v>
      </c>
      <c r="U1466" s="68" t="s">
        <v>29436</v>
      </c>
      <c r="V1466" s="68" t="s">
        <v>29439</v>
      </c>
      <c r="W1466" s="68" t="s">
        <v>555</v>
      </c>
      <c r="X1466" s="68">
        <v>1448</v>
      </c>
      <c r="Y1466" s="44"/>
      <c r="Z1466" s="44"/>
      <c r="AA1466" s="44"/>
      <c r="AB1466" s="44"/>
      <c r="AC1466" s="44"/>
      <c r="AD1466" s="44"/>
      <c r="AE1466" s="44"/>
      <c r="AF1466" s="44"/>
      <c r="AG1466" s="44"/>
      <c r="AH1466" s="44"/>
      <c r="AI1466" s="44"/>
      <c r="AW1466" s="1"/>
      <c r="AX1466" s="44"/>
      <c r="AY1466" s="44"/>
      <c r="BA1466" s="44"/>
      <c r="BB1466" s="44"/>
      <c r="BK1466" s="44"/>
    </row>
    <row r="1467" spans="1:63" s="11" customFormat="1" ht="12" customHeight="1" x14ac:dyDescent="0.15">
      <c r="A1467" s="44" t="s">
        <v>23031</v>
      </c>
      <c r="B1467" s="68">
        <v>40</v>
      </c>
      <c r="C1467" s="44" t="s">
        <v>20</v>
      </c>
      <c r="D1467" s="44" t="s">
        <v>85</v>
      </c>
      <c r="E1467" s="44"/>
      <c r="F1467" s="69">
        <v>42468</v>
      </c>
      <c r="G1467" s="44" t="s">
        <v>24410</v>
      </c>
      <c r="H1467" s="44" t="s">
        <v>1642</v>
      </c>
      <c r="I1467" s="44" t="s">
        <v>45</v>
      </c>
      <c r="J1467" s="47">
        <v>95823</v>
      </c>
      <c r="K1467" s="8" t="s">
        <v>1642</v>
      </c>
      <c r="L1467" s="44" t="s">
        <v>2323</v>
      </c>
      <c r="M1467" s="44" t="s">
        <v>27</v>
      </c>
      <c r="N1467" s="44" t="s">
        <v>23079</v>
      </c>
      <c r="O1467" s="8" t="s">
        <v>400</v>
      </c>
      <c r="P1467" s="44" t="s">
        <v>401</v>
      </c>
      <c r="Q1467" s="14" t="s">
        <v>23032</v>
      </c>
      <c r="R1467" s="8" t="s">
        <v>555</v>
      </c>
      <c r="S1467" s="8" t="s">
        <v>28</v>
      </c>
      <c r="T1467" s="68" t="s">
        <v>29493</v>
      </c>
      <c r="U1467" s="68" t="s">
        <v>29436</v>
      </c>
      <c r="V1467" s="68" t="s">
        <v>29440</v>
      </c>
      <c r="W1467" s="68" t="s">
        <v>100</v>
      </c>
      <c r="X1467" s="68">
        <v>1444</v>
      </c>
      <c r="Y1467" s="44"/>
      <c r="Z1467" s="44"/>
      <c r="AA1467" s="44"/>
      <c r="AB1467" s="44"/>
      <c r="AC1467" s="44"/>
      <c r="AD1467" s="44"/>
      <c r="AE1467" s="44"/>
      <c r="AF1467" s="44"/>
      <c r="AG1467" s="44"/>
      <c r="AH1467" s="44"/>
      <c r="AI1467" s="44"/>
      <c r="AW1467" s="44"/>
      <c r="AX1467" s="44"/>
      <c r="AY1467" s="44"/>
      <c r="BK1467" s="44"/>
    </row>
    <row r="1468" spans="1:63" s="11" customFormat="1" ht="12" customHeight="1" x14ac:dyDescent="0.15">
      <c r="A1468" s="44" t="s">
        <v>23324</v>
      </c>
      <c r="B1468" s="68">
        <v>25</v>
      </c>
      <c r="C1468" s="44" t="s">
        <v>114</v>
      </c>
      <c r="D1468" s="44" t="s">
        <v>37</v>
      </c>
      <c r="E1468" s="44"/>
      <c r="F1468" s="69">
        <v>42468</v>
      </c>
      <c r="G1468" s="44" t="s">
        <v>23325</v>
      </c>
      <c r="H1468" s="44" t="s">
        <v>23326</v>
      </c>
      <c r="I1468" s="44" t="s">
        <v>438</v>
      </c>
      <c r="J1468" s="47">
        <v>54729</v>
      </c>
      <c r="K1468" s="8" t="s">
        <v>6025</v>
      </c>
      <c r="L1468" s="44" t="s">
        <v>23327</v>
      </c>
      <c r="M1468" s="44" t="s">
        <v>27</v>
      </c>
      <c r="N1468" s="8" t="s">
        <v>23037</v>
      </c>
      <c r="O1468" s="8" t="s">
        <v>550</v>
      </c>
      <c r="P1468" s="44" t="s">
        <v>401</v>
      </c>
      <c r="Q1468" s="14" t="s">
        <v>23038</v>
      </c>
      <c r="R1468" s="8" t="s">
        <v>555</v>
      </c>
      <c r="S1468" s="44" t="s">
        <v>28</v>
      </c>
      <c r="T1468" s="68" t="s">
        <v>29451</v>
      </c>
      <c r="U1468" s="68" t="s">
        <v>29436</v>
      </c>
      <c r="V1468" s="68" t="s">
        <v>29439</v>
      </c>
      <c r="W1468" s="68" t="s">
        <v>100</v>
      </c>
      <c r="X1468" s="68">
        <v>1446</v>
      </c>
      <c r="Y1468" s="44"/>
      <c r="Z1468" s="44"/>
      <c r="AA1468" s="44"/>
      <c r="AB1468" s="44"/>
      <c r="AC1468" s="44"/>
      <c r="AD1468" s="44"/>
      <c r="AE1468" s="44"/>
      <c r="AF1468" s="44"/>
      <c r="AG1468" s="44"/>
      <c r="AX1468" s="1"/>
      <c r="AY1468" s="1"/>
      <c r="BC1468" s="1"/>
      <c r="BD1468" s="1"/>
      <c r="BE1468" s="1"/>
      <c r="BF1468" s="1"/>
      <c r="BG1468" s="1"/>
      <c r="BH1468" s="1"/>
      <c r="BI1468" s="1"/>
      <c r="BJ1468" s="1"/>
      <c r="BK1468" s="44"/>
    </row>
    <row r="1469" spans="1:63" s="11" customFormat="1" ht="12" customHeight="1" x14ac:dyDescent="0.15">
      <c r="A1469" s="11" t="s">
        <v>23183</v>
      </c>
      <c r="B1469" s="11">
        <v>41</v>
      </c>
      <c r="C1469" s="11" t="s">
        <v>20</v>
      </c>
      <c r="D1469" s="11" t="s">
        <v>85</v>
      </c>
      <c r="E1469" s="11" t="s">
        <v>23185</v>
      </c>
      <c r="F1469" s="72">
        <v>42467</v>
      </c>
      <c r="G1469" s="11" t="s">
        <v>23187</v>
      </c>
      <c r="H1469" s="11" t="s">
        <v>23188</v>
      </c>
      <c r="I1469" s="11" t="s">
        <v>395</v>
      </c>
      <c r="J1469" s="46">
        <v>73005</v>
      </c>
      <c r="K1469" s="11" t="s">
        <v>5907</v>
      </c>
      <c r="L1469" s="11" t="s">
        <v>23186</v>
      </c>
      <c r="M1469" s="11" t="s">
        <v>2291</v>
      </c>
      <c r="N1469" s="44" t="s">
        <v>23613</v>
      </c>
      <c r="O1469" s="44" t="s">
        <v>400</v>
      </c>
      <c r="P1469" s="44" t="s">
        <v>401</v>
      </c>
      <c r="Q1469" s="11" t="s">
        <v>23184</v>
      </c>
      <c r="R1469" s="11" t="s">
        <v>100</v>
      </c>
      <c r="S1469" s="11" t="s">
        <v>18</v>
      </c>
      <c r="AU1469" s="1"/>
      <c r="AV1469" s="1"/>
      <c r="AW1469" s="1"/>
      <c r="AZ1469" s="1"/>
      <c r="BA1469" s="1"/>
      <c r="BB1469" s="1"/>
      <c r="BK1469" s="1"/>
    </row>
    <row r="1470" spans="1:63" s="11" customFormat="1" ht="12" customHeight="1" x14ac:dyDescent="0.15">
      <c r="A1470" s="44" t="s">
        <v>23025</v>
      </c>
      <c r="B1470" s="68">
        <v>44</v>
      </c>
      <c r="C1470" s="44" t="s">
        <v>20</v>
      </c>
      <c r="D1470" s="44" t="s">
        <v>37</v>
      </c>
      <c r="E1470" s="44" t="s">
        <v>23026</v>
      </c>
      <c r="F1470" s="69">
        <v>42467</v>
      </c>
      <c r="G1470" s="44" t="s">
        <v>23328</v>
      </c>
      <c r="H1470" s="44" t="s">
        <v>1627</v>
      </c>
      <c r="I1470" s="44" t="s">
        <v>463</v>
      </c>
      <c r="J1470" s="47">
        <v>68107</v>
      </c>
      <c r="K1470" s="8" t="s">
        <v>938</v>
      </c>
      <c r="L1470" s="44" t="s">
        <v>2253</v>
      </c>
      <c r="M1470" s="44" t="s">
        <v>27</v>
      </c>
      <c r="N1470" s="8" t="s">
        <v>23491</v>
      </c>
      <c r="O1470" s="8" t="s">
        <v>400</v>
      </c>
      <c r="P1470" s="44" t="s">
        <v>401</v>
      </c>
      <c r="Q1470" s="14" t="s">
        <v>23027</v>
      </c>
      <c r="R1470" s="8" t="s">
        <v>100</v>
      </c>
      <c r="S1470" s="8" t="s">
        <v>379</v>
      </c>
      <c r="T1470" s="68" t="s">
        <v>379</v>
      </c>
      <c r="U1470" s="68" t="s">
        <v>29438</v>
      </c>
      <c r="V1470" s="68" t="s">
        <v>29439</v>
      </c>
      <c r="W1470" s="68" t="s">
        <v>100</v>
      </c>
      <c r="X1470" s="68">
        <v>1445</v>
      </c>
      <c r="Y1470" s="44"/>
      <c r="Z1470" s="44"/>
      <c r="AA1470" s="44"/>
      <c r="AB1470" s="44"/>
      <c r="AC1470" s="44"/>
      <c r="AD1470" s="44"/>
      <c r="AE1470" s="44"/>
      <c r="AF1470" s="44"/>
      <c r="AG1470" s="44"/>
      <c r="AH1470" s="44"/>
      <c r="AI1470" s="44"/>
      <c r="AW1470" s="1"/>
      <c r="AX1470" s="1"/>
      <c r="AY1470" s="1"/>
      <c r="BB1470" s="44"/>
      <c r="BC1470" s="1"/>
      <c r="BD1470" s="1"/>
      <c r="BE1470" s="1"/>
      <c r="BF1470" s="1"/>
      <c r="BG1470" s="1"/>
      <c r="BH1470" s="1"/>
      <c r="BI1470" s="1"/>
      <c r="BJ1470" s="1"/>
      <c r="BK1470" s="44"/>
    </row>
    <row r="1471" spans="1:63" s="11" customFormat="1" ht="12" customHeight="1" x14ac:dyDescent="0.15">
      <c r="A1471" s="44" t="s">
        <v>23028</v>
      </c>
      <c r="B1471" s="68">
        <v>45</v>
      </c>
      <c r="C1471" s="44" t="s">
        <v>20</v>
      </c>
      <c r="D1471" s="44" t="s">
        <v>48</v>
      </c>
      <c r="E1471" s="44"/>
      <c r="F1471" s="69">
        <v>42467</v>
      </c>
      <c r="G1471" s="44" t="s">
        <v>23243</v>
      </c>
      <c r="H1471" s="44" t="s">
        <v>945</v>
      </c>
      <c r="I1471" s="44" t="s">
        <v>45</v>
      </c>
      <c r="J1471" s="47">
        <v>94110</v>
      </c>
      <c r="K1471" s="8" t="s">
        <v>945</v>
      </c>
      <c r="L1471" s="44" t="s">
        <v>946</v>
      </c>
      <c r="M1471" s="44" t="s">
        <v>27</v>
      </c>
      <c r="N1471" s="8" t="s">
        <v>23029</v>
      </c>
      <c r="O1471" s="8" t="s">
        <v>400</v>
      </c>
      <c r="P1471" s="44" t="s">
        <v>401</v>
      </c>
      <c r="Q1471" s="14" t="s">
        <v>23030</v>
      </c>
      <c r="R1471" s="8" t="s">
        <v>29</v>
      </c>
      <c r="S1471" s="8" t="s">
        <v>28</v>
      </c>
      <c r="T1471" s="68" t="s">
        <v>29493</v>
      </c>
      <c r="U1471" s="68" t="s">
        <v>29436</v>
      </c>
      <c r="V1471" s="68" t="s">
        <v>29439</v>
      </c>
      <c r="W1471" s="68" t="s">
        <v>100</v>
      </c>
      <c r="X1471" s="68">
        <v>1443</v>
      </c>
      <c r="Y1471" s="44"/>
      <c r="Z1471" s="44"/>
      <c r="AA1471" s="44"/>
      <c r="AB1471" s="44"/>
      <c r="AC1471" s="44"/>
      <c r="AD1471" s="44"/>
      <c r="AE1471" s="44"/>
      <c r="AF1471" s="44"/>
      <c r="AG1471" s="44"/>
      <c r="AH1471" s="44"/>
      <c r="AI1471" s="44"/>
      <c r="AW1471" s="1"/>
      <c r="AX1471" s="1"/>
      <c r="AY1471" s="1"/>
      <c r="BA1471" s="1"/>
      <c r="BB1471" s="1"/>
      <c r="BC1471" s="1"/>
      <c r="BD1471" s="1"/>
      <c r="BE1471" s="1"/>
      <c r="BF1471" s="1"/>
      <c r="BG1471" s="1"/>
      <c r="BH1471" s="1"/>
      <c r="BI1471" s="1"/>
      <c r="BJ1471" s="1"/>
      <c r="BK1471" s="44"/>
    </row>
    <row r="1472" spans="1:63" s="11" customFormat="1" ht="12" customHeight="1" x14ac:dyDescent="0.15">
      <c r="A1472" s="44" t="s">
        <v>23329</v>
      </c>
      <c r="B1472" s="44">
        <v>41</v>
      </c>
      <c r="C1472" s="44" t="s">
        <v>20</v>
      </c>
      <c r="D1472" s="44" t="s">
        <v>37</v>
      </c>
      <c r="E1472" s="44"/>
      <c r="F1472" s="72">
        <v>42467</v>
      </c>
      <c r="G1472" s="44" t="s">
        <v>23330</v>
      </c>
      <c r="H1472" s="44" t="s">
        <v>23331</v>
      </c>
      <c r="I1472" s="44" t="s">
        <v>978</v>
      </c>
      <c r="J1472" s="48">
        <v>71643</v>
      </c>
      <c r="K1472" s="44" t="s">
        <v>2316</v>
      </c>
      <c r="L1472" s="44" t="s">
        <v>23332</v>
      </c>
      <c r="M1472" s="44" t="s">
        <v>27</v>
      </c>
      <c r="N1472" s="44" t="s">
        <v>23468</v>
      </c>
      <c r="O1472" s="44" t="s">
        <v>400</v>
      </c>
      <c r="P1472" s="44" t="s">
        <v>401</v>
      </c>
      <c r="Q1472" s="44" t="s">
        <v>23475</v>
      </c>
      <c r="R1472" s="1" t="s">
        <v>29</v>
      </c>
      <c r="S1472" s="44" t="s">
        <v>18</v>
      </c>
      <c r="T1472" s="68"/>
      <c r="U1472" s="68"/>
      <c r="V1472" s="68"/>
      <c r="W1472" s="68"/>
      <c r="X1472" s="68"/>
      <c r="Y1472" s="44"/>
      <c r="Z1472" s="44"/>
      <c r="AA1472" s="44"/>
      <c r="AB1472" s="44"/>
      <c r="AC1472" s="44"/>
      <c r="AD1472" s="44"/>
      <c r="AE1472" s="44"/>
      <c r="AF1472" s="44"/>
      <c r="AG1472" s="44"/>
      <c r="AH1472" s="44"/>
      <c r="AI1472" s="44"/>
      <c r="AW1472" s="1"/>
      <c r="AX1472" s="1"/>
      <c r="AY1472" s="1"/>
      <c r="AZ1472" s="1"/>
      <c r="BA1472" s="1"/>
      <c r="BB1472" s="1"/>
      <c r="BC1472" s="1"/>
      <c r="BD1472" s="1"/>
      <c r="BE1472" s="1"/>
      <c r="BF1472" s="1"/>
      <c r="BG1472" s="1"/>
      <c r="BH1472" s="1"/>
      <c r="BI1472" s="1"/>
      <c r="BJ1472" s="1"/>
      <c r="BK1472" s="1"/>
    </row>
    <row r="1473" spans="1:63" s="11" customFormat="1" ht="12" customHeight="1" x14ac:dyDescent="0.15">
      <c r="A1473" s="44" t="s">
        <v>23333</v>
      </c>
      <c r="B1473" s="68">
        <v>60</v>
      </c>
      <c r="C1473" s="44" t="s">
        <v>20</v>
      </c>
      <c r="D1473" s="44" t="s">
        <v>37</v>
      </c>
      <c r="E1473" s="44"/>
      <c r="F1473" s="69">
        <v>42466</v>
      </c>
      <c r="G1473" s="44" t="s">
        <v>23334</v>
      </c>
      <c r="H1473" s="44" t="s">
        <v>23335</v>
      </c>
      <c r="I1473" s="44" t="s">
        <v>69</v>
      </c>
      <c r="J1473" s="47">
        <v>45656</v>
      </c>
      <c r="K1473" s="8" t="s">
        <v>433</v>
      </c>
      <c r="L1473" s="44" t="s">
        <v>9272</v>
      </c>
      <c r="M1473" s="44" t="s">
        <v>27</v>
      </c>
      <c r="N1473" s="8" t="s">
        <v>23388</v>
      </c>
      <c r="O1473" s="8" t="s">
        <v>400</v>
      </c>
      <c r="P1473" s="44" t="s">
        <v>401</v>
      </c>
      <c r="Q1473" s="14" t="s">
        <v>23457</v>
      </c>
      <c r="R1473" s="8" t="s">
        <v>100</v>
      </c>
      <c r="S1473" s="44" t="s">
        <v>28</v>
      </c>
      <c r="T1473" s="68" t="s">
        <v>29500</v>
      </c>
      <c r="U1473" s="68" t="s">
        <v>29436</v>
      </c>
      <c r="V1473" s="68" t="s">
        <v>29439</v>
      </c>
      <c r="W1473" s="68" t="s">
        <v>100</v>
      </c>
      <c r="X1473" s="68">
        <v>1439</v>
      </c>
      <c r="Y1473" s="44"/>
      <c r="Z1473" s="44"/>
      <c r="AA1473" s="44"/>
      <c r="AB1473" s="44"/>
      <c r="AC1473" s="44"/>
      <c r="AD1473" s="44"/>
      <c r="AE1473" s="44"/>
      <c r="AF1473" s="44"/>
      <c r="AG1473" s="44"/>
      <c r="AW1473" s="1"/>
      <c r="AX1473" s="1"/>
      <c r="AY1473" s="1"/>
      <c r="BA1473" s="44"/>
      <c r="BB1473" s="44"/>
      <c r="BC1473" s="1"/>
      <c r="BD1473" s="1"/>
      <c r="BE1473" s="1"/>
      <c r="BF1473" s="1"/>
      <c r="BG1473" s="1"/>
      <c r="BH1473" s="1"/>
      <c r="BI1473" s="1"/>
      <c r="BJ1473" s="1"/>
      <c r="BK1473" s="44"/>
    </row>
    <row r="1474" spans="1:63" s="11" customFormat="1" ht="12" customHeight="1" x14ac:dyDescent="0.15">
      <c r="A1474" s="44" t="s">
        <v>23022</v>
      </c>
      <c r="B1474" s="68">
        <v>40</v>
      </c>
      <c r="C1474" s="44" t="s">
        <v>114</v>
      </c>
      <c r="D1474" s="44" t="s">
        <v>85</v>
      </c>
      <c r="E1474" s="44"/>
      <c r="F1474" s="69">
        <v>42466</v>
      </c>
      <c r="G1474" s="44" t="s">
        <v>24411</v>
      </c>
      <c r="H1474" s="44" t="s">
        <v>10532</v>
      </c>
      <c r="I1474" s="44" t="s">
        <v>319</v>
      </c>
      <c r="J1474" s="47">
        <v>37066</v>
      </c>
      <c r="K1474" s="8" t="s">
        <v>620</v>
      </c>
      <c r="L1474" s="44" t="s">
        <v>23023</v>
      </c>
      <c r="M1474" s="44" t="s">
        <v>27</v>
      </c>
      <c r="N1474" s="44" t="s">
        <v>23080</v>
      </c>
      <c r="O1474" s="8" t="s">
        <v>400</v>
      </c>
      <c r="P1474" s="44" t="s">
        <v>401</v>
      </c>
      <c r="Q1474" s="14" t="s">
        <v>23024</v>
      </c>
      <c r="R1474" s="8" t="s">
        <v>29</v>
      </c>
      <c r="S1474" s="8" t="s">
        <v>28</v>
      </c>
      <c r="T1474" s="68" t="s">
        <v>29500</v>
      </c>
      <c r="U1474" s="68" t="s">
        <v>29438</v>
      </c>
      <c r="V1474" s="68" t="s">
        <v>29439</v>
      </c>
      <c r="W1474" s="68" t="s">
        <v>555</v>
      </c>
      <c r="X1474" s="68">
        <v>1441</v>
      </c>
      <c r="Y1474" s="44"/>
      <c r="Z1474" s="44"/>
      <c r="AA1474" s="44"/>
      <c r="AB1474" s="44"/>
      <c r="AC1474" s="44"/>
      <c r="AD1474" s="44"/>
      <c r="AE1474" s="44"/>
      <c r="AF1474" s="44"/>
      <c r="AG1474" s="44"/>
      <c r="AW1474" s="44"/>
      <c r="AX1474" s="44"/>
      <c r="AY1474" s="44"/>
      <c r="BA1474" s="1"/>
      <c r="BB1474" s="1"/>
      <c r="BK1474" s="44"/>
    </row>
    <row r="1475" spans="1:63" s="11" customFormat="1" ht="12" customHeight="1" x14ac:dyDescent="0.2">
      <c r="A1475" s="44" t="s">
        <v>23010</v>
      </c>
      <c r="B1475" s="68">
        <v>20</v>
      </c>
      <c r="C1475" s="44" t="s">
        <v>20</v>
      </c>
      <c r="D1475" s="44" t="s">
        <v>48</v>
      </c>
      <c r="E1475" s="44"/>
      <c r="F1475" s="69">
        <v>42466</v>
      </c>
      <c r="G1475" s="44" t="s">
        <v>23244</v>
      </c>
      <c r="H1475" s="44" t="s">
        <v>98</v>
      </c>
      <c r="I1475" s="44" t="s">
        <v>45</v>
      </c>
      <c r="J1475" s="47">
        <v>91342</v>
      </c>
      <c r="K1475" s="8" t="s">
        <v>98</v>
      </c>
      <c r="L1475" s="44" t="s">
        <v>99</v>
      </c>
      <c r="M1475" s="68" t="s">
        <v>5411</v>
      </c>
      <c r="N1475" s="8" t="s">
        <v>23011</v>
      </c>
      <c r="O1475" s="8" t="s">
        <v>400</v>
      </c>
      <c r="P1475" s="44" t="s">
        <v>401</v>
      </c>
      <c r="Q1475" s="14" t="s">
        <v>23012</v>
      </c>
      <c r="R1475" s="8" t="s">
        <v>555</v>
      </c>
      <c r="S1475" s="8" t="s">
        <v>28</v>
      </c>
      <c r="T1475" s="68" t="s">
        <v>29493</v>
      </c>
      <c r="U1475" s="68" t="s">
        <v>29438</v>
      </c>
      <c r="V1475" s="68" t="s">
        <v>29439</v>
      </c>
      <c r="W1475" s="68" t="s">
        <v>100</v>
      </c>
      <c r="X1475" s="68">
        <v>1442</v>
      </c>
      <c r="Y1475" s="44"/>
      <c r="Z1475" s="44"/>
      <c r="AA1475" s="44"/>
      <c r="AB1475" s="44"/>
      <c r="AC1475" s="44"/>
      <c r="AD1475" s="44"/>
      <c r="AE1475" s="44"/>
      <c r="AF1475" s="44"/>
      <c r="AG1475" s="44"/>
      <c r="AH1475" s="44"/>
      <c r="AI1475" s="44"/>
      <c r="AW1475" s="70"/>
      <c r="AX1475" s="1"/>
      <c r="AY1475" s="1"/>
      <c r="BB1475" s="70"/>
      <c r="BC1475" s="1"/>
      <c r="BD1475" s="1"/>
      <c r="BE1475" s="1"/>
      <c r="BF1475" s="1"/>
      <c r="BG1475" s="1"/>
      <c r="BH1475" s="1"/>
      <c r="BI1475" s="1"/>
      <c r="BJ1475" s="1"/>
      <c r="BK1475" s="1"/>
    </row>
    <row r="1476" spans="1:63" s="11" customFormat="1" ht="12" customHeight="1" x14ac:dyDescent="0.15">
      <c r="A1476" s="44" t="s">
        <v>23336</v>
      </c>
      <c r="B1476" s="44">
        <v>39</v>
      </c>
      <c r="C1476" s="44" t="s">
        <v>20</v>
      </c>
      <c r="D1476" s="44" t="s">
        <v>37</v>
      </c>
      <c r="E1476" s="44"/>
      <c r="F1476" s="72">
        <v>42466</v>
      </c>
      <c r="G1476" s="44" t="s">
        <v>23337</v>
      </c>
      <c r="H1476" s="44" t="s">
        <v>3572</v>
      </c>
      <c r="I1476" s="44" t="s">
        <v>62</v>
      </c>
      <c r="J1476" s="48">
        <v>34208</v>
      </c>
      <c r="K1476" s="44" t="s">
        <v>3574</v>
      </c>
      <c r="L1476" s="44" t="s">
        <v>23338</v>
      </c>
      <c r="M1476" s="44" t="s">
        <v>391</v>
      </c>
      <c r="N1476" s="44" t="s">
        <v>23464</v>
      </c>
      <c r="O1476" s="44" t="s">
        <v>400</v>
      </c>
      <c r="P1476" s="44" t="s">
        <v>401</v>
      </c>
      <c r="Q1476" s="44" t="s">
        <v>23465</v>
      </c>
      <c r="R1476" s="1" t="s">
        <v>29</v>
      </c>
      <c r="S1476" s="44" t="s">
        <v>18</v>
      </c>
      <c r="U1476" s="44"/>
      <c r="V1476" s="44"/>
      <c r="W1476" s="44"/>
      <c r="X1476" s="44"/>
      <c r="Y1476" s="44"/>
      <c r="Z1476" s="44"/>
      <c r="AA1476" s="44"/>
      <c r="AB1476" s="44"/>
      <c r="AC1476" s="44"/>
      <c r="AD1476" s="44"/>
      <c r="AE1476" s="44"/>
      <c r="AF1476" s="44"/>
      <c r="AG1476" s="44"/>
      <c r="AH1476" s="44"/>
      <c r="AI1476" s="44"/>
      <c r="AU1476" s="1"/>
      <c r="AV1476" s="1"/>
      <c r="AX1476" s="1"/>
      <c r="AY1476" s="1"/>
      <c r="AZ1476" s="1"/>
      <c r="BA1476" s="1"/>
      <c r="BB1476" s="1"/>
      <c r="BC1476" s="1"/>
      <c r="BD1476" s="1"/>
      <c r="BE1476" s="1"/>
      <c r="BF1476" s="1"/>
      <c r="BG1476" s="1"/>
      <c r="BH1476" s="1"/>
      <c r="BI1476" s="1"/>
      <c r="BJ1476" s="1"/>
      <c r="BK1476" s="1"/>
    </row>
    <row r="1477" spans="1:63" s="11" customFormat="1" ht="12" customHeight="1" x14ac:dyDescent="0.15">
      <c r="A1477" s="44" t="s">
        <v>23013</v>
      </c>
      <c r="B1477" s="68">
        <v>44</v>
      </c>
      <c r="C1477" s="44" t="s">
        <v>20</v>
      </c>
      <c r="D1477" s="44" t="s">
        <v>85</v>
      </c>
      <c r="E1477" s="44" t="s">
        <v>23014</v>
      </c>
      <c r="F1477" s="69">
        <v>42465</v>
      </c>
      <c r="G1477" s="44" t="s">
        <v>23015</v>
      </c>
      <c r="H1477" s="44" t="s">
        <v>216</v>
      </c>
      <c r="I1477" s="44" t="s">
        <v>217</v>
      </c>
      <c r="J1477" s="53">
        <v>46201</v>
      </c>
      <c r="K1477" s="2" t="s">
        <v>420</v>
      </c>
      <c r="L1477" s="1" t="s">
        <v>218</v>
      </c>
      <c r="M1477" s="44" t="s">
        <v>27</v>
      </c>
      <c r="N1477" s="44" t="s">
        <v>23081</v>
      </c>
      <c r="O1477" s="8" t="s">
        <v>400</v>
      </c>
      <c r="P1477" s="44" t="s">
        <v>401</v>
      </c>
      <c r="Q1477" s="14" t="s">
        <v>23016</v>
      </c>
      <c r="R1477" s="8" t="s">
        <v>29</v>
      </c>
      <c r="S1477" s="8" t="s">
        <v>18</v>
      </c>
      <c r="T1477" s="68" t="s">
        <v>28345</v>
      </c>
      <c r="U1477" s="68" t="s">
        <v>29438</v>
      </c>
      <c r="V1477" s="68" t="s">
        <v>29439</v>
      </c>
      <c r="W1477" s="68" t="s">
        <v>555</v>
      </c>
      <c r="X1477" s="68">
        <v>1438</v>
      </c>
      <c r="Y1477" s="44"/>
      <c r="Z1477" s="44"/>
      <c r="AA1477" s="44"/>
      <c r="AB1477" s="44"/>
      <c r="AC1477" s="44"/>
      <c r="AD1477" s="44"/>
      <c r="AE1477" s="44"/>
      <c r="AF1477" s="44"/>
      <c r="AG1477" s="44"/>
      <c r="AH1477" s="44"/>
      <c r="AI1477" s="44"/>
      <c r="AW1477" s="1"/>
      <c r="AX1477" s="44"/>
      <c r="AY1477" s="44"/>
      <c r="BA1477" s="1"/>
      <c r="BB1477" s="1"/>
      <c r="BK1477" s="1"/>
    </row>
    <row r="1478" spans="1:63" s="11" customFormat="1" ht="12" customHeight="1" x14ac:dyDescent="0.15">
      <c r="A1478" s="44" t="s">
        <v>23017</v>
      </c>
      <c r="B1478" s="68">
        <v>52</v>
      </c>
      <c r="C1478" s="44" t="s">
        <v>20</v>
      </c>
      <c r="D1478" s="44" t="s">
        <v>37</v>
      </c>
      <c r="E1478" s="44" t="s">
        <v>23018</v>
      </c>
      <c r="F1478" s="69">
        <v>42465</v>
      </c>
      <c r="G1478" s="44" t="s">
        <v>23339</v>
      </c>
      <c r="H1478" s="44" t="s">
        <v>23019</v>
      </c>
      <c r="I1478" s="44" t="s">
        <v>46</v>
      </c>
      <c r="J1478" s="47" t="s">
        <v>23371</v>
      </c>
      <c r="K1478" s="8" t="s">
        <v>8933</v>
      </c>
      <c r="L1478" s="44" t="s">
        <v>23340</v>
      </c>
      <c r="M1478" s="44" t="s">
        <v>27</v>
      </c>
      <c r="N1478" s="8" t="s">
        <v>23020</v>
      </c>
      <c r="O1478" s="8" t="s">
        <v>400</v>
      </c>
      <c r="P1478" s="44" t="s">
        <v>401</v>
      </c>
      <c r="Q1478" s="14" t="s">
        <v>23021</v>
      </c>
      <c r="R1478" s="68" t="s">
        <v>555</v>
      </c>
      <c r="S1478" s="8" t="s">
        <v>28</v>
      </c>
      <c r="T1478" s="68" t="s">
        <v>29493</v>
      </c>
      <c r="U1478" s="68" t="s">
        <v>29436</v>
      </c>
      <c r="V1478" s="68" t="s">
        <v>29439</v>
      </c>
      <c r="W1478" s="68" t="s">
        <v>100</v>
      </c>
      <c r="X1478" s="68">
        <v>1437</v>
      </c>
      <c r="Y1478" s="44"/>
      <c r="Z1478" s="44"/>
      <c r="AA1478" s="44"/>
      <c r="AB1478" s="44"/>
      <c r="AC1478" s="44"/>
      <c r="AD1478" s="44"/>
      <c r="AE1478" s="44"/>
      <c r="AF1478" s="44"/>
      <c r="AG1478" s="44"/>
      <c r="AH1478" s="44"/>
      <c r="AI1478" s="44"/>
      <c r="AW1478" s="1"/>
      <c r="AX1478" s="1"/>
      <c r="AY1478" s="1"/>
      <c r="BA1478" s="44"/>
      <c r="BC1478" s="1"/>
      <c r="BD1478" s="1"/>
      <c r="BE1478" s="1"/>
      <c r="BF1478" s="1"/>
      <c r="BG1478" s="1"/>
      <c r="BH1478" s="1"/>
      <c r="BI1478" s="1"/>
      <c r="BJ1478" s="1"/>
      <c r="BK1478" s="44"/>
    </row>
    <row r="1479" spans="1:63" s="11" customFormat="1" ht="12" customHeight="1" x14ac:dyDescent="0.15">
      <c r="A1479" s="44" t="s">
        <v>23245</v>
      </c>
      <c r="B1479" s="68">
        <v>50</v>
      </c>
      <c r="C1479" s="44" t="s">
        <v>20</v>
      </c>
      <c r="D1479" s="44" t="s">
        <v>48</v>
      </c>
      <c r="E1479" s="44" t="s">
        <v>23007</v>
      </c>
      <c r="F1479" s="69">
        <v>42464</v>
      </c>
      <c r="G1479" s="44" t="s">
        <v>23246</v>
      </c>
      <c r="H1479" s="44" t="s">
        <v>6779</v>
      </c>
      <c r="I1479" s="44" t="s">
        <v>133</v>
      </c>
      <c r="J1479" s="47">
        <v>55404</v>
      </c>
      <c r="K1479" s="8" t="s">
        <v>1072</v>
      </c>
      <c r="L1479" s="44" t="s">
        <v>16779</v>
      </c>
      <c r="M1479" s="44" t="s">
        <v>27</v>
      </c>
      <c r="N1479" s="8" t="s">
        <v>23008</v>
      </c>
      <c r="O1479" s="8" t="s">
        <v>400</v>
      </c>
      <c r="P1479" s="44" t="s">
        <v>401</v>
      </c>
      <c r="Q1479" s="14" t="s">
        <v>23009</v>
      </c>
      <c r="R1479" s="68" t="s">
        <v>555</v>
      </c>
      <c r="S1479" s="8" t="s">
        <v>28</v>
      </c>
      <c r="T1479" s="68" t="s">
        <v>29493</v>
      </c>
      <c r="U1479" s="68" t="s">
        <v>29438</v>
      </c>
      <c r="V1479" s="68" t="s">
        <v>29439</v>
      </c>
      <c r="W1479" s="68" t="s">
        <v>100</v>
      </c>
      <c r="X1479" s="68">
        <v>1428</v>
      </c>
      <c r="Y1479" s="44"/>
      <c r="Z1479" s="44"/>
      <c r="AA1479" s="44"/>
      <c r="AB1479" s="44"/>
      <c r="AC1479" s="44"/>
      <c r="AD1479" s="44"/>
      <c r="AE1479" s="44"/>
      <c r="AF1479" s="44"/>
      <c r="AG1479" s="44"/>
      <c r="AH1479" s="44"/>
      <c r="AI1479" s="44"/>
      <c r="AW1479" s="1"/>
      <c r="AX1479" s="1"/>
      <c r="AY1479" s="1"/>
      <c r="BA1479" s="44"/>
      <c r="BC1479" s="1"/>
      <c r="BD1479" s="1"/>
      <c r="BE1479" s="1"/>
      <c r="BF1479" s="1"/>
      <c r="BG1479" s="1"/>
      <c r="BH1479" s="1"/>
      <c r="BI1479" s="1"/>
      <c r="BJ1479" s="1"/>
      <c r="BK1479" s="44"/>
    </row>
    <row r="1480" spans="1:63" s="11" customFormat="1" ht="12" customHeight="1" x14ac:dyDescent="0.15">
      <c r="A1480" s="44" t="s">
        <v>23341</v>
      </c>
      <c r="B1480" s="68">
        <v>69</v>
      </c>
      <c r="C1480" s="44" t="s">
        <v>20</v>
      </c>
      <c r="D1480" s="44" t="s">
        <v>37</v>
      </c>
      <c r="E1480" s="44"/>
      <c r="F1480" s="69">
        <v>42463</v>
      </c>
      <c r="G1480" s="44" t="s">
        <v>22997</v>
      </c>
      <c r="H1480" s="44" t="s">
        <v>22998</v>
      </c>
      <c r="I1480" s="44" t="s">
        <v>438</v>
      </c>
      <c r="J1480" s="47">
        <v>54703</v>
      </c>
      <c r="K1480" s="8" t="s">
        <v>22998</v>
      </c>
      <c r="L1480" s="44" t="s">
        <v>22999</v>
      </c>
      <c r="M1480" s="44" t="s">
        <v>27</v>
      </c>
      <c r="N1480" s="8" t="s">
        <v>23000</v>
      </c>
      <c r="O1480" s="8" t="s">
        <v>400</v>
      </c>
      <c r="P1480" s="44" t="s">
        <v>401</v>
      </c>
      <c r="Q1480" s="14" t="s">
        <v>23001</v>
      </c>
      <c r="R1480" s="8" t="s">
        <v>100</v>
      </c>
      <c r="S1480" s="1" t="s">
        <v>28</v>
      </c>
      <c r="T1480" s="68" t="s">
        <v>391</v>
      </c>
      <c r="U1480" s="68" t="s">
        <v>29438</v>
      </c>
      <c r="V1480" s="68" t="s">
        <v>29439</v>
      </c>
      <c r="W1480" s="68" t="s">
        <v>100</v>
      </c>
      <c r="X1480" s="68">
        <v>1433</v>
      </c>
      <c r="Y1480" s="44"/>
      <c r="Z1480" s="44"/>
      <c r="AA1480" s="44"/>
      <c r="AB1480" s="44"/>
      <c r="AC1480" s="44"/>
      <c r="AD1480" s="44"/>
      <c r="AE1480" s="44"/>
      <c r="AF1480" s="44"/>
      <c r="AG1480" s="44"/>
      <c r="AW1480" s="1"/>
      <c r="AX1480" s="1"/>
      <c r="AY1480" s="1"/>
      <c r="BA1480" s="44"/>
      <c r="BB1480" s="44"/>
      <c r="BC1480" s="1"/>
      <c r="BD1480" s="1"/>
      <c r="BE1480" s="1"/>
      <c r="BF1480" s="1"/>
      <c r="BG1480" s="1"/>
      <c r="BH1480" s="1"/>
      <c r="BI1480" s="1"/>
      <c r="BJ1480" s="1"/>
      <c r="BK1480" s="44"/>
    </row>
    <row r="1481" spans="1:63" s="44" customFormat="1" ht="12" customHeight="1" x14ac:dyDescent="0.15">
      <c r="A1481" s="66" t="s">
        <v>29591</v>
      </c>
      <c r="B1481" s="66">
        <v>48</v>
      </c>
      <c r="C1481" s="66" t="s">
        <v>20</v>
      </c>
      <c r="D1481" s="66" t="s">
        <v>37</v>
      </c>
      <c r="E1481" s="66"/>
      <c r="F1481" s="67">
        <v>42463</v>
      </c>
      <c r="G1481" s="67"/>
      <c r="H1481" s="66" t="s">
        <v>29590</v>
      </c>
      <c r="I1481" s="66" t="s">
        <v>25</v>
      </c>
      <c r="J1481" s="66"/>
      <c r="K1481" s="66"/>
      <c r="L1481" s="66"/>
      <c r="M1481" s="66" t="s">
        <v>27</v>
      </c>
      <c r="N1481" s="66"/>
      <c r="O1481" s="66" t="s">
        <v>400</v>
      </c>
      <c r="P1481" s="66" t="s">
        <v>401</v>
      </c>
      <c r="Q1481" s="66"/>
      <c r="R1481" s="66" t="s">
        <v>100</v>
      </c>
      <c r="S1481" s="66" t="s">
        <v>35</v>
      </c>
      <c r="T1481" s="68" t="s">
        <v>29441</v>
      </c>
      <c r="U1481" s="66" t="s">
        <v>29441</v>
      </c>
      <c r="V1481" s="66"/>
      <c r="W1481" s="66" t="s">
        <v>100</v>
      </c>
      <c r="X1481" s="66">
        <v>1845</v>
      </c>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1"/>
      <c r="BD1481" s="1"/>
      <c r="BE1481" s="1"/>
      <c r="BF1481" s="1"/>
      <c r="BG1481" s="1"/>
      <c r="BH1481" s="1"/>
      <c r="BI1481" s="1"/>
      <c r="BJ1481" s="1"/>
      <c r="BK1481" s="1"/>
    </row>
    <row r="1482" spans="1:63" s="11" customFormat="1" ht="12" customHeight="1" x14ac:dyDescent="0.15">
      <c r="A1482" s="44" t="s">
        <v>23342</v>
      </c>
      <c r="B1482" s="68">
        <v>25</v>
      </c>
      <c r="C1482" s="44" t="s">
        <v>20</v>
      </c>
      <c r="D1482" s="44" t="s">
        <v>37</v>
      </c>
      <c r="E1482" s="44" t="s">
        <v>22995</v>
      </c>
      <c r="F1482" s="69">
        <v>42463</v>
      </c>
      <c r="G1482" s="44" t="s">
        <v>23343</v>
      </c>
      <c r="H1482" s="44" t="s">
        <v>1313</v>
      </c>
      <c r="I1482" s="44" t="s">
        <v>73</v>
      </c>
      <c r="J1482" s="47">
        <v>78703</v>
      </c>
      <c r="K1482" s="8" t="s">
        <v>1314</v>
      </c>
      <c r="L1482" s="44" t="s">
        <v>1315</v>
      </c>
      <c r="M1482" s="44" t="s">
        <v>27</v>
      </c>
      <c r="N1482" s="8" t="s">
        <v>22996</v>
      </c>
      <c r="O1482" s="8" t="s">
        <v>400</v>
      </c>
      <c r="P1482" s="44" t="s">
        <v>401</v>
      </c>
      <c r="Q1482" s="14" t="s">
        <v>22995</v>
      </c>
      <c r="R1482" s="8" t="s">
        <v>29</v>
      </c>
      <c r="S1482" s="44" t="s">
        <v>28</v>
      </c>
      <c r="T1482" s="68" t="s">
        <v>27756</v>
      </c>
      <c r="U1482" s="68" t="s">
        <v>29438</v>
      </c>
      <c r="V1482" s="68" t="s">
        <v>29440</v>
      </c>
      <c r="W1482" s="68" t="s">
        <v>100</v>
      </c>
      <c r="X1482" s="68">
        <v>1431</v>
      </c>
      <c r="Y1482" s="44"/>
      <c r="Z1482" s="44"/>
      <c r="AA1482" s="44"/>
      <c r="AB1482" s="44"/>
      <c r="AC1482" s="44"/>
      <c r="AD1482" s="44"/>
      <c r="AE1482" s="44"/>
      <c r="AF1482" s="44"/>
      <c r="AG1482" s="44"/>
      <c r="AX1482" s="1"/>
      <c r="AY1482" s="1"/>
      <c r="BA1482" s="1"/>
      <c r="BB1482" s="1"/>
      <c r="BC1482" s="1"/>
      <c r="BD1482" s="1"/>
      <c r="BE1482" s="1"/>
      <c r="BF1482" s="1"/>
      <c r="BG1482" s="1"/>
      <c r="BH1482" s="1"/>
      <c r="BI1482" s="1"/>
      <c r="BJ1482" s="1"/>
      <c r="BK1482" s="44"/>
    </row>
    <row r="1483" spans="1:63" s="11" customFormat="1" ht="12" customHeight="1" x14ac:dyDescent="0.15">
      <c r="A1483" s="44" t="s">
        <v>23002</v>
      </c>
      <c r="B1483" s="68">
        <v>36</v>
      </c>
      <c r="C1483" s="44" t="s">
        <v>114</v>
      </c>
      <c r="D1483" s="44" t="s">
        <v>37</v>
      </c>
      <c r="E1483" s="44" t="s">
        <v>23003</v>
      </c>
      <c r="F1483" s="69">
        <v>42463</v>
      </c>
      <c r="G1483" s="44" t="s">
        <v>23344</v>
      </c>
      <c r="H1483" s="44" t="s">
        <v>23004</v>
      </c>
      <c r="I1483" s="44" t="s">
        <v>94</v>
      </c>
      <c r="J1483" s="47">
        <v>36866</v>
      </c>
      <c r="K1483" s="8" t="s">
        <v>1549</v>
      </c>
      <c r="L1483" s="44" t="s">
        <v>11586</v>
      </c>
      <c r="M1483" s="44" t="s">
        <v>27</v>
      </c>
      <c r="N1483" s="8" t="s">
        <v>23005</v>
      </c>
      <c r="O1483" s="8" t="s">
        <v>550</v>
      </c>
      <c r="P1483" s="44" t="s">
        <v>401</v>
      </c>
      <c r="Q1483" s="14" t="s">
        <v>23006</v>
      </c>
      <c r="R1483" s="8" t="s">
        <v>555</v>
      </c>
      <c r="S1483" s="44" t="s">
        <v>35</v>
      </c>
      <c r="T1483" s="68" t="s">
        <v>29442</v>
      </c>
      <c r="U1483" s="68" t="s">
        <v>29436</v>
      </c>
      <c r="V1483" s="68" t="s">
        <v>29439</v>
      </c>
      <c r="W1483" s="68" t="s">
        <v>555</v>
      </c>
      <c r="X1483" s="68">
        <v>1430</v>
      </c>
      <c r="Y1483" s="44"/>
      <c r="Z1483" s="44"/>
      <c r="AA1483" s="44"/>
      <c r="AB1483" s="44"/>
      <c r="AC1483" s="44"/>
      <c r="AD1483" s="44"/>
      <c r="AE1483" s="44"/>
      <c r="AF1483" s="44"/>
      <c r="AG1483" s="44"/>
      <c r="AH1483" s="44"/>
      <c r="AI1483" s="44"/>
      <c r="AW1483" s="44"/>
      <c r="AX1483" s="1"/>
      <c r="AY1483" s="1"/>
      <c r="BC1483" s="1"/>
      <c r="BD1483" s="1"/>
      <c r="BE1483" s="1"/>
      <c r="BF1483" s="1"/>
      <c r="BG1483" s="1"/>
      <c r="BH1483" s="1"/>
      <c r="BI1483" s="1"/>
      <c r="BJ1483" s="1"/>
      <c r="BK1483" s="1"/>
    </row>
    <row r="1484" spans="1:63" s="11" customFormat="1" ht="12" customHeight="1" x14ac:dyDescent="0.15">
      <c r="A1484" s="44" t="s">
        <v>22980</v>
      </c>
      <c r="B1484" s="68">
        <v>30</v>
      </c>
      <c r="C1484" s="44" t="s">
        <v>20</v>
      </c>
      <c r="D1484" s="44" t="s">
        <v>85</v>
      </c>
      <c r="E1484" s="44" t="s">
        <v>22981</v>
      </c>
      <c r="F1484" s="69">
        <v>42462</v>
      </c>
      <c r="G1484" s="44" t="s">
        <v>22982</v>
      </c>
      <c r="H1484" s="44" t="s">
        <v>216</v>
      </c>
      <c r="I1484" s="44" t="s">
        <v>217</v>
      </c>
      <c r="J1484" s="47">
        <v>46222</v>
      </c>
      <c r="K1484" s="8" t="s">
        <v>420</v>
      </c>
      <c r="L1484" s="44" t="s">
        <v>218</v>
      </c>
      <c r="M1484" s="44" t="s">
        <v>27</v>
      </c>
      <c r="N1484" s="44" t="s">
        <v>23082</v>
      </c>
      <c r="O1484" s="8" t="s">
        <v>400</v>
      </c>
      <c r="P1484" s="44" t="s">
        <v>401</v>
      </c>
      <c r="Q1484" s="14" t="s">
        <v>22983</v>
      </c>
      <c r="R1484" s="8" t="s">
        <v>100</v>
      </c>
      <c r="S1484" s="8" t="s">
        <v>28</v>
      </c>
      <c r="T1484" s="68" t="s">
        <v>27756</v>
      </c>
      <c r="U1484" s="68" t="s">
        <v>29438</v>
      </c>
      <c r="V1484" s="68" t="s">
        <v>29439</v>
      </c>
      <c r="W1484" s="68" t="s">
        <v>100</v>
      </c>
      <c r="X1484" s="68">
        <v>1432</v>
      </c>
      <c r="Y1484" s="44"/>
      <c r="Z1484" s="44"/>
      <c r="AA1484" s="44"/>
      <c r="AB1484" s="44"/>
      <c r="AC1484" s="44"/>
      <c r="AD1484" s="44"/>
      <c r="AE1484" s="44"/>
      <c r="AF1484" s="44"/>
      <c r="AG1484" s="44"/>
      <c r="AH1484" s="44"/>
      <c r="AI1484" s="44"/>
      <c r="BA1484" s="44"/>
      <c r="BB1484" s="44"/>
      <c r="BK1484" s="44"/>
    </row>
    <row r="1485" spans="1:63" s="11" customFormat="1" ht="12" customHeight="1" x14ac:dyDescent="0.15">
      <c r="A1485" s="11" t="s">
        <v>23189</v>
      </c>
      <c r="B1485" s="11">
        <v>34</v>
      </c>
      <c r="C1485" s="11" t="s">
        <v>20</v>
      </c>
      <c r="D1485" s="11" t="s">
        <v>85</v>
      </c>
      <c r="E1485" s="11" t="s">
        <v>23195</v>
      </c>
      <c r="F1485" s="72">
        <v>42462</v>
      </c>
      <c r="G1485" s="11" t="s">
        <v>23193</v>
      </c>
      <c r="H1485" s="11" t="s">
        <v>23194</v>
      </c>
      <c r="I1485" s="11" t="s">
        <v>25</v>
      </c>
      <c r="J1485" s="46">
        <v>70520</v>
      </c>
      <c r="K1485" s="11" t="s">
        <v>11370</v>
      </c>
      <c r="L1485" s="11" t="s">
        <v>23192</v>
      </c>
      <c r="M1485" s="11" t="s">
        <v>379</v>
      </c>
      <c r="N1485" s="8" t="s">
        <v>23191</v>
      </c>
      <c r="O1485" s="44" t="s">
        <v>400</v>
      </c>
      <c r="P1485" s="44" t="s">
        <v>401</v>
      </c>
      <c r="Q1485" s="11" t="s">
        <v>23190</v>
      </c>
      <c r="R1485" s="11" t="s">
        <v>100</v>
      </c>
      <c r="S1485" s="11" t="s">
        <v>18</v>
      </c>
      <c r="AH1485" s="44"/>
      <c r="AI1485" s="44"/>
      <c r="AU1485" s="44"/>
      <c r="AV1485" s="44"/>
      <c r="AW1485" s="44"/>
      <c r="AX1485" s="44"/>
      <c r="AY1485" s="44"/>
      <c r="AZ1485" s="1"/>
      <c r="BA1485" s="1"/>
      <c r="BB1485" s="1"/>
      <c r="BK1485" s="1"/>
    </row>
    <row r="1486" spans="1:63" s="11" customFormat="1" ht="12" customHeight="1" x14ac:dyDescent="0.15">
      <c r="A1486" s="8" t="s">
        <v>22984</v>
      </c>
      <c r="B1486" s="8">
        <v>26</v>
      </c>
      <c r="C1486" s="8" t="s">
        <v>20</v>
      </c>
      <c r="D1486" s="44" t="s">
        <v>48</v>
      </c>
      <c r="E1486" s="8"/>
      <c r="F1486" s="72">
        <v>42462</v>
      </c>
      <c r="G1486" s="8" t="s">
        <v>22985</v>
      </c>
      <c r="H1486" s="8" t="s">
        <v>339</v>
      </c>
      <c r="I1486" s="8" t="s">
        <v>244</v>
      </c>
      <c r="J1486" s="47">
        <v>22315</v>
      </c>
      <c r="K1486" s="8" t="s">
        <v>4411</v>
      </c>
      <c r="L1486" s="8" t="s">
        <v>22986</v>
      </c>
      <c r="M1486" s="8" t="s">
        <v>379</v>
      </c>
      <c r="N1486" s="8" t="s">
        <v>22987</v>
      </c>
      <c r="O1486" s="8" t="s">
        <v>400</v>
      </c>
      <c r="P1486" s="44" t="s">
        <v>401</v>
      </c>
      <c r="Q1486" s="14" t="s">
        <v>22988</v>
      </c>
      <c r="R1486" s="8" t="s">
        <v>100</v>
      </c>
      <c r="S1486" s="8" t="s">
        <v>18</v>
      </c>
      <c r="U1486" s="8"/>
      <c r="V1486" s="8"/>
      <c r="W1486" s="8"/>
      <c r="X1486" s="8"/>
      <c r="Y1486" s="44"/>
      <c r="Z1486" s="44"/>
      <c r="AA1486" s="44"/>
      <c r="AB1486" s="44"/>
      <c r="AC1486" s="44"/>
      <c r="AD1486" s="44"/>
      <c r="AE1486" s="44"/>
      <c r="AF1486" s="44"/>
      <c r="AG1486" s="44"/>
      <c r="AH1486" s="44"/>
      <c r="AI1486" s="44"/>
      <c r="AU1486" s="44"/>
      <c r="AV1486" s="44"/>
      <c r="AW1486" s="44"/>
      <c r="AX1486" s="1"/>
      <c r="AY1486" s="1"/>
      <c r="AZ1486" s="1"/>
      <c r="BA1486" s="1"/>
      <c r="BB1486" s="1"/>
      <c r="BC1486" s="1"/>
      <c r="BD1486" s="1"/>
      <c r="BE1486" s="1"/>
      <c r="BF1486" s="1"/>
      <c r="BG1486" s="1"/>
      <c r="BH1486" s="1"/>
      <c r="BI1486" s="1"/>
      <c r="BJ1486" s="1"/>
      <c r="BK1486" s="1"/>
    </row>
    <row r="1487" spans="1:63" s="11" customFormat="1" ht="12" customHeight="1" x14ac:dyDescent="0.15">
      <c r="A1487" s="44" t="s">
        <v>22989</v>
      </c>
      <c r="B1487" s="68">
        <v>37</v>
      </c>
      <c r="C1487" s="44" t="s">
        <v>20</v>
      </c>
      <c r="D1487" s="44" t="s">
        <v>48</v>
      </c>
      <c r="E1487" s="44" t="s">
        <v>22990</v>
      </c>
      <c r="F1487" s="69">
        <v>42461</v>
      </c>
      <c r="G1487" s="44" t="s">
        <v>22991</v>
      </c>
      <c r="H1487" s="44" t="s">
        <v>795</v>
      </c>
      <c r="I1487" s="44" t="s">
        <v>73</v>
      </c>
      <c r="J1487" s="47">
        <v>79761</v>
      </c>
      <c r="K1487" s="8" t="s">
        <v>796</v>
      </c>
      <c r="L1487" s="44" t="s">
        <v>22992</v>
      </c>
      <c r="M1487" s="44" t="s">
        <v>27</v>
      </c>
      <c r="N1487" s="8" t="s">
        <v>22993</v>
      </c>
      <c r="O1487" s="8" t="s">
        <v>400</v>
      </c>
      <c r="P1487" s="44" t="s">
        <v>401</v>
      </c>
      <c r="Q1487" s="14" t="s">
        <v>22994</v>
      </c>
      <c r="R1487" s="8" t="s">
        <v>100</v>
      </c>
      <c r="S1487" s="44" t="s">
        <v>28</v>
      </c>
      <c r="T1487" s="68" t="s">
        <v>27756</v>
      </c>
      <c r="U1487" s="68" t="s">
        <v>29438</v>
      </c>
      <c r="V1487" s="68" t="s">
        <v>29439</v>
      </c>
      <c r="W1487" s="68" t="s">
        <v>100</v>
      </c>
      <c r="X1487" s="68">
        <v>1435</v>
      </c>
      <c r="Y1487" s="44"/>
      <c r="Z1487" s="44"/>
      <c r="AA1487" s="44"/>
      <c r="AB1487" s="44"/>
      <c r="AC1487" s="44"/>
      <c r="AD1487" s="44"/>
      <c r="AE1487" s="44"/>
      <c r="AF1487" s="44"/>
      <c r="AG1487" s="44"/>
      <c r="AW1487" s="44"/>
      <c r="AX1487" s="1"/>
      <c r="AY1487" s="1"/>
      <c r="BA1487" s="44"/>
      <c r="BB1487" s="44"/>
      <c r="BC1487" s="1"/>
      <c r="BD1487" s="1"/>
      <c r="BE1487" s="1"/>
      <c r="BF1487" s="1"/>
      <c r="BG1487" s="1"/>
      <c r="BH1487" s="1"/>
      <c r="BI1487" s="1"/>
      <c r="BJ1487" s="1"/>
      <c r="BK1487" s="44"/>
    </row>
    <row r="1488" spans="1:63" s="11" customFormat="1" ht="12" customHeight="1" x14ac:dyDescent="0.2">
      <c r="A1488" s="44" t="s">
        <v>22977</v>
      </c>
      <c r="B1488" s="68">
        <v>65</v>
      </c>
      <c r="C1488" s="44" t="s">
        <v>20</v>
      </c>
      <c r="D1488" s="44" t="s">
        <v>48</v>
      </c>
      <c r="E1488" s="44"/>
      <c r="F1488" s="69">
        <v>42461</v>
      </c>
      <c r="G1488" s="44" t="s">
        <v>23247</v>
      </c>
      <c r="H1488" s="44" t="s">
        <v>22978</v>
      </c>
      <c r="I1488" s="44" t="s">
        <v>73</v>
      </c>
      <c r="J1488" s="47">
        <v>78644</v>
      </c>
      <c r="K1488" s="8" t="s">
        <v>8639</v>
      </c>
      <c r="L1488" s="44" t="s">
        <v>23248</v>
      </c>
      <c r="M1488" s="44" t="s">
        <v>27</v>
      </c>
      <c r="N1488" s="8" t="s">
        <v>23492</v>
      </c>
      <c r="O1488" s="8" t="s">
        <v>400</v>
      </c>
      <c r="P1488" s="44" t="s">
        <v>401</v>
      </c>
      <c r="Q1488" s="14" t="s">
        <v>22979</v>
      </c>
      <c r="R1488" s="68" t="s">
        <v>555</v>
      </c>
      <c r="S1488" s="1" t="s">
        <v>35</v>
      </c>
      <c r="T1488" s="68" t="s">
        <v>29470</v>
      </c>
      <c r="U1488" s="68" t="s">
        <v>29441</v>
      </c>
      <c r="V1488" s="68" t="s">
        <v>29439</v>
      </c>
      <c r="W1488" s="68" t="s">
        <v>100</v>
      </c>
      <c r="X1488" s="68">
        <v>1427</v>
      </c>
      <c r="Y1488" s="44"/>
      <c r="Z1488" s="44"/>
      <c r="AA1488" s="44"/>
      <c r="AB1488" s="44"/>
      <c r="AC1488" s="44"/>
      <c r="AD1488" s="44"/>
      <c r="AE1488" s="44"/>
      <c r="AF1488" s="44"/>
      <c r="AG1488" s="44"/>
      <c r="AW1488" s="1"/>
      <c r="AX1488" s="1"/>
      <c r="AY1488" s="1"/>
      <c r="BA1488" s="70"/>
      <c r="BB1488" s="44"/>
      <c r="BC1488" s="1"/>
      <c r="BD1488" s="1"/>
      <c r="BE1488" s="1"/>
      <c r="BF1488" s="1"/>
      <c r="BG1488" s="1"/>
      <c r="BH1488" s="1"/>
      <c r="BI1488" s="1"/>
      <c r="BJ1488" s="1"/>
      <c r="BK1488" s="1"/>
    </row>
    <row r="1489" spans="1:63" s="11" customFormat="1" ht="12" customHeight="1" x14ac:dyDescent="0.2">
      <c r="A1489" s="11" t="s">
        <v>22927</v>
      </c>
      <c r="B1489" s="68">
        <v>18</v>
      </c>
      <c r="C1489" s="11" t="s">
        <v>20</v>
      </c>
      <c r="D1489" s="11" t="s">
        <v>85</v>
      </c>
      <c r="E1489" s="11" t="s">
        <v>22928</v>
      </c>
      <c r="F1489" s="69">
        <v>42460</v>
      </c>
      <c r="G1489" s="11" t="s">
        <v>22926</v>
      </c>
      <c r="H1489" s="11" t="s">
        <v>1592</v>
      </c>
      <c r="I1489" s="11" t="s">
        <v>52</v>
      </c>
      <c r="J1489" s="46">
        <v>21202</v>
      </c>
      <c r="K1489" s="11" t="s">
        <v>4697</v>
      </c>
      <c r="L1489" s="11" t="s">
        <v>2770</v>
      </c>
      <c r="M1489" s="11" t="s">
        <v>27</v>
      </c>
      <c r="N1489" s="11" t="s">
        <v>22924</v>
      </c>
      <c r="O1489" s="11" t="s">
        <v>400</v>
      </c>
      <c r="P1489" s="11" t="s">
        <v>401</v>
      </c>
      <c r="Q1489" s="11" t="s">
        <v>22925</v>
      </c>
      <c r="R1489" s="11" t="s">
        <v>100</v>
      </c>
      <c r="S1489" s="11" t="s">
        <v>28</v>
      </c>
      <c r="T1489" s="68" t="s">
        <v>27756</v>
      </c>
      <c r="U1489" s="68" t="s">
        <v>29438</v>
      </c>
      <c r="V1489" s="68" t="s">
        <v>29439</v>
      </c>
      <c r="W1489" s="68" t="s">
        <v>100</v>
      </c>
      <c r="X1489" s="68">
        <v>1424</v>
      </c>
      <c r="AU1489" s="44"/>
      <c r="AV1489" s="44"/>
      <c r="AW1489" s="70"/>
      <c r="AX1489" s="70"/>
      <c r="AY1489" s="70"/>
      <c r="BA1489" s="44"/>
      <c r="BB1489" s="44"/>
      <c r="BK1489" s="44"/>
    </row>
    <row r="1490" spans="1:63" s="44" customFormat="1" ht="12" customHeight="1" x14ac:dyDescent="0.15">
      <c r="A1490" s="11" t="s">
        <v>22929</v>
      </c>
      <c r="B1490" s="68">
        <v>43</v>
      </c>
      <c r="C1490" s="11" t="s">
        <v>20</v>
      </c>
      <c r="D1490" s="11" t="s">
        <v>85</v>
      </c>
      <c r="E1490" s="11" t="s">
        <v>22928</v>
      </c>
      <c r="F1490" s="69">
        <v>42460</v>
      </c>
      <c r="G1490" s="11" t="s">
        <v>22926</v>
      </c>
      <c r="H1490" s="11" t="s">
        <v>1592</v>
      </c>
      <c r="I1490" s="11" t="s">
        <v>52</v>
      </c>
      <c r="J1490" s="46">
        <v>21202</v>
      </c>
      <c r="K1490" s="11" t="s">
        <v>4697</v>
      </c>
      <c r="L1490" s="11" t="s">
        <v>2770</v>
      </c>
      <c r="M1490" s="11" t="s">
        <v>27</v>
      </c>
      <c r="N1490" s="11" t="s">
        <v>22924</v>
      </c>
      <c r="O1490" s="11" t="s">
        <v>400</v>
      </c>
      <c r="P1490" s="11" t="s">
        <v>401</v>
      </c>
      <c r="Q1490" s="11" t="s">
        <v>22925</v>
      </c>
      <c r="R1490" s="11" t="s">
        <v>100</v>
      </c>
      <c r="S1490" s="11" t="s">
        <v>28</v>
      </c>
      <c r="T1490" s="68" t="s">
        <v>27756</v>
      </c>
      <c r="U1490" s="68" t="s">
        <v>29438</v>
      </c>
      <c r="V1490" s="68" t="s">
        <v>29439</v>
      </c>
      <c r="W1490" s="68" t="s">
        <v>100</v>
      </c>
      <c r="X1490" s="68">
        <v>1425</v>
      </c>
      <c r="Y1490" s="11"/>
      <c r="Z1490" s="11"/>
      <c r="AA1490" s="11"/>
      <c r="AB1490" s="11"/>
      <c r="AC1490" s="11"/>
      <c r="AD1490" s="11"/>
      <c r="AE1490" s="11"/>
      <c r="AF1490" s="11"/>
      <c r="AG1490" s="11"/>
      <c r="AH1490" s="11"/>
      <c r="AI1490" s="11"/>
      <c r="AJ1490" s="11"/>
      <c r="AK1490" s="11"/>
      <c r="AL1490" s="11"/>
      <c r="AM1490" s="11"/>
      <c r="AN1490" s="11"/>
      <c r="AO1490" s="11"/>
      <c r="AP1490" s="11"/>
      <c r="AQ1490" s="11"/>
      <c r="AR1490" s="11"/>
      <c r="AS1490" s="11"/>
      <c r="AT1490" s="11"/>
      <c r="AU1490" s="11"/>
      <c r="AV1490" s="11"/>
      <c r="AW1490" s="1"/>
      <c r="AZ1490" s="11"/>
      <c r="BC1490" s="11"/>
      <c r="BD1490" s="11"/>
      <c r="BE1490" s="11"/>
      <c r="BF1490" s="11"/>
      <c r="BG1490" s="11"/>
      <c r="BH1490" s="11"/>
      <c r="BI1490" s="11"/>
      <c r="BJ1490" s="11"/>
    </row>
    <row r="1491" spans="1:63" s="11" customFormat="1" ht="12" customHeight="1" x14ac:dyDescent="0.15">
      <c r="A1491" s="66" t="s">
        <v>29589</v>
      </c>
      <c r="B1491" s="66">
        <v>31</v>
      </c>
      <c r="C1491" s="66" t="s">
        <v>20</v>
      </c>
      <c r="D1491" s="66" t="s">
        <v>85</v>
      </c>
      <c r="E1491" s="66"/>
      <c r="F1491" s="67">
        <v>42460</v>
      </c>
      <c r="G1491" s="67"/>
      <c r="H1491" s="66" t="s">
        <v>655</v>
      </c>
      <c r="I1491" s="66" t="s">
        <v>269</v>
      </c>
      <c r="J1491" s="66"/>
      <c r="K1491" s="66" t="s">
        <v>570</v>
      </c>
      <c r="L1491" s="66" t="s">
        <v>571</v>
      </c>
      <c r="M1491" s="66" t="s">
        <v>27</v>
      </c>
      <c r="N1491" s="66"/>
      <c r="O1491" s="66" t="s">
        <v>400</v>
      </c>
      <c r="P1491" s="66" t="s">
        <v>401</v>
      </c>
      <c r="Q1491" s="66"/>
      <c r="R1491" s="66" t="s">
        <v>100</v>
      </c>
      <c r="S1491" s="66" t="s">
        <v>28</v>
      </c>
      <c r="T1491" s="66" t="s">
        <v>27756</v>
      </c>
      <c r="U1491" s="66" t="s">
        <v>29438</v>
      </c>
      <c r="V1491" s="66" t="s">
        <v>29440</v>
      </c>
      <c r="W1491" s="66" t="s">
        <v>555</v>
      </c>
      <c r="X1491" s="66">
        <v>1846</v>
      </c>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K1491" s="44"/>
    </row>
    <row r="1492" spans="1:63" s="11" customFormat="1" ht="12" customHeight="1" x14ac:dyDescent="0.15">
      <c r="A1492" s="11" t="s">
        <v>568</v>
      </c>
      <c r="B1492" s="68">
        <v>34</v>
      </c>
      <c r="C1492" s="11" t="s">
        <v>20</v>
      </c>
      <c r="D1492" s="11" t="s">
        <v>85</v>
      </c>
      <c r="E1492" s="11" t="s">
        <v>22933</v>
      </c>
      <c r="F1492" s="69">
        <v>42460</v>
      </c>
      <c r="G1492" s="11" t="s">
        <v>22931</v>
      </c>
      <c r="H1492" s="11" t="s">
        <v>874</v>
      </c>
      <c r="I1492" s="11" t="s">
        <v>244</v>
      </c>
      <c r="J1492" s="46">
        <v>21202</v>
      </c>
      <c r="K1492" s="1" t="s">
        <v>18984</v>
      </c>
      <c r="L1492" s="11" t="s">
        <v>3318</v>
      </c>
      <c r="M1492" s="11" t="s">
        <v>27</v>
      </c>
      <c r="N1492" s="11" t="s">
        <v>22930</v>
      </c>
      <c r="O1492" s="11" t="s">
        <v>400</v>
      </c>
      <c r="P1492" s="11" t="s">
        <v>401</v>
      </c>
      <c r="Q1492" s="11" t="s">
        <v>22932</v>
      </c>
      <c r="R1492" s="11" t="s">
        <v>100</v>
      </c>
      <c r="S1492" s="11" t="s">
        <v>28</v>
      </c>
      <c r="T1492" s="68" t="s">
        <v>27756</v>
      </c>
      <c r="U1492" s="68" t="s">
        <v>29438</v>
      </c>
      <c r="V1492" s="68" t="s">
        <v>29439</v>
      </c>
      <c r="W1492" s="68" t="s">
        <v>100</v>
      </c>
      <c r="X1492" s="68">
        <v>1426</v>
      </c>
      <c r="BA1492" s="44"/>
      <c r="BB1492" s="44"/>
      <c r="BK1492" s="44"/>
    </row>
    <row r="1493" spans="1:63" s="11" customFormat="1" ht="12" customHeight="1" x14ac:dyDescent="0.15">
      <c r="A1493" s="11" t="s">
        <v>23198</v>
      </c>
      <c r="B1493" s="11">
        <v>67</v>
      </c>
      <c r="C1493" s="11" t="s">
        <v>20</v>
      </c>
      <c r="D1493" s="11" t="s">
        <v>85</v>
      </c>
      <c r="E1493" s="60" t="s">
        <v>23197</v>
      </c>
      <c r="F1493" s="72">
        <v>42460</v>
      </c>
      <c r="G1493" s="11" t="s">
        <v>23202</v>
      </c>
      <c r="H1493" s="8" t="s">
        <v>23201</v>
      </c>
      <c r="I1493" s="11" t="s">
        <v>81</v>
      </c>
      <c r="J1493" s="47">
        <v>7601</v>
      </c>
      <c r="K1493" s="16" t="s">
        <v>1833</v>
      </c>
      <c r="L1493" s="16" t="s">
        <v>23200</v>
      </c>
      <c r="M1493" s="8" t="s">
        <v>379</v>
      </c>
      <c r="N1493" s="8" t="s">
        <v>23196</v>
      </c>
      <c r="O1493" s="8" t="s">
        <v>400</v>
      </c>
      <c r="P1493" s="11" t="s">
        <v>401</v>
      </c>
      <c r="Q1493" s="14" t="s">
        <v>23199</v>
      </c>
      <c r="R1493" s="8" t="s">
        <v>100</v>
      </c>
      <c r="S1493" s="66" t="s">
        <v>379</v>
      </c>
      <c r="T1493" s="66" t="s">
        <v>30738</v>
      </c>
      <c r="U1493" s="1"/>
      <c r="AU1493" s="44"/>
      <c r="AV1493" s="44"/>
      <c r="AW1493" s="44"/>
      <c r="AX1493" s="44"/>
      <c r="AY1493" s="44"/>
      <c r="AZ1493" s="1"/>
      <c r="BA1493" s="1"/>
      <c r="BB1493" s="1"/>
      <c r="BK1493" s="1"/>
    </row>
    <row r="1494" spans="1:63" s="11" customFormat="1" ht="12" customHeight="1" x14ac:dyDescent="0.15">
      <c r="A1494" s="61" t="s">
        <v>23084</v>
      </c>
      <c r="B1494" s="68">
        <v>25</v>
      </c>
      <c r="C1494" s="11" t="s">
        <v>20</v>
      </c>
      <c r="D1494" s="68" t="s">
        <v>48</v>
      </c>
      <c r="E1494" s="60"/>
      <c r="F1494" s="69">
        <v>42459</v>
      </c>
      <c r="G1494" s="11" t="s">
        <v>23095</v>
      </c>
      <c r="H1494" s="8" t="s">
        <v>3324</v>
      </c>
      <c r="I1494" s="11" t="s">
        <v>123</v>
      </c>
      <c r="J1494" s="17">
        <v>85303</v>
      </c>
      <c r="K1494" s="8" t="s">
        <v>633</v>
      </c>
      <c r="L1494" s="8" t="s">
        <v>634</v>
      </c>
      <c r="M1494" s="8" t="s">
        <v>27</v>
      </c>
      <c r="N1494" s="8" t="s">
        <v>23093</v>
      </c>
      <c r="O1494" s="8" t="s">
        <v>400</v>
      </c>
      <c r="P1494" s="11" t="s">
        <v>401</v>
      </c>
      <c r="Q1494" s="14" t="s">
        <v>23094</v>
      </c>
      <c r="R1494" s="8" t="s">
        <v>100</v>
      </c>
      <c r="S1494" s="8" t="s">
        <v>28</v>
      </c>
      <c r="T1494" s="68" t="s">
        <v>27756</v>
      </c>
      <c r="U1494" s="68" t="s">
        <v>29441</v>
      </c>
      <c r="V1494" s="68" t="s">
        <v>29439</v>
      </c>
      <c r="W1494" s="68" t="s">
        <v>100</v>
      </c>
      <c r="X1494" s="68">
        <v>1436</v>
      </c>
      <c r="AX1494" s="1"/>
      <c r="AY1494" s="1"/>
      <c r="BA1494" s="44"/>
      <c r="BB1494" s="44"/>
      <c r="BC1494" s="1"/>
      <c r="BD1494" s="1"/>
      <c r="BE1494" s="1"/>
      <c r="BF1494" s="1"/>
      <c r="BG1494" s="1"/>
      <c r="BH1494" s="1"/>
      <c r="BI1494" s="1"/>
      <c r="BJ1494" s="1"/>
      <c r="BK1494" s="44"/>
    </row>
    <row r="1495" spans="1:63" s="11" customFormat="1" ht="12" customHeight="1" x14ac:dyDescent="0.15">
      <c r="A1495" s="44" t="s">
        <v>23499</v>
      </c>
      <c r="B1495" s="68">
        <v>52</v>
      </c>
      <c r="C1495" s="44" t="s">
        <v>20</v>
      </c>
      <c r="D1495" s="44" t="s">
        <v>37</v>
      </c>
      <c r="E1495" s="44"/>
      <c r="F1495" s="69">
        <v>42459</v>
      </c>
      <c r="G1495" s="11" t="s">
        <v>23527</v>
      </c>
      <c r="H1495" s="8" t="s">
        <v>433</v>
      </c>
      <c r="I1495" s="44" t="s">
        <v>173</v>
      </c>
      <c r="J1495" s="44">
        <v>30233</v>
      </c>
      <c r="K1495" s="8" t="s">
        <v>23528</v>
      </c>
      <c r="L1495" s="8" t="s">
        <v>6223</v>
      </c>
      <c r="M1495" s="44" t="s">
        <v>27</v>
      </c>
      <c r="N1495" s="8" t="s">
        <v>23525</v>
      </c>
      <c r="O1495" s="8" t="s">
        <v>400</v>
      </c>
      <c r="P1495" s="11" t="s">
        <v>401</v>
      </c>
      <c r="Q1495" s="44" t="s">
        <v>23522</v>
      </c>
      <c r="R1495" s="8" t="s">
        <v>100</v>
      </c>
      <c r="S1495" s="8" t="s">
        <v>28</v>
      </c>
      <c r="T1495" s="68" t="s">
        <v>27756</v>
      </c>
      <c r="U1495" s="68" t="s">
        <v>29438</v>
      </c>
      <c r="V1495" s="68" t="s">
        <v>29439</v>
      </c>
      <c r="W1495" s="68" t="s">
        <v>100</v>
      </c>
      <c r="X1495" s="68">
        <v>1514</v>
      </c>
      <c r="Y1495" s="44"/>
      <c r="Z1495" s="44"/>
      <c r="AA1495" s="44"/>
      <c r="AB1495" s="44"/>
      <c r="AC1495" s="44"/>
      <c r="AD1495" s="44"/>
      <c r="AE1495" s="44"/>
      <c r="AF1495" s="44"/>
      <c r="AG1495" s="44"/>
      <c r="AW1495" s="1"/>
      <c r="AX1495" s="1"/>
      <c r="AY1495" s="1"/>
      <c r="BA1495" s="44"/>
      <c r="BB1495" s="44"/>
      <c r="BC1495" s="1"/>
      <c r="BD1495" s="1"/>
      <c r="BE1495" s="1"/>
      <c r="BF1495" s="1"/>
      <c r="BG1495" s="1"/>
      <c r="BH1495" s="1"/>
      <c r="BI1495" s="1"/>
      <c r="BJ1495" s="1"/>
      <c r="BK1495" s="44"/>
    </row>
    <row r="1496" spans="1:63" s="11" customFormat="1" ht="12" customHeight="1" x14ac:dyDescent="0.15">
      <c r="A1496" s="11" t="s">
        <v>21863</v>
      </c>
      <c r="B1496" s="68">
        <v>33</v>
      </c>
      <c r="C1496" s="11" t="s">
        <v>20</v>
      </c>
      <c r="D1496" s="68" t="s">
        <v>37</v>
      </c>
      <c r="F1496" s="69">
        <v>42459</v>
      </c>
      <c r="G1496" s="11" t="s">
        <v>21864</v>
      </c>
      <c r="H1496" s="11" t="s">
        <v>5977</v>
      </c>
      <c r="I1496" s="11" t="s">
        <v>45</v>
      </c>
      <c r="J1496" s="10">
        <v>90022</v>
      </c>
      <c r="K1496" s="11" t="s">
        <v>98</v>
      </c>
      <c r="L1496" s="11" t="s">
        <v>414</v>
      </c>
      <c r="M1496" s="11" t="s">
        <v>27</v>
      </c>
      <c r="N1496" s="11" t="s">
        <v>21865</v>
      </c>
      <c r="O1496" s="11" t="s">
        <v>400</v>
      </c>
      <c r="P1496" s="11" t="s">
        <v>401</v>
      </c>
      <c r="Q1496" s="11" t="s">
        <v>21866</v>
      </c>
      <c r="R1496" s="11" t="s">
        <v>29</v>
      </c>
      <c r="S1496" s="11" t="s">
        <v>28</v>
      </c>
      <c r="T1496" s="68" t="s">
        <v>27756</v>
      </c>
      <c r="U1496" s="68" t="s">
        <v>29438</v>
      </c>
      <c r="V1496" s="68" t="s">
        <v>29440</v>
      </c>
      <c r="W1496" s="68" t="s">
        <v>100</v>
      </c>
      <c r="X1496" s="68">
        <v>1423</v>
      </c>
      <c r="AX1496" s="1"/>
      <c r="AY1496" s="1"/>
      <c r="BA1496" s="1"/>
      <c r="BB1496" s="1"/>
      <c r="BC1496" s="1"/>
      <c r="BD1496" s="1"/>
      <c r="BE1496" s="1"/>
      <c r="BF1496" s="1"/>
      <c r="BG1496" s="1"/>
      <c r="BH1496" s="1"/>
      <c r="BI1496" s="1"/>
      <c r="BJ1496" s="1"/>
      <c r="BK1496" s="44"/>
    </row>
    <row r="1497" spans="1:63" s="11" customFormat="1" ht="12" customHeight="1" x14ac:dyDescent="0.2">
      <c r="A1497" s="11" t="s">
        <v>22655</v>
      </c>
      <c r="B1497" s="68">
        <v>46</v>
      </c>
      <c r="C1497" s="11" t="s">
        <v>20</v>
      </c>
      <c r="D1497" s="11" t="s">
        <v>37</v>
      </c>
      <c r="F1497" s="69">
        <v>42458</v>
      </c>
      <c r="G1497" s="11" t="s">
        <v>22656</v>
      </c>
      <c r="H1497" s="11" t="s">
        <v>22657</v>
      </c>
      <c r="I1497" s="11" t="s">
        <v>45</v>
      </c>
      <c r="J1497" s="17">
        <v>95422</v>
      </c>
      <c r="K1497" s="11" t="s">
        <v>1256</v>
      </c>
      <c r="L1497" s="11" t="s">
        <v>22658</v>
      </c>
      <c r="M1497" s="68" t="s">
        <v>5411</v>
      </c>
      <c r="N1497" s="11" t="s">
        <v>22659</v>
      </c>
      <c r="O1497" s="11" t="s">
        <v>400</v>
      </c>
      <c r="P1497" s="11" t="s">
        <v>401</v>
      </c>
      <c r="Q1497" s="11" t="s">
        <v>22660</v>
      </c>
      <c r="R1497" s="11" t="s">
        <v>29</v>
      </c>
      <c r="S1497" s="1" t="s">
        <v>35</v>
      </c>
      <c r="T1497" s="68" t="s">
        <v>29471</v>
      </c>
      <c r="U1497" s="68" t="s">
        <v>29438</v>
      </c>
      <c r="V1497" s="68" t="s">
        <v>29439</v>
      </c>
      <c r="W1497" s="68" t="s">
        <v>555</v>
      </c>
      <c r="X1497" s="68">
        <v>1420</v>
      </c>
      <c r="AW1497" s="1"/>
      <c r="AX1497" s="1"/>
      <c r="AY1497" s="1"/>
      <c r="BA1497" s="1"/>
      <c r="BB1497" s="70"/>
      <c r="BC1497" s="1"/>
      <c r="BD1497" s="1"/>
      <c r="BE1497" s="1"/>
      <c r="BF1497" s="1"/>
      <c r="BG1497" s="1"/>
      <c r="BH1497" s="1"/>
      <c r="BI1497" s="1"/>
      <c r="BJ1497" s="1"/>
    </row>
    <row r="1498" spans="1:63" s="11" customFormat="1" ht="12" customHeight="1" x14ac:dyDescent="0.15">
      <c r="A1498" s="61" t="s">
        <v>23086</v>
      </c>
      <c r="B1498" s="68">
        <v>50</v>
      </c>
      <c r="C1498" s="11" t="s">
        <v>114</v>
      </c>
      <c r="D1498" s="11" t="s">
        <v>37</v>
      </c>
      <c r="F1498" s="69">
        <v>42458</v>
      </c>
      <c r="G1498" s="11" t="s">
        <v>23088</v>
      </c>
      <c r="H1498" s="8" t="s">
        <v>20924</v>
      </c>
      <c r="I1498" s="11" t="s">
        <v>133</v>
      </c>
      <c r="J1498" s="17">
        <v>56431</v>
      </c>
      <c r="K1498" s="8" t="s">
        <v>20924</v>
      </c>
      <c r="L1498" s="8" t="s">
        <v>20921</v>
      </c>
      <c r="M1498" s="8" t="s">
        <v>27</v>
      </c>
      <c r="N1498" s="8" t="s">
        <v>23087</v>
      </c>
      <c r="O1498" s="8" t="s">
        <v>400</v>
      </c>
      <c r="P1498" s="11" t="s">
        <v>401</v>
      </c>
      <c r="Q1498" s="14" t="s">
        <v>23089</v>
      </c>
      <c r="R1498" s="8" t="s">
        <v>555</v>
      </c>
      <c r="S1498" s="8" t="s">
        <v>28</v>
      </c>
      <c r="T1498" s="68" t="s">
        <v>27756</v>
      </c>
      <c r="U1498" s="68" t="s">
        <v>29438</v>
      </c>
      <c r="V1498" s="68" t="s">
        <v>29439</v>
      </c>
      <c r="W1498" s="68" t="s">
        <v>100</v>
      </c>
      <c r="X1498" s="68">
        <v>1422</v>
      </c>
      <c r="AW1498" s="1"/>
      <c r="AX1498" s="1"/>
      <c r="AY1498" s="1"/>
      <c r="BC1498" s="1"/>
      <c r="BD1498" s="1"/>
      <c r="BE1498" s="1"/>
      <c r="BF1498" s="1"/>
      <c r="BG1498" s="1"/>
      <c r="BH1498" s="1"/>
      <c r="BI1498" s="1"/>
      <c r="BJ1498" s="1"/>
      <c r="BK1498" s="44"/>
    </row>
    <row r="1499" spans="1:63" s="11" customFormat="1" ht="12" customHeight="1" x14ac:dyDescent="0.15">
      <c r="A1499" s="11" t="s">
        <v>22355</v>
      </c>
      <c r="B1499" s="68">
        <v>51</v>
      </c>
      <c r="C1499" s="11" t="s">
        <v>20</v>
      </c>
      <c r="D1499" s="11" t="s">
        <v>37</v>
      </c>
      <c r="F1499" s="69">
        <v>42458</v>
      </c>
      <c r="G1499" s="11" t="s">
        <v>22356</v>
      </c>
      <c r="H1499" s="8" t="s">
        <v>9447</v>
      </c>
      <c r="I1499" s="11" t="s">
        <v>32</v>
      </c>
      <c r="J1499" s="17" t="s">
        <v>9448</v>
      </c>
      <c r="K1499" s="8" t="s">
        <v>33</v>
      </c>
      <c r="L1499" s="8" t="s">
        <v>34</v>
      </c>
      <c r="M1499" s="8" t="s">
        <v>27</v>
      </c>
      <c r="N1499" s="8" t="s">
        <v>22357</v>
      </c>
      <c r="O1499" s="8" t="s">
        <v>400</v>
      </c>
      <c r="P1499" s="11" t="s">
        <v>401</v>
      </c>
      <c r="Q1499" s="14" t="s">
        <v>22358</v>
      </c>
      <c r="R1499" s="8" t="s">
        <v>555</v>
      </c>
      <c r="S1499" s="8" t="s">
        <v>28</v>
      </c>
      <c r="T1499" s="68" t="s">
        <v>27756</v>
      </c>
      <c r="U1499" s="68" t="s">
        <v>29438</v>
      </c>
      <c r="V1499" s="68" t="s">
        <v>29439</v>
      </c>
      <c r="W1499" s="68" t="s">
        <v>100</v>
      </c>
      <c r="X1499" s="68">
        <v>1421</v>
      </c>
      <c r="AW1499" s="1"/>
      <c r="AX1499" s="1"/>
      <c r="AY1499" s="1"/>
      <c r="BC1499" s="1"/>
      <c r="BD1499" s="1"/>
      <c r="BE1499" s="1"/>
      <c r="BF1499" s="1"/>
      <c r="BG1499" s="1"/>
      <c r="BH1499" s="1"/>
      <c r="BI1499" s="1"/>
      <c r="BJ1499" s="1"/>
      <c r="BK1499" s="44"/>
    </row>
    <row r="1500" spans="1:63" s="11" customFormat="1" ht="12" customHeight="1" x14ac:dyDescent="0.2">
      <c r="A1500" s="11" t="s">
        <v>21405</v>
      </c>
      <c r="B1500" s="68">
        <v>18</v>
      </c>
      <c r="C1500" s="11" t="s">
        <v>20</v>
      </c>
      <c r="D1500" s="11" t="s">
        <v>85</v>
      </c>
      <c r="E1500" s="60" t="s">
        <v>21406</v>
      </c>
      <c r="F1500" s="69">
        <v>42456</v>
      </c>
      <c r="G1500" s="11" t="s">
        <v>21407</v>
      </c>
      <c r="H1500" s="8" t="s">
        <v>21408</v>
      </c>
      <c r="I1500" s="11" t="s">
        <v>366</v>
      </c>
      <c r="J1500" s="47" t="s">
        <v>21409</v>
      </c>
      <c r="K1500" s="8" t="s">
        <v>21410</v>
      </c>
      <c r="L1500" s="8" t="s">
        <v>16364</v>
      </c>
      <c r="M1500" s="8" t="s">
        <v>27</v>
      </c>
      <c r="N1500" s="8" t="s">
        <v>21411</v>
      </c>
      <c r="O1500" s="8" t="s">
        <v>400</v>
      </c>
      <c r="P1500" s="11" t="s">
        <v>401</v>
      </c>
      <c r="Q1500" s="14" t="s">
        <v>21412</v>
      </c>
      <c r="R1500" s="8" t="s">
        <v>100</v>
      </c>
      <c r="S1500" s="8" t="s">
        <v>28</v>
      </c>
      <c r="T1500" s="68" t="s">
        <v>27756</v>
      </c>
      <c r="U1500" s="68" t="s">
        <v>29436</v>
      </c>
      <c r="V1500" s="68" t="s">
        <v>29439</v>
      </c>
      <c r="W1500" s="68" t="s">
        <v>100</v>
      </c>
      <c r="X1500" s="68">
        <v>1418</v>
      </c>
      <c r="AW1500" s="70"/>
      <c r="AX1500" s="70"/>
      <c r="AY1500" s="70"/>
      <c r="BA1500" s="44"/>
      <c r="BB1500" s="44"/>
      <c r="BK1500" s="44"/>
    </row>
    <row r="1501" spans="1:63" s="11" customFormat="1" ht="12" customHeight="1" x14ac:dyDescent="0.15">
      <c r="A1501" s="11" t="s">
        <v>21817</v>
      </c>
      <c r="B1501" s="68">
        <v>27</v>
      </c>
      <c r="C1501" s="11" t="s">
        <v>114</v>
      </c>
      <c r="D1501" s="11" t="s">
        <v>139</v>
      </c>
      <c r="E1501" s="60" t="s">
        <v>21818</v>
      </c>
      <c r="F1501" s="69">
        <v>42456</v>
      </c>
      <c r="G1501" s="11" t="s">
        <v>21819</v>
      </c>
      <c r="H1501" s="8" t="s">
        <v>4688</v>
      </c>
      <c r="I1501" s="11" t="s">
        <v>123</v>
      </c>
      <c r="J1501" s="17" t="s">
        <v>21820</v>
      </c>
      <c r="K1501" s="8" t="s">
        <v>8213</v>
      </c>
      <c r="L1501" s="8" t="s">
        <v>8232</v>
      </c>
      <c r="M1501" s="8" t="s">
        <v>27</v>
      </c>
      <c r="N1501" s="8" t="s">
        <v>23134</v>
      </c>
      <c r="O1501" s="8" t="s">
        <v>400</v>
      </c>
      <c r="P1501" s="11" t="s">
        <v>401</v>
      </c>
      <c r="Q1501" s="14" t="s">
        <v>21821</v>
      </c>
      <c r="R1501" s="8" t="s">
        <v>100</v>
      </c>
      <c r="S1501" s="2" t="s">
        <v>35</v>
      </c>
      <c r="T1501" s="68" t="s">
        <v>29496</v>
      </c>
      <c r="U1501" s="68" t="s">
        <v>29436</v>
      </c>
      <c r="V1501" s="68" t="s">
        <v>29439</v>
      </c>
      <c r="W1501" s="68" t="s">
        <v>555</v>
      </c>
      <c r="X1501" s="68">
        <v>1411</v>
      </c>
      <c r="AU1501" s="44"/>
      <c r="AV1501" s="44"/>
      <c r="AW1501" s="44"/>
      <c r="AX1501" s="1"/>
      <c r="AY1501" s="1"/>
      <c r="BA1501" s="44"/>
      <c r="BB1501" s="44"/>
      <c r="BC1501" s="1"/>
      <c r="BD1501" s="1"/>
      <c r="BE1501" s="1"/>
      <c r="BF1501" s="1"/>
      <c r="BG1501" s="1"/>
      <c r="BH1501" s="1"/>
      <c r="BI1501" s="1"/>
      <c r="BJ1501" s="1"/>
      <c r="BK1501" s="1"/>
    </row>
    <row r="1502" spans="1:63" s="11" customFormat="1" ht="12" customHeight="1" x14ac:dyDescent="0.15">
      <c r="A1502" s="11" t="s">
        <v>22489</v>
      </c>
      <c r="B1502" s="68">
        <v>34</v>
      </c>
      <c r="C1502" s="11" t="s">
        <v>20</v>
      </c>
      <c r="D1502" s="11" t="s">
        <v>37</v>
      </c>
      <c r="E1502" s="60" t="s">
        <v>22490</v>
      </c>
      <c r="F1502" s="69">
        <v>42456</v>
      </c>
      <c r="G1502" s="11" t="s">
        <v>22491</v>
      </c>
      <c r="H1502" s="8" t="s">
        <v>22492</v>
      </c>
      <c r="I1502" s="11" t="s">
        <v>431</v>
      </c>
      <c r="J1502" s="17" t="s">
        <v>22493</v>
      </c>
      <c r="K1502" s="8" t="s">
        <v>433</v>
      </c>
      <c r="L1502" s="8" t="s">
        <v>22494</v>
      </c>
      <c r="M1502" s="8" t="s">
        <v>27</v>
      </c>
      <c r="N1502" s="8" t="s">
        <v>22495</v>
      </c>
      <c r="O1502" s="8" t="s">
        <v>400</v>
      </c>
      <c r="P1502" s="11" t="s">
        <v>401</v>
      </c>
      <c r="Q1502" s="14" t="s">
        <v>22496</v>
      </c>
      <c r="R1502" s="8" t="s">
        <v>555</v>
      </c>
      <c r="S1502" s="8" t="s">
        <v>28</v>
      </c>
      <c r="T1502" s="68" t="s">
        <v>29493</v>
      </c>
      <c r="U1502" s="68" t="s">
        <v>29436</v>
      </c>
      <c r="V1502" s="68" t="s">
        <v>29439</v>
      </c>
      <c r="W1502" s="68" t="s">
        <v>100</v>
      </c>
      <c r="X1502" s="68">
        <v>1410</v>
      </c>
      <c r="AX1502" s="1"/>
      <c r="AY1502" s="1"/>
      <c r="BC1502" s="1"/>
      <c r="BD1502" s="1"/>
      <c r="BE1502" s="1"/>
      <c r="BF1502" s="1"/>
      <c r="BG1502" s="1"/>
      <c r="BH1502" s="1"/>
      <c r="BI1502" s="1"/>
      <c r="BJ1502" s="1"/>
      <c r="BK1502" s="44"/>
    </row>
    <row r="1503" spans="1:63" s="11" customFormat="1" ht="12" customHeight="1" x14ac:dyDescent="0.2">
      <c r="A1503" s="11" t="s">
        <v>22329</v>
      </c>
      <c r="B1503" s="68">
        <v>33</v>
      </c>
      <c r="C1503" s="11" t="s">
        <v>20</v>
      </c>
      <c r="D1503" s="11" t="s">
        <v>37</v>
      </c>
      <c r="E1503" s="60" t="s">
        <v>22330</v>
      </c>
      <c r="F1503" s="69">
        <v>42456</v>
      </c>
      <c r="G1503" s="11" t="s">
        <v>22331</v>
      </c>
      <c r="H1503" s="8" t="s">
        <v>931</v>
      </c>
      <c r="I1503" s="11" t="s">
        <v>195</v>
      </c>
      <c r="J1503" s="17" t="s">
        <v>13537</v>
      </c>
      <c r="K1503" s="8" t="s">
        <v>13538</v>
      </c>
      <c r="L1503" s="8" t="s">
        <v>933</v>
      </c>
      <c r="M1503" s="8" t="s">
        <v>27</v>
      </c>
      <c r="N1503" s="8" t="s">
        <v>22332</v>
      </c>
      <c r="O1503" s="8" t="s">
        <v>400</v>
      </c>
      <c r="P1503" s="11" t="s">
        <v>401</v>
      </c>
      <c r="Q1503" s="14" t="s">
        <v>22333</v>
      </c>
      <c r="R1503" s="68" t="s">
        <v>555</v>
      </c>
      <c r="S1503" s="8" t="s">
        <v>28</v>
      </c>
      <c r="T1503" s="68" t="s">
        <v>27756</v>
      </c>
      <c r="U1503" s="68" t="s">
        <v>29438</v>
      </c>
      <c r="V1503" s="68" t="s">
        <v>29439</v>
      </c>
      <c r="W1503" s="68" t="s">
        <v>555</v>
      </c>
      <c r="X1503" s="68">
        <v>1417</v>
      </c>
      <c r="AX1503" s="1"/>
      <c r="AY1503" s="1"/>
      <c r="BA1503" s="70"/>
      <c r="BB1503" s="44"/>
      <c r="BC1503" s="1"/>
      <c r="BD1503" s="1"/>
      <c r="BE1503" s="1"/>
      <c r="BF1503" s="1"/>
      <c r="BG1503" s="1"/>
      <c r="BH1503" s="1"/>
      <c r="BI1503" s="1"/>
      <c r="BJ1503" s="1"/>
      <c r="BK1503" s="44"/>
    </row>
    <row r="1504" spans="1:63" s="11" customFormat="1" ht="12" customHeight="1" x14ac:dyDescent="0.15">
      <c r="A1504" s="11" t="s">
        <v>22405</v>
      </c>
      <c r="B1504" s="68">
        <v>33</v>
      </c>
      <c r="C1504" s="11" t="s">
        <v>20</v>
      </c>
      <c r="D1504" s="11" t="s">
        <v>37</v>
      </c>
      <c r="E1504" s="60" t="s">
        <v>22406</v>
      </c>
      <c r="F1504" s="69">
        <v>42456</v>
      </c>
      <c r="G1504" s="11" t="s">
        <v>22407</v>
      </c>
      <c r="H1504" s="8" t="s">
        <v>22408</v>
      </c>
      <c r="I1504" s="11" t="s">
        <v>73</v>
      </c>
      <c r="J1504" s="17" t="s">
        <v>22409</v>
      </c>
      <c r="K1504" s="8" t="s">
        <v>1056</v>
      </c>
      <c r="L1504" s="8" t="s">
        <v>20458</v>
      </c>
      <c r="M1504" s="8" t="s">
        <v>27</v>
      </c>
      <c r="N1504" s="8" t="s">
        <v>22410</v>
      </c>
      <c r="O1504" s="8" t="s">
        <v>400</v>
      </c>
      <c r="P1504" s="11" t="s">
        <v>401</v>
      </c>
      <c r="Q1504" s="14" t="s">
        <v>22411</v>
      </c>
      <c r="R1504" s="8" t="s">
        <v>555</v>
      </c>
      <c r="S1504" s="8" t="s">
        <v>28</v>
      </c>
      <c r="T1504" s="68" t="s">
        <v>27756</v>
      </c>
      <c r="U1504" s="68" t="s">
        <v>29438</v>
      </c>
      <c r="V1504" s="68" t="s">
        <v>29439</v>
      </c>
      <c r="W1504" s="68" t="s">
        <v>100</v>
      </c>
      <c r="X1504" s="68">
        <v>1419</v>
      </c>
      <c r="AX1504" s="1"/>
      <c r="AY1504" s="1"/>
      <c r="BC1504" s="1"/>
      <c r="BD1504" s="1"/>
      <c r="BE1504" s="1"/>
      <c r="BF1504" s="1"/>
      <c r="BG1504" s="1"/>
      <c r="BH1504" s="1"/>
      <c r="BI1504" s="1"/>
      <c r="BJ1504" s="1"/>
      <c r="BK1504" s="44"/>
    </row>
    <row r="1505" spans="1:63" s="11" customFormat="1" ht="12" customHeight="1" x14ac:dyDescent="0.15">
      <c r="A1505" s="11" t="s">
        <v>21665</v>
      </c>
      <c r="B1505" s="68">
        <v>39</v>
      </c>
      <c r="C1505" s="11" t="s">
        <v>20</v>
      </c>
      <c r="D1505" s="11" t="s">
        <v>48</v>
      </c>
      <c r="F1505" s="69">
        <v>42455</v>
      </c>
      <c r="G1505" s="11" t="s">
        <v>21666</v>
      </c>
      <c r="H1505" s="8" t="s">
        <v>21667</v>
      </c>
      <c r="I1505" s="11" t="s">
        <v>46</v>
      </c>
      <c r="J1505" s="17" t="s">
        <v>21668</v>
      </c>
      <c r="K1505" s="8" t="s">
        <v>42</v>
      </c>
      <c r="L1505" s="8" t="s">
        <v>7678</v>
      </c>
      <c r="M1505" s="8" t="s">
        <v>27</v>
      </c>
      <c r="N1505" s="8" t="s">
        <v>21669</v>
      </c>
      <c r="O1505" s="8" t="s">
        <v>400</v>
      </c>
      <c r="P1505" s="11" t="s">
        <v>401</v>
      </c>
      <c r="Q1505" s="14" t="s">
        <v>21670</v>
      </c>
      <c r="R1505" s="8" t="s">
        <v>555</v>
      </c>
      <c r="S1505" s="8" t="s">
        <v>28</v>
      </c>
      <c r="T1505" s="68" t="s">
        <v>29472</v>
      </c>
      <c r="U1505" s="68" t="s">
        <v>29436</v>
      </c>
      <c r="V1505" s="68" t="s">
        <v>29439</v>
      </c>
      <c r="W1505" s="68" t="s">
        <v>100</v>
      </c>
      <c r="X1505" s="68">
        <v>1412</v>
      </c>
      <c r="AW1505" s="44"/>
      <c r="AX1505" s="1"/>
      <c r="AY1505" s="1"/>
      <c r="BC1505" s="1"/>
      <c r="BD1505" s="1"/>
      <c r="BE1505" s="1"/>
      <c r="BF1505" s="1"/>
      <c r="BG1505" s="1"/>
      <c r="BH1505" s="1"/>
      <c r="BI1505" s="1"/>
      <c r="BJ1505" s="1"/>
      <c r="BK1505" s="44"/>
    </row>
    <row r="1506" spans="1:63" s="11" customFormat="1" ht="12" customHeight="1" x14ac:dyDescent="0.2">
      <c r="A1506" s="11" t="s">
        <v>22278</v>
      </c>
      <c r="B1506" s="68">
        <v>46</v>
      </c>
      <c r="C1506" s="11" t="s">
        <v>20</v>
      </c>
      <c r="D1506" s="11" t="s">
        <v>37</v>
      </c>
      <c r="E1506" s="60" t="s">
        <v>22279</v>
      </c>
      <c r="F1506" s="69">
        <v>42455</v>
      </c>
      <c r="G1506" s="11" t="s">
        <v>22280</v>
      </c>
      <c r="H1506" s="8" t="s">
        <v>1567</v>
      </c>
      <c r="I1506" s="11" t="s">
        <v>62</v>
      </c>
      <c r="J1506" s="17" t="s">
        <v>14281</v>
      </c>
      <c r="K1506" s="8" t="s">
        <v>638</v>
      </c>
      <c r="L1506" s="8" t="s">
        <v>1569</v>
      </c>
      <c r="M1506" s="8" t="s">
        <v>27</v>
      </c>
      <c r="N1506" s="8" t="s">
        <v>22281</v>
      </c>
      <c r="O1506" s="8" t="s">
        <v>400</v>
      </c>
      <c r="P1506" s="11" t="s">
        <v>401</v>
      </c>
      <c r="Q1506" s="14" t="s">
        <v>22282</v>
      </c>
      <c r="R1506" s="68" t="s">
        <v>555</v>
      </c>
      <c r="S1506" s="8" t="s">
        <v>28</v>
      </c>
      <c r="T1506" s="68" t="s">
        <v>27756</v>
      </c>
      <c r="U1506" s="68" t="s">
        <v>29438</v>
      </c>
      <c r="V1506" s="68" t="s">
        <v>29439</v>
      </c>
      <c r="W1506" s="68" t="s">
        <v>100</v>
      </c>
      <c r="X1506" s="68">
        <v>1416</v>
      </c>
      <c r="AW1506" s="1"/>
      <c r="AX1506" s="1"/>
      <c r="AY1506" s="1"/>
      <c r="BA1506" s="70"/>
      <c r="BB1506" s="44"/>
      <c r="BC1506" s="1"/>
      <c r="BD1506" s="1"/>
      <c r="BE1506" s="1"/>
      <c r="BF1506" s="1"/>
      <c r="BG1506" s="1"/>
      <c r="BH1506" s="1"/>
      <c r="BI1506" s="1"/>
      <c r="BJ1506" s="1"/>
      <c r="BK1506" s="44"/>
    </row>
    <row r="1507" spans="1:63" s="11" customFormat="1" ht="12" customHeight="1" x14ac:dyDescent="0.15">
      <c r="A1507" s="11" t="s">
        <v>21895</v>
      </c>
      <c r="B1507" s="68">
        <v>55</v>
      </c>
      <c r="C1507" s="11" t="s">
        <v>20</v>
      </c>
      <c r="D1507" s="68" t="s">
        <v>37</v>
      </c>
      <c r="F1507" s="69">
        <v>42455</v>
      </c>
      <c r="G1507" s="11" t="s">
        <v>21896</v>
      </c>
      <c r="H1507" s="8" t="s">
        <v>1077</v>
      </c>
      <c r="I1507" s="11" t="s">
        <v>32</v>
      </c>
      <c r="J1507" s="17" t="s">
        <v>21897</v>
      </c>
      <c r="K1507" s="8" t="s">
        <v>1078</v>
      </c>
      <c r="L1507" s="8" t="s">
        <v>21898</v>
      </c>
      <c r="M1507" s="8" t="s">
        <v>27</v>
      </c>
      <c r="N1507" s="8" t="s">
        <v>21899</v>
      </c>
      <c r="O1507" s="8" t="s">
        <v>400</v>
      </c>
      <c r="P1507" s="11" t="s">
        <v>401</v>
      </c>
      <c r="Q1507" s="14" t="s">
        <v>21900</v>
      </c>
      <c r="R1507" s="45" t="s">
        <v>555</v>
      </c>
      <c r="S1507" s="8" t="s">
        <v>28</v>
      </c>
      <c r="T1507" s="68" t="s">
        <v>27756</v>
      </c>
      <c r="U1507" s="68" t="s">
        <v>29438</v>
      </c>
      <c r="V1507" s="68" t="s">
        <v>29439</v>
      </c>
      <c r="W1507" s="68" t="s">
        <v>555</v>
      </c>
      <c r="X1507" s="68">
        <v>1414</v>
      </c>
      <c r="AW1507" s="1"/>
      <c r="AX1507" s="1"/>
      <c r="AY1507" s="1"/>
      <c r="BA1507" s="1"/>
      <c r="BB1507" s="1"/>
      <c r="BC1507" s="1"/>
      <c r="BD1507" s="1"/>
      <c r="BE1507" s="1"/>
      <c r="BF1507" s="1"/>
      <c r="BG1507" s="1"/>
      <c r="BH1507" s="1"/>
      <c r="BI1507" s="1"/>
      <c r="BJ1507" s="1"/>
      <c r="BK1507" s="44"/>
    </row>
    <row r="1508" spans="1:63" s="11" customFormat="1" ht="12" customHeight="1" x14ac:dyDescent="0.15">
      <c r="A1508" s="11" t="s">
        <v>22419</v>
      </c>
      <c r="B1508" s="68">
        <v>36</v>
      </c>
      <c r="C1508" s="11" t="s">
        <v>20</v>
      </c>
      <c r="D1508" s="11" t="s">
        <v>37</v>
      </c>
      <c r="E1508" s="60" t="s">
        <v>22420</v>
      </c>
      <c r="F1508" s="69">
        <v>42455</v>
      </c>
      <c r="G1508" s="11" t="s">
        <v>22421</v>
      </c>
      <c r="H1508" s="8" t="s">
        <v>22422</v>
      </c>
      <c r="I1508" s="11" t="s">
        <v>244</v>
      </c>
      <c r="J1508" s="17" t="s">
        <v>22423</v>
      </c>
      <c r="K1508" s="8" t="s">
        <v>11154</v>
      </c>
      <c r="L1508" s="8" t="s">
        <v>22424</v>
      </c>
      <c r="M1508" s="8" t="s">
        <v>27</v>
      </c>
      <c r="N1508" s="8" t="s">
        <v>22425</v>
      </c>
      <c r="O1508" s="8" t="s">
        <v>400</v>
      </c>
      <c r="P1508" s="11" t="s">
        <v>401</v>
      </c>
      <c r="Q1508" s="14" t="s">
        <v>22426</v>
      </c>
      <c r="R1508" s="8" t="s">
        <v>555</v>
      </c>
      <c r="S1508" s="8" t="s">
        <v>28</v>
      </c>
      <c r="T1508" s="68" t="s">
        <v>27756</v>
      </c>
      <c r="U1508" s="68" t="s">
        <v>29436</v>
      </c>
      <c r="V1508" s="68" t="s">
        <v>29439</v>
      </c>
      <c r="W1508" s="68" t="s">
        <v>100</v>
      </c>
      <c r="X1508" s="68">
        <v>1413</v>
      </c>
      <c r="AW1508" s="44"/>
      <c r="AX1508" s="1"/>
      <c r="AY1508" s="1"/>
      <c r="BC1508" s="1"/>
      <c r="BD1508" s="1"/>
      <c r="BE1508" s="1"/>
      <c r="BF1508" s="1"/>
      <c r="BG1508" s="1"/>
      <c r="BH1508" s="1"/>
      <c r="BI1508" s="1"/>
      <c r="BJ1508" s="1"/>
      <c r="BK1508" s="44"/>
    </row>
    <row r="1509" spans="1:63" s="11" customFormat="1" ht="12" customHeight="1" x14ac:dyDescent="0.15">
      <c r="A1509" s="11" t="s">
        <v>23501</v>
      </c>
      <c r="B1509" s="11">
        <v>32</v>
      </c>
      <c r="C1509" s="11" t="s">
        <v>20</v>
      </c>
      <c r="D1509" s="11" t="s">
        <v>37</v>
      </c>
      <c r="E1509" s="44"/>
      <c r="F1509" s="72">
        <v>42453</v>
      </c>
      <c r="G1509" s="11" t="s">
        <v>23523</v>
      </c>
      <c r="H1509" s="8" t="s">
        <v>23524</v>
      </c>
      <c r="I1509" s="11" t="s">
        <v>62</v>
      </c>
      <c r="J1509" s="44">
        <v>32548</v>
      </c>
      <c r="K1509" s="8" t="s">
        <v>12251</v>
      </c>
      <c r="L1509" s="8" t="s">
        <v>5438</v>
      </c>
      <c r="M1509" s="8" t="s">
        <v>27</v>
      </c>
      <c r="N1509" s="8" t="s">
        <v>23521</v>
      </c>
      <c r="O1509" s="8" t="s">
        <v>400</v>
      </c>
      <c r="P1509" s="11" t="s">
        <v>401</v>
      </c>
      <c r="Q1509" s="44" t="s">
        <v>23522</v>
      </c>
      <c r="R1509" s="11" t="s">
        <v>964</v>
      </c>
      <c r="S1509" s="8" t="s">
        <v>35</v>
      </c>
      <c r="T1509" s="68"/>
      <c r="U1509" s="68"/>
      <c r="V1509" s="68"/>
      <c r="W1509" s="68"/>
      <c r="X1509" s="68"/>
      <c r="Y1509" s="44"/>
      <c r="Z1509" s="44"/>
      <c r="AA1509" s="44"/>
      <c r="AB1509" s="44"/>
      <c r="AC1509" s="44"/>
      <c r="AD1509" s="44"/>
      <c r="AE1509" s="44"/>
      <c r="AF1509" s="44"/>
      <c r="AG1509" s="44"/>
      <c r="AH1509" s="44"/>
      <c r="AI1509" s="44"/>
      <c r="AW1509" s="1"/>
      <c r="AX1509" s="1"/>
      <c r="AY1509" s="1"/>
      <c r="AZ1509" s="1"/>
      <c r="BA1509" s="1"/>
      <c r="BB1509" s="1"/>
      <c r="BC1509" s="1"/>
      <c r="BD1509" s="1"/>
      <c r="BE1509" s="1"/>
      <c r="BF1509" s="1"/>
      <c r="BG1509" s="1"/>
      <c r="BH1509" s="1"/>
      <c r="BI1509" s="1"/>
      <c r="BJ1509" s="1"/>
      <c r="BK1509" s="1"/>
    </row>
    <row r="1510" spans="1:63" s="11" customFormat="1" ht="12" customHeight="1" x14ac:dyDescent="0.15">
      <c r="A1510" s="11" t="s">
        <v>21392</v>
      </c>
      <c r="B1510" s="68">
        <v>22</v>
      </c>
      <c r="C1510" s="11" t="s">
        <v>20</v>
      </c>
      <c r="D1510" s="11" t="s">
        <v>85</v>
      </c>
      <c r="E1510" s="60" t="s">
        <v>21393</v>
      </c>
      <c r="F1510" s="69">
        <v>42453</v>
      </c>
      <c r="G1510" s="11" t="s">
        <v>21394</v>
      </c>
      <c r="H1510" s="8" t="s">
        <v>21395</v>
      </c>
      <c r="I1510" s="11" t="s">
        <v>431</v>
      </c>
      <c r="J1510" s="47" t="s">
        <v>21396</v>
      </c>
      <c r="K1510" s="16" t="s">
        <v>433</v>
      </c>
      <c r="L1510" s="16" t="s">
        <v>434</v>
      </c>
      <c r="M1510" s="8" t="s">
        <v>27</v>
      </c>
      <c r="N1510" s="8" t="s">
        <v>22964</v>
      </c>
      <c r="O1510" s="8" t="s">
        <v>400</v>
      </c>
      <c r="P1510" s="11" t="s">
        <v>401</v>
      </c>
      <c r="Q1510" s="14" t="s">
        <v>21397</v>
      </c>
      <c r="R1510" s="8" t="s">
        <v>100</v>
      </c>
      <c r="S1510" s="8" t="s">
        <v>28</v>
      </c>
      <c r="T1510" s="68" t="s">
        <v>27756</v>
      </c>
      <c r="U1510" s="68" t="s">
        <v>29438</v>
      </c>
      <c r="V1510" s="68" t="s">
        <v>29439</v>
      </c>
      <c r="W1510" s="68" t="s">
        <v>100</v>
      </c>
      <c r="X1510" s="68">
        <v>1415</v>
      </c>
      <c r="AW1510" s="44"/>
      <c r="AX1510" s="44"/>
      <c r="AY1510" s="44"/>
      <c r="BA1510" s="44"/>
      <c r="BB1510" s="44"/>
      <c r="BK1510" s="44"/>
    </row>
    <row r="1511" spans="1:63" s="11" customFormat="1" ht="12" customHeight="1" x14ac:dyDescent="0.15">
      <c r="A1511" s="11" t="s">
        <v>21621</v>
      </c>
      <c r="B1511" s="68">
        <v>48</v>
      </c>
      <c r="C1511" s="11" t="s">
        <v>20</v>
      </c>
      <c r="D1511" s="11" t="s">
        <v>48</v>
      </c>
      <c r="F1511" s="69">
        <v>42453</v>
      </c>
      <c r="G1511" s="11" t="s">
        <v>21622</v>
      </c>
      <c r="H1511" s="8" t="s">
        <v>4680</v>
      </c>
      <c r="I1511" s="11" t="s">
        <v>209</v>
      </c>
      <c r="J1511" s="17" t="s">
        <v>4681</v>
      </c>
      <c r="K1511" s="16" t="s">
        <v>4680</v>
      </c>
      <c r="L1511" s="16" t="s">
        <v>4682</v>
      </c>
      <c r="M1511" s="8" t="s">
        <v>27</v>
      </c>
      <c r="N1511" s="8" t="s">
        <v>21623</v>
      </c>
      <c r="O1511" s="8" t="s">
        <v>400</v>
      </c>
      <c r="P1511" s="11" t="s">
        <v>401</v>
      </c>
      <c r="Q1511" s="14" t="s">
        <v>21624</v>
      </c>
      <c r="R1511" s="8" t="s">
        <v>100</v>
      </c>
      <c r="S1511" s="8" t="s">
        <v>28</v>
      </c>
      <c r="T1511" s="68" t="s">
        <v>29494</v>
      </c>
      <c r="U1511" s="68" t="s">
        <v>29436</v>
      </c>
      <c r="V1511" s="68" t="s">
        <v>29439</v>
      </c>
      <c r="W1511" s="68" t="s">
        <v>555</v>
      </c>
      <c r="X1511" s="68">
        <v>1407</v>
      </c>
      <c r="AW1511" s="1"/>
      <c r="AX1511" s="1"/>
      <c r="AY1511" s="1"/>
      <c r="BB1511" s="44"/>
      <c r="BC1511" s="1"/>
      <c r="BD1511" s="1"/>
      <c r="BE1511" s="1"/>
      <c r="BF1511" s="1"/>
      <c r="BG1511" s="1"/>
      <c r="BH1511" s="1"/>
      <c r="BI1511" s="1"/>
      <c r="BJ1511" s="1"/>
    </row>
    <row r="1512" spans="1:63" s="11" customFormat="1" ht="12" customHeight="1" x14ac:dyDescent="0.2">
      <c r="A1512" s="11" t="s">
        <v>21630</v>
      </c>
      <c r="B1512" s="68">
        <v>19</v>
      </c>
      <c r="C1512" s="11" t="s">
        <v>20</v>
      </c>
      <c r="D1512" s="11" t="s">
        <v>48</v>
      </c>
      <c r="E1512" s="60" t="s">
        <v>21631</v>
      </c>
      <c r="F1512" s="69">
        <v>42453</v>
      </c>
      <c r="G1512" s="11" t="s">
        <v>21632</v>
      </c>
      <c r="H1512" s="8" t="s">
        <v>922</v>
      </c>
      <c r="I1512" s="11" t="s">
        <v>195</v>
      </c>
      <c r="J1512" s="17" t="s">
        <v>5423</v>
      </c>
      <c r="K1512" s="16" t="s">
        <v>467</v>
      </c>
      <c r="L1512" s="16" t="s">
        <v>21633</v>
      </c>
      <c r="M1512" s="8" t="s">
        <v>27</v>
      </c>
      <c r="N1512" s="8" t="s">
        <v>21634</v>
      </c>
      <c r="O1512" s="8" t="s">
        <v>400</v>
      </c>
      <c r="P1512" s="11" t="s">
        <v>401</v>
      </c>
      <c r="Q1512" s="14" t="s">
        <v>21635</v>
      </c>
      <c r="R1512" s="8" t="s">
        <v>100</v>
      </c>
      <c r="S1512" s="8" t="s">
        <v>28</v>
      </c>
      <c r="T1512" s="68" t="s">
        <v>27756</v>
      </c>
      <c r="U1512" s="68" t="s">
        <v>29438</v>
      </c>
      <c r="V1512" s="68" t="s">
        <v>29439</v>
      </c>
      <c r="W1512" s="68" t="s">
        <v>555</v>
      </c>
      <c r="X1512" s="68">
        <v>1408</v>
      </c>
      <c r="AW1512" s="70"/>
      <c r="AX1512" s="1"/>
      <c r="AY1512" s="1"/>
      <c r="BA1512" s="44"/>
      <c r="BB1512" s="44"/>
      <c r="BC1512" s="1"/>
      <c r="BD1512" s="1"/>
      <c r="BE1512" s="1"/>
      <c r="BF1512" s="1"/>
      <c r="BG1512" s="1"/>
      <c r="BH1512" s="1"/>
      <c r="BI1512" s="1"/>
      <c r="BJ1512" s="1"/>
      <c r="BK1512" s="44"/>
    </row>
    <row r="1513" spans="1:63" s="11" customFormat="1" ht="12" customHeight="1" x14ac:dyDescent="0.15">
      <c r="A1513" s="11" t="s">
        <v>23500</v>
      </c>
      <c r="B1513" s="68">
        <v>29</v>
      </c>
      <c r="C1513" s="11" t="s">
        <v>20</v>
      </c>
      <c r="D1513" s="11" t="s">
        <v>37</v>
      </c>
      <c r="F1513" s="69">
        <v>42453</v>
      </c>
      <c r="G1513" s="11" t="s">
        <v>22250</v>
      </c>
      <c r="H1513" s="8" t="s">
        <v>20319</v>
      </c>
      <c r="I1513" s="11" t="s">
        <v>45</v>
      </c>
      <c r="J1513" s="17" t="s">
        <v>22251</v>
      </c>
      <c r="K1513" s="16" t="s">
        <v>309</v>
      </c>
      <c r="L1513" s="16" t="s">
        <v>22252</v>
      </c>
      <c r="M1513" s="8" t="s">
        <v>27</v>
      </c>
      <c r="N1513" s="8" t="s">
        <v>22253</v>
      </c>
      <c r="O1513" s="8" t="s">
        <v>400</v>
      </c>
      <c r="P1513" s="11" t="s">
        <v>401</v>
      </c>
      <c r="Q1513" s="14" t="s">
        <v>22254</v>
      </c>
      <c r="R1513" s="8" t="s">
        <v>100</v>
      </c>
      <c r="S1513" s="8" t="s">
        <v>28</v>
      </c>
      <c r="T1513" s="68" t="s">
        <v>27756</v>
      </c>
      <c r="U1513" s="68" t="s">
        <v>29438</v>
      </c>
      <c r="V1513" s="68" t="s">
        <v>29439</v>
      </c>
      <c r="W1513" s="68" t="s">
        <v>100</v>
      </c>
      <c r="X1513" s="68">
        <v>1406</v>
      </c>
      <c r="AJ1513" s="44"/>
      <c r="AK1513" s="44"/>
      <c r="AL1513" s="44"/>
      <c r="AM1513" s="44"/>
      <c r="AN1513" s="44"/>
      <c r="AO1513" s="44"/>
      <c r="AP1513" s="44"/>
      <c r="AQ1513" s="44"/>
      <c r="AR1513" s="44"/>
      <c r="AS1513" s="44"/>
      <c r="AT1513" s="44"/>
      <c r="AW1513" s="44"/>
      <c r="AX1513" s="1"/>
      <c r="AY1513" s="1"/>
      <c r="BB1513" s="44"/>
      <c r="BC1513" s="1"/>
      <c r="BD1513" s="1"/>
      <c r="BE1513" s="1"/>
      <c r="BF1513" s="1"/>
      <c r="BG1513" s="1"/>
      <c r="BH1513" s="1"/>
      <c r="BI1513" s="1"/>
      <c r="BJ1513" s="1"/>
      <c r="BK1513" s="44"/>
    </row>
    <row r="1514" spans="1:63" s="11" customFormat="1" ht="12" customHeight="1" x14ac:dyDescent="0.15">
      <c r="A1514" s="8" t="s">
        <v>22475</v>
      </c>
      <c r="B1514" s="68">
        <v>44</v>
      </c>
      <c r="C1514" s="8" t="s">
        <v>20</v>
      </c>
      <c r="D1514" s="11" t="s">
        <v>37</v>
      </c>
      <c r="E1514" s="8"/>
      <c r="F1514" s="69">
        <v>42453</v>
      </c>
      <c r="G1514" s="8" t="s">
        <v>22476</v>
      </c>
      <c r="H1514" s="8" t="s">
        <v>22477</v>
      </c>
      <c r="I1514" s="8" t="s">
        <v>46</v>
      </c>
      <c r="J1514" s="17" t="s">
        <v>22478</v>
      </c>
      <c r="K1514" s="8" t="s">
        <v>3317</v>
      </c>
      <c r="L1514" s="8" t="s">
        <v>22479</v>
      </c>
      <c r="M1514" s="8" t="s">
        <v>27</v>
      </c>
      <c r="N1514" s="8" t="s">
        <v>22480</v>
      </c>
      <c r="O1514" s="8" t="s">
        <v>400</v>
      </c>
      <c r="P1514" s="11" t="s">
        <v>401</v>
      </c>
      <c r="Q1514" s="62" t="s">
        <v>22481</v>
      </c>
      <c r="R1514" s="8" t="s">
        <v>100</v>
      </c>
      <c r="S1514" s="8" t="s">
        <v>28</v>
      </c>
      <c r="T1514" s="68" t="s">
        <v>29493</v>
      </c>
      <c r="U1514" s="68" t="s">
        <v>29436</v>
      </c>
      <c r="V1514" s="68" t="s">
        <v>29440</v>
      </c>
      <c r="W1514" s="68" t="s">
        <v>100</v>
      </c>
      <c r="X1514" s="68">
        <v>1404</v>
      </c>
      <c r="AW1514" s="1"/>
      <c r="AX1514" s="1"/>
      <c r="AY1514" s="1"/>
      <c r="BB1514" s="44"/>
      <c r="BC1514" s="1"/>
      <c r="BD1514" s="1"/>
      <c r="BE1514" s="1"/>
      <c r="BF1514" s="1"/>
      <c r="BG1514" s="1"/>
      <c r="BH1514" s="1"/>
      <c r="BI1514" s="1"/>
      <c r="BJ1514" s="1"/>
      <c r="BK1514" s="44"/>
    </row>
    <row r="1515" spans="1:63" s="11" customFormat="1" ht="12" customHeight="1" x14ac:dyDescent="0.15">
      <c r="A1515" s="11" t="s">
        <v>21517</v>
      </c>
      <c r="B1515" s="68">
        <v>24</v>
      </c>
      <c r="C1515" s="11" t="s">
        <v>20</v>
      </c>
      <c r="D1515" s="11" t="s">
        <v>85</v>
      </c>
      <c r="E1515" s="60" t="s">
        <v>21518</v>
      </c>
      <c r="F1515" s="69">
        <v>42453</v>
      </c>
      <c r="G1515" s="11" t="s">
        <v>21519</v>
      </c>
      <c r="H1515" s="8" t="s">
        <v>16938</v>
      </c>
      <c r="I1515" s="11" t="s">
        <v>472</v>
      </c>
      <c r="J1515" s="47" t="s">
        <v>16939</v>
      </c>
      <c r="K1515" s="16" t="s">
        <v>471</v>
      </c>
      <c r="L1515" s="16" t="s">
        <v>16940</v>
      </c>
      <c r="M1515" s="8" t="s">
        <v>27</v>
      </c>
      <c r="N1515" s="8" t="s">
        <v>22970</v>
      </c>
      <c r="O1515" s="8" t="s">
        <v>400</v>
      </c>
      <c r="P1515" s="11" t="s">
        <v>401</v>
      </c>
      <c r="Q1515" s="14" t="s">
        <v>21520</v>
      </c>
      <c r="R1515" s="8" t="s">
        <v>100</v>
      </c>
      <c r="S1515" s="8" t="s">
        <v>18</v>
      </c>
      <c r="T1515" s="68" t="s">
        <v>29612</v>
      </c>
      <c r="U1515" s="68" t="s">
        <v>29438</v>
      </c>
      <c r="V1515" s="68" t="s">
        <v>29440</v>
      </c>
      <c r="W1515" s="68" t="s">
        <v>100</v>
      </c>
      <c r="X1515" s="68">
        <v>1405</v>
      </c>
      <c r="AX1515" s="44"/>
      <c r="AY1515" s="44"/>
      <c r="BA1515" s="44"/>
      <c r="BB1515" s="44"/>
      <c r="BK1515" s="1"/>
    </row>
    <row r="1516" spans="1:63" s="11" customFormat="1" ht="12" customHeight="1" x14ac:dyDescent="0.15">
      <c r="A1516" s="11" t="s">
        <v>21605</v>
      </c>
      <c r="B1516" s="68">
        <v>34</v>
      </c>
      <c r="C1516" s="11" t="s">
        <v>20</v>
      </c>
      <c r="D1516" s="11" t="s">
        <v>48</v>
      </c>
      <c r="F1516" s="69">
        <v>42452</v>
      </c>
      <c r="G1516" s="11" t="s">
        <v>21606</v>
      </c>
      <c r="H1516" s="8" t="s">
        <v>200</v>
      </c>
      <c r="I1516" s="11" t="s">
        <v>45</v>
      </c>
      <c r="J1516" s="17" t="s">
        <v>9704</v>
      </c>
      <c r="K1516" s="16" t="s">
        <v>200</v>
      </c>
      <c r="L1516" s="16" t="s">
        <v>201</v>
      </c>
      <c r="M1516" s="8" t="s">
        <v>27</v>
      </c>
      <c r="N1516" s="8" t="s">
        <v>21607</v>
      </c>
      <c r="O1516" s="8" t="s">
        <v>400</v>
      </c>
      <c r="P1516" s="11" t="s">
        <v>401</v>
      </c>
      <c r="Q1516" s="14" t="s">
        <v>21608</v>
      </c>
      <c r="R1516" s="8" t="s">
        <v>100</v>
      </c>
      <c r="S1516" s="8" t="s">
        <v>28</v>
      </c>
      <c r="T1516" s="68" t="s">
        <v>27756</v>
      </c>
      <c r="U1516" s="68" t="s">
        <v>29438</v>
      </c>
      <c r="V1516" s="68" t="s">
        <v>29440</v>
      </c>
      <c r="W1516" s="68" t="s">
        <v>555</v>
      </c>
      <c r="X1516" s="68">
        <v>1402</v>
      </c>
      <c r="AX1516" s="1"/>
      <c r="AY1516" s="1"/>
      <c r="BB1516" s="44"/>
      <c r="BC1516" s="1"/>
      <c r="BD1516" s="1"/>
      <c r="BE1516" s="1"/>
      <c r="BF1516" s="1"/>
      <c r="BG1516" s="1"/>
      <c r="BH1516" s="1"/>
      <c r="BI1516" s="1"/>
      <c r="BJ1516" s="1"/>
      <c r="BK1516" s="44"/>
    </row>
    <row r="1517" spans="1:63" s="11" customFormat="1" ht="12" customHeight="1" x14ac:dyDescent="0.15">
      <c r="A1517" s="11" t="s">
        <v>21882</v>
      </c>
      <c r="B1517" s="68">
        <v>51</v>
      </c>
      <c r="C1517" s="11" t="s">
        <v>20</v>
      </c>
      <c r="D1517" s="68" t="s">
        <v>37</v>
      </c>
      <c r="F1517" s="69">
        <v>42452</v>
      </c>
      <c r="G1517" s="11" t="s">
        <v>21883</v>
      </c>
      <c r="H1517" s="8" t="s">
        <v>12215</v>
      </c>
      <c r="I1517" s="11" t="s">
        <v>209</v>
      </c>
      <c r="J1517" s="17" t="s">
        <v>12216</v>
      </c>
      <c r="K1517" s="16" t="s">
        <v>1924</v>
      </c>
      <c r="L1517" s="16" t="s">
        <v>12217</v>
      </c>
      <c r="M1517" s="8" t="s">
        <v>27</v>
      </c>
      <c r="N1517" s="8" t="s">
        <v>21884</v>
      </c>
      <c r="O1517" s="8" t="s">
        <v>400</v>
      </c>
      <c r="P1517" s="11" t="s">
        <v>401</v>
      </c>
      <c r="Q1517" s="14" t="s">
        <v>21885</v>
      </c>
      <c r="R1517" s="8" t="s">
        <v>100</v>
      </c>
      <c r="S1517" s="8" t="s">
        <v>28</v>
      </c>
      <c r="T1517" s="68" t="s">
        <v>27756</v>
      </c>
      <c r="U1517" s="68" t="s">
        <v>29438</v>
      </c>
      <c r="V1517" s="68" t="s">
        <v>29439</v>
      </c>
      <c r="W1517" s="68" t="s">
        <v>100</v>
      </c>
      <c r="X1517" s="68">
        <v>1400</v>
      </c>
      <c r="AW1517" s="1"/>
      <c r="AX1517" s="1"/>
      <c r="AY1517" s="1"/>
      <c r="BB1517" s="44"/>
      <c r="BC1517" s="1"/>
      <c r="BD1517" s="1"/>
      <c r="BE1517" s="1"/>
      <c r="BF1517" s="1"/>
      <c r="BG1517" s="1"/>
      <c r="BH1517" s="1"/>
      <c r="BI1517" s="1"/>
      <c r="BJ1517" s="1"/>
      <c r="BK1517" s="44"/>
    </row>
    <row r="1518" spans="1:63" s="11" customFormat="1" ht="12" customHeight="1" x14ac:dyDescent="0.15">
      <c r="A1518" s="11" t="s">
        <v>21456</v>
      </c>
      <c r="B1518" s="68">
        <v>30</v>
      </c>
      <c r="C1518" s="11" t="s">
        <v>20</v>
      </c>
      <c r="D1518" s="11" t="s">
        <v>85</v>
      </c>
      <c r="E1518" s="60" t="s">
        <v>21457</v>
      </c>
      <c r="F1518" s="69">
        <v>42452</v>
      </c>
      <c r="G1518" s="11" t="s">
        <v>21458</v>
      </c>
      <c r="H1518" s="8" t="s">
        <v>1192</v>
      </c>
      <c r="I1518" s="11" t="s">
        <v>319</v>
      </c>
      <c r="J1518" s="47" t="s">
        <v>17436</v>
      </c>
      <c r="K1518" s="16" t="s">
        <v>1193</v>
      </c>
      <c r="L1518" s="16" t="s">
        <v>1194</v>
      </c>
      <c r="M1518" s="8" t="s">
        <v>27</v>
      </c>
      <c r="N1518" s="8" t="s">
        <v>22974</v>
      </c>
      <c r="O1518" s="8" t="s">
        <v>400</v>
      </c>
      <c r="P1518" s="11" t="s">
        <v>401</v>
      </c>
      <c r="Q1518" s="14" t="s">
        <v>21459</v>
      </c>
      <c r="R1518" s="8" t="s">
        <v>555</v>
      </c>
      <c r="S1518" s="8" t="s">
        <v>28</v>
      </c>
      <c r="T1518" s="68" t="s">
        <v>27756</v>
      </c>
      <c r="U1518" s="68" t="s">
        <v>29438</v>
      </c>
      <c r="V1518" s="68" t="s">
        <v>29439</v>
      </c>
      <c r="W1518" s="68" t="s">
        <v>100</v>
      </c>
      <c r="X1518" s="68">
        <v>1403</v>
      </c>
      <c r="BK1518" s="44"/>
    </row>
    <row r="1519" spans="1:63" s="11" customFormat="1" ht="12" customHeight="1" x14ac:dyDescent="0.15">
      <c r="A1519" s="11" t="s">
        <v>22715</v>
      </c>
      <c r="B1519" s="68">
        <v>33</v>
      </c>
      <c r="C1519" s="11" t="s">
        <v>20</v>
      </c>
      <c r="D1519" s="11" t="s">
        <v>37</v>
      </c>
      <c r="E1519" s="60" t="s">
        <v>22716</v>
      </c>
      <c r="F1519" s="69">
        <v>42451</v>
      </c>
      <c r="G1519" s="11" t="s">
        <v>22717</v>
      </c>
      <c r="H1519" s="8" t="s">
        <v>22718</v>
      </c>
      <c r="I1519" s="11" t="s">
        <v>244</v>
      </c>
      <c r="J1519" s="17" t="s">
        <v>22719</v>
      </c>
      <c r="K1519" s="16" t="s">
        <v>22720</v>
      </c>
      <c r="L1519" s="16" t="s">
        <v>22721</v>
      </c>
      <c r="M1519" s="8" t="s">
        <v>27</v>
      </c>
      <c r="N1519" s="8" t="s">
        <v>22722</v>
      </c>
      <c r="O1519" s="8" t="s">
        <v>400</v>
      </c>
      <c r="P1519" s="11" t="s">
        <v>401</v>
      </c>
      <c r="Q1519" s="14" t="s">
        <v>22723</v>
      </c>
      <c r="R1519" s="8" t="s">
        <v>100</v>
      </c>
      <c r="S1519" s="68" t="s">
        <v>379</v>
      </c>
      <c r="T1519" s="68" t="s">
        <v>379</v>
      </c>
      <c r="U1519" s="68" t="s">
        <v>29438</v>
      </c>
      <c r="V1519" s="68" t="s">
        <v>21212</v>
      </c>
      <c r="W1519" s="68" t="s">
        <v>555</v>
      </c>
      <c r="X1519" s="68">
        <v>1399</v>
      </c>
      <c r="AJ1519" s="44"/>
      <c r="AK1519" s="44"/>
      <c r="AL1519" s="44"/>
      <c r="AM1519" s="44"/>
      <c r="AN1519" s="44"/>
      <c r="AO1519" s="44"/>
      <c r="AP1519" s="44"/>
      <c r="AQ1519" s="44"/>
      <c r="AR1519" s="44"/>
      <c r="AS1519" s="44"/>
      <c r="AT1519" s="44"/>
      <c r="AX1519" s="1"/>
      <c r="AY1519" s="1"/>
      <c r="BB1519" s="44"/>
      <c r="BC1519" s="1"/>
      <c r="BD1519" s="1"/>
      <c r="BE1519" s="1"/>
      <c r="BF1519" s="1"/>
      <c r="BG1519" s="1"/>
      <c r="BH1519" s="1"/>
      <c r="BI1519" s="1"/>
      <c r="BJ1519" s="1"/>
      <c r="BK1519" s="44"/>
    </row>
    <row r="1520" spans="1:63" s="11" customFormat="1" ht="12" customHeight="1" x14ac:dyDescent="0.2">
      <c r="A1520" s="11" t="s">
        <v>21671</v>
      </c>
      <c r="B1520" s="68">
        <v>25</v>
      </c>
      <c r="C1520" s="11" t="s">
        <v>20</v>
      </c>
      <c r="D1520" s="11" t="s">
        <v>48</v>
      </c>
      <c r="E1520" s="60" t="s">
        <v>21672</v>
      </c>
      <c r="F1520" s="69">
        <v>42451</v>
      </c>
      <c r="G1520" s="11" t="s">
        <v>21673</v>
      </c>
      <c r="H1520" s="8" t="s">
        <v>21674</v>
      </c>
      <c r="I1520" s="11" t="s">
        <v>62</v>
      </c>
      <c r="J1520" s="17" t="s">
        <v>11318</v>
      </c>
      <c r="K1520" s="16" t="s">
        <v>161</v>
      </c>
      <c r="L1520" s="16" t="s">
        <v>162</v>
      </c>
      <c r="M1520" s="8" t="s">
        <v>27</v>
      </c>
      <c r="N1520" s="8" t="s">
        <v>21675</v>
      </c>
      <c r="O1520" s="8" t="s">
        <v>400</v>
      </c>
      <c r="P1520" s="11" t="s">
        <v>401</v>
      </c>
      <c r="Q1520" s="14" t="s">
        <v>21676</v>
      </c>
      <c r="R1520" s="68" t="s">
        <v>555</v>
      </c>
      <c r="S1520" s="8" t="s">
        <v>28</v>
      </c>
      <c r="T1520" s="68" t="s">
        <v>29473</v>
      </c>
      <c r="U1520" s="68" t="s">
        <v>29436</v>
      </c>
      <c r="V1520" s="68" t="s">
        <v>29439</v>
      </c>
      <c r="W1520" s="68" t="s">
        <v>100</v>
      </c>
      <c r="X1520" s="68">
        <v>1398</v>
      </c>
      <c r="AX1520" s="1"/>
      <c r="AY1520" s="1"/>
      <c r="BA1520" s="70"/>
      <c r="BB1520" s="44"/>
      <c r="BC1520" s="1"/>
      <c r="BD1520" s="1"/>
      <c r="BE1520" s="1"/>
      <c r="BF1520" s="1"/>
      <c r="BG1520" s="1"/>
      <c r="BH1520" s="1"/>
      <c r="BI1520" s="1"/>
      <c r="BJ1520" s="1"/>
      <c r="BK1520" s="44"/>
    </row>
    <row r="1521" spans="1:63" s="11" customFormat="1" ht="12" customHeight="1" x14ac:dyDescent="0.15">
      <c r="A1521" s="11" t="s">
        <v>22351</v>
      </c>
      <c r="B1521" s="68">
        <v>28</v>
      </c>
      <c r="C1521" s="11" t="s">
        <v>20</v>
      </c>
      <c r="D1521" s="11" t="s">
        <v>37</v>
      </c>
      <c r="E1521" s="60" t="s">
        <v>22352</v>
      </c>
      <c r="F1521" s="69">
        <v>42450</v>
      </c>
      <c r="G1521" s="11" t="s">
        <v>22353</v>
      </c>
      <c r="H1521" s="8" t="s">
        <v>11994</v>
      </c>
      <c r="I1521" s="11" t="s">
        <v>404</v>
      </c>
      <c r="J1521" s="17" t="s">
        <v>11995</v>
      </c>
      <c r="K1521" s="16" t="s">
        <v>11996</v>
      </c>
      <c r="L1521" s="16" t="s">
        <v>511</v>
      </c>
      <c r="M1521" s="8" t="s">
        <v>27</v>
      </c>
      <c r="N1521" s="8" t="s">
        <v>23128</v>
      </c>
      <c r="O1521" s="8" t="s">
        <v>400</v>
      </c>
      <c r="P1521" s="11" t="s">
        <v>401</v>
      </c>
      <c r="Q1521" s="14" t="s">
        <v>22354</v>
      </c>
      <c r="R1521" s="8" t="s">
        <v>555</v>
      </c>
      <c r="S1521" s="8" t="s">
        <v>28</v>
      </c>
      <c r="T1521" s="68" t="s">
        <v>27756</v>
      </c>
      <c r="U1521" s="68" t="s">
        <v>29438</v>
      </c>
      <c r="V1521" s="68" t="s">
        <v>29437</v>
      </c>
      <c r="W1521" s="68" t="s">
        <v>100</v>
      </c>
      <c r="X1521" s="68">
        <v>1397</v>
      </c>
      <c r="AW1521" s="44"/>
      <c r="AX1521" s="1"/>
      <c r="AY1521" s="1"/>
      <c r="BC1521" s="1"/>
      <c r="BD1521" s="1"/>
      <c r="BE1521" s="1"/>
      <c r="BF1521" s="1"/>
      <c r="BG1521" s="1"/>
      <c r="BH1521" s="1"/>
      <c r="BI1521" s="1"/>
      <c r="BJ1521" s="1"/>
      <c r="BK1521" s="44"/>
    </row>
    <row r="1522" spans="1:63" s="11" customFormat="1" ht="12" customHeight="1" x14ac:dyDescent="0.2">
      <c r="A1522" s="11" t="s">
        <v>22535</v>
      </c>
      <c r="B1522" s="68">
        <v>76</v>
      </c>
      <c r="C1522" s="11" t="s">
        <v>20</v>
      </c>
      <c r="D1522" s="11" t="s">
        <v>37</v>
      </c>
      <c r="E1522" s="60" t="s">
        <v>22536</v>
      </c>
      <c r="F1522" s="69">
        <v>42450</v>
      </c>
      <c r="G1522" s="11" t="s">
        <v>22537</v>
      </c>
      <c r="H1522" s="8" t="s">
        <v>5094</v>
      </c>
      <c r="I1522" s="11" t="s">
        <v>10695</v>
      </c>
      <c r="J1522" s="17" t="s">
        <v>21265</v>
      </c>
      <c r="K1522" s="16" t="s">
        <v>13160</v>
      </c>
      <c r="L1522" s="16" t="s">
        <v>5096</v>
      </c>
      <c r="M1522" s="68" t="s">
        <v>5411</v>
      </c>
      <c r="N1522" s="8" t="s">
        <v>22538</v>
      </c>
      <c r="O1522" s="8" t="s">
        <v>400</v>
      </c>
      <c r="P1522" s="11" t="s">
        <v>401</v>
      </c>
      <c r="Q1522" s="14" t="s">
        <v>22539</v>
      </c>
      <c r="R1522" s="8" t="s">
        <v>555</v>
      </c>
      <c r="S1522" s="8" t="s">
        <v>28</v>
      </c>
      <c r="T1522" s="68" t="s">
        <v>29493</v>
      </c>
      <c r="U1522" s="68" t="s">
        <v>29436</v>
      </c>
      <c r="V1522" s="68" t="s">
        <v>29439</v>
      </c>
      <c r="W1522" s="68" t="s">
        <v>555</v>
      </c>
      <c r="X1522" s="68">
        <v>1395</v>
      </c>
      <c r="AW1522" s="1"/>
      <c r="AX1522" s="1"/>
      <c r="AY1522" s="1"/>
      <c r="BB1522" s="70"/>
      <c r="BC1522" s="1"/>
      <c r="BD1522" s="1"/>
      <c r="BE1522" s="1"/>
      <c r="BF1522" s="1"/>
      <c r="BG1522" s="1"/>
      <c r="BH1522" s="1"/>
      <c r="BI1522" s="1"/>
      <c r="BJ1522" s="1"/>
      <c r="BK1522" s="1"/>
    </row>
    <row r="1523" spans="1:63" s="11" customFormat="1" ht="12" customHeight="1" x14ac:dyDescent="0.15">
      <c r="A1523" s="11" t="s">
        <v>22199</v>
      </c>
      <c r="B1523" s="68">
        <v>25</v>
      </c>
      <c r="C1523" s="11" t="s">
        <v>20</v>
      </c>
      <c r="D1523" s="11" t="s">
        <v>37</v>
      </c>
      <c r="E1523" s="60" t="s">
        <v>22200</v>
      </c>
      <c r="F1523" s="69">
        <v>42450</v>
      </c>
      <c r="G1523" s="11" t="s">
        <v>22201</v>
      </c>
      <c r="H1523" s="8" t="s">
        <v>22202</v>
      </c>
      <c r="I1523" s="11" t="s">
        <v>41</v>
      </c>
      <c r="J1523" s="17" t="s">
        <v>22203</v>
      </c>
      <c r="K1523" s="16" t="s">
        <v>4883</v>
      </c>
      <c r="L1523" s="16" t="s">
        <v>22204</v>
      </c>
      <c r="M1523" s="8" t="s">
        <v>27</v>
      </c>
      <c r="N1523" s="8" t="s">
        <v>23123</v>
      </c>
      <c r="O1523" s="8" t="s">
        <v>550</v>
      </c>
      <c r="P1523" s="11" t="s">
        <v>401</v>
      </c>
      <c r="Q1523" s="14" t="s">
        <v>22205</v>
      </c>
      <c r="R1523" s="8" t="s">
        <v>555</v>
      </c>
      <c r="S1523" s="8" t="s">
        <v>18</v>
      </c>
      <c r="T1523" s="68" t="s">
        <v>29612</v>
      </c>
      <c r="U1523" s="68" t="s">
        <v>29438</v>
      </c>
      <c r="V1523" s="68" t="s">
        <v>29439</v>
      </c>
      <c r="W1523" s="68" t="s">
        <v>100</v>
      </c>
      <c r="X1523" s="68">
        <v>1396</v>
      </c>
      <c r="AX1523" s="1"/>
      <c r="AY1523" s="1"/>
      <c r="BC1523" s="1"/>
      <c r="BD1523" s="1"/>
      <c r="BE1523" s="1"/>
      <c r="BF1523" s="1"/>
      <c r="BG1523" s="1"/>
      <c r="BH1523" s="1"/>
      <c r="BI1523" s="1"/>
      <c r="BJ1523" s="1"/>
      <c r="BK1523" s="1"/>
    </row>
    <row r="1524" spans="1:63" s="11" customFormat="1" ht="12" customHeight="1" x14ac:dyDescent="0.15">
      <c r="A1524" s="11" t="s">
        <v>21886</v>
      </c>
      <c r="B1524" s="68">
        <v>62</v>
      </c>
      <c r="C1524" s="11" t="s">
        <v>20</v>
      </c>
      <c r="D1524" s="11" t="s">
        <v>48</v>
      </c>
      <c r="F1524" s="69">
        <v>42449</v>
      </c>
      <c r="G1524" s="11" t="s">
        <v>21887</v>
      </c>
      <c r="H1524" s="8" t="s">
        <v>1801</v>
      </c>
      <c r="I1524" s="11" t="s">
        <v>217</v>
      </c>
      <c r="J1524" s="17">
        <v>46806</v>
      </c>
      <c r="K1524" s="16" t="s">
        <v>1803</v>
      </c>
      <c r="L1524" s="16" t="s">
        <v>1804</v>
      </c>
      <c r="M1524" s="8" t="s">
        <v>27</v>
      </c>
      <c r="N1524" s="8" t="s">
        <v>21888</v>
      </c>
      <c r="O1524" s="8" t="s">
        <v>400</v>
      </c>
      <c r="P1524" s="11" t="s">
        <v>401</v>
      </c>
      <c r="Q1524" s="14" t="s">
        <v>21889</v>
      </c>
      <c r="R1524" s="8" t="s">
        <v>100</v>
      </c>
      <c r="S1524" s="8" t="s">
        <v>28</v>
      </c>
      <c r="T1524" s="68" t="s">
        <v>27756</v>
      </c>
      <c r="U1524" s="68" t="s">
        <v>29438</v>
      </c>
      <c r="V1524" s="68" t="s">
        <v>29440</v>
      </c>
      <c r="W1524" s="68" t="s">
        <v>100</v>
      </c>
      <c r="X1524" s="68">
        <v>1393</v>
      </c>
      <c r="AW1524" s="1"/>
      <c r="AX1524" s="1"/>
      <c r="AY1524" s="1"/>
      <c r="BB1524" s="44"/>
      <c r="BC1524" s="1"/>
      <c r="BD1524" s="1"/>
      <c r="BE1524" s="1"/>
      <c r="BF1524" s="1"/>
      <c r="BG1524" s="1"/>
      <c r="BH1524" s="1"/>
      <c r="BI1524" s="1"/>
      <c r="BJ1524" s="1"/>
      <c r="BK1524" s="44"/>
    </row>
    <row r="1525" spans="1:63" s="11" customFormat="1" ht="12" customHeight="1" x14ac:dyDescent="0.15">
      <c r="A1525" s="11" t="s">
        <v>22345</v>
      </c>
      <c r="B1525" s="68">
        <v>54</v>
      </c>
      <c r="C1525" s="11" t="s">
        <v>20</v>
      </c>
      <c r="D1525" s="11" t="s">
        <v>37</v>
      </c>
      <c r="E1525" s="60" t="s">
        <v>22346</v>
      </c>
      <c r="F1525" s="69">
        <v>42449</v>
      </c>
      <c r="G1525" s="11" t="s">
        <v>22347</v>
      </c>
      <c r="H1525" s="8" t="s">
        <v>22348</v>
      </c>
      <c r="I1525" s="11" t="s">
        <v>404</v>
      </c>
      <c r="J1525" s="17">
        <v>17223</v>
      </c>
      <c r="K1525" s="16" t="s">
        <v>1556</v>
      </c>
      <c r="L1525" s="16" t="s">
        <v>511</v>
      </c>
      <c r="M1525" s="8" t="s">
        <v>27</v>
      </c>
      <c r="N1525" s="8" t="s">
        <v>22349</v>
      </c>
      <c r="O1525" s="8" t="s">
        <v>400</v>
      </c>
      <c r="P1525" s="11" t="s">
        <v>401</v>
      </c>
      <c r="Q1525" s="14" t="s">
        <v>22350</v>
      </c>
      <c r="R1525" s="8" t="s">
        <v>100</v>
      </c>
      <c r="S1525" s="8" t="s">
        <v>28</v>
      </c>
      <c r="T1525" s="68" t="s">
        <v>27756</v>
      </c>
      <c r="U1525" s="68" t="s">
        <v>29438</v>
      </c>
      <c r="V1525" s="68" t="s">
        <v>21212</v>
      </c>
      <c r="W1525" s="68" t="s">
        <v>100</v>
      </c>
      <c r="X1525" s="68">
        <v>1391</v>
      </c>
      <c r="AW1525" s="1"/>
      <c r="AX1525" s="1"/>
      <c r="AY1525" s="1"/>
      <c r="BB1525" s="44"/>
      <c r="BC1525" s="1"/>
      <c r="BD1525" s="1"/>
      <c r="BE1525" s="1"/>
      <c r="BF1525" s="1"/>
      <c r="BG1525" s="1"/>
      <c r="BH1525" s="1"/>
      <c r="BI1525" s="1"/>
      <c r="BJ1525" s="1"/>
      <c r="BK1525" s="44"/>
    </row>
    <row r="1526" spans="1:63" s="11" customFormat="1" ht="12" customHeight="1" x14ac:dyDescent="0.15">
      <c r="A1526" s="11" t="s">
        <v>22138</v>
      </c>
      <c r="B1526" s="68">
        <v>61</v>
      </c>
      <c r="C1526" s="11" t="s">
        <v>20</v>
      </c>
      <c r="D1526" s="11" t="s">
        <v>37</v>
      </c>
      <c r="F1526" s="69">
        <v>42449</v>
      </c>
      <c r="G1526" s="11" t="s">
        <v>22139</v>
      </c>
      <c r="H1526" s="8" t="s">
        <v>6616</v>
      </c>
      <c r="I1526" s="11" t="s">
        <v>244</v>
      </c>
      <c r="J1526" s="17">
        <v>23860</v>
      </c>
      <c r="K1526" s="16" t="s">
        <v>22140</v>
      </c>
      <c r="L1526" s="16" t="s">
        <v>6618</v>
      </c>
      <c r="M1526" s="8" t="s">
        <v>27</v>
      </c>
      <c r="N1526" s="8" t="s">
        <v>22141</v>
      </c>
      <c r="O1526" s="8" t="s">
        <v>400</v>
      </c>
      <c r="P1526" s="11" t="s">
        <v>401</v>
      </c>
      <c r="Q1526" s="14" t="s">
        <v>22142</v>
      </c>
      <c r="R1526" s="8" t="s">
        <v>555</v>
      </c>
      <c r="S1526" s="8" t="s">
        <v>28</v>
      </c>
      <c r="T1526" s="68" t="s">
        <v>29493</v>
      </c>
      <c r="U1526" s="68" t="s">
        <v>29436</v>
      </c>
      <c r="V1526" s="68" t="s">
        <v>29439</v>
      </c>
      <c r="W1526" s="68" t="s">
        <v>555</v>
      </c>
      <c r="X1526" s="68">
        <v>1380</v>
      </c>
      <c r="AW1526" s="1"/>
      <c r="AX1526" s="1"/>
      <c r="AY1526" s="1"/>
      <c r="BC1526" s="1"/>
      <c r="BD1526" s="1"/>
      <c r="BE1526" s="1"/>
      <c r="BF1526" s="1"/>
      <c r="BG1526" s="1"/>
      <c r="BH1526" s="1"/>
      <c r="BI1526" s="1"/>
      <c r="BJ1526" s="1"/>
      <c r="BK1526" s="44"/>
    </row>
    <row r="1527" spans="1:63" s="11" customFormat="1" ht="12" customHeight="1" x14ac:dyDescent="0.2">
      <c r="A1527" s="11" t="s">
        <v>21506</v>
      </c>
      <c r="B1527" s="68">
        <v>16</v>
      </c>
      <c r="C1527" s="11" t="s">
        <v>20</v>
      </c>
      <c r="D1527" s="11" t="s">
        <v>85</v>
      </c>
      <c r="E1527" s="60" t="s">
        <v>21507</v>
      </c>
      <c r="F1527" s="69">
        <v>42449</v>
      </c>
      <c r="G1527" s="11" t="s">
        <v>21508</v>
      </c>
      <c r="H1527" s="8" t="s">
        <v>11351</v>
      </c>
      <c r="I1527" s="11" t="s">
        <v>62</v>
      </c>
      <c r="J1527" s="47">
        <v>32607</v>
      </c>
      <c r="K1527" s="16" t="s">
        <v>1024</v>
      </c>
      <c r="L1527" s="16" t="s">
        <v>21509</v>
      </c>
      <c r="M1527" s="8" t="s">
        <v>27</v>
      </c>
      <c r="N1527" s="8" t="s">
        <v>21510</v>
      </c>
      <c r="O1527" s="8" t="s">
        <v>400</v>
      </c>
      <c r="P1527" s="11" t="s">
        <v>401</v>
      </c>
      <c r="Q1527" s="14" t="s">
        <v>21511</v>
      </c>
      <c r="R1527" s="8" t="s">
        <v>555</v>
      </c>
      <c r="S1527" s="8" t="s">
        <v>18</v>
      </c>
      <c r="T1527" s="68" t="s">
        <v>29612</v>
      </c>
      <c r="U1527" s="68" t="s">
        <v>29436</v>
      </c>
      <c r="V1527" s="68" t="s">
        <v>29439</v>
      </c>
      <c r="W1527" s="68" t="s">
        <v>100</v>
      </c>
      <c r="X1527" s="68">
        <v>1394</v>
      </c>
      <c r="AW1527" s="70"/>
      <c r="AX1527" s="70"/>
      <c r="AY1527" s="70"/>
      <c r="BK1527" s="1"/>
    </row>
    <row r="1528" spans="1:63" s="11" customFormat="1" ht="12" customHeight="1" x14ac:dyDescent="0.2">
      <c r="A1528" s="11" t="s">
        <v>21343</v>
      </c>
      <c r="B1528" s="68">
        <v>21</v>
      </c>
      <c r="C1528" s="11" t="s">
        <v>20</v>
      </c>
      <c r="D1528" s="11" t="s">
        <v>85</v>
      </c>
      <c r="E1528" s="60" t="s">
        <v>21344</v>
      </c>
      <c r="F1528" s="69">
        <v>42448</v>
      </c>
      <c r="G1528" s="11" t="s">
        <v>21345</v>
      </c>
      <c r="H1528" s="8" t="s">
        <v>8364</v>
      </c>
      <c r="I1528" s="11" t="s">
        <v>44</v>
      </c>
      <c r="J1528" s="47">
        <v>60466</v>
      </c>
      <c r="K1528" s="16" t="s">
        <v>88</v>
      </c>
      <c r="L1528" s="8" t="s">
        <v>8366</v>
      </c>
      <c r="M1528" s="8" t="s">
        <v>27</v>
      </c>
      <c r="N1528" s="8" t="s">
        <v>21346</v>
      </c>
      <c r="O1528" s="8" t="s">
        <v>400</v>
      </c>
      <c r="P1528" s="11" t="s">
        <v>401</v>
      </c>
      <c r="Q1528" s="14" t="s">
        <v>21347</v>
      </c>
      <c r="R1528" s="8" t="s">
        <v>100</v>
      </c>
      <c r="S1528" s="8" t="s">
        <v>28</v>
      </c>
      <c r="T1528" s="68" t="s">
        <v>27756</v>
      </c>
      <c r="U1528" s="68" t="s">
        <v>29438</v>
      </c>
      <c r="V1528" s="68" t="s">
        <v>29440</v>
      </c>
      <c r="W1528" s="68" t="s">
        <v>100</v>
      </c>
      <c r="X1528" s="68">
        <v>1388</v>
      </c>
      <c r="AW1528" s="44"/>
      <c r="AX1528" s="70"/>
      <c r="AY1528" s="70"/>
      <c r="BB1528" s="44"/>
      <c r="BK1528" s="44"/>
    </row>
    <row r="1529" spans="1:63" s="11" customFormat="1" ht="12" customHeight="1" x14ac:dyDescent="0.15">
      <c r="A1529" s="11" t="s">
        <v>22300</v>
      </c>
      <c r="B1529" s="68">
        <v>23</v>
      </c>
      <c r="C1529" s="11" t="s">
        <v>20</v>
      </c>
      <c r="D1529" s="11" t="s">
        <v>37</v>
      </c>
      <c r="E1529" s="60" t="s">
        <v>22301</v>
      </c>
      <c r="F1529" s="69">
        <v>42448</v>
      </c>
      <c r="G1529" s="11" t="s">
        <v>22302</v>
      </c>
      <c r="H1529" s="8" t="s">
        <v>19122</v>
      </c>
      <c r="I1529" s="11" t="s">
        <v>315</v>
      </c>
      <c r="J1529" s="17">
        <v>42442</v>
      </c>
      <c r="K1529" s="16" t="s">
        <v>3858</v>
      </c>
      <c r="L1529" s="8" t="s">
        <v>20114</v>
      </c>
      <c r="M1529" s="8" t="s">
        <v>27</v>
      </c>
      <c r="N1529" s="8" t="s">
        <v>22303</v>
      </c>
      <c r="O1529" s="8" t="s">
        <v>400</v>
      </c>
      <c r="P1529" s="11" t="s">
        <v>401</v>
      </c>
      <c r="Q1529" s="14" t="s">
        <v>22304</v>
      </c>
      <c r="R1529" s="8" t="s">
        <v>100</v>
      </c>
      <c r="S1529" s="8" t="s">
        <v>28</v>
      </c>
      <c r="T1529" s="68" t="s">
        <v>27756</v>
      </c>
      <c r="U1529" s="68" t="s">
        <v>29438</v>
      </c>
      <c r="V1529" s="68" t="s">
        <v>21212</v>
      </c>
      <c r="W1529" s="68" t="s">
        <v>100</v>
      </c>
      <c r="X1529" s="68">
        <v>1392</v>
      </c>
      <c r="AW1529" s="44"/>
      <c r="AX1529" s="1"/>
      <c r="AY1529" s="1"/>
      <c r="BB1529" s="44"/>
      <c r="BC1529" s="1"/>
      <c r="BD1529" s="1"/>
      <c r="BE1529" s="1"/>
      <c r="BF1529" s="1"/>
      <c r="BG1529" s="1"/>
      <c r="BH1529" s="1"/>
      <c r="BI1529" s="1"/>
      <c r="BJ1529" s="1"/>
      <c r="BK1529" s="44"/>
    </row>
    <row r="1530" spans="1:63" s="11" customFormat="1" ht="12" customHeight="1" x14ac:dyDescent="0.15">
      <c r="A1530" s="11" t="s">
        <v>21521</v>
      </c>
      <c r="B1530" s="68">
        <v>25</v>
      </c>
      <c r="C1530" s="11" t="s">
        <v>114</v>
      </c>
      <c r="D1530" s="11" t="s">
        <v>85</v>
      </c>
      <c r="E1530" s="60" t="s">
        <v>21522</v>
      </c>
      <c r="F1530" s="69">
        <v>42448</v>
      </c>
      <c r="G1530" s="11" t="s">
        <v>21523</v>
      </c>
      <c r="H1530" s="8" t="s">
        <v>3317</v>
      </c>
      <c r="I1530" s="11" t="s">
        <v>244</v>
      </c>
      <c r="J1530" s="47">
        <v>23518</v>
      </c>
      <c r="K1530" s="16" t="s">
        <v>16595</v>
      </c>
      <c r="L1530" s="8" t="s">
        <v>5050</v>
      </c>
      <c r="M1530" s="8" t="s">
        <v>27</v>
      </c>
      <c r="N1530" s="8" t="s">
        <v>23083</v>
      </c>
      <c r="O1530" s="8" t="s">
        <v>400</v>
      </c>
      <c r="P1530" s="11" t="s">
        <v>401</v>
      </c>
      <c r="Q1530" s="14" t="s">
        <v>21524</v>
      </c>
      <c r="R1530" s="8" t="s">
        <v>100</v>
      </c>
      <c r="S1530" s="8" t="s">
        <v>18</v>
      </c>
      <c r="T1530" s="68" t="s">
        <v>29612</v>
      </c>
      <c r="U1530" s="68" t="s">
        <v>29438</v>
      </c>
      <c r="V1530" s="68" t="s">
        <v>29439</v>
      </c>
      <c r="W1530" s="68" t="s">
        <v>100</v>
      </c>
      <c r="X1530" s="68">
        <v>1382</v>
      </c>
      <c r="AX1530" s="44"/>
      <c r="AY1530" s="44"/>
      <c r="BB1530" s="44"/>
      <c r="BK1530" s="1"/>
    </row>
    <row r="1531" spans="1:63" s="11" customFormat="1" ht="12" customHeight="1" x14ac:dyDescent="0.15">
      <c r="A1531" s="11" t="s">
        <v>23203</v>
      </c>
      <c r="B1531" s="11">
        <v>35</v>
      </c>
      <c r="C1531" s="11" t="s">
        <v>20</v>
      </c>
      <c r="D1531" s="11" t="s">
        <v>85</v>
      </c>
      <c r="E1531" s="60" t="s">
        <v>23204</v>
      </c>
      <c r="F1531" s="72">
        <v>42448</v>
      </c>
      <c r="G1531" s="11" t="s">
        <v>23205</v>
      </c>
      <c r="H1531" s="8" t="s">
        <v>23206</v>
      </c>
      <c r="I1531" s="11" t="s">
        <v>62</v>
      </c>
      <c r="J1531" s="47">
        <v>23518</v>
      </c>
      <c r="K1531" s="16" t="s">
        <v>4353</v>
      </c>
      <c r="L1531" s="8" t="s">
        <v>23207</v>
      </c>
      <c r="M1531" s="8" t="s">
        <v>391</v>
      </c>
      <c r="N1531" s="8" t="s">
        <v>23208</v>
      </c>
      <c r="O1531" s="8" t="s">
        <v>400</v>
      </c>
      <c r="P1531" s="11" t="s">
        <v>401</v>
      </c>
      <c r="Q1531" s="14" t="s">
        <v>23209</v>
      </c>
      <c r="R1531" s="8" t="s">
        <v>100</v>
      </c>
      <c r="S1531" s="8" t="s">
        <v>18</v>
      </c>
      <c r="AU1531" s="1"/>
      <c r="AV1531" s="1"/>
      <c r="AZ1531" s="1"/>
      <c r="BA1531" s="1"/>
      <c r="BB1531" s="1"/>
      <c r="BK1531" s="1"/>
    </row>
    <row r="1532" spans="1:63" s="11" customFormat="1" ht="12" customHeight="1" x14ac:dyDescent="0.15">
      <c r="A1532" s="11" t="s">
        <v>22180</v>
      </c>
      <c r="B1532" s="68">
        <v>24</v>
      </c>
      <c r="C1532" s="11" t="s">
        <v>20</v>
      </c>
      <c r="D1532" s="11" t="s">
        <v>37</v>
      </c>
      <c r="F1532" s="69">
        <v>42448</v>
      </c>
      <c r="G1532" s="11" t="s">
        <v>22181</v>
      </c>
      <c r="H1532" s="8" t="s">
        <v>1240</v>
      </c>
      <c r="I1532" s="11" t="s">
        <v>25</v>
      </c>
      <c r="J1532" s="17">
        <v>70433</v>
      </c>
      <c r="K1532" s="16" t="s">
        <v>17686</v>
      </c>
      <c r="L1532" s="16" t="s">
        <v>17687</v>
      </c>
      <c r="M1532" s="8" t="s">
        <v>27</v>
      </c>
      <c r="N1532" s="8" t="s">
        <v>22182</v>
      </c>
      <c r="O1532" s="8" t="s">
        <v>400</v>
      </c>
      <c r="P1532" s="11" t="s">
        <v>401</v>
      </c>
      <c r="Q1532" s="14" t="s">
        <v>22183</v>
      </c>
      <c r="R1532" s="8" t="s">
        <v>100</v>
      </c>
      <c r="S1532" s="8" t="s">
        <v>35</v>
      </c>
      <c r="T1532" s="68" t="s">
        <v>29441</v>
      </c>
      <c r="U1532" s="68" t="s">
        <v>29441</v>
      </c>
      <c r="V1532" s="68" t="s">
        <v>29437</v>
      </c>
      <c r="W1532" s="68" t="s">
        <v>100</v>
      </c>
      <c r="X1532" s="68">
        <v>1387</v>
      </c>
      <c r="AX1532" s="1"/>
      <c r="AY1532" s="1"/>
      <c r="BB1532" s="44"/>
      <c r="BC1532" s="1"/>
      <c r="BD1532" s="1"/>
      <c r="BE1532" s="1"/>
      <c r="BF1532" s="1"/>
      <c r="BG1532" s="1"/>
      <c r="BH1532" s="1"/>
      <c r="BI1532" s="1"/>
      <c r="BJ1532" s="1"/>
      <c r="BK1532" s="1"/>
    </row>
    <row r="1533" spans="1:63" s="11" customFormat="1" ht="12" customHeight="1" x14ac:dyDescent="0.15">
      <c r="A1533" s="11" t="s">
        <v>23085</v>
      </c>
      <c r="B1533" s="68">
        <v>60</v>
      </c>
      <c r="C1533" s="11" t="s">
        <v>20</v>
      </c>
      <c r="D1533" s="11" t="s">
        <v>37</v>
      </c>
      <c r="E1533" s="60"/>
      <c r="F1533" s="69">
        <v>42447</v>
      </c>
      <c r="G1533" s="11" t="s">
        <v>23091</v>
      </c>
      <c r="H1533" s="8" t="s">
        <v>23090</v>
      </c>
      <c r="I1533" s="11" t="s">
        <v>790</v>
      </c>
      <c r="J1533" s="17">
        <v>83404</v>
      </c>
      <c r="K1533" s="8" t="s">
        <v>1778</v>
      </c>
      <c r="L1533" s="8" t="s">
        <v>1689</v>
      </c>
      <c r="M1533" s="8" t="s">
        <v>27</v>
      </c>
      <c r="N1533" s="8" t="s">
        <v>29502</v>
      </c>
      <c r="O1533" s="8" t="s">
        <v>400</v>
      </c>
      <c r="P1533" s="11" t="s">
        <v>401</v>
      </c>
      <c r="Q1533" s="14" t="s">
        <v>23092</v>
      </c>
      <c r="R1533" s="8" t="s">
        <v>100</v>
      </c>
      <c r="S1533" s="2" t="s">
        <v>18</v>
      </c>
      <c r="T1533" s="68" t="s">
        <v>28345</v>
      </c>
      <c r="U1533" s="68" t="s">
        <v>29436</v>
      </c>
      <c r="V1533" s="68" t="s">
        <v>29439</v>
      </c>
      <c r="W1533" s="68" t="s">
        <v>100</v>
      </c>
      <c r="X1533" s="68">
        <v>1401</v>
      </c>
      <c r="AF1533" s="44"/>
      <c r="AG1533" s="44"/>
      <c r="AH1533" s="44"/>
      <c r="AI1533" s="44"/>
      <c r="AW1533" s="1"/>
      <c r="AX1533" s="1"/>
      <c r="AY1533" s="1"/>
      <c r="BB1533" s="44"/>
      <c r="BC1533" s="1"/>
      <c r="BD1533" s="1"/>
      <c r="BE1533" s="1"/>
      <c r="BF1533" s="1"/>
      <c r="BG1533" s="1"/>
      <c r="BH1533" s="1"/>
      <c r="BI1533" s="1"/>
      <c r="BJ1533" s="1"/>
      <c r="BK1533" s="1"/>
    </row>
    <row r="1534" spans="1:63" s="11" customFormat="1" ht="12" customHeight="1" x14ac:dyDescent="0.15">
      <c r="A1534" s="11" t="s">
        <v>21872</v>
      </c>
      <c r="B1534" s="68">
        <v>49</v>
      </c>
      <c r="C1534" s="11" t="s">
        <v>20</v>
      </c>
      <c r="D1534" s="11" t="s">
        <v>30</v>
      </c>
      <c r="F1534" s="69">
        <v>42447</v>
      </c>
      <c r="G1534" s="11" t="s">
        <v>21873</v>
      </c>
      <c r="H1534" s="8" t="s">
        <v>21874</v>
      </c>
      <c r="I1534" s="11" t="s">
        <v>45</v>
      </c>
      <c r="J1534" s="17">
        <v>94514</v>
      </c>
      <c r="K1534" s="16" t="s">
        <v>4500</v>
      </c>
      <c r="L1534" s="8" t="s">
        <v>21875</v>
      </c>
      <c r="M1534" s="8" t="s">
        <v>27</v>
      </c>
      <c r="N1534" s="8" t="s">
        <v>21876</v>
      </c>
      <c r="O1534" s="8" t="s">
        <v>400</v>
      </c>
      <c r="P1534" s="11" t="s">
        <v>401</v>
      </c>
      <c r="Q1534" s="14" t="s">
        <v>21877</v>
      </c>
      <c r="R1534" s="8" t="s">
        <v>555</v>
      </c>
      <c r="S1534" s="8" t="s">
        <v>28</v>
      </c>
      <c r="T1534" s="68" t="s">
        <v>27756</v>
      </c>
      <c r="U1534" s="68" t="s">
        <v>29438</v>
      </c>
      <c r="V1534" s="68" t="s">
        <v>29439</v>
      </c>
      <c r="W1534" s="68" t="s">
        <v>100</v>
      </c>
      <c r="X1534" s="68">
        <v>1386</v>
      </c>
      <c r="AW1534" s="1"/>
      <c r="AX1534" s="1"/>
      <c r="AY1534" s="1"/>
      <c r="BC1534" s="1"/>
      <c r="BD1534" s="1"/>
      <c r="BE1534" s="1"/>
      <c r="BF1534" s="1"/>
      <c r="BG1534" s="1"/>
      <c r="BH1534" s="1"/>
      <c r="BI1534" s="1"/>
      <c r="BJ1534" s="1"/>
      <c r="BK1534" s="44"/>
    </row>
    <row r="1535" spans="1:63" s="11" customFormat="1" ht="12" customHeight="1" x14ac:dyDescent="0.15">
      <c r="A1535" s="11" t="s">
        <v>22812</v>
      </c>
      <c r="B1535" s="11">
        <v>37</v>
      </c>
      <c r="C1535" s="11" t="s">
        <v>20</v>
      </c>
      <c r="D1535" s="11" t="s">
        <v>37</v>
      </c>
      <c r="E1535" s="60" t="s">
        <v>22813</v>
      </c>
      <c r="F1535" s="72">
        <v>42446</v>
      </c>
      <c r="G1535" s="11" t="s">
        <v>22814</v>
      </c>
      <c r="H1535" s="8" t="s">
        <v>1941</v>
      </c>
      <c r="I1535" s="11" t="s">
        <v>404</v>
      </c>
      <c r="J1535" s="17">
        <v>15059</v>
      </c>
      <c r="K1535" s="16" t="s">
        <v>22815</v>
      </c>
      <c r="L1535" s="8" t="s">
        <v>22816</v>
      </c>
      <c r="M1535" s="8" t="s">
        <v>27</v>
      </c>
      <c r="N1535" s="8" t="s">
        <v>22817</v>
      </c>
      <c r="O1535" s="8" t="s">
        <v>400</v>
      </c>
      <c r="P1535" s="11" t="s">
        <v>401</v>
      </c>
      <c r="Q1535" s="14" t="s">
        <v>22818</v>
      </c>
      <c r="R1535" s="11" t="s">
        <v>964</v>
      </c>
      <c r="S1535" s="8" t="s">
        <v>28</v>
      </c>
      <c r="T1535" s="68"/>
      <c r="U1535" s="68"/>
      <c r="V1535" s="68"/>
      <c r="W1535" s="68"/>
      <c r="X1535" s="68"/>
      <c r="AW1535" s="1"/>
      <c r="AX1535" s="1"/>
      <c r="AY1535" s="1"/>
      <c r="AZ1535" s="1"/>
      <c r="BA1535" s="1"/>
      <c r="BB1535" s="1"/>
      <c r="BC1535" s="1"/>
      <c r="BD1535" s="1"/>
      <c r="BE1535" s="1"/>
      <c r="BF1535" s="1"/>
      <c r="BG1535" s="1"/>
      <c r="BH1535" s="1"/>
      <c r="BI1535" s="1"/>
      <c r="BJ1535" s="1"/>
      <c r="BK1535" s="44"/>
    </row>
    <row r="1536" spans="1:63" s="11" customFormat="1" ht="12" customHeight="1" x14ac:dyDescent="0.2">
      <c r="A1536" s="11" t="s">
        <v>21307</v>
      </c>
      <c r="B1536" s="68">
        <v>53</v>
      </c>
      <c r="C1536" s="11" t="s">
        <v>20</v>
      </c>
      <c r="D1536" s="11" t="s">
        <v>21</v>
      </c>
      <c r="E1536" s="60" t="s">
        <v>21308</v>
      </c>
      <c r="F1536" s="69">
        <v>42446</v>
      </c>
      <c r="G1536" s="11" t="s">
        <v>21309</v>
      </c>
      <c r="H1536" s="8" t="s">
        <v>1567</v>
      </c>
      <c r="I1536" s="11" t="s">
        <v>62</v>
      </c>
      <c r="J1536" s="17">
        <v>33611</v>
      </c>
      <c r="K1536" s="16" t="s">
        <v>638</v>
      </c>
      <c r="L1536" s="8" t="s">
        <v>1569</v>
      </c>
      <c r="M1536" s="8" t="s">
        <v>27</v>
      </c>
      <c r="N1536" s="8" t="s">
        <v>23104</v>
      </c>
      <c r="O1536" s="8" t="s">
        <v>400</v>
      </c>
      <c r="P1536" s="11" t="s">
        <v>401</v>
      </c>
      <c r="Q1536" s="14" t="s">
        <v>21310</v>
      </c>
      <c r="R1536" s="8" t="s">
        <v>100</v>
      </c>
      <c r="S1536" s="8" t="s">
        <v>28</v>
      </c>
      <c r="T1536" s="68" t="s">
        <v>27756</v>
      </c>
      <c r="U1536" s="68" t="s">
        <v>29438</v>
      </c>
      <c r="V1536" s="68" t="s">
        <v>29439</v>
      </c>
      <c r="W1536" s="68" t="s">
        <v>100</v>
      </c>
      <c r="X1536" s="68">
        <v>1372</v>
      </c>
      <c r="AW1536" s="1"/>
      <c r="AX1536" s="70"/>
      <c r="AY1536" s="70"/>
      <c r="BB1536" s="44"/>
      <c r="BC1536" s="70"/>
      <c r="BD1536" s="70"/>
      <c r="BE1536" s="70"/>
      <c r="BF1536" s="70"/>
      <c r="BG1536" s="70"/>
      <c r="BH1536" s="70"/>
      <c r="BI1536" s="70"/>
      <c r="BJ1536" s="70"/>
      <c r="BK1536" s="44"/>
    </row>
    <row r="1537" spans="1:63" s="11" customFormat="1" ht="12" customHeight="1" x14ac:dyDescent="0.15">
      <c r="A1537" s="11" t="s">
        <v>21953</v>
      </c>
      <c r="B1537" s="68">
        <v>29</v>
      </c>
      <c r="C1537" s="11" t="s">
        <v>20</v>
      </c>
      <c r="D1537" s="11" t="s">
        <v>85</v>
      </c>
      <c r="E1537" s="11" t="s">
        <v>22923</v>
      </c>
      <c r="F1537" s="69">
        <v>42446</v>
      </c>
      <c r="G1537" s="11" t="s">
        <v>21597</v>
      </c>
      <c r="H1537" s="8" t="s">
        <v>723</v>
      </c>
      <c r="I1537" s="11" t="s">
        <v>73</v>
      </c>
      <c r="J1537" s="47">
        <v>77037</v>
      </c>
      <c r="K1537" s="16" t="s">
        <v>558</v>
      </c>
      <c r="L1537" s="8" t="s">
        <v>724</v>
      </c>
      <c r="M1537" s="8" t="s">
        <v>27</v>
      </c>
      <c r="N1537" s="8" t="s">
        <v>21598</v>
      </c>
      <c r="O1537" s="8" t="s">
        <v>400</v>
      </c>
      <c r="P1537" s="11" t="s">
        <v>401</v>
      </c>
      <c r="Q1537" s="14" t="s">
        <v>21599</v>
      </c>
      <c r="R1537" s="8" t="s">
        <v>100</v>
      </c>
      <c r="S1537" s="2" t="s">
        <v>28</v>
      </c>
      <c r="T1537" s="68" t="s">
        <v>27756</v>
      </c>
      <c r="U1537" s="68" t="s">
        <v>29438</v>
      </c>
      <c r="V1537" s="68"/>
      <c r="W1537" s="68" t="s">
        <v>100</v>
      </c>
      <c r="X1537" s="68">
        <v>1376</v>
      </c>
      <c r="AW1537" s="44"/>
      <c r="BB1537" s="44"/>
      <c r="BK1537" s="44"/>
    </row>
    <row r="1538" spans="1:63" s="11" customFormat="1" ht="12" customHeight="1" x14ac:dyDescent="0.15">
      <c r="A1538" s="11" t="s">
        <v>21596</v>
      </c>
      <c r="B1538" s="68">
        <v>30</v>
      </c>
      <c r="C1538" s="11" t="s">
        <v>20</v>
      </c>
      <c r="D1538" s="11" t="s">
        <v>85</v>
      </c>
      <c r="F1538" s="69">
        <v>42446</v>
      </c>
      <c r="G1538" s="11" t="s">
        <v>21597</v>
      </c>
      <c r="H1538" s="8" t="s">
        <v>723</v>
      </c>
      <c r="I1538" s="11" t="s">
        <v>73</v>
      </c>
      <c r="J1538" s="47">
        <v>77037</v>
      </c>
      <c r="K1538" s="16" t="s">
        <v>558</v>
      </c>
      <c r="L1538" s="8" t="s">
        <v>724</v>
      </c>
      <c r="M1538" s="8" t="s">
        <v>27</v>
      </c>
      <c r="N1538" s="8" t="s">
        <v>21598</v>
      </c>
      <c r="O1538" s="8" t="s">
        <v>400</v>
      </c>
      <c r="P1538" s="11" t="s">
        <v>401</v>
      </c>
      <c r="Q1538" s="14" t="s">
        <v>21599</v>
      </c>
      <c r="R1538" s="8" t="s">
        <v>100</v>
      </c>
      <c r="S1538" s="2" t="s">
        <v>28</v>
      </c>
      <c r="T1538" s="68" t="s">
        <v>27756</v>
      </c>
      <c r="U1538" s="68" t="s">
        <v>29438</v>
      </c>
      <c r="V1538" s="68" t="s">
        <v>29439</v>
      </c>
      <c r="W1538" s="68" t="s">
        <v>100</v>
      </c>
      <c r="X1538" s="68">
        <v>1377</v>
      </c>
      <c r="BB1538" s="44"/>
      <c r="BK1538" s="44"/>
    </row>
    <row r="1539" spans="1:63" s="11" customFormat="1" ht="12" customHeight="1" x14ac:dyDescent="0.2">
      <c r="A1539" s="11" t="s">
        <v>21311</v>
      </c>
      <c r="B1539" s="68">
        <v>38</v>
      </c>
      <c r="C1539" s="11" t="s">
        <v>20</v>
      </c>
      <c r="D1539" s="11" t="s">
        <v>21</v>
      </c>
      <c r="E1539" s="60" t="s">
        <v>21312</v>
      </c>
      <c r="F1539" s="69">
        <v>42446</v>
      </c>
      <c r="G1539" s="11" t="s">
        <v>21313</v>
      </c>
      <c r="H1539" s="8" t="s">
        <v>21314</v>
      </c>
      <c r="I1539" s="11" t="s">
        <v>133</v>
      </c>
      <c r="J1539" s="17">
        <v>55337</v>
      </c>
      <c r="K1539" s="16" t="s">
        <v>21315</v>
      </c>
      <c r="L1539" s="8" t="s">
        <v>21316</v>
      </c>
      <c r="M1539" s="8" t="s">
        <v>27</v>
      </c>
      <c r="N1539" s="8" t="s">
        <v>21317</v>
      </c>
      <c r="O1539" s="8" t="s">
        <v>400</v>
      </c>
      <c r="P1539" s="11" t="s">
        <v>401</v>
      </c>
      <c r="Q1539" s="14" t="s">
        <v>21318</v>
      </c>
      <c r="R1539" s="68" t="s">
        <v>555</v>
      </c>
      <c r="S1539" s="2" t="s">
        <v>28</v>
      </c>
      <c r="T1539" s="68" t="s">
        <v>29493</v>
      </c>
      <c r="U1539" s="68" t="s">
        <v>29436</v>
      </c>
      <c r="V1539" s="68" t="s">
        <v>29439</v>
      </c>
      <c r="W1539" s="68" t="s">
        <v>555</v>
      </c>
      <c r="X1539" s="68">
        <v>1370</v>
      </c>
      <c r="AW1539" s="44"/>
      <c r="AX1539" s="70"/>
      <c r="AY1539" s="70"/>
      <c r="BA1539" s="70"/>
      <c r="BB1539" s="44"/>
      <c r="BC1539" s="70"/>
      <c r="BD1539" s="70"/>
      <c r="BE1539" s="70"/>
      <c r="BF1539" s="70"/>
      <c r="BG1539" s="70"/>
      <c r="BH1539" s="70"/>
      <c r="BI1539" s="70"/>
      <c r="BJ1539" s="70"/>
      <c r="BK1539" s="44"/>
    </row>
    <row r="1540" spans="1:63" s="11" customFormat="1" ht="12" customHeight="1" x14ac:dyDescent="0.15">
      <c r="A1540" s="11" t="s">
        <v>23502</v>
      </c>
      <c r="B1540" s="11">
        <v>55</v>
      </c>
      <c r="C1540" s="11" t="s">
        <v>20</v>
      </c>
      <c r="D1540" s="11" t="s">
        <v>48</v>
      </c>
      <c r="E1540" s="44" t="s">
        <v>23543</v>
      </c>
      <c r="F1540" s="72">
        <v>42445</v>
      </c>
      <c r="G1540" s="11" t="s">
        <v>23542</v>
      </c>
      <c r="H1540" s="8" t="s">
        <v>754</v>
      </c>
      <c r="I1540" s="11" t="s">
        <v>423</v>
      </c>
      <c r="J1540" s="44">
        <v>10454</v>
      </c>
      <c r="K1540" s="8" t="s">
        <v>1844</v>
      </c>
      <c r="L1540" s="8" t="s">
        <v>582</v>
      </c>
      <c r="M1540" s="8" t="s">
        <v>2291</v>
      </c>
      <c r="N1540" s="8" t="s">
        <v>23541</v>
      </c>
      <c r="O1540" s="8" t="s">
        <v>400</v>
      </c>
      <c r="P1540" s="11" t="s">
        <v>401</v>
      </c>
      <c r="Q1540" s="44" t="s">
        <v>23546</v>
      </c>
      <c r="R1540" s="11" t="s">
        <v>964</v>
      </c>
      <c r="S1540" s="8" t="s">
        <v>18</v>
      </c>
      <c r="T1540" s="44"/>
      <c r="U1540" s="44"/>
      <c r="V1540" s="44"/>
      <c r="W1540" s="44"/>
      <c r="X1540" s="44"/>
      <c r="Y1540" s="44"/>
      <c r="Z1540" s="44"/>
      <c r="AA1540" s="44"/>
      <c r="AB1540" s="44"/>
      <c r="AC1540" s="44"/>
      <c r="AD1540" s="44"/>
      <c r="AE1540" s="44"/>
      <c r="AF1540" s="44"/>
      <c r="AG1540" s="44"/>
      <c r="AH1540" s="44"/>
      <c r="AI1540" s="44"/>
      <c r="AU1540" s="1"/>
      <c r="AV1540" s="1"/>
      <c r="AW1540" s="1"/>
      <c r="AX1540" s="1"/>
      <c r="AY1540" s="1"/>
      <c r="AZ1540" s="1"/>
      <c r="BA1540" s="1"/>
      <c r="BB1540" s="1"/>
      <c r="BC1540" s="1"/>
      <c r="BD1540" s="1"/>
      <c r="BE1540" s="1"/>
      <c r="BF1540" s="1"/>
      <c r="BG1540" s="1"/>
      <c r="BH1540" s="1"/>
      <c r="BI1540" s="1"/>
      <c r="BJ1540" s="1"/>
      <c r="BK1540" s="1"/>
    </row>
    <row r="1541" spans="1:63" s="11" customFormat="1" ht="12" customHeight="1" x14ac:dyDescent="0.15">
      <c r="A1541" s="11" t="s">
        <v>22750</v>
      </c>
      <c r="B1541" s="11">
        <v>16</v>
      </c>
      <c r="C1541" s="11" t="s">
        <v>20</v>
      </c>
      <c r="D1541" s="11" t="s">
        <v>85</v>
      </c>
      <c r="F1541" s="72">
        <v>42445</v>
      </c>
      <c r="G1541" s="11" t="s">
        <v>22747</v>
      </c>
      <c r="H1541" s="8" t="s">
        <v>1592</v>
      </c>
      <c r="I1541" s="11" t="s">
        <v>52</v>
      </c>
      <c r="J1541" s="47" t="s">
        <v>9133</v>
      </c>
      <c r="K1541" s="16" t="s">
        <v>4697</v>
      </c>
      <c r="L1541" s="16" t="s">
        <v>2770</v>
      </c>
      <c r="M1541" s="8" t="s">
        <v>379</v>
      </c>
      <c r="N1541" s="8" t="s">
        <v>22748</v>
      </c>
      <c r="O1541" s="8" t="s">
        <v>400</v>
      </c>
      <c r="P1541" s="11" t="s">
        <v>401</v>
      </c>
      <c r="Q1541" s="14" t="s">
        <v>22749</v>
      </c>
      <c r="R1541" s="8" t="s">
        <v>100</v>
      </c>
      <c r="S1541" s="66" t="s">
        <v>379</v>
      </c>
      <c r="T1541" s="66" t="s">
        <v>30738</v>
      </c>
      <c r="U1541" s="1"/>
      <c r="AU1541" s="44"/>
      <c r="AV1541" s="44"/>
      <c r="AW1541" s="44"/>
      <c r="AX1541" s="44"/>
      <c r="AY1541" s="44"/>
      <c r="AZ1541" s="1"/>
      <c r="BA1541" s="1"/>
      <c r="BB1541" s="1"/>
      <c r="BK1541" s="1"/>
    </row>
    <row r="1542" spans="1:63" s="11" customFormat="1" ht="12" customHeight="1" x14ac:dyDescent="0.15">
      <c r="A1542" s="11" t="s">
        <v>22745</v>
      </c>
      <c r="B1542" s="11">
        <v>13</v>
      </c>
      <c r="C1542" s="11" t="s">
        <v>20</v>
      </c>
      <c r="D1542" s="11" t="s">
        <v>85</v>
      </c>
      <c r="E1542" s="11" t="s">
        <v>22746</v>
      </c>
      <c r="F1542" s="72">
        <v>42445</v>
      </c>
      <c r="G1542" s="11" t="s">
        <v>22747</v>
      </c>
      <c r="H1542" s="8" t="s">
        <v>1592</v>
      </c>
      <c r="I1542" s="11" t="s">
        <v>52</v>
      </c>
      <c r="J1542" s="47" t="s">
        <v>9133</v>
      </c>
      <c r="K1542" s="16" t="s">
        <v>4697</v>
      </c>
      <c r="L1542" s="16" t="s">
        <v>2770</v>
      </c>
      <c r="M1542" s="8" t="s">
        <v>379</v>
      </c>
      <c r="N1542" s="8" t="s">
        <v>22748</v>
      </c>
      <c r="O1542" s="8" t="s">
        <v>400</v>
      </c>
      <c r="P1542" s="11" t="s">
        <v>401</v>
      </c>
      <c r="Q1542" s="14" t="s">
        <v>22749</v>
      </c>
      <c r="R1542" s="8" t="s">
        <v>100</v>
      </c>
      <c r="S1542" s="66" t="s">
        <v>379</v>
      </c>
      <c r="T1542" s="66" t="s">
        <v>30738</v>
      </c>
      <c r="U1542" s="1"/>
      <c r="AU1542" s="44"/>
      <c r="AV1542" s="44"/>
      <c r="AW1542" s="44"/>
      <c r="AX1542" s="44"/>
      <c r="AY1542" s="44"/>
      <c r="AZ1542" s="1"/>
      <c r="BA1542" s="1"/>
      <c r="BB1542" s="1"/>
      <c r="BK1542" s="1"/>
    </row>
    <row r="1543" spans="1:63" s="11" customFormat="1" ht="12" customHeight="1" x14ac:dyDescent="0.15">
      <c r="A1543" s="11" t="s">
        <v>21706</v>
      </c>
      <c r="B1543" s="11">
        <v>25</v>
      </c>
      <c r="C1543" s="11" t="s">
        <v>20</v>
      </c>
      <c r="D1543" s="11" t="s">
        <v>48</v>
      </c>
      <c r="F1543" s="72">
        <v>42445</v>
      </c>
      <c r="G1543" s="11" t="s">
        <v>21707</v>
      </c>
      <c r="H1543" s="11" t="s">
        <v>4552</v>
      </c>
      <c r="I1543" s="11" t="s">
        <v>45</v>
      </c>
      <c r="J1543" s="10">
        <v>92307</v>
      </c>
      <c r="K1543" s="11" t="s">
        <v>309</v>
      </c>
      <c r="L1543" s="11" t="s">
        <v>416</v>
      </c>
      <c r="M1543" s="11" t="s">
        <v>27</v>
      </c>
      <c r="N1543" s="11" t="s">
        <v>21708</v>
      </c>
      <c r="O1543" s="11" t="s">
        <v>400</v>
      </c>
      <c r="P1543" s="11" t="s">
        <v>401</v>
      </c>
      <c r="Q1543" s="11" t="s">
        <v>21709</v>
      </c>
      <c r="R1543" s="11" t="s">
        <v>29</v>
      </c>
      <c r="S1543" s="11" t="s">
        <v>35</v>
      </c>
      <c r="T1543" s="68"/>
      <c r="U1543" s="68"/>
      <c r="V1543" s="68"/>
      <c r="W1543" s="68"/>
      <c r="X1543" s="68"/>
      <c r="AW1543" s="1"/>
      <c r="AX1543" s="1"/>
      <c r="AY1543" s="1"/>
      <c r="AZ1543" s="1"/>
      <c r="BA1543" s="1"/>
      <c r="BB1543" s="1"/>
      <c r="BC1543" s="1"/>
      <c r="BD1543" s="1"/>
      <c r="BE1543" s="1"/>
      <c r="BF1543" s="1"/>
      <c r="BG1543" s="1"/>
      <c r="BH1543" s="1"/>
      <c r="BI1543" s="1"/>
      <c r="BJ1543" s="1"/>
      <c r="BK1543" s="1"/>
    </row>
    <row r="1544" spans="1:63" s="11" customFormat="1" ht="12" customHeight="1" x14ac:dyDescent="0.15">
      <c r="A1544" s="11" t="s">
        <v>21743</v>
      </c>
      <c r="B1544" s="68">
        <v>33</v>
      </c>
      <c r="C1544" s="11" t="s">
        <v>20</v>
      </c>
      <c r="D1544" s="11" t="s">
        <v>48</v>
      </c>
      <c r="F1544" s="69">
        <v>42445</v>
      </c>
      <c r="G1544" s="11" t="s">
        <v>21744</v>
      </c>
      <c r="H1544" s="8" t="s">
        <v>575</v>
      </c>
      <c r="I1544" s="11" t="s">
        <v>73</v>
      </c>
      <c r="J1544" s="17">
        <v>78214</v>
      </c>
      <c r="K1544" s="16" t="s">
        <v>576</v>
      </c>
      <c r="L1544" s="8" t="s">
        <v>577</v>
      </c>
      <c r="M1544" s="8" t="s">
        <v>27</v>
      </c>
      <c r="N1544" s="8" t="s">
        <v>21745</v>
      </c>
      <c r="O1544" s="8" t="s">
        <v>400</v>
      </c>
      <c r="P1544" s="11" t="s">
        <v>401</v>
      </c>
      <c r="Q1544" s="14" t="s">
        <v>21746</v>
      </c>
      <c r="R1544" s="8" t="s">
        <v>555</v>
      </c>
      <c r="S1544" s="8" t="s">
        <v>28</v>
      </c>
      <c r="T1544" s="68" t="s">
        <v>27756</v>
      </c>
      <c r="U1544" s="68" t="s">
        <v>29438</v>
      </c>
      <c r="V1544" s="68" t="s">
        <v>29439</v>
      </c>
      <c r="W1544" s="68" t="s">
        <v>100</v>
      </c>
      <c r="X1544" s="68">
        <v>1368</v>
      </c>
      <c r="AX1544" s="1"/>
      <c r="AY1544" s="1"/>
      <c r="BC1544" s="1"/>
      <c r="BD1544" s="1"/>
      <c r="BE1544" s="1"/>
      <c r="BF1544" s="1"/>
      <c r="BG1544" s="1"/>
      <c r="BH1544" s="1"/>
      <c r="BI1544" s="1"/>
      <c r="BJ1544" s="1"/>
      <c r="BK1544" s="44"/>
    </row>
    <row r="1545" spans="1:63" s="11" customFormat="1" ht="12" customHeight="1" x14ac:dyDescent="0.15">
      <c r="A1545" s="11" t="s">
        <v>22070</v>
      </c>
      <c r="B1545" s="68">
        <v>40</v>
      </c>
      <c r="C1545" s="11" t="s">
        <v>20</v>
      </c>
      <c r="D1545" s="11" t="s">
        <v>37</v>
      </c>
      <c r="F1545" s="69">
        <v>42445</v>
      </c>
      <c r="G1545" s="11" t="s">
        <v>22071</v>
      </c>
      <c r="H1545" s="8" t="s">
        <v>22072</v>
      </c>
      <c r="I1545" s="11" t="s">
        <v>366</v>
      </c>
      <c r="J1545" s="17">
        <v>28379</v>
      </c>
      <c r="K1545" s="16" t="s">
        <v>4434</v>
      </c>
      <c r="L1545" s="8" t="s">
        <v>22073</v>
      </c>
      <c r="M1545" s="8" t="s">
        <v>27</v>
      </c>
      <c r="N1545" s="8" t="s">
        <v>22074</v>
      </c>
      <c r="O1545" s="8" t="s">
        <v>400</v>
      </c>
      <c r="P1545" s="11" t="s">
        <v>401</v>
      </c>
      <c r="Q1545" s="14" t="s">
        <v>22075</v>
      </c>
      <c r="R1545" s="8" t="s">
        <v>555</v>
      </c>
      <c r="S1545" s="8" t="s">
        <v>28</v>
      </c>
      <c r="T1545" s="68" t="s">
        <v>27756</v>
      </c>
      <c r="U1545" s="68" t="s">
        <v>29438</v>
      </c>
      <c r="V1545" s="68" t="s">
        <v>29439</v>
      </c>
      <c r="W1545" s="68" t="s">
        <v>100</v>
      </c>
      <c r="X1545" s="68">
        <v>1374</v>
      </c>
      <c r="AW1545" s="44"/>
      <c r="AX1545" s="1"/>
      <c r="AY1545" s="1"/>
      <c r="BC1545" s="1"/>
      <c r="BD1545" s="1"/>
      <c r="BE1545" s="1"/>
      <c r="BF1545" s="1"/>
      <c r="BG1545" s="1"/>
      <c r="BH1545" s="1"/>
      <c r="BI1545" s="1"/>
      <c r="BJ1545" s="1"/>
      <c r="BK1545" s="44"/>
    </row>
    <row r="1546" spans="1:63" s="11" customFormat="1" ht="12" customHeight="1" x14ac:dyDescent="0.15">
      <c r="A1546" s="11" t="s">
        <v>21686</v>
      </c>
      <c r="B1546" s="68">
        <v>23</v>
      </c>
      <c r="C1546" s="11" t="s">
        <v>20</v>
      </c>
      <c r="D1546" s="11" t="s">
        <v>48</v>
      </c>
      <c r="F1546" s="69">
        <v>42445</v>
      </c>
      <c r="G1546" s="11" t="s">
        <v>21687</v>
      </c>
      <c r="H1546" s="8" t="s">
        <v>98</v>
      </c>
      <c r="I1546" s="11" t="s">
        <v>45</v>
      </c>
      <c r="J1546" s="17">
        <v>90001</v>
      </c>
      <c r="K1546" s="16" t="s">
        <v>98</v>
      </c>
      <c r="L1546" s="11" t="s">
        <v>414</v>
      </c>
      <c r="M1546" s="8" t="s">
        <v>27</v>
      </c>
      <c r="N1546" s="8" t="s">
        <v>21688</v>
      </c>
      <c r="O1546" s="8" t="s">
        <v>400</v>
      </c>
      <c r="P1546" s="11" t="s">
        <v>401</v>
      </c>
      <c r="Q1546" s="14" t="s">
        <v>21689</v>
      </c>
      <c r="R1546" s="8" t="s">
        <v>555</v>
      </c>
      <c r="S1546" s="8" t="s">
        <v>18</v>
      </c>
      <c r="T1546" s="68" t="s">
        <v>28345</v>
      </c>
      <c r="U1546" s="68" t="s">
        <v>29436</v>
      </c>
      <c r="V1546" s="68" t="s">
        <v>29439</v>
      </c>
      <c r="W1546" s="68" t="s">
        <v>100</v>
      </c>
      <c r="X1546" s="68">
        <v>1367</v>
      </c>
      <c r="AW1546" s="44"/>
      <c r="AX1546" s="1"/>
      <c r="AY1546" s="1"/>
      <c r="BC1546" s="1"/>
      <c r="BD1546" s="1"/>
      <c r="BE1546" s="1"/>
      <c r="BF1546" s="1"/>
      <c r="BG1546" s="1"/>
      <c r="BH1546" s="1"/>
      <c r="BI1546" s="1"/>
      <c r="BJ1546" s="1"/>
      <c r="BK1546" s="1"/>
    </row>
    <row r="1547" spans="1:63" s="11" customFormat="1" ht="12" customHeight="1" x14ac:dyDescent="0.15">
      <c r="A1547" s="11" t="s">
        <v>22467</v>
      </c>
      <c r="B1547" s="68">
        <v>38</v>
      </c>
      <c r="C1547" s="11" t="s">
        <v>20</v>
      </c>
      <c r="D1547" s="11" t="s">
        <v>37</v>
      </c>
      <c r="E1547" s="60" t="s">
        <v>22468</v>
      </c>
      <c r="F1547" s="69">
        <v>42444</v>
      </c>
      <c r="G1547" s="11" t="s">
        <v>22469</v>
      </c>
      <c r="H1547" s="8" t="s">
        <v>22470</v>
      </c>
      <c r="I1547" s="11" t="s">
        <v>217</v>
      </c>
      <c r="J1547" s="17">
        <v>47715</v>
      </c>
      <c r="K1547" s="16" t="s">
        <v>22471</v>
      </c>
      <c r="L1547" s="8" t="s">
        <v>22472</v>
      </c>
      <c r="M1547" s="8" t="s">
        <v>27</v>
      </c>
      <c r="N1547" s="8" t="s">
        <v>22473</v>
      </c>
      <c r="O1547" s="8" t="s">
        <v>400</v>
      </c>
      <c r="P1547" s="11" t="s">
        <v>401</v>
      </c>
      <c r="Q1547" s="14" t="s">
        <v>22474</v>
      </c>
      <c r="R1547" s="8" t="s">
        <v>100</v>
      </c>
      <c r="S1547" s="8" t="s">
        <v>28</v>
      </c>
      <c r="T1547" s="68" t="s">
        <v>29493</v>
      </c>
      <c r="U1547" s="68" t="s">
        <v>29436</v>
      </c>
      <c r="V1547" s="68" t="s">
        <v>29437</v>
      </c>
      <c r="W1547" s="68" t="s">
        <v>555</v>
      </c>
      <c r="X1547" s="68">
        <v>1369</v>
      </c>
      <c r="AW1547" s="44"/>
      <c r="AX1547" s="1"/>
      <c r="AY1547" s="1"/>
      <c r="BB1547" s="44"/>
      <c r="BC1547" s="1"/>
      <c r="BD1547" s="1"/>
      <c r="BE1547" s="1"/>
      <c r="BF1547" s="1"/>
      <c r="BG1547" s="1"/>
      <c r="BH1547" s="1"/>
      <c r="BI1547" s="1"/>
      <c r="BJ1547" s="1"/>
      <c r="BK1547" s="44"/>
    </row>
    <row r="1548" spans="1:63" s="11" customFormat="1" ht="12" customHeight="1" x14ac:dyDescent="0.15">
      <c r="A1548" s="11" t="s">
        <v>22037</v>
      </c>
      <c r="B1548" s="68">
        <v>34</v>
      </c>
      <c r="C1548" s="11" t="s">
        <v>20</v>
      </c>
      <c r="D1548" s="11" t="s">
        <v>37</v>
      </c>
      <c r="F1548" s="69">
        <v>42444</v>
      </c>
      <c r="G1548" s="11" t="s">
        <v>22038</v>
      </c>
      <c r="H1548" s="8" t="s">
        <v>6480</v>
      </c>
      <c r="I1548" s="11" t="s">
        <v>315</v>
      </c>
      <c r="J1548" s="17" t="s">
        <v>22039</v>
      </c>
      <c r="K1548" s="16" t="s">
        <v>990</v>
      </c>
      <c r="L1548" s="8" t="s">
        <v>22040</v>
      </c>
      <c r="M1548" s="8" t="s">
        <v>27</v>
      </c>
      <c r="N1548" s="8" t="s">
        <v>22041</v>
      </c>
      <c r="O1548" s="8" t="s">
        <v>400</v>
      </c>
      <c r="P1548" s="11" t="s">
        <v>401</v>
      </c>
      <c r="Q1548" s="14" t="s">
        <v>22042</v>
      </c>
      <c r="R1548" s="8" t="s">
        <v>100</v>
      </c>
      <c r="S1548" s="8" t="s">
        <v>28</v>
      </c>
      <c r="T1548" s="68" t="s">
        <v>27756</v>
      </c>
      <c r="U1548" s="68" t="s">
        <v>29436</v>
      </c>
      <c r="V1548" s="68" t="s">
        <v>29440</v>
      </c>
      <c r="W1548" s="68" t="s">
        <v>100</v>
      </c>
      <c r="X1548" s="68">
        <v>1366</v>
      </c>
      <c r="AX1548" s="1"/>
      <c r="AY1548" s="1"/>
      <c r="AZ1548" s="44"/>
      <c r="BB1548" s="44"/>
      <c r="BC1548" s="1"/>
      <c r="BD1548" s="1"/>
      <c r="BE1548" s="1"/>
      <c r="BF1548" s="1"/>
      <c r="BG1548" s="1"/>
      <c r="BH1548" s="1"/>
      <c r="BI1548" s="1"/>
      <c r="BJ1548" s="1"/>
      <c r="BK1548" s="44"/>
    </row>
    <row r="1549" spans="1:63" s="11" customFormat="1" ht="12" customHeight="1" x14ac:dyDescent="0.15">
      <c r="A1549" s="11" t="s">
        <v>22388</v>
      </c>
      <c r="B1549" s="68">
        <v>43</v>
      </c>
      <c r="C1549" s="11" t="s">
        <v>20</v>
      </c>
      <c r="D1549" s="11" t="s">
        <v>37</v>
      </c>
      <c r="E1549" s="60" t="s">
        <v>22389</v>
      </c>
      <c r="F1549" s="69">
        <v>42444</v>
      </c>
      <c r="G1549" s="11" t="s">
        <v>22390</v>
      </c>
      <c r="H1549" s="8" t="s">
        <v>926</v>
      </c>
      <c r="I1549" s="11" t="s">
        <v>73</v>
      </c>
      <c r="J1549" s="17" t="s">
        <v>22391</v>
      </c>
      <c r="K1549" s="16" t="s">
        <v>74</v>
      </c>
      <c r="L1549" s="8" t="s">
        <v>927</v>
      </c>
      <c r="M1549" s="8" t="s">
        <v>27</v>
      </c>
      <c r="N1549" s="8" t="s">
        <v>22392</v>
      </c>
      <c r="O1549" s="8" t="s">
        <v>400</v>
      </c>
      <c r="P1549" s="11" t="s">
        <v>401</v>
      </c>
      <c r="Q1549" s="14" t="s">
        <v>22393</v>
      </c>
      <c r="R1549" s="8" t="s">
        <v>100</v>
      </c>
      <c r="S1549" s="8" t="s">
        <v>28</v>
      </c>
      <c r="T1549" s="68" t="s">
        <v>27756</v>
      </c>
      <c r="U1549" s="68" t="s">
        <v>29436</v>
      </c>
      <c r="V1549" s="68" t="s">
        <v>21212</v>
      </c>
      <c r="W1549" s="68" t="s">
        <v>555</v>
      </c>
      <c r="X1549" s="68">
        <v>1371</v>
      </c>
      <c r="AW1549" s="1"/>
      <c r="AX1549" s="1"/>
      <c r="AY1549" s="1"/>
      <c r="BB1549" s="44"/>
      <c r="BC1549" s="1"/>
      <c r="BD1549" s="1"/>
      <c r="BE1549" s="1"/>
      <c r="BF1549" s="1"/>
      <c r="BG1549" s="1"/>
      <c r="BH1549" s="1"/>
      <c r="BI1549" s="1"/>
      <c r="BJ1549" s="1"/>
      <c r="BK1549" s="44"/>
    </row>
    <row r="1550" spans="1:63" s="11" customFormat="1" ht="12" customHeight="1" x14ac:dyDescent="0.15">
      <c r="A1550" s="11" t="s">
        <v>21348</v>
      </c>
      <c r="B1550" s="68">
        <v>29</v>
      </c>
      <c r="C1550" s="11" t="s">
        <v>20</v>
      </c>
      <c r="D1550" s="11" t="s">
        <v>85</v>
      </c>
      <c r="E1550" s="60" t="s">
        <v>21349</v>
      </c>
      <c r="F1550" s="69">
        <v>42443</v>
      </c>
      <c r="G1550" s="11" t="s">
        <v>21350</v>
      </c>
      <c r="H1550" s="8" t="s">
        <v>87</v>
      </c>
      <c r="I1550" s="11" t="s">
        <v>44</v>
      </c>
      <c r="J1550" s="47" t="s">
        <v>6594</v>
      </c>
      <c r="K1550" s="16" t="s">
        <v>88</v>
      </c>
      <c r="L1550" s="8" t="s">
        <v>89</v>
      </c>
      <c r="M1550" s="8" t="s">
        <v>27</v>
      </c>
      <c r="N1550" s="8" t="s">
        <v>21351</v>
      </c>
      <c r="O1550" s="8" t="s">
        <v>400</v>
      </c>
      <c r="P1550" s="11" t="s">
        <v>401</v>
      </c>
      <c r="Q1550" s="14" t="s">
        <v>21352</v>
      </c>
      <c r="R1550" s="8" t="s">
        <v>100</v>
      </c>
      <c r="S1550" s="8" t="s">
        <v>28</v>
      </c>
      <c r="T1550" s="68" t="s">
        <v>27756</v>
      </c>
      <c r="U1550" s="68" t="s">
        <v>29438</v>
      </c>
      <c r="V1550" s="68" t="s">
        <v>29440</v>
      </c>
      <c r="W1550" s="68" t="s">
        <v>100</v>
      </c>
      <c r="X1550" s="68">
        <v>1364</v>
      </c>
      <c r="AW1550" s="44"/>
      <c r="BB1550" s="44"/>
      <c r="BK1550" s="44"/>
    </row>
    <row r="1551" spans="1:63" s="11" customFormat="1" ht="12" customHeight="1" x14ac:dyDescent="0.15">
      <c r="A1551" s="11" t="s">
        <v>22613</v>
      </c>
      <c r="B1551" s="68">
        <v>30</v>
      </c>
      <c r="C1551" s="11" t="s">
        <v>20</v>
      </c>
      <c r="D1551" s="11" t="s">
        <v>37</v>
      </c>
      <c r="E1551" s="60" t="s">
        <v>22614</v>
      </c>
      <c r="F1551" s="69">
        <v>42442</v>
      </c>
      <c r="G1551" s="11" t="s">
        <v>22615</v>
      </c>
      <c r="H1551" s="8" t="s">
        <v>8792</v>
      </c>
      <c r="I1551" s="11" t="s">
        <v>319</v>
      </c>
      <c r="J1551" s="17" t="s">
        <v>8793</v>
      </c>
      <c r="K1551" s="16" t="s">
        <v>8794</v>
      </c>
      <c r="L1551" s="8" t="s">
        <v>22616</v>
      </c>
      <c r="M1551" s="8" t="s">
        <v>27</v>
      </c>
      <c r="N1551" s="8" t="s">
        <v>23144</v>
      </c>
      <c r="O1551" s="8" t="s">
        <v>400</v>
      </c>
      <c r="P1551" s="11" t="s">
        <v>401</v>
      </c>
      <c r="Q1551" s="14" t="s">
        <v>22617</v>
      </c>
      <c r="R1551" s="11" t="s">
        <v>964</v>
      </c>
      <c r="S1551" s="8" t="s">
        <v>18</v>
      </c>
      <c r="T1551" s="68" t="s">
        <v>28345</v>
      </c>
      <c r="U1551" s="68" t="s">
        <v>29436</v>
      </c>
      <c r="V1551" s="68" t="s">
        <v>29437</v>
      </c>
      <c r="W1551" s="68" t="s">
        <v>555</v>
      </c>
      <c r="X1551" s="68">
        <v>1359</v>
      </c>
      <c r="AX1551" s="1"/>
      <c r="AY1551" s="1"/>
      <c r="BA1551" s="44"/>
      <c r="BB1551" s="44"/>
      <c r="BC1551" s="1"/>
      <c r="BD1551" s="1"/>
      <c r="BE1551" s="1"/>
      <c r="BF1551" s="1"/>
      <c r="BG1551" s="1"/>
      <c r="BH1551" s="1"/>
      <c r="BI1551" s="1"/>
      <c r="BJ1551" s="1"/>
      <c r="BK1551" s="1"/>
    </row>
    <row r="1552" spans="1:63" s="11" customFormat="1" ht="12" customHeight="1" x14ac:dyDescent="0.15">
      <c r="A1552" s="8" t="s">
        <v>21380</v>
      </c>
      <c r="B1552" s="68">
        <v>28</v>
      </c>
      <c r="C1552" s="8" t="s">
        <v>20</v>
      </c>
      <c r="D1552" s="11" t="s">
        <v>85</v>
      </c>
      <c r="E1552" s="62" t="s">
        <v>21381</v>
      </c>
      <c r="F1552" s="69">
        <v>42442</v>
      </c>
      <c r="G1552" s="8" t="s">
        <v>21382</v>
      </c>
      <c r="H1552" s="8" t="s">
        <v>2375</v>
      </c>
      <c r="I1552" s="8" t="s">
        <v>52</v>
      </c>
      <c r="J1552" s="53" t="s">
        <v>2376</v>
      </c>
      <c r="K1552" s="2" t="s">
        <v>6546</v>
      </c>
      <c r="L1552" s="2" t="s">
        <v>21383</v>
      </c>
      <c r="M1552" s="8" t="s">
        <v>27</v>
      </c>
      <c r="N1552" s="8" t="s">
        <v>21384</v>
      </c>
      <c r="O1552" s="8" t="s">
        <v>400</v>
      </c>
      <c r="P1552" s="11" t="s">
        <v>401</v>
      </c>
      <c r="Q1552" s="62" t="s">
        <v>21385</v>
      </c>
      <c r="R1552" s="8" t="s">
        <v>100</v>
      </c>
      <c r="S1552" s="8" t="s">
        <v>28</v>
      </c>
      <c r="T1552" s="68" t="s">
        <v>27756</v>
      </c>
      <c r="U1552" s="68" t="s">
        <v>29436</v>
      </c>
      <c r="V1552" s="68" t="s">
        <v>29439</v>
      </c>
      <c r="W1552" s="68" t="s">
        <v>100</v>
      </c>
      <c r="X1552" s="68">
        <v>1379</v>
      </c>
      <c r="Y1552" s="44"/>
      <c r="AW1552" s="44"/>
      <c r="BB1552" s="44"/>
      <c r="BK1552" s="44"/>
    </row>
    <row r="1553" spans="1:63" s="11" customFormat="1" ht="12" customHeight="1" x14ac:dyDescent="0.15">
      <c r="A1553" s="11" t="s">
        <v>21582</v>
      </c>
      <c r="B1553" s="68">
        <v>24</v>
      </c>
      <c r="C1553" s="11" t="s">
        <v>20</v>
      </c>
      <c r="D1553" s="11" t="s">
        <v>85</v>
      </c>
      <c r="F1553" s="69">
        <v>42442</v>
      </c>
      <c r="G1553" s="11" t="s">
        <v>21583</v>
      </c>
      <c r="H1553" s="8" t="s">
        <v>403</v>
      </c>
      <c r="I1553" s="11" t="s">
        <v>404</v>
      </c>
      <c r="J1553" s="47" t="s">
        <v>1960</v>
      </c>
      <c r="K1553" s="8" t="s">
        <v>906</v>
      </c>
      <c r="L1553" s="8" t="s">
        <v>1961</v>
      </c>
      <c r="M1553" s="8" t="s">
        <v>27</v>
      </c>
      <c r="N1553" s="8" t="s">
        <v>21584</v>
      </c>
      <c r="O1553" s="8" t="s">
        <v>400</v>
      </c>
      <c r="P1553" s="11" t="s">
        <v>401</v>
      </c>
      <c r="Q1553" s="14" t="s">
        <v>21585</v>
      </c>
      <c r="R1553" s="8" t="s">
        <v>100</v>
      </c>
      <c r="S1553" s="8" t="s">
        <v>28</v>
      </c>
      <c r="T1553" s="68" t="s">
        <v>27756</v>
      </c>
      <c r="U1553" s="68" t="s">
        <v>29438</v>
      </c>
      <c r="V1553" s="68" t="s">
        <v>29439</v>
      </c>
      <c r="W1553" s="68" t="s">
        <v>100</v>
      </c>
      <c r="X1553" s="68">
        <v>1361</v>
      </c>
      <c r="AX1553" s="44"/>
      <c r="AY1553" s="44"/>
      <c r="BB1553" s="44"/>
      <c r="BK1553" s="44"/>
    </row>
    <row r="1554" spans="1:63" s="11" customFormat="1" ht="12" customHeight="1" x14ac:dyDescent="0.15">
      <c r="A1554" s="11" t="s">
        <v>22206</v>
      </c>
      <c r="B1554" s="68">
        <v>26</v>
      </c>
      <c r="C1554" s="11" t="s">
        <v>20</v>
      </c>
      <c r="D1554" s="11" t="s">
        <v>37</v>
      </c>
      <c r="E1554" s="60" t="s">
        <v>22207</v>
      </c>
      <c r="F1554" s="69">
        <v>42442</v>
      </c>
      <c r="G1554" s="11" t="s">
        <v>22208</v>
      </c>
      <c r="H1554" s="8" t="s">
        <v>9447</v>
      </c>
      <c r="I1554" s="11" t="s">
        <v>94</v>
      </c>
      <c r="J1554" s="17" t="s">
        <v>22209</v>
      </c>
      <c r="K1554" s="16" t="s">
        <v>12740</v>
      </c>
      <c r="L1554" s="8" t="s">
        <v>22210</v>
      </c>
      <c r="M1554" s="8" t="s">
        <v>27</v>
      </c>
      <c r="N1554" s="8" t="s">
        <v>23100</v>
      </c>
      <c r="O1554" s="8" t="s">
        <v>400</v>
      </c>
      <c r="P1554" s="11" t="s">
        <v>401</v>
      </c>
      <c r="Q1554" s="14" t="s">
        <v>22211</v>
      </c>
      <c r="R1554" s="8" t="s">
        <v>100</v>
      </c>
      <c r="S1554" s="8" t="s">
        <v>28</v>
      </c>
      <c r="T1554" s="68" t="s">
        <v>27756</v>
      </c>
      <c r="U1554" s="68" t="s">
        <v>29438</v>
      </c>
      <c r="V1554" s="68" t="s">
        <v>29437</v>
      </c>
      <c r="W1554" s="68" t="s">
        <v>100</v>
      </c>
      <c r="X1554" s="68">
        <v>1360</v>
      </c>
      <c r="AW1554" s="44"/>
      <c r="AX1554" s="1"/>
      <c r="AY1554" s="1"/>
      <c r="BB1554" s="44"/>
      <c r="BC1554" s="1"/>
      <c r="BD1554" s="1"/>
      <c r="BE1554" s="1"/>
      <c r="BF1554" s="1"/>
      <c r="BG1554" s="1"/>
      <c r="BH1554" s="1"/>
      <c r="BI1554" s="1"/>
      <c r="BJ1554" s="1"/>
      <c r="BK1554" s="44"/>
    </row>
    <row r="1555" spans="1:63" s="11" customFormat="1" ht="12" customHeight="1" x14ac:dyDescent="0.2">
      <c r="A1555" s="11" t="s">
        <v>21694</v>
      </c>
      <c r="B1555" s="68">
        <v>16</v>
      </c>
      <c r="C1555" s="11" t="s">
        <v>20</v>
      </c>
      <c r="D1555" s="11" t="s">
        <v>48</v>
      </c>
      <c r="E1555" s="60" t="s">
        <v>21695</v>
      </c>
      <c r="F1555" s="69">
        <v>42442</v>
      </c>
      <c r="G1555" s="11" t="s">
        <v>21696</v>
      </c>
      <c r="H1555" s="8" t="s">
        <v>21697</v>
      </c>
      <c r="I1555" s="11" t="s">
        <v>73</v>
      </c>
      <c r="J1555" s="17" t="s">
        <v>21698</v>
      </c>
      <c r="K1555" s="16" t="s">
        <v>285</v>
      </c>
      <c r="L1555" s="8" t="s">
        <v>21699</v>
      </c>
      <c r="M1555" s="8" t="s">
        <v>27</v>
      </c>
      <c r="N1555" s="8" t="s">
        <v>21700</v>
      </c>
      <c r="O1555" s="8" t="s">
        <v>21481</v>
      </c>
      <c r="P1555" s="11" t="s">
        <v>1159</v>
      </c>
      <c r="Q1555" s="14" t="s">
        <v>21701</v>
      </c>
      <c r="R1555" s="8" t="s">
        <v>100</v>
      </c>
      <c r="S1555" s="8" t="s">
        <v>18</v>
      </c>
      <c r="T1555" s="68" t="s">
        <v>28345</v>
      </c>
      <c r="U1555" s="68" t="s">
        <v>29441</v>
      </c>
      <c r="V1555" s="68" t="s">
        <v>29437</v>
      </c>
      <c r="W1555" s="68" t="s">
        <v>100</v>
      </c>
      <c r="X1555" s="68">
        <v>1358</v>
      </c>
      <c r="AW1555" s="70"/>
      <c r="AX1555" s="1"/>
      <c r="AY1555" s="1"/>
      <c r="BB1555" s="44"/>
      <c r="BC1555" s="1"/>
      <c r="BD1555" s="1"/>
      <c r="BE1555" s="1"/>
      <c r="BF1555" s="1"/>
      <c r="BG1555" s="1"/>
      <c r="BH1555" s="1"/>
      <c r="BI1555" s="1"/>
      <c r="BJ1555" s="1"/>
      <c r="BK1555" s="1"/>
    </row>
    <row r="1556" spans="1:63" s="11" customFormat="1" ht="12" customHeight="1" x14ac:dyDescent="0.15">
      <c r="A1556" s="11" t="s">
        <v>23503</v>
      </c>
      <c r="B1556" s="11">
        <v>52</v>
      </c>
      <c r="C1556" s="11" t="s">
        <v>20</v>
      </c>
      <c r="D1556" s="11" t="s">
        <v>30</v>
      </c>
      <c r="E1556" s="44"/>
      <c r="F1556" s="72">
        <v>42442</v>
      </c>
      <c r="G1556" s="11" t="s">
        <v>23547</v>
      </c>
      <c r="H1556" s="8" t="s">
        <v>23548</v>
      </c>
      <c r="I1556" s="11" t="s">
        <v>315</v>
      </c>
      <c r="J1556" s="44">
        <v>42101</v>
      </c>
      <c r="K1556" s="8" t="s">
        <v>5964</v>
      </c>
      <c r="L1556" s="8" t="s">
        <v>20114</v>
      </c>
      <c r="M1556" s="8" t="s">
        <v>391</v>
      </c>
      <c r="N1556" s="8" t="s">
        <v>23544</v>
      </c>
      <c r="O1556" s="8" t="s">
        <v>400</v>
      </c>
      <c r="P1556" s="11" t="s">
        <v>401</v>
      </c>
      <c r="Q1556" s="44" t="s">
        <v>23545</v>
      </c>
      <c r="R1556" s="8" t="s">
        <v>29</v>
      </c>
      <c r="S1556" s="8" t="s">
        <v>18</v>
      </c>
      <c r="T1556" s="44"/>
      <c r="U1556" s="44"/>
      <c r="V1556" s="44"/>
      <c r="W1556" s="44"/>
      <c r="X1556" s="44"/>
      <c r="Y1556" s="44"/>
      <c r="Z1556" s="44"/>
      <c r="AA1556" s="44"/>
      <c r="AB1556" s="44"/>
      <c r="AC1556" s="44"/>
      <c r="AD1556" s="44"/>
      <c r="AE1556" s="44"/>
      <c r="AF1556" s="44"/>
      <c r="AG1556" s="44"/>
      <c r="AH1556" s="44"/>
      <c r="AI1556" s="44"/>
      <c r="AU1556" s="1"/>
      <c r="AV1556" s="1"/>
      <c r="AW1556" s="1"/>
      <c r="AX1556" s="1"/>
      <c r="AY1556" s="1"/>
      <c r="AZ1556" s="1"/>
      <c r="BA1556" s="1"/>
      <c r="BB1556" s="1"/>
      <c r="BC1556" s="1"/>
      <c r="BD1556" s="1"/>
      <c r="BE1556" s="1"/>
      <c r="BF1556" s="1"/>
      <c r="BG1556" s="1"/>
      <c r="BH1556" s="1"/>
      <c r="BI1556" s="1"/>
      <c r="BJ1556" s="1"/>
      <c r="BK1556" s="1"/>
    </row>
    <row r="1557" spans="1:63" s="11" customFormat="1" ht="12" customHeight="1" x14ac:dyDescent="0.15">
      <c r="A1557" s="11" t="s">
        <v>22540</v>
      </c>
      <c r="B1557" s="68">
        <v>38</v>
      </c>
      <c r="C1557" s="11" t="s">
        <v>114</v>
      </c>
      <c r="D1557" s="11" t="s">
        <v>37</v>
      </c>
      <c r="F1557" s="69">
        <v>42442</v>
      </c>
      <c r="G1557" s="11" t="s">
        <v>22541</v>
      </c>
      <c r="H1557" s="8" t="s">
        <v>3346</v>
      </c>
      <c r="I1557" s="11" t="s">
        <v>303</v>
      </c>
      <c r="J1557" s="17">
        <v>98662</v>
      </c>
      <c r="K1557" s="16" t="s">
        <v>570</v>
      </c>
      <c r="L1557" s="8" t="s">
        <v>12541</v>
      </c>
      <c r="M1557" s="8" t="s">
        <v>27</v>
      </c>
      <c r="N1557" s="8" t="s">
        <v>22542</v>
      </c>
      <c r="O1557" s="8" t="s">
        <v>400</v>
      </c>
      <c r="P1557" s="11" t="s">
        <v>401</v>
      </c>
      <c r="Q1557" s="14" t="s">
        <v>22543</v>
      </c>
      <c r="R1557" s="45" t="s">
        <v>555</v>
      </c>
      <c r="S1557" s="8" t="s">
        <v>28</v>
      </c>
      <c r="T1557" s="68" t="s">
        <v>29460</v>
      </c>
      <c r="U1557" s="68" t="s">
        <v>29438</v>
      </c>
      <c r="V1557" s="68" t="s">
        <v>29439</v>
      </c>
      <c r="W1557" s="68" t="s">
        <v>100</v>
      </c>
      <c r="X1557" s="68">
        <v>1362</v>
      </c>
      <c r="AW1557" s="44"/>
      <c r="AX1557" s="1"/>
      <c r="AY1557" s="1"/>
      <c r="AZ1557" s="44"/>
      <c r="BA1557" s="1"/>
      <c r="BB1557" s="1"/>
      <c r="BC1557" s="1"/>
      <c r="BD1557" s="1"/>
      <c r="BE1557" s="1"/>
      <c r="BF1557" s="1"/>
      <c r="BG1557" s="1"/>
      <c r="BH1557" s="1"/>
      <c r="BI1557" s="1"/>
      <c r="BJ1557" s="1"/>
      <c r="BK1557" s="44"/>
    </row>
    <row r="1558" spans="1:63" s="11" customFormat="1" ht="12" customHeight="1" x14ac:dyDescent="0.15">
      <c r="A1558" s="11" t="s">
        <v>22661</v>
      </c>
      <c r="B1558" s="68">
        <v>45</v>
      </c>
      <c r="C1558" s="11" t="s">
        <v>20</v>
      </c>
      <c r="D1558" s="11" t="s">
        <v>37</v>
      </c>
      <c r="F1558" s="69">
        <v>42442</v>
      </c>
      <c r="G1558" s="11" t="s">
        <v>22662</v>
      </c>
      <c r="H1558" s="8" t="s">
        <v>3324</v>
      </c>
      <c r="I1558" s="11" t="s">
        <v>45</v>
      </c>
      <c r="J1558" s="17">
        <v>91205</v>
      </c>
      <c r="K1558" s="16" t="s">
        <v>98</v>
      </c>
      <c r="L1558" s="8" t="s">
        <v>1497</v>
      </c>
      <c r="M1558" s="8" t="s">
        <v>27</v>
      </c>
      <c r="N1558" s="8" t="s">
        <v>23122</v>
      </c>
      <c r="O1558" s="8" t="s">
        <v>400</v>
      </c>
      <c r="P1558" s="11" t="s">
        <v>401</v>
      </c>
      <c r="Q1558" s="14" t="s">
        <v>22663</v>
      </c>
      <c r="R1558" s="8" t="s">
        <v>555</v>
      </c>
      <c r="S1558" s="68" t="s">
        <v>379</v>
      </c>
      <c r="T1558" s="68" t="s">
        <v>379</v>
      </c>
      <c r="U1558" s="68" t="s">
        <v>29438</v>
      </c>
      <c r="V1558" s="68" t="s">
        <v>29437</v>
      </c>
      <c r="W1558" s="68" t="s">
        <v>100</v>
      </c>
      <c r="X1558" s="68">
        <v>1356</v>
      </c>
      <c r="AW1558" s="1"/>
      <c r="AX1558" s="1"/>
      <c r="AY1558" s="1"/>
      <c r="BC1558" s="1"/>
      <c r="BD1558" s="1"/>
      <c r="BE1558" s="1"/>
      <c r="BF1558" s="1"/>
      <c r="BG1558" s="1"/>
      <c r="BH1558" s="1"/>
      <c r="BI1558" s="1"/>
      <c r="BJ1558" s="1"/>
      <c r="BK1558" s="44"/>
    </row>
    <row r="1559" spans="1:63" s="11" customFormat="1" ht="12" customHeight="1" x14ac:dyDescent="0.2">
      <c r="A1559" s="11" t="s">
        <v>21593</v>
      </c>
      <c r="B1559" s="68">
        <v>20</v>
      </c>
      <c r="C1559" s="11" t="s">
        <v>20</v>
      </c>
      <c r="D1559" s="11" t="s">
        <v>85</v>
      </c>
      <c r="F1559" s="69">
        <v>42441</v>
      </c>
      <c r="G1559" s="11" t="s">
        <v>21594</v>
      </c>
      <c r="H1559" s="8" t="s">
        <v>723</v>
      </c>
      <c r="I1559" s="11" t="s">
        <v>73</v>
      </c>
      <c r="J1559" s="47" t="s">
        <v>17654</v>
      </c>
      <c r="K1559" s="16" t="s">
        <v>558</v>
      </c>
      <c r="L1559" s="8" t="s">
        <v>559</v>
      </c>
      <c r="M1559" s="68" t="s">
        <v>5411</v>
      </c>
      <c r="N1559" s="8" t="s">
        <v>21595</v>
      </c>
      <c r="O1559" s="8" t="s">
        <v>400</v>
      </c>
      <c r="P1559" s="11" t="s">
        <v>401</v>
      </c>
      <c r="Q1559" s="14" t="s">
        <v>21489</v>
      </c>
      <c r="R1559" s="8" t="s">
        <v>100</v>
      </c>
      <c r="S1559" s="8" t="s">
        <v>28</v>
      </c>
      <c r="T1559" s="68" t="s">
        <v>391</v>
      </c>
      <c r="U1559" s="68" t="s">
        <v>29438</v>
      </c>
      <c r="V1559" s="68" t="s">
        <v>29439</v>
      </c>
      <c r="W1559" s="68" t="s">
        <v>100</v>
      </c>
      <c r="X1559" s="68">
        <v>1365</v>
      </c>
      <c r="AW1559" s="70"/>
      <c r="AX1559" s="70"/>
      <c r="AY1559" s="70"/>
      <c r="BB1559" s="70"/>
      <c r="BK1559" s="1"/>
    </row>
    <row r="1560" spans="1:63" s="11" customFormat="1" ht="12" customHeight="1" x14ac:dyDescent="0.15">
      <c r="A1560" s="11" t="s">
        <v>23504</v>
      </c>
      <c r="B1560" s="11">
        <v>49</v>
      </c>
      <c r="C1560" s="11" t="s">
        <v>20</v>
      </c>
      <c r="D1560" s="11" t="s">
        <v>37</v>
      </c>
      <c r="E1560" s="44" t="s">
        <v>23549</v>
      </c>
      <c r="F1560" s="72">
        <v>42441</v>
      </c>
      <c r="G1560" s="11" t="s">
        <v>23552</v>
      </c>
      <c r="H1560" s="8" t="s">
        <v>23554</v>
      </c>
      <c r="I1560" s="11" t="s">
        <v>57</v>
      </c>
      <c r="J1560" s="44">
        <v>48415</v>
      </c>
      <c r="K1560" s="8" t="s">
        <v>23553</v>
      </c>
      <c r="L1560" s="1" t="s">
        <v>3953</v>
      </c>
      <c r="M1560" s="8" t="s">
        <v>379</v>
      </c>
      <c r="N1560" s="8" t="s">
        <v>23550</v>
      </c>
      <c r="O1560" s="8" t="s">
        <v>400</v>
      </c>
      <c r="P1560" s="11" t="s">
        <v>401</v>
      </c>
      <c r="Q1560" s="44" t="s">
        <v>23551</v>
      </c>
      <c r="R1560" s="8" t="s">
        <v>100</v>
      </c>
      <c r="S1560" s="8" t="s">
        <v>28</v>
      </c>
      <c r="T1560" s="44"/>
      <c r="U1560" s="44"/>
      <c r="V1560" s="44"/>
      <c r="W1560" s="44"/>
      <c r="X1560" s="44"/>
      <c r="Y1560" s="44"/>
      <c r="Z1560" s="44"/>
      <c r="AA1560" s="44"/>
      <c r="AB1560" s="44"/>
      <c r="AC1560" s="44"/>
      <c r="AD1560" s="44"/>
      <c r="AE1560" s="44"/>
      <c r="AF1560" s="44"/>
      <c r="AG1560" s="44"/>
      <c r="AH1560" s="44"/>
      <c r="AI1560" s="44"/>
      <c r="AU1560" s="44"/>
      <c r="AV1560" s="44"/>
      <c r="AW1560" s="44"/>
      <c r="AX1560" s="1"/>
      <c r="AY1560" s="1"/>
      <c r="AZ1560" s="1"/>
      <c r="BA1560" s="1"/>
      <c r="BB1560" s="1"/>
      <c r="BC1560" s="1"/>
      <c r="BD1560" s="1"/>
      <c r="BE1560" s="1"/>
      <c r="BF1560" s="1"/>
      <c r="BG1560" s="1"/>
      <c r="BH1560" s="1"/>
      <c r="BI1560" s="1"/>
      <c r="BJ1560" s="1"/>
      <c r="BK1560" s="1"/>
    </row>
    <row r="1561" spans="1:63" s="11" customFormat="1" ht="12" customHeight="1" x14ac:dyDescent="0.2">
      <c r="A1561" s="11" t="s">
        <v>22807</v>
      </c>
      <c r="B1561" s="68">
        <v>43</v>
      </c>
      <c r="C1561" s="11" t="s">
        <v>20</v>
      </c>
      <c r="D1561" s="11" t="s">
        <v>37</v>
      </c>
      <c r="F1561" s="69">
        <v>42441</v>
      </c>
      <c r="G1561" s="11" t="s">
        <v>22808</v>
      </c>
      <c r="H1561" s="8" t="s">
        <v>6466</v>
      </c>
      <c r="I1561" s="11" t="s">
        <v>366</v>
      </c>
      <c r="J1561" s="17" t="s">
        <v>22809</v>
      </c>
      <c r="K1561" s="16" t="s">
        <v>647</v>
      </c>
      <c r="L1561" s="8" t="s">
        <v>10867</v>
      </c>
      <c r="M1561" s="8" t="s">
        <v>27</v>
      </c>
      <c r="N1561" s="8" t="s">
        <v>22810</v>
      </c>
      <c r="O1561" s="8" t="s">
        <v>400</v>
      </c>
      <c r="P1561" s="11" t="s">
        <v>401</v>
      </c>
      <c r="Q1561" s="14" t="s">
        <v>22811</v>
      </c>
      <c r="R1561" s="68" t="s">
        <v>555</v>
      </c>
      <c r="S1561" s="8" t="s">
        <v>28</v>
      </c>
      <c r="T1561" s="68" t="s">
        <v>27756</v>
      </c>
      <c r="U1561" s="68" t="s">
        <v>29438</v>
      </c>
      <c r="V1561" s="68" t="s">
        <v>29439</v>
      </c>
      <c r="W1561" s="68" t="s">
        <v>555</v>
      </c>
      <c r="X1561" s="68">
        <v>1476</v>
      </c>
      <c r="AW1561" s="1"/>
      <c r="AX1561" s="1"/>
      <c r="AY1561" s="1"/>
      <c r="BA1561" s="70"/>
      <c r="BB1561" s="44"/>
      <c r="BC1561" s="1"/>
      <c r="BD1561" s="1"/>
      <c r="BE1561" s="1"/>
      <c r="BF1561" s="1"/>
      <c r="BG1561" s="1"/>
      <c r="BH1561" s="1"/>
      <c r="BI1561" s="1"/>
      <c r="BJ1561" s="1"/>
      <c r="BK1561" s="44"/>
    </row>
    <row r="1562" spans="1:63" s="11" customFormat="1" ht="12" customHeight="1" x14ac:dyDescent="0.2">
      <c r="A1562" s="11" t="s">
        <v>21486</v>
      </c>
      <c r="B1562" s="68">
        <v>37</v>
      </c>
      <c r="C1562" s="11" t="s">
        <v>20</v>
      </c>
      <c r="D1562" s="11" t="s">
        <v>85</v>
      </c>
      <c r="F1562" s="69">
        <v>42441</v>
      </c>
      <c r="G1562" s="11" t="s">
        <v>21487</v>
      </c>
      <c r="H1562" s="8" t="s">
        <v>723</v>
      </c>
      <c r="I1562" s="11" t="s">
        <v>73</v>
      </c>
      <c r="J1562" s="47" t="s">
        <v>21488</v>
      </c>
      <c r="K1562" s="16" t="s">
        <v>558</v>
      </c>
      <c r="L1562" s="8" t="s">
        <v>724</v>
      </c>
      <c r="M1562" s="68" t="s">
        <v>5411</v>
      </c>
      <c r="N1562" s="8" t="s">
        <v>22967</v>
      </c>
      <c r="O1562" s="8" t="s">
        <v>400</v>
      </c>
      <c r="P1562" s="11" t="s">
        <v>401</v>
      </c>
      <c r="Q1562" s="14" t="s">
        <v>22968</v>
      </c>
      <c r="R1562" s="8" t="s">
        <v>555</v>
      </c>
      <c r="S1562" s="8" t="s">
        <v>18</v>
      </c>
      <c r="T1562" s="68" t="s">
        <v>28345</v>
      </c>
      <c r="U1562" s="68" t="s">
        <v>29436</v>
      </c>
      <c r="V1562" s="68" t="s">
        <v>29440</v>
      </c>
      <c r="W1562" s="68" t="s">
        <v>100</v>
      </c>
      <c r="X1562" s="68">
        <v>1357</v>
      </c>
      <c r="AW1562" s="44"/>
      <c r="AX1562" s="44"/>
      <c r="AY1562" s="44"/>
      <c r="BA1562" s="1"/>
      <c r="BB1562" s="70"/>
      <c r="BK1562" s="1"/>
    </row>
    <row r="1563" spans="1:63" s="11" customFormat="1" ht="12" customHeight="1" x14ac:dyDescent="0.15">
      <c r="A1563" s="11" t="s">
        <v>21465</v>
      </c>
      <c r="B1563" s="68">
        <v>25</v>
      </c>
      <c r="C1563" s="11" t="s">
        <v>20</v>
      </c>
      <c r="D1563" s="11" t="s">
        <v>85</v>
      </c>
      <c r="E1563" s="60" t="s">
        <v>21466</v>
      </c>
      <c r="F1563" s="69">
        <v>42440</v>
      </c>
      <c r="G1563" s="11" t="s">
        <v>21467</v>
      </c>
      <c r="H1563" s="8" t="s">
        <v>3317</v>
      </c>
      <c r="I1563" s="11" t="s">
        <v>244</v>
      </c>
      <c r="J1563" s="47" t="s">
        <v>21468</v>
      </c>
      <c r="K1563" s="8" t="s">
        <v>16595</v>
      </c>
      <c r="L1563" s="8" t="s">
        <v>5050</v>
      </c>
      <c r="M1563" s="8" t="s">
        <v>27</v>
      </c>
      <c r="N1563" s="8" t="s">
        <v>21469</v>
      </c>
      <c r="O1563" s="8" t="s">
        <v>400</v>
      </c>
      <c r="P1563" s="11" t="s">
        <v>401</v>
      </c>
      <c r="Q1563" s="14" t="s">
        <v>21470</v>
      </c>
      <c r="R1563" s="8" t="s">
        <v>100</v>
      </c>
      <c r="S1563" s="8" t="s">
        <v>28</v>
      </c>
      <c r="T1563" s="68" t="s">
        <v>27756</v>
      </c>
      <c r="U1563" s="68" t="s">
        <v>29438</v>
      </c>
      <c r="V1563" s="68" t="s">
        <v>29439</v>
      </c>
      <c r="W1563" s="68" t="s">
        <v>555</v>
      </c>
      <c r="X1563" s="68">
        <v>1350</v>
      </c>
      <c r="AX1563" s="44"/>
      <c r="AY1563" s="44"/>
      <c r="BB1563" s="44"/>
      <c r="BK1563" s="44"/>
    </row>
    <row r="1564" spans="1:63" s="11" customFormat="1" ht="12" customHeight="1" x14ac:dyDescent="0.15">
      <c r="A1564" s="11" t="s">
        <v>21845</v>
      </c>
      <c r="B1564" s="68">
        <v>23</v>
      </c>
      <c r="C1564" s="11" t="s">
        <v>20</v>
      </c>
      <c r="D1564" s="11" t="s">
        <v>48</v>
      </c>
      <c r="E1564" s="60" t="s">
        <v>21846</v>
      </c>
      <c r="F1564" s="69">
        <v>42440</v>
      </c>
      <c r="G1564" s="11" t="s">
        <v>21847</v>
      </c>
      <c r="H1564" s="8" t="s">
        <v>526</v>
      </c>
      <c r="I1564" s="11" t="s">
        <v>45</v>
      </c>
      <c r="J1564" s="17">
        <v>94560</v>
      </c>
      <c r="K1564" s="16" t="s">
        <v>602</v>
      </c>
      <c r="L1564" s="8" t="s">
        <v>22921</v>
      </c>
      <c r="M1564" s="8" t="s">
        <v>27</v>
      </c>
      <c r="N1564" s="8" t="s">
        <v>21848</v>
      </c>
      <c r="O1564" s="8" t="s">
        <v>400</v>
      </c>
      <c r="P1564" s="11" t="s">
        <v>401</v>
      </c>
      <c r="Q1564" s="14" t="s">
        <v>21849</v>
      </c>
      <c r="R1564" s="8" t="s">
        <v>100</v>
      </c>
      <c r="S1564" s="8" t="s">
        <v>28</v>
      </c>
      <c r="T1564" s="68" t="s">
        <v>27756</v>
      </c>
      <c r="U1564" s="68" t="s">
        <v>29438</v>
      </c>
      <c r="V1564" s="68" t="s">
        <v>29440</v>
      </c>
      <c r="W1564" s="68" t="s">
        <v>100</v>
      </c>
      <c r="X1564" s="68">
        <v>1515</v>
      </c>
      <c r="AW1564" s="44"/>
      <c r="AX1564" s="1"/>
      <c r="AY1564" s="1"/>
      <c r="BA1564" s="44"/>
      <c r="BB1564" s="44"/>
      <c r="BC1564" s="1"/>
      <c r="BD1564" s="1"/>
      <c r="BE1564" s="1"/>
      <c r="BF1564" s="1"/>
      <c r="BG1564" s="1"/>
      <c r="BH1564" s="1"/>
      <c r="BI1564" s="1"/>
      <c r="BJ1564" s="1"/>
      <c r="BK1564" s="44"/>
    </row>
    <row r="1565" spans="1:63" s="11" customFormat="1" ht="12" customHeight="1" x14ac:dyDescent="0.15">
      <c r="A1565" s="11" t="s">
        <v>21924</v>
      </c>
      <c r="B1565" s="68">
        <v>46</v>
      </c>
      <c r="C1565" s="11" t="s">
        <v>20</v>
      </c>
      <c r="D1565" s="11" t="s">
        <v>37</v>
      </c>
      <c r="E1565" s="11" t="s">
        <v>26279</v>
      </c>
      <c r="F1565" s="69">
        <v>42440</v>
      </c>
      <c r="G1565" s="11" t="s">
        <v>21925</v>
      </c>
      <c r="H1565" s="8" t="s">
        <v>6368</v>
      </c>
      <c r="I1565" s="11" t="s">
        <v>44</v>
      </c>
      <c r="J1565" s="17" t="s">
        <v>21926</v>
      </c>
      <c r="K1565" s="8" t="s">
        <v>21927</v>
      </c>
      <c r="L1565" s="8" t="s">
        <v>21928</v>
      </c>
      <c r="M1565" s="8" t="s">
        <v>27</v>
      </c>
      <c r="N1565" s="8" t="s">
        <v>21929</v>
      </c>
      <c r="O1565" s="8" t="s">
        <v>400</v>
      </c>
      <c r="P1565" s="11" t="s">
        <v>401</v>
      </c>
      <c r="Q1565" s="14" t="s">
        <v>21930</v>
      </c>
      <c r="R1565" s="8" t="s">
        <v>555</v>
      </c>
      <c r="S1565" s="8" t="s">
        <v>28</v>
      </c>
      <c r="T1565" s="68" t="s">
        <v>29493</v>
      </c>
      <c r="U1565" s="68" t="s">
        <v>29436</v>
      </c>
      <c r="V1565" s="68" t="s">
        <v>29439</v>
      </c>
      <c r="W1565" s="68" t="s">
        <v>100</v>
      </c>
      <c r="X1565" s="68">
        <v>1375</v>
      </c>
      <c r="AW1565" s="1"/>
      <c r="AX1565" s="1"/>
      <c r="AY1565" s="1"/>
      <c r="BC1565" s="1"/>
      <c r="BD1565" s="1"/>
      <c r="BE1565" s="1"/>
      <c r="BF1565" s="1"/>
      <c r="BG1565" s="1"/>
      <c r="BH1565" s="1"/>
      <c r="BI1565" s="1"/>
      <c r="BJ1565" s="1"/>
      <c r="BK1565" s="44"/>
    </row>
    <row r="1566" spans="1:63" s="11" customFormat="1" ht="12" customHeight="1" x14ac:dyDescent="0.15">
      <c r="A1566" s="11" t="s">
        <v>22032</v>
      </c>
      <c r="B1566" s="68">
        <v>51</v>
      </c>
      <c r="C1566" s="11" t="s">
        <v>20</v>
      </c>
      <c r="D1566" s="11" t="s">
        <v>37</v>
      </c>
      <c r="F1566" s="69">
        <v>42440</v>
      </c>
      <c r="G1566" s="11" t="s">
        <v>22033</v>
      </c>
      <c r="H1566" s="8" t="s">
        <v>22034</v>
      </c>
      <c r="I1566" s="11" t="s">
        <v>363</v>
      </c>
      <c r="J1566" s="17" t="s">
        <v>22035</v>
      </c>
      <c r="K1566" s="16" t="s">
        <v>5515</v>
      </c>
      <c r="L1566" s="8" t="s">
        <v>9654</v>
      </c>
      <c r="M1566" s="8" t="s">
        <v>27</v>
      </c>
      <c r="N1566" s="8" t="s">
        <v>23125</v>
      </c>
      <c r="O1566" s="8" t="s">
        <v>400</v>
      </c>
      <c r="P1566" s="11" t="s">
        <v>401</v>
      </c>
      <c r="Q1566" s="14" t="s">
        <v>22036</v>
      </c>
      <c r="R1566" s="8" t="s">
        <v>555</v>
      </c>
      <c r="S1566" s="8" t="s">
        <v>28</v>
      </c>
      <c r="T1566" s="68" t="s">
        <v>27756</v>
      </c>
      <c r="U1566" s="68" t="s">
        <v>29438</v>
      </c>
      <c r="V1566" s="68" t="s">
        <v>29439</v>
      </c>
      <c r="W1566" s="68" t="s">
        <v>555</v>
      </c>
      <c r="X1566" s="68">
        <v>1355</v>
      </c>
      <c r="AW1566" s="1"/>
      <c r="AX1566" s="1"/>
      <c r="AY1566" s="1"/>
      <c r="BC1566" s="1"/>
      <c r="BD1566" s="1"/>
      <c r="BE1566" s="1"/>
      <c r="BF1566" s="1"/>
      <c r="BG1566" s="1"/>
      <c r="BH1566" s="1"/>
      <c r="BI1566" s="1"/>
      <c r="BJ1566" s="1"/>
      <c r="BK1566" s="44"/>
    </row>
    <row r="1567" spans="1:63" s="11" customFormat="1" ht="12" customHeight="1" x14ac:dyDescent="0.15">
      <c r="A1567" s="11" t="s">
        <v>21723</v>
      </c>
      <c r="B1567" s="68">
        <v>21</v>
      </c>
      <c r="C1567" s="11" t="s">
        <v>20</v>
      </c>
      <c r="D1567" s="11" t="s">
        <v>48</v>
      </c>
      <c r="F1567" s="69">
        <v>42439</v>
      </c>
      <c r="G1567" s="11" t="s">
        <v>21724</v>
      </c>
      <c r="H1567" s="8" t="s">
        <v>489</v>
      </c>
      <c r="I1567" s="11" t="s">
        <v>45</v>
      </c>
      <c r="J1567" s="17" t="s">
        <v>16488</v>
      </c>
      <c r="K1567" s="8" t="s">
        <v>98</v>
      </c>
      <c r="L1567" s="8" t="s">
        <v>490</v>
      </c>
      <c r="M1567" s="8" t="s">
        <v>27</v>
      </c>
      <c r="N1567" s="8" t="s">
        <v>21725</v>
      </c>
      <c r="O1567" s="8" t="s">
        <v>400</v>
      </c>
      <c r="P1567" s="11" t="s">
        <v>401</v>
      </c>
      <c r="Q1567" s="14" t="s">
        <v>21726</v>
      </c>
      <c r="R1567" s="8" t="s">
        <v>100</v>
      </c>
      <c r="S1567" s="8" t="s">
        <v>28</v>
      </c>
      <c r="T1567" s="68" t="s">
        <v>27756</v>
      </c>
      <c r="U1567" s="68" t="s">
        <v>29436</v>
      </c>
      <c r="V1567" s="68" t="s">
        <v>29440</v>
      </c>
      <c r="W1567" s="68" t="s">
        <v>100</v>
      </c>
      <c r="X1567" s="68">
        <v>1352</v>
      </c>
      <c r="AW1567" s="44"/>
      <c r="AX1567" s="1"/>
      <c r="AY1567" s="1"/>
      <c r="BA1567" s="44"/>
      <c r="BC1567" s="1"/>
      <c r="BD1567" s="1"/>
      <c r="BE1567" s="1"/>
      <c r="BF1567" s="1"/>
      <c r="BG1567" s="1"/>
      <c r="BH1567" s="1"/>
      <c r="BI1567" s="1"/>
      <c r="BJ1567" s="1"/>
      <c r="BK1567" s="44"/>
    </row>
    <row r="1568" spans="1:63" s="11" customFormat="1" ht="12" customHeight="1" x14ac:dyDescent="0.15">
      <c r="A1568" s="11" t="s">
        <v>21947</v>
      </c>
      <c r="B1568" s="68">
        <v>23</v>
      </c>
      <c r="C1568" s="11" t="s">
        <v>20</v>
      </c>
      <c r="D1568" s="11" t="s">
        <v>48</v>
      </c>
      <c r="F1568" s="69">
        <v>42439</v>
      </c>
      <c r="G1568" s="11" t="s">
        <v>21948</v>
      </c>
      <c r="H1568" s="8" t="s">
        <v>21949</v>
      </c>
      <c r="I1568" s="11" t="s">
        <v>209</v>
      </c>
      <c r="J1568" s="17" t="s">
        <v>11287</v>
      </c>
      <c r="K1568" s="8" t="s">
        <v>4680</v>
      </c>
      <c r="L1568" s="8" t="s">
        <v>21950</v>
      </c>
      <c r="M1568" s="8" t="s">
        <v>27</v>
      </c>
      <c r="N1568" s="8" t="s">
        <v>21951</v>
      </c>
      <c r="O1568" s="8" t="s">
        <v>400</v>
      </c>
      <c r="P1568" s="11" t="s">
        <v>401</v>
      </c>
      <c r="Q1568" s="14" t="s">
        <v>21952</v>
      </c>
      <c r="R1568" s="8" t="s">
        <v>100</v>
      </c>
      <c r="S1568" s="68" t="s">
        <v>379</v>
      </c>
      <c r="T1568" s="68" t="s">
        <v>379</v>
      </c>
      <c r="U1568" s="68" t="s">
        <v>29438</v>
      </c>
      <c r="V1568" s="68" t="s">
        <v>29437</v>
      </c>
      <c r="W1568" s="68" t="s">
        <v>100</v>
      </c>
      <c r="X1568" s="68">
        <v>1354</v>
      </c>
      <c r="AW1568" s="44"/>
      <c r="AX1568" s="1"/>
      <c r="AY1568" s="1"/>
      <c r="BA1568" s="44"/>
      <c r="BC1568" s="1"/>
      <c r="BD1568" s="1"/>
      <c r="BE1568" s="1"/>
      <c r="BF1568" s="1"/>
      <c r="BG1568" s="1"/>
      <c r="BH1568" s="1"/>
      <c r="BI1568" s="1"/>
      <c r="BJ1568" s="1"/>
      <c r="BK1568" s="44"/>
    </row>
    <row r="1569" spans="1:63" s="11" customFormat="1" ht="12" customHeight="1" x14ac:dyDescent="0.15">
      <c r="A1569" s="11" t="s">
        <v>22310</v>
      </c>
      <c r="B1569" s="68">
        <v>37</v>
      </c>
      <c r="C1569" s="11" t="s">
        <v>20</v>
      </c>
      <c r="D1569" s="11" t="s">
        <v>37</v>
      </c>
      <c r="E1569" s="60" t="s">
        <v>22311</v>
      </c>
      <c r="F1569" s="69">
        <v>42439</v>
      </c>
      <c r="G1569" s="11" t="s">
        <v>22312</v>
      </c>
      <c r="H1569" s="8" t="s">
        <v>22313</v>
      </c>
      <c r="I1569" s="11" t="s">
        <v>669</v>
      </c>
      <c r="J1569" s="17" t="s">
        <v>22314</v>
      </c>
      <c r="K1569" s="8" t="s">
        <v>4015</v>
      </c>
      <c r="L1569" s="8" t="s">
        <v>22315</v>
      </c>
      <c r="M1569" s="8" t="s">
        <v>27</v>
      </c>
      <c r="N1569" s="8" t="s">
        <v>23141</v>
      </c>
      <c r="O1569" s="8" t="s">
        <v>400</v>
      </c>
      <c r="P1569" s="11" t="s">
        <v>401</v>
      </c>
      <c r="Q1569" s="14" t="s">
        <v>22316</v>
      </c>
      <c r="R1569" s="8" t="s">
        <v>29</v>
      </c>
      <c r="S1569" s="11" t="s">
        <v>18</v>
      </c>
      <c r="T1569" s="68" t="s">
        <v>29612</v>
      </c>
      <c r="U1569" s="68" t="s">
        <v>29436</v>
      </c>
      <c r="V1569" s="68" t="s">
        <v>29439</v>
      </c>
      <c r="W1569" s="68" t="s">
        <v>100</v>
      </c>
      <c r="X1569" s="68">
        <v>1349</v>
      </c>
      <c r="AW1569" s="44"/>
      <c r="AX1569" s="1"/>
      <c r="AY1569" s="1"/>
      <c r="BA1569" s="1"/>
      <c r="BB1569" s="1"/>
      <c r="BC1569" s="1"/>
      <c r="BD1569" s="1"/>
      <c r="BE1569" s="1"/>
      <c r="BF1569" s="1"/>
      <c r="BG1569" s="1"/>
      <c r="BH1569" s="1"/>
      <c r="BI1569" s="1"/>
      <c r="BJ1569" s="1"/>
      <c r="BK1569" s="1"/>
    </row>
    <row r="1570" spans="1:63" s="11" customFormat="1" ht="12" customHeight="1" x14ac:dyDescent="0.15">
      <c r="A1570" s="11" t="s">
        <v>22803</v>
      </c>
      <c r="B1570" s="68">
        <v>50</v>
      </c>
      <c r="C1570" s="11" t="s">
        <v>20</v>
      </c>
      <c r="D1570" s="11" t="s">
        <v>37</v>
      </c>
      <c r="F1570" s="69">
        <v>42439</v>
      </c>
      <c r="G1570" s="11" t="s">
        <v>22804</v>
      </c>
      <c r="H1570" s="8" t="s">
        <v>795</v>
      </c>
      <c r="I1570" s="11" t="s">
        <v>73</v>
      </c>
      <c r="J1570" s="17" t="s">
        <v>19746</v>
      </c>
      <c r="K1570" s="16" t="s">
        <v>796</v>
      </c>
      <c r="L1570" s="8" t="s">
        <v>22805</v>
      </c>
      <c r="M1570" s="8" t="s">
        <v>27</v>
      </c>
      <c r="N1570" s="8" t="s">
        <v>23130</v>
      </c>
      <c r="O1570" s="8" t="s">
        <v>400</v>
      </c>
      <c r="P1570" s="11" t="s">
        <v>401</v>
      </c>
      <c r="Q1570" s="14" t="s">
        <v>22806</v>
      </c>
      <c r="R1570" s="8" t="s">
        <v>555</v>
      </c>
      <c r="S1570" s="8" t="s">
        <v>28</v>
      </c>
      <c r="T1570" s="68" t="s">
        <v>27756</v>
      </c>
      <c r="U1570" s="68" t="s">
        <v>29438</v>
      </c>
      <c r="V1570" s="68" t="s">
        <v>29439</v>
      </c>
      <c r="W1570" s="68" t="s">
        <v>100</v>
      </c>
      <c r="X1570" s="68">
        <v>1353</v>
      </c>
      <c r="AW1570" s="1"/>
      <c r="AX1570" s="1"/>
      <c r="AY1570" s="1"/>
      <c r="BC1570" s="1"/>
      <c r="BD1570" s="1"/>
      <c r="BE1570" s="1"/>
      <c r="BF1570" s="1"/>
      <c r="BG1570" s="1"/>
      <c r="BH1570" s="1"/>
      <c r="BI1570" s="1"/>
      <c r="BJ1570" s="1"/>
      <c r="BK1570" s="44"/>
    </row>
    <row r="1571" spans="1:63" s="11" customFormat="1" ht="12" customHeight="1" x14ac:dyDescent="0.15">
      <c r="A1571" s="11" t="s">
        <v>21839</v>
      </c>
      <c r="B1571" s="68">
        <v>22</v>
      </c>
      <c r="C1571" s="11" t="s">
        <v>20</v>
      </c>
      <c r="D1571" s="11" t="s">
        <v>85</v>
      </c>
      <c r="E1571" s="60" t="s">
        <v>21840</v>
      </c>
      <c r="F1571" s="69">
        <v>42439</v>
      </c>
      <c r="G1571" s="11" t="s">
        <v>21841</v>
      </c>
      <c r="H1571" s="8" t="s">
        <v>1611</v>
      </c>
      <c r="I1571" s="11" t="s">
        <v>269</v>
      </c>
      <c r="J1571" s="47" t="s">
        <v>21842</v>
      </c>
      <c r="K1571" s="8" t="s">
        <v>6245</v>
      </c>
      <c r="L1571" s="8" t="s">
        <v>7469</v>
      </c>
      <c r="M1571" s="8" t="s">
        <v>27</v>
      </c>
      <c r="N1571" s="8" t="s">
        <v>21843</v>
      </c>
      <c r="O1571" s="8" t="s">
        <v>400</v>
      </c>
      <c r="P1571" s="11" t="s">
        <v>401</v>
      </c>
      <c r="Q1571" s="14" t="s">
        <v>21844</v>
      </c>
      <c r="R1571" s="8" t="s">
        <v>555</v>
      </c>
      <c r="S1571" s="8" t="s">
        <v>18</v>
      </c>
      <c r="T1571" s="68" t="s">
        <v>29612</v>
      </c>
      <c r="U1571" s="68" t="s">
        <v>29438</v>
      </c>
      <c r="V1571" s="68" t="s">
        <v>29440</v>
      </c>
      <c r="W1571" s="68" t="s">
        <v>100</v>
      </c>
      <c r="X1571" s="68">
        <v>1351</v>
      </c>
      <c r="AW1571" s="44"/>
      <c r="AX1571" s="44"/>
      <c r="AY1571" s="44"/>
      <c r="BK1571" s="1"/>
    </row>
    <row r="1572" spans="1:63" s="11" customFormat="1" ht="12" customHeight="1" x14ac:dyDescent="0.15">
      <c r="A1572" s="11" t="s">
        <v>22157</v>
      </c>
      <c r="B1572" s="68">
        <v>27</v>
      </c>
      <c r="C1572" s="11" t="s">
        <v>20</v>
      </c>
      <c r="D1572" s="11" t="s">
        <v>37</v>
      </c>
      <c r="F1572" s="69">
        <v>42437</v>
      </c>
      <c r="G1572" s="11" t="s">
        <v>22158</v>
      </c>
      <c r="H1572" s="8" t="s">
        <v>1567</v>
      </c>
      <c r="I1572" s="11" t="s">
        <v>62</v>
      </c>
      <c r="J1572" s="17" t="s">
        <v>22159</v>
      </c>
      <c r="K1572" s="8" t="s">
        <v>638</v>
      </c>
      <c r="L1572" s="8" t="s">
        <v>639</v>
      </c>
      <c r="M1572" s="8" t="s">
        <v>27</v>
      </c>
      <c r="N1572" s="8" t="s">
        <v>22160</v>
      </c>
      <c r="O1572" s="8" t="s">
        <v>400</v>
      </c>
      <c r="P1572" s="11" t="s">
        <v>401</v>
      </c>
      <c r="Q1572" s="14" t="s">
        <v>22161</v>
      </c>
      <c r="R1572" s="8" t="s">
        <v>555</v>
      </c>
      <c r="S1572" s="8" t="s">
        <v>18</v>
      </c>
      <c r="T1572" s="68" t="s">
        <v>29612</v>
      </c>
      <c r="U1572" s="68" t="s">
        <v>29438</v>
      </c>
      <c r="V1572" s="68" t="s">
        <v>29439</v>
      </c>
      <c r="W1572" s="68" t="s">
        <v>100</v>
      </c>
      <c r="X1572" s="68">
        <v>1347</v>
      </c>
      <c r="AW1572" s="44"/>
      <c r="AX1572" s="1"/>
      <c r="AY1572" s="1"/>
      <c r="BC1572" s="1"/>
      <c r="BD1572" s="1"/>
      <c r="BE1572" s="1"/>
      <c r="BF1572" s="1"/>
      <c r="BG1572" s="1"/>
      <c r="BH1572" s="1"/>
      <c r="BI1572" s="1"/>
      <c r="BJ1572" s="1"/>
      <c r="BK1572" s="1"/>
    </row>
    <row r="1573" spans="1:63" s="11" customFormat="1" ht="12" customHeight="1" x14ac:dyDescent="0.15">
      <c r="A1573" s="11" t="s">
        <v>22452</v>
      </c>
      <c r="B1573" s="68">
        <v>45</v>
      </c>
      <c r="C1573" s="11" t="s">
        <v>20</v>
      </c>
      <c r="D1573" s="11" t="s">
        <v>37</v>
      </c>
      <c r="E1573" s="60" t="s">
        <v>22453</v>
      </c>
      <c r="F1573" s="69">
        <v>42436</v>
      </c>
      <c r="G1573" s="11" t="s">
        <v>22454</v>
      </c>
      <c r="H1573" s="8" t="s">
        <v>606</v>
      </c>
      <c r="I1573" s="11" t="s">
        <v>45</v>
      </c>
      <c r="J1573" s="17" t="s">
        <v>11495</v>
      </c>
      <c r="K1573" s="8" t="s">
        <v>607</v>
      </c>
      <c r="L1573" s="8" t="s">
        <v>727</v>
      </c>
      <c r="M1573" s="8" t="s">
        <v>27</v>
      </c>
      <c r="N1573" s="8" t="s">
        <v>22455</v>
      </c>
      <c r="O1573" s="8" t="s">
        <v>400</v>
      </c>
      <c r="P1573" s="11" t="s">
        <v>401</v>
      </c>
      <c r="Q1573" s="14" t="s">
        <v>22456</v>
      </c>
      <c r="R1573" s="8" t="s">
        <v>100</v>
      </c>
      <c r="S1573" s="8" t="s">
        <v>28</v>
      </c>
      <c r="T1573" s="68" t="s">
        <v>29493</v>
      </c>
      <c r="U1573" s="68" t="s">
        <v>29436</v>
      </c>
      <c r="V1573" s="68" t="s">
        <v>29439</v>
      </c>
      <c r="W1573" s="68" t="s">
        <v>100</v>
      </c>
      <c r="X1573" s="68">
        <v>1343</v>
      </c>
      <c r="AW1573" s="1"/>
      <c r="AX1573" s="1"/>
      <c r="AY1573" s="1"/>
      <c r="BA1573" s="44"/>
      <c r="BC1573" s="1"/>
      <c r="BD1573" s="1"/>
      <c r="BE1573" s="1"/>
      <c r="BF1573" s="1"/>
      <c r="BG1573" s="1"/>
      <c r="BH1573" s="1"/>
      <c r="BI1573" s="1"/>
      <c r="BJ1573" s="1"/>
      <c r="BK1573" s="44"/>
    </row>
    <row r="1574" spans="1:63" s="11" customFormat="1" ht="12" customHeight="1" x14ac:dyDescent="0.15">
      <c r="A1574" s="11" t="s">
        <v>22065</v>
      </c>
      <c r="B1574" s="68">
        <v>42</v>
      </c>
      <c r="C1574" s="11" t="s">
        <v>20</v>
      </c>
      <c r="D1574" s="11" t="s">
        <v>37</v>
      </c>
      <c r="F1574" s="69">
        <v>42436</v>
      </c>
      <c r="G1574" s="11" t="s">
        <v>22066</v>
      </c>
      <c r="H1574" s="8" t="s">
        <v>3913</v>
      </c>
      <c r="I1574" s="11" t="s">
        <v>854</v>
      </c>
      <c r="J1574" s="17" t="s">
        <v>22067</v>
      </c>
      <c r="K1574" s="8" t="s">
        <v>9902</v>
      </c>
      <c r="L1574" s="8" t="s">
        <v>22068</v>
      </c>
      <c r="M1574" s="8" t="s">
        <v>27</v>
      </c>
      <c r="N1574" s="8" t="s">
        <v>23109</v>
      </c>
      <c r="O1574" s="8" t="s">
        <v>400</v>
      </c>
      <c r="P1574" s="11" t="s">
        <v>401</v>
      </c>
      <c r="Q1574" s="14" t="s">
        <v>22069</v>
      </c>
      <c r="R1574" s="8" t="s">
        <v>100</v>
      </c>
      <c r="S1574" s="8" t="s">
        <v>28</v>
      </c>
      <c r="T1574" s="68" t="s">
        <v>27756</v>
      </c>
      <c r="U1574" s="68" t="s">
        <v>29438</v>
      </c>
      <c r="V1574" s="68" t="s">
        <v>29439</v>
      </c>
      <c r="W1574" s="68" t="s">
        <v>100</v>
      </c>
      <c r="X1574" s="68">
        <v>1345</v>
      </c>
      <c r="AW1574" s="1"/>
      <c r="AX1574" s="1"/>
      <c r="AY1574" s="1"/>
      <c r="BA1574" s="44"/>
      <c r="BC1574" s="1"/>
      <c r="BD1574" s="1"/>
      <c r="BE1574" s="1"/>
      <c r="BF1574" s="1"/>
      <c r="BG1574" s="1"/>
      <c r="BH1574" s="1"/>
      <c r="BI1574" s="1"/>
      <c r="BJ1574" s="1"/>
      <c r="BK1574" s="44"/>
    </row>
    <row r="1575" spans="1:63" s="11" customFormat="1" ht="12" customHeight="1" x14ac:dyDescent="0.15">
      <c r="A1575" s="11" t="s">
        <v>23559</v>
      </c>
      <c r="B1575" s="11">
        <v>28</v>
      </c>
      <c r="C1575" s="11" t="s">
        <v>20</v>
      </c>
      <c r="D1575" s="11" t="s">
        <v>48</v>
      </c>
      <c r="E1575" s="44" t="s">
        <v>23555</v>
      </c>
      <c r="F1575" s="72">
        <v>42436</v>
      </c>
      <c r="G1575" s="11" t="s">
        <v>23558</v>
      </c>
      <c r="H1575" s="8" t="s">
        <v>1760</v>
      </c>
      <c r="I1575" s="11" t="s">
        <v>45</v>
      </c>
      <c r="J1575" s="44">
        <v>95206</v>
      </c>
      <c r="K1575" s="8" t="s">
        <v>1762</v>
      </c>
      <c r="L1575" s="8" t="s">
        <v>1763</v>
      </c>
      <c r="M1575" s="8" t="s">
        <v>391</v>
      </c>
      <c r="N1575" s="8" t="s">
        <v>23556</v>
      </c>
      <c r="O1575" s="8" t="s">
        <v>400</v>
      </c>
      <c r="P1575" s="11" t="s">
        <v>401</v>
      </c>
      <c r="Q1575" s="44" t="s">
        <v>23557</v>
      </c>
      <c r="R1575" s="8" t="s">
        <v>100</v>
      </c>
      <c r="S1575" s="8" t="s">
        <v>18</v>
      </c>
      <c r="T1575" s="44"/>
      <c r="U1575" s="44"/>
      <c r="V1575" s="44"/>
      <c r="W1575" s="44"/>
      <c r="X1575" s="44"/>
      <c r="Y1575" s="44"/>
      <c r="Z1575" s="44"/>
      <c r="AA1575" s="44"/>
      <c r="AB1575" s="44"/>
      <c r="AC1575" s="44"/>
      <c r="AD1575" s="44"/>
      <c r="AE1575" s="44"/>
      <c r="AF1575" s="44"/>
      <c r="AG1575" s="44"/>
      <c r="AH1575" s="44"/>
      <c r="AI1575" s="44"/>
      <c r="AU1575" s="1"/>
      <c r="AV1575" s="1"/>
      <c r="AX1575" s="1"/>
      <c r="AY1575" s="1"/>
      <c r="AZ1575" s="1"/>
      <c r="BA1575" s="1"/>
      <c r="BB1575" s="1"/>
      <c r="BC1575" s="1"/>
      <c r="BD1575" s="1"/>
      <c r="BE1575" s="1"/>
      <c r="BF1575" s="1"/>
      <c r="BG1575" s="1"/>
      <c r="BH1575" s="1"/>
      <c r="BI1575" s="1"/>
      <c r="BJ1575" s="1"/>
      <c r="BK1575" s="1"/>
    </row>
    <row r="1576" spans="1:63" s="11" customFormat="1" ht="12" customHeight="1" x14ac:dyDescent="0.15">
      <c r="A1576" s="11" t="s">
        <v>22671</v>
      </c>
      <c r="B1576" s="68">
        <v>45</v>
      </c>
      <c r="C1576" s="11" t="s">
        <v>20</v>
      </c>
      <c r="D1576" s="11" t="s">
        <v>37</v>
      </c>
      <c r="E1576" s="60" t="s">
        <v>22672</v>
      </c>
      <c r="F1576" s="69">
        <v>42436</v>
      </c>
      <c r="G1576" s="11" t="s">
        <v>22673</v>
      </c>
      <c r="H1576" s="8" t="s">
        <v>2788</v>
      </c>
      <c r="I1576" s="11" t="s">
        <v>363</v>
      </c>
      <c r="J1576" s="17" t="s">
        <v>22674</v>
      </c>
      <c r="K1576" s="8" t="s">
        <v>2790</v>
      </c>
      <c r="L1576" s="8" t="s">
        <v>5634</v>
      </c>
      <c r="M1576" s="8" t="s">
        <v>27</v>
      </c>
      <c r="N1576" s="8" t="s">
        <v>22675</v>
      </c>
      <c r="O1576" s="8" t="s">
        <v>400</v>
      </c>
      <c r="P1576" s="11" t="s">
        <v>401</v>
      </c>
      <c r="Q1576" s="14" t="s">
        <v>22676</v>
      </c>
      <c r="R1576" s="8" t="s">
        <v>100</v>
      </c>
      <c r="S1576" s="8" t="s">
        <v>35</v>
      </c>
      <c r="T1576" s="68" t="s">
        <v>29441</v>
      </c>
      <c r="U1576" s="68" t="s">
        <v>29441</v>
      </c>
      <c r="V1576" s="68" t="s">
        <v>29439</v>
      </c>
      <c r="W1576" s="68" t="s">
        <v>100</v>
      </c>
      <c r="X1576" s="68">
        <v>1344</v>
      </c>
      <c r="AW1576" s="1"/>
      <c r="AX1576" s="1"/>
      <c r="AY1576" s="1"/>
      <c r="BA1576" s="44"/>
      <c r="BC1576" s="1"/>
      <c r="BD1576" s="1"/>
      <c r="BE1576" s="1"/>
      <c r="BF1576" s="1"/>
      <c r="BG1576" s="1"/>
      <c r="BH1576" s="1"/>
      <c r="BI1576" s="1"/>
      <c r="BJ1576" s="1"/>
      <c r="BK1576" s="1"/>
    </row>
    <row r="1577" spans="1:63" s="11" customFormat="1" ht="12" customHeight="1" x14ac:dyDescent="0.15">
      <c r="A1577" s="11" t="s">
        <v>21713</v>
      </c>
      <c r="B1577" s="68">
        <v>41</v>
      </c>
      <c r="C1577" s="11" t="s">
        <v>20</v>
      </c>
      <c r="D1577" s="11" t="s">
        <v>48</v>
      </c>
      <c r="E1577" s="60" t="s">
        <v>21714</v>
      </c>
      <c r="F1577" s="69">
        <v>42436</v>
      </c>
      <c r="G1577" s="11" t="s">
        <v>21715</v>
      </c>
      <c r="H1577" s="8" t="s">
        <v>9299</v>
      </c>
      <c r="I1577" s="11" t="s">
        <v>195</v>
      </c>
      <c r="J1577" s="17" t="s">
        <v>9300</v>
      </c>
      <c r="K1577" s="8" t="s">
        <v>9301</v>
      </c>
      <c r="L1577" s="8" t="s">
        <v>21716</v>
      </c>
      <c r="M1577" s="8" t="s">
        <v>27</v>
      </c>
      <c r="N1577" s="8" t="s">
        <v>21717</v>
      </c>
      <c r="O1577" s="8" t="s">
        <v>400</v>
      </c>
      <c r="P1577" s="11" t="s">
        <v>401</v>
      </c>
      <c r="Q1577" s="14" t="s">
        <v>21718</v>
      </c>
      <c r="R1577" s="8" t="s">
        <v>100</v>
      </c>
      <c r="S1577" s="68" t="s">
        <v>379</v>
      </c>
      <c r="T1577" s="68" t="s">
        <v>379</v>
      </c>
      <c r="U1577" s="68" t="s">
        <v>29436</v>
      </c>
      <c r="V1577" s="68" t="s">
        <v>29437</v>
      </c>
      <c r="W1577" s="68" t="s">
        <v>100</v>
      </c>
      <c r="X1577" s="68">
        <v>1348</v>
      </c>
      <c r="AW1577" s="1"/>
      <c r="AX1577" s="1"/>
      <c r="AY1577" s="1"/>
      <c r="BA1577" s="44"/>
      <c r="BC1577" s="1"/>
      <c r="BD1577" s="1"/>
      <c r="BE1577" s="1"/>
      <c r="BF1577" s="1"/>
      <c r="BG1577" s="1"/>
      <c r="BH1577" s="1"/>
      <c r="BI1577" s="1"/>
      <c r="BJ1577" s="1"/>
      <c r="BK1577" s="44"/>
    </row>
    <row r="1578" spans="1:63" s="11" customFormat="1" ht="12" customHeight="1" x14ac:dyDescent="0.15">
      <c r="A1578" s="11" t="s">
        <v>21682</v>
      </c>
      <c r="B1578" s="11">
        <v>28</v>
      </c>
      <c r="C1578" s="11" t="s">
        <v>20</v>
      </c>
      <c r="D1578" s="11" t="s">
        <v>48</v>
      </c>
      <c r="F1578" s="72">
        <v>42436</v>
      </c>
      <c r="G1578" s="11" t="s">
        <v>21683</v>
      </c>
      <c r="H1578" s="11" t="s">
        <v>1760</v>
      </c>
      <c r="I1578" s="11" t="s">
        <v>45</v>
      </c>
      <c r="J1578" s="10">
        <v>95206</v>
      </c>
      <c r="K1578" s="11" t="s">
        <v>1762</v>
      </c>
      <c r="L1578" s="11" t="s">
        <v>1763</v>
      </c>
      <c r="M1578" s="11" t="s">
        <v>391</v>
      </c>
      <c r="N1578" s="11" t="s">
        <v>21684</v>
      </c>
      <c r="O1578" s="11" t="s">
        <v>400</v>
      </c>
      <c r="P1578" s="11" t="s">
        <v>401</v>
      </c>
      <c r="Q1578" s="11" t="s">
        <v>21685</v>
      </c>
      <c r="R1578" s="11" t="s">
        <v>29</v>
      </c>
      <c r="S1578" s="8" t="s">
        <v>18</v>
      </c>
      <c r="AU1578" s="1"/>
      <c r="AV1578" s="1"/>
      <c r="AX1578" s="1"/>
      <c r="AY1578" s="1"/>
      <c r="AZ1578" s="1"/>
      <c r="BA1578" s="1"/>
      <c r="BB1578" s="1"/>
      <c r="BC1578" s="1"/>
      <c r="BD1578" s="1"/>
      <c r="BE1578" s="1"/>
      <c r="BF1578" s="1"/>
      <c r="BG1578" s="1"/>
      <c r="BH1578" s="1"/>
      <c r="BI1578" s="1"/>
      <c r="BJ1578" s="1"/>
      <c r="BK1578" s="1"/>
    </row>
    <row r="1579" spans="1:63" s="11" customFormat="1" ht="12" customHeight="1" x14ac:dyDescent="0.15">
      <c r="A1579" s="11" t="s">
        <v>22081</v>
      </c>
      <c r="B1579" s="68">
        <v>49</v>
      </c>
      <c r="C1579" s="11" t="s">
        <v>20</v>
      </c>
      <c r="D1579" s="11" t="s">
        <v>37</v>
      </c>
      <c r="F1579" s="69">
        <v>42436</v>
      </c>
      <c r="G1579" s="11" t="s">
        <v>22082</v>
      </c>
      <c r="H1579" s="8" t="s">
        <v>2003</v>
      </c>
      <c r="I1579" s="11" t="s">
        <v>423</v>
      </c>
      <c r="J1579" s="17" t="s">
        <v>22083</v>
      </c>
      <c r="K1579" s="8" t="s">
        <v>1104</v>
      </c>
      <c r="L1579" s="8" t="s">
        <v>2016</v>
      </c>
      <c r="M1579" s="8" t="s">
        <v>27</v>
      </c>
      <c r="N1579" s="8" t="s">
        <v>22084</v>
      </c>
      <c r="O1579" s="8" t="s">
        <v>400</v>
      </c>
      <c r="P1579" s="11" t="s">
        <v>401</v>
      </c>
      <c r="Q1579" s="14" t="s">
        <v>22085</v>
      </c>
      <c r="R1579" s="8" t="s">
        <v>555</v>
      </c>
      <c r="S1579" s="8" t="s">
        <v>28</v>
      </c>
      <c r="T1579" s="68" t="s">
        <v>27756</v>
      </c>
      <c r="U1579" s="68" t="s">
        <v>29438</v>
      </c>
      <c r="V1579" s="68" t="s">
        <v>29439</v>
      </c>
      <c r="W1579" s="68" t="s">
        <v>100</v>
      </c>
      <c r="X1579" s="68">
        <v>1339</v>
      </c>
      <c r="AW1579" s="1"/>
      <c r="AX1579" s="1"/>
      <c r="AY1579" s="1"/>
      <c r="BB1579" s="44"/>
      <c r="BC1579" s="1"/>
      <c r="BD1579" s="1"/>
      <c r="BE1579" s="1"/>
      <c r="BF1579" s="1"/>
      <c r="BG1579" s="1"/>
      <c r="BH1579" s="1"/>
      <c r="BI1579" s="1"/>
      <c r="BJ1579" s="1"/>
      <c r="BK1579" s="44"/>
    </row>
    <row r="1580" spans="1:63" s="11" customFormat="1" ht="12" customHeight="1" x14ac:dyDescent="0.15">
      <c r="A1580" s="11" t="s">
        <v>21612</v>
      </c>
      <c r="B1580" s="68">
        <v>41</v>
      </c>
      <c r="C1580" s="11" t="s">
        <v>20</v>
      </c>
      <c r="D1580" s="11" t="s">
        <v>48</v>
      </c>
      <c r="F1580" s="69">
        <v>42435</v>
      </c>
      <c r="G1580" s="11" t="s">
        <v>21613</v>
      </c>
      <c r="H1580" s="8" t="s">
        <v>3697</v>
      </c>
      <c r="I1580" s="11" t="s">
        <v>45</v>
      </c>
      <c r="J1580" s="17" t="s">
        <v>3698</v>
      </c>
      <c r="K1580" s="8" t="s">
        <v>98</v>
      </c>
      <c r="L1580" s="8" t="s">
        <v>3699</v>
      </c>
      <c r="M1580" s="8" t="s">
        <v>27</v>
      </c>
      <c r="N1580" s="8" t="s">
        <v>21614</v>
      </c>
      <c r="O1580" s="8" t="s">
        <v>400</v>
      </c>
      <c r="P1580" s="11" t="s">
        <v>401</v>
      </c>
      <c r="Q1580" s="14" t="s">
        <v>21615</v>
      </c>
      <c r="R1580" s="8" t="s">
        <v>100</v>
      </c>
      <c r="S1580" s="8" t="s">
        <v>28</v>
      </c>
      <c r="T1580" s="68" t="s">
        <v>27756</v>
      </c>
      <c r="U1580" s="68" t="s">
        <v>29438</v>
      </c>
      <c r="V1580" s="68" t="s">
        <v>21212</v>
      </c>
      <c r="W1580" s="68" t="s">
        <v>100</v>
      </c>
      <c r="X1580" s="68">
        <v>1340</v>
      </c>
      <c r="AW1580" s="1"/>
      <c r="AX1580" s="1"/>
      <c r="AY1580" s="1"/>
      <c r="BA1580" s="44"/>
      <c r="BC1580" s="1"/>
      <c r="BD1580" s="1"/>
      <c r="BE1580" s="1"/>
      <c r="BF1580" s="1"/>
      <c r="BG1580" s="1"/>
      <c r="BH1580" s="1"/>
      <c r="BI1580" s="1"/>
      <c r="BJ1580" s="1"/>
      <c r="BK1580" s="44"/>
    </row>
    <row r="1581" spans="1:63" s="11" customFormat="1" ht="12" customHeight="1" x14ac:dyDescent="0.15">
      <c r="A1581" s="11" t="s">
        <v>22596</v>
      </c>
      <c r="B1581" s="68">
        <v>42</v>
      </c>
      <c r="C1581" s="11" t="s">
        <v>20</v>
      </c>
      <c r="D1581" s="11" t="s">
        <v>37</v>
      </c>
      <c r="E1581" s="60" t="s">
        <v>22597</v>
      </c>
      <c r="F1581" s="69">
        <v>42435</v>
      </c>
      <c r="G1581" s="11" t="s">
        <v>22598</v>
      </c>
      <c r="H1581" s="8" t="s">
        <v>22599</v>
      </c>
      <c r="I1581" s="11" t="s">
        <v>1716</v>
      </c>
      <c r="J1581" s="17" t="s">
        <v>22600</v>
      </c>
      <c r="K1581" s="8" t="s">
        <v>22601</v>
      </c>
      <c r="L1581" s="8" t="s">
        <v>22602</v>
      </c>
      <c r="M1581" s="8" t="s">
        <v>27</v>
      </c>
      <c r="N1581" s="8" t="s">
        <v>22603</v>
      </c>
      <c r="O1581" s="8" t="s">
        <v>400</v>
      </c>
      <c r="P1581" s="11" t="s">
        <v>401</v>
      </c>
      <c r="Q1581" s="14" t="s">
        <v>22604</v>
      </c>
      <c r="R1581" s="8" t="s">
        <v>100</v>
      </c>
      <c r="S1581" s="8" t="s">
        <v>18</v>
      </c>
      <c r="T1581" s="68" t="s">
        <v>28345</v>
      </c>
      <c r="U1581" s="68" t="s">
        <v>29441</v>
      </c>
      <c r="V1581" s="68" t="s">
        <v>29440</v>
      </c>
      <c r="W1581" s="68" t="s">
        <v>100</v>
      </c>
      <c r="X1581" s="68">
        <v>1333</v>
      </c>
      <c r="AW1581" s="1"/>
      <c r="AX1581" s="1"/>
      <c r="AY1581" s="1"/>
      <c r="BA1581" s="44"/>
      <c r="BC1581" s="1"/>
      <c r="BD1581" s="1"/>
      <c r="BE1581" s="1"/>
      <c r="BF1581" s="1"/>
      <c r="BG1581" s="1"/>
      <c r="BH1581" s="1"/>
      <c r="BI1581" s="1"/>
      <c r="BJ1581" s="1"/>
      <c r="BK1581" s="1"/>
    </row>
    <row r="1582" spans="1:63" s="11" customFormat="1" ht="12" customHeight="1" x14ac:dyDescent="0.15">
      <c r="A1582" s="11" t="s">
        <v>22394</v>
      </c>
      <c r="B1582" s="68">
        <v>51</v>
      </c>
      <c r="C1582" s="11" t="s">
        <v>20</v>
      </c>
      <c r="D1582" s="11" t="s">
        <v>37</v>
      </c>
      <c r="E1582" s="60" t="s">
        <v>22395</v>
      </c>
      <c r="F1582" s="69">
        <v>42435</v>
      </c>
      <c r="G1582" s="11" t="s">
        <v>22396</v>
      </c>
      <c r="H1582" s="8" t="s">
        <v>1994</v>
      </c>
      <c r="I1582" s="11" t="s">
        <v>73</v>
      </c>
      <c r="J1582" s="17" t="s">
        <v>1995</v>
      </c>
      <c r="K1582" s="8" t="s">
        <v>74</v>
      </c>
      <c r="L1582" s="8" t="s">
        <v>22397</v>
      </c>
      <c r="M1582" s="8" t="s">
        <v>27</v>
      </c>
      <c r="N1582" s="8" t="s">
        <v>22398</v>
      </c>
      <c r="O1582" s="8" t="s">
        <v>400</v>
      </c>
      <c r="P1582" s="11" t="s">
        <v>401</v>
      </c>
      <c r="Q1582" s="14" t="s">
        <v>22399</v>
      </c>
      <c r="R1582" s="8" t="s">
        <v>555</v>
      </c>
      <c r="S1582" s="8" t="s">
        <v>28</v>
      </c>
      <c r="T1582" s="68" t="s">
        <v>27756</v>
      </c>
      <c r="U1582" s="68" t="s">
        <v>29438</v>
      </c>
      <c r="V1582" s="68" t="s">
        <v>29439</v>
      </c>
      <c r="W1582" s="68" t="s">
        <v>100</v>
      </c>
      <c r="X1582" s="68">
        <v>1332</v>
      </c>
      <c r="AW1582" s="1"/>
      <c r="AX1582" s="1"/>
      <c r="AY1582" s="1"/>
      <c r="BB1582" s="44"/>
      <c r="BC1582" s="1"/>
      <c r="BD1582" s="1"/>
      <c r="BE1582" s="1"/>
      <c r="BF1582" s="1"/>
      <c r="BG1582" s="1"/>
      <c r="BH1582" s="1"/>
      <c r="BI1582" s="1"/>
      <c r="BJ1582" s="1"/>
      <c r="BK1582" s="44"/>
    </row>
    <row r="1583" spans="1:63" s="11" customFormat="1" ht="12" customHeight="1" x14ac:dyDescent="0.15">
      <c r="A1583" s="11" t="s">
        <v>22076</v>
      </c>
      <c r="B1583" s="68">
        <v>34</v>
      </c>
      <c r="C1583" s="11" t="s">
        <v>20</v>
      </c>
      <c r="D1583" s="11" t="s">
        <v>37</v>
      </c>
      <c r="F1583" s="69">
        <v>42434</v>
      </c>
      <c r="G1583" s="11" t="s">
        <v>22077</v>
      </c>
      <c r="H1583" s="8" t="s">
        <v>13265</v>
      </c>
      <c r="I1583" s="11" t="s">
        <v>423</v>
      </c>
      <c r="J1583" s="17" t="s">
        <v>22078</v>
      </c>
      <c r="K1583" s="8" t="s">
        <v>8765</v>
      </c>
      <c r="L1583" s="8" t="s">
        <v>22079</v>
      </c>
      <c r="M1583" s="8" t="s">
        <v>27</v>
      </c>
      <c r="N1583" s="8" t="s">
        <v>23127</v>
      </c>
      <c r="O1583" s="8" t="s">
        <v>400</v>
      </c>
      <c r="P1583" s="11" t="s">
        <v>401</v>
      </c>
      <c r="Q1583" s="14" t="s">
        <v>22080</v>
      </c>
      <c r="R1583" s="8" t="s">
        <v>555</v>
      </c>
      <c r="S1583" s="8" t="s">
        <v>28</v>
      </c>
      <c r="T1583" s="68" t="s">
        <v>27756</v>
      </c>
      <c r="U1583" s="68" t="s">
        <v>29438</v>
      </c>
      <c r="V1583" s="68" t="s">
        <v>29439</v>
      </c>
      <c r="W1583" s="68" t="s">
        <v>100</v>
      </c>
      <c r="X1583" s="68">
        <v>1334</v>
      </c>
      <c r="AX1583" s="1"/>
      <c r="AY1583" s="1"/>
      <c r="BB1583" s="44"/>
      <c r="BC1583" s="1"/>
      <c r="BD1583" s="1"/>
      <c r="BE1583" s="1"/>
      <c r="BF1583" s="1"/>
      <c r="BG1583" s="1"/>
      <c r="BH1583" s="1"/>
      <c r="BI1583" s="1"/>
      <c r="BJ1583" s="1"/>
      <c r="BK1583" s="44"/>
    </row>
    <row r="1584" spans="1:63" s="11" customFormat="1" ht="12" customHeight="1" x14ac:dyDescent="0.2">
      <c r="A1584" s="11" t="s">
        <v>22382</v>
      </c>
      <c r="B1584" s="68">
        <v>22</v>
      </c>
      <c r="C1584" s="11" t="s">
        <v>20</v>
      </c>
      <c r="D1584" s="11" t="s">
        <v>37</v>
      </c>
      <c r="E1584" s="60" t="s">
        <v>22383</v>
      </c>
      <c r="F1584" s="69">
        <v>42434</v>
      </c>
      <c r="G1584" s="11" t="s">
        <v>22384</v>
      </c>
      <c r="H1584" s="8" t="s">
        <v>8978</v>
      </c>
      <c r="I1584" s="11" t="s">
        <v>73</v>
      </c>
      <c r="J1584" s="17" t="s">
        <v>22385</v>
      </c>
      <c r="K1584" s="8" t="s">
        <v>1778</v>
      </c>
      <c r="L1584" s="8" t="s">
        <v>8980</v>
      </c>
      <c r="M1584" s="8" t="s">
        <v>27</v>
      </c>
      <c r="N1584" s="8" t="s">
        <v>22386</v>
      </c>
      <c r="O1584" s="8" t="s">
        <v>400</v>
      </c>
      <c r="P1584" s="11" t="s">
        <v>401</v>
      </c>
      <c r="Q1584" s="14" t="s">
        <v>22387</v>
      </c>
      <c r="R1584" s="68" t="s">
        <v>555</v>
      </c>
      <c r="S1584" s="8" t="s">
        <v>28</v>
      </c>
      <c r="T1584" s="68" t="s">
        <v>27756</v>
      </c>
      <c r="U1584" s="68" t="s">
        <v>29436</v>
      </c>
      <c r="V1584" s="68" t="s">
        <v>29439</v>
      </c>
      <c r="W1584" s="68" t="s">
        <v>100</v>
      </c>
      <c r="X1584" s="68">
        <v>1336</v>
      </c>
      <c r="AW1584" s="44"/>
      <c r="AX1584" s="1"/>
      <c r="AY1584" s="1"/>
      <c r="BA1584" s="70"/>
      <c r="BB1584" s="44"/>
      <c r="BC1584" s="1"/>
      <c r="BD1584" s="1"/>
      <c r="BE1584" s="1"/>
      <c r="BF1584" s="1"/>
      <c r="BG1584" s="1"/>
      <c r="BH1584" s="1"/>
      <c r="BI1584" s="1"/>
      <c r="BJ1584" s="1"/>
      <c r="BK1584" s="44"/>
    </row>
    <row r="1585" spans="1:63" s="11" customFormat="1" ht="12" customHeight="1" x14ac:dyDescent="0.15">
      <c r="A1585" s="11" t="s">
        <v>22677</v>
      </c>
      <c r="B1585" s="68">
        <v>30</v>
      </c>
      <c r="C1585" s="11" t="s">
        <v>20</v>
      </c>
      <c r="D1585" s="11" t="s">
        <v>37</v>
      </c>
      <c r="E1585" s="60" t="s">
        <v>22678</v>
      </c>
      <c r="F1585" s="69">
        <v>42433</v>
      </c>
      <c r="G1585" s="11" t="s">
        <v>22679</v>
      </c>
      <c r="H1585" s="8" t="s">
        <v>22680</v>
      </c>
      <c r="I1585" s="11" t="s">
        <v>315</v>
      </c>
      <c r="J1585" s="17" t="s">
        <v>22681</v>
      </c>
      <c r="K1585" s="8" t="s">
        <v>22682</v>
      </c>
      <c r="L1585" s="8" t="s">
        <v>22683</v>
      </c>
      <c r="M1585" s="8" t="s">
        <v>27</v>
      </c>
      <c r="N1585" s="8" t="s">
        <v>22684</v>
      </c>
      <c r="O1585" s="8" t="s">
        <v>400</v>
      </c>
      <c r="P1585" s="11" t="s">
        <v>401</v>
      </c>
      <c r="Q1585" s="14" t="s">
        <v>22685</v>
      </c>
      <c r="R1585" s="8" t="s">
        <v>100</v>
      </c>
      <c r="S1585" s="13" t="s">
        <v>18</v>
      </c>
      <c r="T1585" s="68" t="s">
        <v>28345</v>
      </c>
      <c r="U1585" s="68" t="s">
        <v>29441</v>
      </c>
      <c r="V1585" s="68" t="s">
        <v>29439</v>
      </c>
      <c r="W1585" s="68" t="s">
        <v>100</v>
      </c>
      <c r="X1585" s="68">
        <v>1342</v>
      </c>
      <c r="AX1585" s="1"/>
      <c r="AY1585" s="1"/>
      <c r="BA1585" s="44"/>
      <c r="BC1585" s="1"/>
      <c r="BD1585" s="1"/>
      <c r="BE1585" s="1"/>
      <c r="BF1585" s="1"/>
      <c r="BG1585" s="1"/>
      <c r="BH1585" s="1"/>
      <c r="BI1585" s="1"/>
      <c r="BJ1585" s="1"/>
      <c r="BK1585" s="1"/>
    </row>
    <row r="1586" spans="1:63" s="11" customFormat="1" ht="12" customHeight="1" x14ac:dyDescent="0.15">
      <c r="A1586" s="11" t="s">
        <v>21985</v>
      </c>
      <c r="B1586" s="68">
        <v>66</v>
      </c>
      <c r="C1586" s="11" t="s">
        <v>20</v>
      </c>
      <c r="D1586" s="11" t="s">
        <v>37</v>
      </c>
      <c r="F1586" s="69">
        <v>42433</v>
      </c>
      <c r="H1586" s="8" t="s">
        <v>21986</v>
      </c>
      <c r="I1586" s="11" t="s">
        <v>978</v>
      </c>
      <c r="J1586" s="17" t="s">
        <v>21987</v>
      </c>
      <c r="K1586" s="8" t="s">
        <v>1056</v>
      </c>
      <c r="L1586" s="8" t="s">
        <v>20458</v>
      </c>
      <c r="M1586" s="8" t="s">
        <v>27</v>
      </c>
      <c r="N1586" s="8" t="s">
        <v>21988</v>
      </c>
      <c r="O1586" s="8" t="s">
        <v>400</v>
      </c>
      <c r="P1586" s="11" t="s">
        <v>401</v>
      </c>
      <c r="Q1586" s="14" t="s">
        <v>21989</v>
      </c>
      <c r="R1586" s="8" t="s">
        <v>29</v>
      </c>
      <c r="S1586" s="8" t="s">
        <v>35</v>
      </c>
      <c r="T1586" s="68" t="s">
        <v>29441</v>
      </c>
      <c r="U1586" s="68" t="s">
        <v>29441</v>
      </c>
      <c r="V1586" s="68"/>
      <c r="W1586" s="68" t="s">
        <v>100</v>
      </c>
      <c r="X1586" s="68">
        <v>1338</v>
      </c>
      <c r="AW1586" s="1"/>
      <c r="AX1586" s="1"/>
      <c r="AY1586" s="1"/>
      <c r="BA1586" s="1"/>
      <c r="BB1586" s="1"/>
      <c r="BC1586" s="1"/>
      <c r="BD1586" s="1"/>
      <c r="BE1586" s="1"/>
      <c r="BF1586" s="1"/>
      <c r="BG1586" s="1"/>
      <c r="BH1586" s="1"/>
      <c r="BI1586" s="1"/>
      <c r="BJ1586" s="1"/>
      <c r="BK1586" s="1"/>
    </row>
    <row r="1587" spans="1:63" s="11" customFormat="1" ht="12" customHeight="1" x14ac:dyDescent="0.15">
      <c r="A1587" s="11" t="s">
        <v>21757</v>
      </c>
      <c r="B1587" s="68">
        <v>27</v>
      </c>
      <c r="C1587" s="11" t="s">
        <v>20</v>
      </c>
      <c r="D1587" s="11" t="s">
        <v>48</v>
      </c>
      <c r="F1587" s="69">
        <v>42432</v>
      </c>
      <c r="G1587" s="11" t="s">
        <v>21758</v>
      </c>
      <c r="H1587" s="8" t="s">
        <v>806</v>
      </c>
      <c r="I1587" s="11" t="s">
        <v>123</v>
      </c>
      <c r="J1587" s="17" t="s">
        <v>21759</v>
      </c>
      <c r="K1587" s="8" t="s">
        <v>633</v>
      </c>
      <c r="L1587" s="8" t="s">
        <v>1429</v>
      </c>
      <c r="M1587" s="8" t="s">
        <v>27</v>
      </c>
      <c r="N1587" s="8" t="s">
        <v>21760</v>
      </c>
      <c r="O1587" s="8" t="s">
        <v>400</v>
      </c>
      <c r="P1587" s="11" t="s">
        <v>401</v>
      </c>
      <c r="Q1587" s="14" t="s">
        <v>21761</v>
      </c>
      <c r="R1587" s="8" t="s">
        <v>100</v>
      </c>
      <c r="S1587" s="8" t="s">
        <v>28</v>
      </c>
      <c r="T1587" s="68" t="s">
        <v>29493</v>
      </c>
      <c r="U1587" s="68" t="s">
        <v>29436</v>
      </c>
      <c r="V1587" s="68" t="s">
        <v>29437</v>
      </c>
      <c r="W1587" s="68" t="s">
        <v>100</v>
      </c>
      <c r="X1587" s="68">
        <v>1335</v>
      </c>
      <c r="AW1587" s="44"/>
      <c r="AX1587" s="1"/>
      <c r="AY1587" s="1"/>
      <c r="BA1587" s="44"/>
      <c r="BC1587" s="1"/>
      <c r="BD1587" s="1"/>
      <c r="BE1587" s="1"/>
      <c r="BF1587" s="1"/>
      <c r="BG1587" s="1"/>
      <c r="BH1587" s="1"/>
      <c r="BI1587" s="1"/>
      <c r="BJ1587" s="1"/>
      <c r="BK1587" s="44"/>
    </row>
    <row r="1588" spans="1:63" s="11" customFormat="1" ht="12" customHeight="1" x14ac:dyDescent="0.15">
      <c r="A1588" s="11" t="s">
        <v>22568</v>
      </c>
      <c r="B1588" s="11">
        <v>37</v>
      </c>
      <c r="C1588" s="11" t="s">
        <v>20</v>
      </c>
      <c r="D1588" s="11" t="s">
        <v>37</v>
      </c>
      <c r="F1588" s="72">
        <v>42432</v>
      </c>
      <c r="G1588" s="11" t="s">
        <v>22569</v>
      </c>
      <c r="H1588" s="11" t="s">
        <v>12702</v>
      </c>
      <c r="I1588" s="11" t="s">
        <v>366</v>
      </c>
      <c r="J1588" s="10">
        <v>27576</v>
      </c>
      <c r="K1588" s="11" t="s">
        <v>22570</v>
      </c>
      <c r="L1588" s="11" t="s">
        <v>22571</v>
      </c>
      <c r="M1588" s="11" t="s">
        <v>391</v>
      </c>
      <c r="N1588" s="11" t="s">
        <v>22572</v>
      </c>
      <c r="O1588" s="11" t="s">
        <v>24961</v>
      </c>
      <c r="P1588" s="11" t="s">
        <v>1159</v>
      </c>
      <c r="Q1588" s="11" t="s">
        <v>22573</v>
      </c>
      <c r="R1588" s="11" t="s">
        <v>29</v>
      </c>
      <c r="S1588" s="8" t="s">
        <v>18</v>
      </c>
      <c r="AU1588" s="1"/>
      <c r="AV1588" s="1"/>
      <c r="AX1588" s="1"/>
      <c r="AY1588" s="1"/>
      <c r="AZ1588" s="1"/>
      <c r="BA1588" s="1"/>
      <c r="BB1588" s="1"/>
      <c r="BC1588" s="1"/>
      <c r="BD1588" s="1"/>
      <c r="BE1588" s="1"/>
      <c r="BF1588" s="1"/>
      <c r="BG1588" s="1"/>
      <c r="BH1588" s="1"/>
      <c r="BI1588" s="1"/>
      <c r="BJ1588" s="1"/>
      <c r="BK1588" s="1"/>
    </row>
    <row r="1589" spans="1:63" s="11" customFormat="1" ht="12" customHeight="1" x14ac:dyDescent="0.2">
      <c r="A1589" s="11" t="s">
        <v>22131</v>
      </c>
      <c r="B1589" s="68">
        <v>41</v>
      </c>
      <c r="C1589" s="11" t="s">
        <v>20</v>
      </c>
      <c r="D1589" s="11" t="s">
        <v>37</v>
      </c>
      <c r="F1589" s="69">
        <v>42431</v>
      </c>
      <c r="G1589" s="11" t="s">
        <v>22132</v>
      </c>
      <c r="H1589" s="8" t="s">
        <v>22133</v>
      </c>
      <c r="I1589" s="11" t="s">
        <v>404</v>
      </c>
      <c r="J1589" s="17" t="s">
        <v>22134</v>
      </c>
      <c r="K1589" s="8" t="s">
        <v>22135</v>
      </c>
      <c r="L1589" s="8" t="s">
        <v>22136</v>
      </c>
      <c r="M1589" s="68" t="s">
        <v>5411</v>
      </c>
      <c r="N1589" s="8" t="s">
        <v>23143</v>
      </c>
      <c r="O1589" s="8" t="s">
        <v>400</v>
      </c>
      <c r="P1589" s="11" t="s">
        <v>401</v>
      </c>
      <c r="Q1589" s="14" t="s">
        <v>22137</v>
      </c>
      <c r="R1589" s="8" t="s">
        <v>29</v>
      </c>
      <c r="S1589" s="8" t="s">
        <v>28</v>
      </c>
      <c r="T1589" s="68" t="s">
        <v>29493</v>
      </c>
      <c r="U1589" s="68" t="s">
        <v>29436</v>
      </c>
      <c r="V1589" s="68" t="s">
        <v>29439</v>
      </c>
      <c r="W1589" s="68" t="s">
        <v>100</v>
      </c>
      <c r="X1589" s="68">
        <v>1341</v>
      </c>
      <c r="AW1589" s="1"/>
      <c r="AX1589" s="1"/>
      <c r="AY1589" s="1"/>
      <c r="BA1589" s="1"/>
      <c r="BB1589" s="70"/>
      <c r="BC1589" s="1"/>
      <c r="BD1589" s="1"/>
      <c r="BE1589" s="1"/>
      <c r="BF1589" s="1"/>
      <c r="BG1589" s="1"/>
      <c r="BH1589" s="1"/>
      <c r="BI1589" s="1"/>
      <c r="BJ1589" s="1"/>
      <c r="BK1589" s="1"/>
    </row>
    <row r="1590" spans="1:63" s="11" customFormat="1" ht="12" customHeight="1" x14ac:dyDescent="0.15">
      <c r="A1590" s="11" t="s">
        <v>22148</v>
      </c>
      <c r="B1590" s="68">
        <v>36</v>
      </c>
      <c r="C1590" s="11" t="s">
        <v>20</v>
      </c>
      <c r="D1590" s="11" t="s">
        <v>37</v>
      </c>
      <c r="F1590" s="69">
        <v>42431</v>
      </c>
      <c r="G1590" s="11" t="s">
        <v>22149</v>
      </c>
      <c r="H1590" s="8" t="s">
        <v>9722</v>
      </c>
      <c r="I1590" s="11" t="s">
        <v>52</v>
      </c>
      <c r="J1590" s="17" t="s">
        <v>9723</v>
      </c>
      <c r="K1590" s="8" t="s">
        <v>9724</v>
      </c>
      <c r="L1590" s="8" t="s">
        <v>9725</v>
      </c>
      <c r="M1590" s="8" t="s">
        <v>27</v>
      </c>
      <c r="N1590" s="8" t="s">
        <v>22150</v>
      </c>
      <c r="O1590" s="8" t="s">
        <v>400</v>
      </c>
      <c r="P1590" s="11" t="s">
        <v>401</v>
      </c>
      <c r="Q1590" s="14" t="s">
        <v>22151</v>
      </c>
      <c r="R1590" s="8" t="s">
        <v>555</v>
      </c>
      <c r="S1590" s="8" t="s">
        <v>18</v>
      </c>
      <c r="T1590" s="68" t="s">
        <v>28345</v>
      </c>
      <c r="U1590" s="68" t="s">
        <v>29436</v>
      </c>
      <c r="V1590" s="68" t="s">
        <v>29439</v>
      </c>
      <c r="W1590" s="68" t="s">
        <v>100</v>
      </c>
      <c r="X1590" s="68">
        <v>1331</v>
      </c>
      <c r="AW1590" s="44"/>
      <c r="AX1590" s="1"/>
      <c r="AY1590" s="1"/>
      <c r="BB1590" s="44"/>
      <c r="BC1590" s="1"/>
      <c r="BD1590" s="1"/>
      <c r="BE1590" s="1"/>
      <c r="BF1590" s="1"/>
      <c r="BG1590" s="1"/>
      <c r="BH1590" s="1"/>
      <c r="BI1590" s="1"/>
      <c r="BJ1590" s="1"/>
      <c r="BK1590" s="1"/>
    </row>
    <row r="1591" spans="1:63" s="11" customFormat="1" ht="12" customHeight="1" x14ac:dyDescent="0.15">
      <c r="A1591" s="11" t="s">
        <v>22058</v>
      </c>
      <c r="B1591" s="68">
        <v>37</v>
      </c>
      <c r="C1591" s="11" t="s">
        <v>20</v>
      </c>
      <c r="D1591" s="11" t="s">
        <v>37</v>
      </c>
      <c r="F1591" s="69">
        <v>42430</v>
      </c>
      <c r="G1591" s="11" t="s">
        <v>22059</v>
      </c>
      <c r="H1591" s="8" t="s">
        <v>22060</v>
      </c>
      <c r="I1591" s="11" t="s">
        <v>669</v>
      </c>
      <c r="J1591" s="17" t="s">
        <v>22061</v>
      </c>
      <c r="K1591" s="8" t="s">
        <v>433</v>
      </c>
      <c r="L1591" s="8" t="s">
        <v>22062</v>
      </c>
      <c r="M1591" s="8" t="s">
        <v>27</v>
      </c>
      <c r="N1591" s="8" t="s">
        <v>22063</v>
      </c>
      <c r="O1591" s="8" t="s">
        <v>400</v>
      </c>
      <c r="P1591" s="11" t="s">
        <v>401</v>
      </c>
      <c r="Q1591" s="14" t="s">
        <v>22064</v>
      </c>
      <c r="R1591" s="8" t="s">
        <v>100</v>
      </c>
      <c r="S1591" s="8" t="s">
        <v>28</v>
      </c>
      <c r="T1591" s="68" t="s">
        <v>27756</v>
      </c>
      <c r="U1591" s="68" t="s">
        <v>29438</v>
      </c>
      <c r="V1591" s="68" t="s">
        <v>29439</v>
      </c>
      <c r="W1591" s="68" t="s">
        <v>100</v>
      </c>
      <c r="X1591" s="68">
        <v>1330</v>
      </c>
      <c r="AX1591" s="1"/>
      <c r="AY1591" s="1"/>
      <c r="BA1591" s="44"/>
      <c r="BB1591" s="44"/>
      <c r="BC1591" s="1"/>
      <c r="BD1591" s="1"/>
      <c r="BE1591" s="1"/>
      <c r="BF1591" s="1"/>
      <c r="BG1591" s="1"/>
      <c r="BH1591" s="1"/>
      <c r="BI1591" s="1"/>
      <c r="BJ1591" s="1"/>
    </row>
    <row r="1592" spans="1:63" s="11" customFormat="1" ht="12" customHeight="1" x14ac:dyDescent="0.15">
      <c r="A1592" s="11" t="s">
        <v>21793</v>
      </c>
      <c r="B1592" s="68">
        <v>39</v>
      </c>
      <c r="C1592" s="11" t="s">
        <v>20</v>
      </c>
      <c r="D1592" s="11" t="s">
        <v>48</v>
      </c>
      <c r="E1592" s="60" t="s">
        <v>21794</v>
      </c>
      <c r="F1592" s="69">
        <v>42430</v>
      </c>
      <c r="G1592" s="11" t="s">
        <v>21795</v>
      </c>
      <c r="H1592" s="8" t="s">
        <v>4115</v>
      </c>
      <c r="I1592" s="11" t="s">
        <v>62</v>
      </c>
      <c r="J1592" s="3" t="s">
        <v>21796</v>
      </c>
      <c r="K1592" s="2" t="s">
        <v>1769</v>
      </c>
      <c r="L1592" s="2" t="s">
        <v>4117</v>
      </c>
      <c r="M1592" s="8" t="s">
        <v>27</v>
      </c>
      <c r="N1592" s="8" t="s">
        <v>23124</v>
      </c>
      <c r="O1592" s="8" t="s">
        <v>400</v>
      </c>
      <c r="P1592" s="11" t="s">
        <v>401</v>
      </c>
      <c r="Q1592" s="14" t="s">
        <v>21797</v>
      </c>
      <c r="R1592" s="8" t="s">
        <v>555</v>
      </c>
      <c r="S1592" s="8" t="s">
        <v>28</v>
      </c>
      <c r="T1592" s="68" t="s">
        <v>27756</v>
      </c>
      <c r="U1592" s="68" t="s">
        <v>29438</v>
      </c>
      <c r="V1592" s="68" t="s">
        <v>29439</v>
      </c>
      <c r="W1592" s="68" t="s">
        <v>100</v>
      </c>
      <c r="X1592" s="68">
        <v>1328</v>
      </c>
      <c r="AW1592" s="44"/>
      <c r="AX1592" s="1"/>
      <c r="AY1592" s="1"/>
      <c r="BB1592" s="44"/>
      <c r="BC1592" s="1"/>
      <c r="BD1592" s="1"/>
      <c r="BE1592" s="1"/>
      <c r="BF1592" s="1"/>
      <c r="BG1592" s="1"/>
      <c r="BH1592" s="1"/>
      <c r="BI1592" s="1"/>
      <c r="BJ1592" s="1"/>
      <c r="BK1592" s="44"/>
    </row>
    <row r="1593" spans="1:63" s="11" customFormat="1" ht="12" customHeight="1" x14ac:dyDescent="0.15">
      <c r="A1593" s="11" t="s">
        <v>21653</v>
      </c>
      <c r="B1593" s="68">
        <v>22</v>
      </c>
      <c r="C1593" s="11" t="s">
        <v>20</v>
      </c>
      <c r="D1593" s="11" t="s">
        <v>48</v>
      </c>
      <c r="E1593" s="60" t="s">
        <v>21654</v>
      </c>
      <c r="F1593" s="69">
        <v>42430</v>
      </c>
      <c r="G1593" s="11" t="s">
        <v>21655</v>
      </c>
      <c r="H1593" s="8" t="s">
        <v>4162</v>
      </c>
      <c r="I1593" s="11" t="s">
        <v>73</v>
      </c>
      <c r="J1593" s="17" t="s">
        <v>21656</v>
      </c>
      <c r="K1593" s="8" t="s">
        <v>74</v>
      </c>
      <c r="L1593" s="8" t="s">
        <v>21657</v>
      </c>
      <c r="M1593" s="8" t="s">
        <v>27</v>
      </c>
      <c r="N1593" s="8" t="s">
        <v>21658</v>
      </c>
      <c r="O1593" s="8" t="s">
        <v>400</v>
      </c>
      <c r="P1593" s="11" t="s">
        <v>401</v>
      </c>
      <c r="Q1593" s="14" t="s">
        <v>21659</v>
      </c>
      <c r="R1593" s="45" t="s">
        <v>555</v>
      </c>
      <c r="S1593" s="8" t="s">
        <v>28</v>
      </c>
      <c r="T1593" s="68" t="s">
        <v>27756</v>
      </c>
      <c r="U1593" s="68" t="s">
        <v>29438</v>
      </c>
      <c r="V1593" s="68" t="s">
        <v>29439</v>
      </c>
      <c r="W1593" s="68" t="s">
        <v>100</v>
      </c>
      <c r="X1593" s="68">
        <v>1329</v>
      </c>
      <c r="AW1593" s="44"/>
      <c r="AX1593" s="1"/>
      <c r="AY1593" s="1"/>
      <c r="BB1593" s="44"/>
      <c r="BC1593" s="1"/>
      <c r="BD1593" s="1"/>
      <c r="BE1593" s="1"/>
      <c r="BF1593" s="1"/>
      <c r="BG1593" s="1"/>
      <c r="BH1593" s="1"/>
      <c r="BI1593" s="1"/>
      <c r="BJ1593" s="1"/>
      <c r="BK1593" s="44"/>
    </row>
    <row r="1594" spans="1:63" s="11" customFormat="1" ht="12" customHeight="1" x14ac:dyDescent="0.15">
      <c r="A1594" s="11" t="s">
        <v>21534</v>
      </c>
      <c r="B1594" s="68">
        <v>24</v>
      </c>
      <c r="C1594" s="11" t="s">
        <v>20</v>
      </c>
      <c r="D1594" s="11" t="s">
        <v>85</v>
      </c>
      <c r="E1594" s="60" t="s">
        <v>21535</v>
      </c>
      <c r="F1594" s="69">
        <v>42429</v>
      </c>
      <c r="G1594" s="11" t="s">
        <v>21536</v>
      </c>
      <c r="H1594" s="8" t="s">
        <v>151</v>
      </c>
      <c r="I1594" s="11" t="s">
        <v>366</v>
      </c>
      <c r="J1594" s="47" t="s">
        <v>21537</v>
      </c>
      <c r="K1594" s="8" t="s">
        <v>690</v>
      </c>
      <c r="L1594" s="8" t="s">
        <v>17337</v>
      </c>
      <c r="M1594" s="8" t="s">
        <v>27</v>
      </c>
      <c r="N1594" s="8" t="s">
        <v>23107</v>
      </c>
      <c r="O1594" s="8" t="s">
        <v>400</v>
      </c>
      <c r="P1594" s="11" t="s">
        <v>401</v>
      </c>
      <c r="Q1594" s="14" t="s">
        <v>21538</v>
      </c>
      <c r="R1594" s="8" t="s">
        <v>100</v>
      </c>
      <c r="S1594" s="2" t="s">
        <v>35</v>
      </c>
      <c r="T1594" s="68" t="s">
        <v>27756</v>
      </c>
      <c r="U1594" s="68" t="s">
        <v>29438</v>
      </c>
      <c r="V1594" s="68" t="s">
        <v>29440</v>
      </c>
      <c r="W1594" s="68" t="s">
        <v>100</v>
      </c>
      <c r="X1594" s="68">
        <v>1327</v>
      </c>
      <c r="AX1594" s="44"/>
      <c r="AY1594" s="44"/>
      <c r="BA1594" s="44"/>
      <c r="BK1594" s="1"/>
    </row>
    <row r="1595" spans="1:63" s="11" customFormat="1" ht="12" customHeight="1" x14ac:dyDescent="0.15">
      <c r="A1595" s="11" t="s">
        <v>22226</v>
      </c>
      <c r="B1595" s="68">
        <v>41</v>
      </c>
      <c r="C1595" s="11" t="s">
        <v>20</v>
      </c>
      <c r="D1595" s="11" t="s">
        <v>37</v>
      </c>
      <c r="E1595" s="60" t="s">
        <v>22227</v>
      </c>
      <c r="F1595" s="69">
        <v>42428</v>
      </c>
      <c r="G1595" s="11" t="s">
        <v>22228</v>
      </c>
      <c r="H1595" s="8" t="s">
        <v>22229</v>
      </c>
      <c r="I1595" s="11" t="s">
        <v>94</v>
      </c>
      <c r="J1595" s="17" t="s">
        <v>22230</v>
      </c>
      <c r="K1595" s="8" t="s">
        <v>22231</v>
      </c>
      <c r="L1595" s="8" t="s">
        <v>22232</v>
      </c>
      <c r="M1595" s="8" t="s">
        <v>27</v>
      </c>
      <c r="N1595" s="8" t="s">
        <v>22233</v>
      </c>
      <c r="O1595" s="8" t="s">
        <v>400</v>
      </c>
      <c r="P1595" s="11" t="s">
        <v>401</v>
      </c>
      <c r="Q1595" s="14" t="s">
        <v>22234</v>
      </c>
      <c r="R1595" s="8" t="s">
        <v>100</v>
      </c>
      <c r="S1595" s="8" t="s">
        <v>28</v>
      </c>
      <c r="T1595" s="68" t="s">
        <v>27756</v>
      </c>
      <c r="U1595" s="68" t="s">
        <v>29438</v>
      </c>
      <c r="V1595" s="68" t="s">
        <v>29439</v>
      </c>
      <c r="W1595" s="68" t="s">
        <v>100</v>
      </c>
      <c r="X1595" s="68">
        <v>1321</v>
      </c>
      <c r="AW1595" s="1"/>
      <c r="AX1595" s="1"/>
      <c r="AY1595" s="1"/>
      <c r="BA1595" s="44"/>
      <c r="BC1595" s="1"/>
      <c r="BD1595" s="1"/>
      <c r="BE1595" s="1"/>
      <c r="BF1595" s="1"/>
      <c r="BG1595" s="1"/>
      <c r="BH1595" s="1"/>
      <c r="BI1595" s="1"/>
      <c r="BJ1595" s="1"/>
      <c r="BK1595" s="44"/>
    </row>
    <row r="1596" spans="1:63" s="44" customFormat="1" ht="12" customHeight="1" x14ac:dyDescent="0.15">
      <c r="A1596" s="11" t="s">
        <v>22086</v>
      </c>
      <c r="B1596" s="68">
        <v>44</v>
      </c>
      <c r="C1596" s="11" t="s">
        <v>20</v>
      </c>
      <c r="D1596" s="11" t="s">
        <v>37</v>
      </c>
      <c r="E1596" s="11"/>
      <c r="F1596" s="69">
        <v>42428</v>
      </c>
      <c r="G1596" s="11" t="s">
        <v>22087</v>
      </c>
      <c r="H1596" s="8" t="s">
        <v>142</v>
      </c>
      <c r="I1596" s="11" t="s">
        <v>143</v>
      </c>
      <c r="J1596" s="17" t="s">
        <v>5385</v>
      </c>
      <c r="K1596" s="8" t="s">
        <v>144</v>
      </c>
      <c r="L1596" s="8" t="s">
        <v>145</v>
      </c>
      <c r="M1596" s="8" t="s">
        <v>27</v>
      </c>
      <c r="N1596" s="8" t="s">
        <v>23129</v>
      </c>
      <c r="O1596" s="8" t="s">
        <v>400</v>
      </c>
      <c r="P1596" s="11" t="s">
        <v>401</v>
      </c>
      <c r="Q1596" s="14" t="s">
        <v>22088</v>
      </c>
      <c r="R1596" s="8" t="s">
        <v>555</v>
      </c>
      <c r="S1596" s="8" t="s">
        <v>28</v>
      </c>
      <c r="T1596" s="68" t="s">
        <v>27756</v>
      </c>
      <c r="U1596" s="68" t="s">
        <v>29438</v>
      </c>
      <c r="V1596" s="68" t="s">
        <v>29439</v>
      </c>
      <c r="W1596" s="68" t="s">
        <v>100</v>
      </c>
      <c r="X1596" s="68">
        <v>1323</v>
      </c>
      <c r="Y1596" s="11"/>
      <c r="Z1596" s="11"/>
      <c r="AA1596" s="11"/>
      <c r="AB1596" s="11"/>
      <c r="AC1596" s="11"/>
      <c r="AD1596" s="11"/>
      <c r="AE1596" s="11"/>
      <c r="AF1596" s="11"/>
      <c r="AG1596" s="11"/>
      <c r="AH1596" s="11"/>
      <c r="AI1596" s="11"/>
      <c r="AJ1596" s="11"/>
      <c r="AK1596" s="11"/>
      <c r="AL1596" s="11"/>
      <c r="AM1596" s="11"/>
      <c r="AN1596" s="11"/>
      <c r="AO1596" s="11"/>
      <c r="AP1596" s="11"/>
      <c r="AQ1596" s="11"/>
      <c r="AR1596" s="11"/>
      <c r="AS1596" s="11"/>
      <c r="AT1596" s="11"/>
      <c r="AU1596" s="11"/>
      <c r="AV1596" s="11"/>
      <c r="AW1596" s="1"/>
      <c r="AX1596" s="1"/>
      <c r="AY1596" s="1"/>
      <c r="AZ1596" s="11"/>
      <c r="BA1596" s="11"/>
      <c r="BC1596" s="1"/>
      <c r="BD1596" s="1"/>
      <c r="BE1596" s="1"/>
      <c r="BF1596" s="1"/>
      <c r="BG1596" s="1"/>
      <c r="BH1596" s="1"/>
      <c r="BI1596" s="1"/>
      <c r="BJ1596" s="1"/>
    </row>
    <row r="1597" spans="1:63" s="11" customFormat="1" ht="12" customHeight="1" x14ac:dyDescent="0.15">
      <c r="A1597" s="11" t="s">
        <v>21750</v>
      </c>
      <c r="B1597" s="68">
        <v>23</v>
      </c>
      <c r="C1597" s="11" t="s">
        <v>20</v>
      </c>
      <c r="D1597" s="11" t="s">
        <v>48</v>
      </c>
      <c r="F1597" s="69">
        <v>42427</v>
      </c>
      <c r="G1597" s="11" t="s">
        <v>21751</v>
      </c>
      <c r="H1597" s="8" t="s">
        <v>21752</v>
      </c>
      <c r="I1597" s="11" t="s">
        <v>73</v>
      </c>
      <c r="J1597" s="17" t="s">
        <v>21753</v>
      </c>
      <c r="K1597" s="8" t="s">
        <v>15238</v>
      </c>
      <c r="L1597" s="8" t="s">
        <v>21754</v>
      </c>
      <c r="M1597" s="8" t="s">
        <v>27</v>
      </c>
      <c r="N1597" s="8" t="s">
        <v>21755</v>
      </c>
      <c r="O1597" s="8" t="s">
        <v>400</v>
      </c>
      <c r="P1597" s="11" t="s">
        <v>401</v>
      </c>
      <c r="Q1597" s="14" t="s">
        <v>21756</v>
      </c>
      <c r="R1597" s="8" t="s">
        <v>100</v>
      </c>
      <c r="S1597" s="8" t="s">
        <v>28</v>
      </c>
      <c r="T1597" s="68" t="s">
        <v>27756</v>
      </c>
      <c r="U1597" s="68" t="s">
        <v>29438</v>
      </c>
      <c r="V1597" s="68" t="s">
        <v>29437</v>
      </c>
      <c r="W1597" s="68" t="s">
        <v>555</v>
      </c>
      <c r="X1597" s="68">
        <v>1325</v>
      </c>
      <c r="AW1597" s="44"/>
      <c r="AX1597" s="1"/>
      <c r="AY1597" s="1"/>
      <c r="BA1597" s="44"/>
      <c r="BC1597" s="1"/>
      <c r="BD1597" s="1"/>
      <c r="BE1597" s="1"/>
      <c r="BF1597" s="1"/>
      <c r="BG1597" s="1"/>
      <c r="BH1597" s="1"/>
      <c r="BI1597" s="1"/>
      <c r="BJ1597" s="1"/>
      <c r="BK1597" s="44"/>
    </row>
    <row r="1598" spans="1:63" s="44" customFormat="1" ht="12" customHeight="1" x14ac:dyDescent="0.15">
      <c r="A1598" s="11" t="s">
        <v>22184</v>
      </c>
      <c r="B1598" s="68">
        <v>35</v>
      </c>
      <c r="C1598" s="11" t="s">
        <v>20</v>
      </c>
      <c r="D1598" s="11" t="s">
        <v>37</v>
      </c>
      <c r="E1598" s="11"/>
      <c r="F1598" s="69">
        <v>42426</v>
      </c>
      <c r="G1598" s="11" t="s">
        <v>22185</v>
      </c>
      <c r="H1598" s="8" t="s">
        <v>142</v>
      </c>
      <c r="I1598" s="11" t="s">
        <v>143</v>
      </c>
      <c r="J1598" s="17" t="s">
        <v>22186</v>
      </c>
      <c r="K1598" s="8" t="s">
        <v>144</v>
      </c>
      <c r="L1598" s="8" t="s">
        <v>5386</v>
      </c>
      <c r="M1598" s="8" t="s">
        <v>27</v>
      </c>
      <c r="N1598" s="8" t="s">
        <v>22187</v>
      </c>
      <c r="O1598" s="8" t="s">
        <v>400</v>
      </c>
      <c r="P1598" s="11" t="s">
        <v>401</v>
      </c>
      <c r="Q1598" s="14" t="s">
        <v>22188</v>
      </c>
      <c r="R1598" s="8" t="s">
        <v>100</v>
      </c>
      <c r="S1598" s="13" t="s">
        <v>18</v>
      </c>
      <c r="T1598" s="68" t="s">
        <v>28345</v>
      </c>
      <c r="U1598" s="68" t="s">
        <v>29438</v>
      </c>
      <c r="V1598" s="68" t="s">
        <v>29439</v>
      </c>
      <c r="W1598" s="68" t="s">
        <v>100</v>
      </c>
      <c r="X1598" s="68">
        <v>1324</v>
      </c>
      <c r="Y1598" s="11"/>
      <c r="Z1598" s="11"/>
      <c r="AA1598" s="11"/>
      <c r="AB1598" s="11"/>
      <c r="AC1598" s="11"/>
      <c r="AD1598" s="11"/>
      <c r="AE1598" s="11"/>
      <c r="AF1598" s="11"/>
      <c r="AG1598" s="11"/>
      <c r="AH1598" s="11"/>
      <c r="AI1598" s="11"/>
      <c r="AJ1598" s="11"/>
      <c r="AK1598" s="11"/>
      <c r="AL1598" s="11"/>
      <c r="AM1598" s="11"/>
      <c r="AN1598" s="11"/>
      <c r="AO1598" s="11"/>
      <c r="AP1598" s="11"/>
      <c r="AQ1598" s="11"/>
      <c r="AR1598" s="11"/>
      <c r="AS1598" s="11"/>
      <c r="AT1598" s="11"/>
      <c r="AU1598" s="11"/>
      <c r="AV1598" s="11"/>
      <c r="AW1598" s="11"/>
      <c r="AX1598" s="1"/>
      <c r="AY1598" s="1"/>
      <c r="AZ1598" s="11"/>
      <c r="BC1598" s="1"/>
      <c r="BD1598" s="1"/>
      <c r="BE1598" s="1"/>
      <c r="BF1598" s="1"/>
      <c r="BG1598" s="1"/>
      <c r="BH1598" s="1"/>
      <c r="BI1598" s="1"/>
      <c r="BJ1598" s="1"/>
      <c r="BK1598" s="1"/>
    </row>
    <row r="1599" spans="1:63" s="44" customFormat="1" ht="12" customHeight="1" x14ac:dyDescent="0.2">
      <c r="A1599" s="11" t="s">
        <v>21525</v>
      </c>
      <c r="B1599" s="68">
        <v>18</v>
      </c>
      <c r="C1599" s="11" t="s">
        <v>20</v>
      </c>
      <c r="D1599" s="11" t="s">
        <v>85</v>
      </c>
      <c r="E1599" s="60" t="s">
        <v>21526</v>
      </c>
      <c r="F1599" s="69">
        <v>42426</v>
      </c>
      <c r="G1599" s="11" t="s">
        <v>21527</v>
      </c>
      <c r="H1599" s="8" t="s">
        <v>21528</v>
      </c>
      <c r="I1599" s="11" t="s">
        <v>244</v>
      </c>
      <c r="J1599" s="47" t="s">
        <v>21529</v>
      </c>
      <c r="K1599" s="8" t="s">
        <v>21530</v>
      </c>
      <c r="L1599" s="8" t="s">
        <v>21531</v>
      </c>
      <c r="M1599" s="8" t="s">
        <v>27</v>
      </c>
      <c r="N1599" s="8" t="s">
        <v>21532</v>
      </c>
      <c r="O1599" s="8" t="s">
        <v>400</v>
      </c>
      <c r="P1599" s="11" t="s">
        <v>401</v>
      </c>
      <c r="Q1599" s="14" t="s">
        <v>21533</v>
      </c>
      <c r="R1599" s="68" t="s">
        <v>555</v>
      </c>
      <c r="S1599" s="8" t="s">
        <v>18</v>
      </c>
      <c r="T1599" s="68" t="s">
        <v>29612</v>
      </c>
      <c r="U1599" s="68" t="s">
        <v>29436</v>
      </c>
      <c r="V1599" s="68" t="s">
        <v>29439</v>
      </c>
      <c r="W1599" s="68" t="s">
        <v>100</v>
      </c>
      <c r="X1599" s="68">
        <v>1322</v>
      </c>
      <c r="Y1599" s="11"/>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70"/>
      <c r="AX1599" s="70"/>
      <c r="AY1599" s="70"/>
      <c r="AZ1599" s="11"/>
      <c r="BA1599" s="70"/>
      <c r="BC1599" s="11"/>
      <c r="BD1599" s="11"/>
      <c r="BE1599" s="11"/>
      <c r="BF1599" s="11"/>
      <c r="BG1599" s="11"/>
      <c r="BH1599" s="11"/>
      <c r="BI1599" s="11"/>
      <c r="BJ1599" s="11"/>
      <c r="BK1599" s="1"/>
    </row>
    <row r="1600" spans="1:63" s="44" customFormat="1" ht="12" customHeight="1" x14ac:dyDescent="0.15">
      <c r="A1600" s="11" t="s">
        <v>22274</v>
      </c>
      <c r="B1600" s="68">
        <v>37</v>
      </c>
      <c r="C1600" s="11" t="s">
        <v>20</v>
      </c>
      <c r="D1600" s="11" t="s">
        <v>37</v>
      </c>
      <c r="E1600" s="11"/>
      <c r="F1600" s="69">
        <v>42425</v>
      </c>
      <c r="G1600" s="11" t="s">
        <v>22275</v>
      </c>
      <c r="H1600" s="8" t="s">
        <v>5113</v>
      </c>
      <c r="I1600" s="11" t="s">
        <v>209</v>
      </c>
      <c r="J1600" s="17" t="s">
        <v>5114</v>
      </c>
      <c r="K1600" s="8" t="s">
        <v>1705</v>
      </c>
      <c r="L1600" s="8" t="s">
        <v>5115</v>
      </c>
      <c r="M1600" s="8" t="s">
        <v>27</v>
      </c>
      <c r="N1600" s="8" t="s">
        <v>22276</v>
      </c>
      <c r="O1600" s="8" t="s">
        <v>400</v>
      </c>
      <c r="P1600" s="11" t="s">
        <v>401</v>
      </c>
      <c r="Q1600" s="14" t="s">
        <v>22277</v>
      </c>
      <c r="R1600" s="8" t="s">
        <v>100</v>
      </c>
      <c r="S1600" s="8" t="s">
        <v>28</v>
      </c>
      <c r="T1600" s="68" t="s">
        <v>27756</v>
      </c>
      <c r="U1600" s="68" t="s">
        <v>29438</v>
      </c>
      <c r="V1600" s="68" t="s">
        <v>29440</v>
      </c>
      <c r="W1600" s="68" t="s">
        <v>555</v>
      </c>
      <c r="X1600" s="68">
        <v>1312</v>
      </c>
      <c r="Y1600" s="11"/>
      <c r="Z1600" s="11"/>
      <c r="AA1600" s="11"/>
      <c r="AB1600" s="11"/>
      <c r="AC1600" s="11"/>
      <c r="AD1600" s="11"/>
      <c r="AE1600" s="11"/>
      <c r="AF1600" s="11"/>
      <c r="AG1600" s="11"/>
      <c r="AH1600" s="11"/>
      <c r="AI1600" s="11"/>
      <c r="AJ1600" s="11"/>
      <c r="AK1600" s="11"/>
      <c r="AL1600" s="11"/>
      <c r="AM1600" s="11"/>
      <c r="AN1600" s="11"/>
      <c r="AO1600" s="11"/>
      <c r="AP1600" s="11"/>
      <c r="AQ1600" s="11"/>
      <c r="AR1600" s="11"/>
      <c r="AS1600" s="11"/>
      <c r="AT1600" s="11"/>
      <c r="AU1600" s="11"/>
      <c r="AV1600" s="11"/>
      <c r="AW1600" s="11"/>
      <c r="AX1600" s="1"/>
      <c r="AY1600" s="1"/>
      <c r="AZ1600" s="11"/>
      <c r="BC1600" s="1"/>
      <c r="BD1600" s="1"/>
      <c r="BE1600" s="1"/>
      <c r="BF1600" s="1"/>
      <c r="BG1600" s="1"/>
      <c r="BH1600" s="1"/>
      <c r="BI1600" s="1"/>
      <c r="BJ1600" s="1"/>
    </row>
    <row r="1601" spans="1:63" s="44" customFormat="1" ht="12" customHeight="1" x14ac:dyDescent="0.2">
      <c r="A1601" s="11" t="s">
        <v>21965</v>
      </c>
      <c r="B1601" s="68">
        <v>19</v>
      </c>
      <c r="C1601" s="11" t="s">
        <v>20</v>
      </c>
      <c r="D1601" s="11" t="s">
        <v>37</v>
      </c>
      <c r="E1601" s="60" t="s">
        <v>21966</v>
      </c>
      <c r="F1601" s="69">
        <v>42425</v>
      </c>
      <c r="G1601" s="11" t="s">
        <v>21967</v>
      </c>
      <c r="H1601" s="8" t="s">
        <v>21968</v>
      </c>
      <c r="I1601" s="11" t="s">
        <v>269</v>
      </c>
      <c r="J1601" s="17" t="s">
        <v>21969</v>
      </c>
      <c r="K1601" s="8" t="s">
        <v>18190</v>
      </c>
      <c r="L1601" s="8" t="s">
        <v>21970</v>
      </c>
      <c r="M1601" s="8" t="s">
        <v>27</v>
      </c>
      <c r="N1601" s="8" t="s">
        <v>23111</v>
      </c>
      <c r="O1601" s="8" t="s">
        <v>400</v>
      </c>
      <c r="P1601" s="11" t="s">
        <v>401</v>
      </c>
      <c r="Q1601" s="14" t="s">
        <v>21971</v>
      </c>
      <c r="R1601" s="8" t="s">
        <v>100</v>
      </c>
      <c r="S1601" s="8" t="s">
        <v>28</v>
      </c>
      <c r="T1601" s="68" t="s">
        <v>27756</v>
      </c>
      <c r="U1601" s="68" t="s">
        <v>29438</v>
      </c>
      <c r="V1601" s="68" t="s">
        <v>29439</v>
      </c>
      <c r="W1601" s="68" t="s">
        <v>555</v>
      </c>
      <c r="X1601" s="68">
        <v>1319</v>
      </c>
      <c r="Y1601" s="11"/>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70"/>
      <c r="AX1601" s="1"/>
      <c r="AY1601" s="1"/>
      <c r="AZ1601" s="11"/>
      <c r="BC1601" s="1"/>
      <c r="BD1601" s="1"/>
      <c r="BE1601" s="1"/>
      <c r="BF1601" s="1"/>
      <c r="BG1601" s="1"/>
      <c r="BH1601" s="1"/>
      <c r="BI1601" s="1"/>
      <c r="BJ1601" s="1"/>
    </row>
    <row r="1602" spans="1:63" s="44" customFormat="1" ht="12" customHeight="1" x14ac:dyDescent="0.15">
      <c r="A1602" s="11" t="s">
        <v>21475</v>
      </c>
      <c r="B1602" s="68">
        <v>56</v>
      </c>
      <c r="C1602" s="11" t="s">
        <v>20</v>
      </c>
      <c r="D1602" s="11" t="s">
        <v>85</v>
      </c>
      <c r="E1602" s="60" t="s">
        <v>21476</v>
      </c>
      <c r="F1602" s="69">
        <v>42425</v>
      </c>
      <c r="G1602" s="11" t="s">
        <v>21477</v>
      </c>
      <c r="H1602" s="8" t="s">
        <v>1056</v>
      </c>
      <c r="I1602" s="11" t="s">
        <v>94</v>
      </c>
      <c r="J1602" s="47" t="s">
        <v>21478</v>
      </c>
      <c r="K1602" s="8" t="s">
        <v>1056</v>
      </c>
      <c r="L1602" s="8" t="s">
        <v>21479</v>
      </c>
      <c r="M1602" s="8" t="s">
        <v>27</v>
      </c>
      <c r="N1602" s="8" t="s">
        <v>21480</v>
      </c>
      <c r="O1602" s="8" t="s">
        <v>21481</v>
      </c>
      <c r="P1602" s="11" t="s">
        <v>1159</v>
      </c>
      <c r="Q1602" s="14" t="s">
        <v>21482</v>
      </c>
      <c r="R1602" s="8" t="s">
        <v>100</v>
      </c>
      <c r="S1602" s="1" t="s">
        <v>35</v>
      </c>
      <c r="T1602" s="68" t="s">
        <v>29498</v>
      </c>
      <c r="U1602" s="68" t="s">
        <v>29441</v>
      </c>
      <c r="V1602" s="68" t="s">
        <v>29439</v>
      </c>
      <c r="W1602" s="68" t="s">
        <v>555</v>
      </c>
      <c r="X1602" s="68">
        <v>1315</v>
      </c>
      <c r="Y1602" s="11"/>
      <c r="Z1602" s="11"/>
      <c r="AA1602" s="11"/>
      <c r="AB1602" s="11"/>
      <c r="AC1602" s="11"/>
      <c r="AD1602" s="11"/>
      <c r="AE1602" s="11"/>
      <c r="AF1602" s="11"/>
      <c r="AG1602" s="11"/>
      <c r="AJ1602" s="11"/>
      <c r="AK1602" s="11"/>
      <c r="AL1602" s="11"/>
      <c r="AM1602" s="11"/>
      <c r="AN1602" s="11"/>
      <c r="AO1602" s="11"/>
      <c r="AP1602" s="11"/>
      <c r="AQ1602" s="11"/>
      <c r="AR1602" s="11"/>
      <c r="AS1602" s="11"/>
      <c r="AT1602" s="11"/>
      <c r="AU1602" s="11"/>
      <c r="AV1602" s="11"/>
      <c r="AW1602" s="1"/>
      <c r="AZ1602" s="11"/>
      <c r="BC1602" s="11"/>
      <c r="BD1602" s="11"/>
      <c r="BE1602" s="11"/>
      <c r="BF1602" s="11"/>
      <c r="BG1602" s="11"/>
      <c r="BH1602" s="11"/>
      <c r="BI1602" s="11"/>
      <c r="BJ1602" s="11"/>
      <c r="BK1602" s="1"/>
    </row>
    <row r="1603" spans="1:63" s="44" customFormat="1" ht="12" customHeight="1" x14ac:dyDescent="0.15">
      <c r="A1603" s="11" t="s">
        <v>23505</v>
      </c>
      <c r="B1603" s="11">
        <v>31</v>
      </c>
      <c r="C1603" s="11" t="s">
        <v>20</v>
      </c>
      <c r="D1603" s="11" t="s">
        <v>37</v>
      </c>
      <c r="E1603" s="44" t="s">
        <v>23560</v>
      </c>
      <c r="F1603" s="72">
        <v>42425</v>
      </c>
      <c r="G1603" s="11" t="s">
        <v>23562</v>
      </c>
      <c r="H1603" s="8" t="s">
        <v>9290</v>
      </c>
      <c r="I1603" s="11" t="s">
        <v>463</v>
      </c>
      <c r="J1603" s="44">
        <v>68005</v>
      </c>
      <c r="K1603" s="8" t="s">
        <v>9292</v>
      </c>
      <c r="L1603" s="8" t="s">
        <v>9293</v>
      </c>
      <c r="M1603" s="8" t="s">
        <v>391</v>
      </c>
      <c r="N1603" s="8" t="s">
        <v>23563</v>
      </c>
      <c r="O1603" s="8" t="s">
        <v>400</v>
      </c>
      <c r="P1603" s="11" t="s">
        <v>401</v>
      </c>
      <c r="Q1603" s="44" t="s">
        <v>23561</v>
      </c>
      <c r="R1603" s="8" t="s">
        <v>29</v>
      </c>
      <c r="S1603" s="8" t="s">
        <v>18</v>
      </c>
      <c r="AJ1603" s="11"/>
      <c r="AK1603" s="11"/>
      <c r="AL1603" s="11"/>
      <c r="AM1603" s="11"/>
      <c r="AN1603" s="11"/>
      <c r="AO1603" s="11"/>
      <c r="AP1603" s="11"/>
      <c r="AQ1603" s="11"/>
      <c r="AR1603" s="11"/>
      <c r="AS1603" s="11"/>
      <c r="AT1603" s="11"/>
      <c r="AU1603" s="1"/>
      <c r="AV1603" s="1"/>
      <c r="AW1603" s="11"/>
      <c r="AX1603" s="1"/>
      <c r="AY1603" s="1"/>
      <c r="AZ1603" s="1"/>
      <c r="BA1603" s="1"/>
      <c r="BB1603" s="1"/>
      <c r="BC1603" s="1"/>
      <c r="BD1603" s="1"/>
      <c r="BE1603" s="1"/>
      <c r="BF1603" s="1"/>
      <c r="BG1603" s="1"/>
      <c r="BH1603" s="1"/>
      <c r="BI1603" s="1"/>
      <c r="BJ1603" s="1"/>
      <c r="BK1603" s="1"/>
    </row>
    <row r="1604" spans="1:63" s="44" customFormat="1" ht="12" customHeight="1" x14ac:dyDescent="0.2">
      <c r="A1604" s="11" t="s">
        <v>21353</v>
      </c>
      <c r="B1604" s="68">
        <v>38</v>
      </c>
      <c r="C1604" s="11" t="s">
        <v>20</v>
      </c>
      <c r="D1604" s="11" t="s">
        <v>85</v>
      </c>
      <c r="E1604" s="60" t="s">
        <v>21354</v>
      </c>
      <c r="F1604" s="69">
        <v>42425</v>
      </c>
      <c r="G1604" s="11" t="s">
        <v>21355</v>
      </c>
      <c r="H1604" s="8" t="s">
        <v>21356</v>
      </c>
      <c r="I1604" s="11" t="s">
        <v>363</v>
      </c>
      <c r="J1604" s="47" t="s">
        <v>21357</v>
      </c>
      <c r="K1604" s="8" t="s">
        <v>2295</v>
      </c>
      <c r="L1604" s="8" t="s">
        <v>21358</v>
      </c>
      <c r="M1604" s="8" t="s">
        <v>27</v>
      </c>
      <c r="N1604" s="8" t="s">
        <v>21359</v>
      </c>
      <c r="O1604" s="8" t="s">
        <v>400</v>
      </c>
      <c r="P1604" s="11" t="s">
        <v>401</v>
      </c>
      <c r="Q1604" s="14" t="s">
        <v>21360</v>
      </c>
      <c r="R1604" s="68" t="s">
        <v>555</v>
      </c>
      <c r="S1604" s="8" t="s">
        <v>28</v>
      </c>
      <c r="T1604" s="68" t="s">
        <v>27756</v>
      </c>
      <c r="U1604" s="68" t="s">
        <v>29438</v>
      </c>
      <c r="V1604" s="68" t="s">
        <v>29439</v>
      </c>
      <c r="W1604" s="68" t="s">
        <v>100</v>
      </c>
      <c r="X1604" s="68">
        <v>1320</v>
      </c>
      <c r="Y1604" s="11"/>
      <c r="Z1604" s="11"/>
      <c r="AA1604" s="11"/>
      <c r="AB1604" s="11"/>
      <c r="AC1604" s="11"/>
      <c r="AD1604" s="11"/>
      <c r="AE1604" s="11"/>
      <c r="AF1604" s="11"/>
      <c r="AG1604" s="11"/>
      <c r="AJ1604" s="11"/>
      <c r="AK1604" s="11"/>
      <c r="AL1604" s="11"/>
      <c r="AM1604" s="11"/>
      <c r="AN1604" s="11"/>
      <c r="AO1604" s="11"/>
      <c r="AP1604" s="11"/>
      <c r="AQ1604" s="11"/>
      <c r="AR1604" s="11"/>
      <c r="AS1604" s="11"/>
      <c r="AT1604" s="11"/>
      <c r="AU1604" s="11"/>
      <c r="AV1604" s="11"/>
      <c r="AZ1604" s="11"/>
      <c r="BA1604" s="70"/>
      <c r="BC1604" s="11"/>
      <c r="BD1604" s="11"/>
      <c r="BE1604" s="11"/>
      <c r="BF1604" s="11"/>
      <c r="BG1604" s="11"/>
      <c r="BH1604" s="11"/>
      <c r="BI1604" s="11"/>
      <c r="BJ1604" s="11"/>
    </row>
    <row r="1605" spans="1:63" s="44" customFormat="1" ht="12" customHeight="1" x14ac:dyDescent="0.15">
      <c r="A1605" s="11" t="s">
        <v>22759</v>
      </c>
      <c r="B1605" s="68">
        <v>21</v>
      </c>
      <c r="C1605" s="11" t="s">
        <v>20</v>
      </c>
      <c r="D1605" s="11" t="s">
        <v>85</v>
      </c>
      <c r="E1605" s="11"/>
      <c r="F1605" s="69">
        <v>42424</v>
      </c>
      <c r="G1605" s="11" t="s">
        <v>22760</v>
      </c>
      <c r="H1605" s="8" t="s">
        <v>22761</v>
      </c>
      <c r="I1605" s="11" t="s">
        <v>438</v>
      </c>
      <c r="J1605" s="47" t="s">
        <v>22762</v>
      </c>
      <c r="K1605" s="8" t="s">
        <v>16032</v>
      </c>
      <c r="L1605" s="8" t="s">
        <v>16033</v>
      </c>
      <c r="M1605" s="8" t="s">
        <v>27</v>
      </c>
      <c r="N1605" s="8" t="s">
        <v>22763</v>
      </c>
      <c r="O1605" s="8" t="s">
        <v>400</v>
      </c>
      <c r="P1605" s="11" t="s">
        <v>401</v>
      </c>
      <c r="Q1605" s="14" t="s">
        <v>22764</v>
      </c>
      <c r="R1605" s="8" t="s">
        <v>100</v>
      </c>
      <c r="S1605" s="13" t="s">
        <v>18</v>
      </c>
      <c r="T1605" s="68" t="s">
        <v>28345</v>
      </c>
      <c r="U1605" s="68" t="s">
        <v>29441</v>
      </c>
      <c r="V1605" s="68" t="s">
        <v>29437</v>
      </c>
      <c r="W1605" s="68" t="s">
        <v>100</v>
      </c>
      <c r="X1605" s="68">
        <v>1318</v>
      </c>
      <c r="Y1605" s="11"/>
      <c r="Z1605" s="11"/>
      <c r="AA1605" s="11"/>
      <c r="AB1605" s="11"/>
      <c r="AC1605" s="11"/>
      <c r="AD1605" s="11"/>
      <c r="AE1605" s="11"/>
      <c r="AF1605" s="11"/>
      <c r="AG1605" s="11"/>
      <c r="AJ1605" s="11"/>
      <c r="AK1605" s="11"/>
      <c r="AL1605" s="11"/>
      <c r="AM1605" s="11"/>
      <c r="AN1605" s="11"/>
      <c r="AO1605" s="11"/>
      <c r="AP1605" s="11"/>
      <c r="AQ1605" s="11"/>
      <c r="AR1605" s="11"/>
      <c r="AS1605" s="11"/>
      <c r="AT1605" s="11"/>
      <c r="AU1605" s="11"/>
      <c r="AV1605" s="11"/>
      <c r="AZ1605" s="11"/>
      <c r="BC1605" s="11"/>
      <c r="BD1605" s="11"/>
      <c r="BE1605" s="11"/>
      <c r="BF1605" s="11"/>
      <c r="BG1605" s="11"/>
      <c r="BH1605" s="11"/>
      <c r="BI1605" s="11"/>
      <c r="BJ1605" s="11"/>
      <c r="BK1605" s="1"/>
    </row>
    <row r="1606" spans="1:63" s="44" customFormat="1" ht="12" customHeight="1" x14ac:dyDescent="0.15">
      <c r="A1606" s="11" t="s">
        <v>12501</v>
      </c>
      <c r="B1606" s="68">
        <v>27</v>
      </c>
      <c r="C1606" s="11" t="s">
        <v>20</v>
      </c>
      <c r="D1606" s="11" t="s">
        <v>48</v>
      </c>
      <c r="E1606" s="11"/>
      <c r="F1606" s="69">
        <v>42424</v>
      </c>
      <c r="G1606" s="11" t="s">
        <v>21785</v>
      </c>
      <c r="H1606" s="8" t="s">
        <v>632</v>
      </c>
      <c r="I1606" s="11" t="s">
        <v>123</v>
      </c>
      <c r="J1606" s="17" t="s">
        <v>10920</v>
      </c>
      <c r="K1606" s="8" t="s">
        <v>633</v>
      </c>
      <c r="L1606" s="8" t="s">
        <v>634</v>
      </c>
      <c r="M1606" s="8" t="s">
        <v>27</v>
      </c>
      <c r="N1606" s="8" t="s">
        <v>21786</v>
      </c>
      <c r="O1606" s="8" t="s">
        <v>400</v>
      </c>
      <c r="P1606" s="11" t="s">
        <v>401</v>
      </c>
      <c r="Q1606" s="14" t="s">
        <v>21787</v>
      </c>
      <c r="R1606" s="8" t="s">
        <v>100</v>
      </c>
      <c r="S1606" s="8" t="s">
        <v>379</v>
      </c>
      <c r="T1606" s="68" t="s">
        <v>379</v>
      </c>
      <c r="U1606" s="68" t="s">
        <v>29436</v>
      </c>
      <c r="V1606" s="68" t="s">
        <v>29437</v>
      </c>
      <c r="W1606" s="68" t="s">
        <v>100</v>
      </c>
      <c r="X1606" s="68">
        <v>1314</v>
      </c>
      <c r="Y1606" s="11"/>
      <c r="Z1606" s="11"/>
      <c r="AA1606" s="11"/>
      <c r="AB1606" s="11"/>
      <c r="AC1606" s="11"/>
      <c r="AD1606" s="11"/>
      <c r="AE1606" s="11"/>
      <c r="AF1606" s="11"/>
      <c r="AG1606" s="11"/>
      <c r="AH1606" s="11"/>
      <c r="AI1606" s="11"/>
      <c r="AJ1606" s="11"/>
      <c r="AK1606" s="11"/>
      <c r="AL1606" s="11"/>
      <c r="AM1606" s="11"/>
      <c r="AN1606" s="11"/>
      <c r="AO1606" s="11"/>
      <c r="AP1606" s="11"/>
      <c r="AQ1606" s="11"/>
      <c r="AR1606" s="11"/>
      <c r="AS1606" s="11"/>
      <c r="AT1606" s="11"/>
      <c r="AU1606" s="11"/>
      <c r="AV1606" s="11"/>
      <c r="AX1606" s="1"/>
      <c r="AY1606" s="1"/>
      <c r="AZ1606" s="11"/>
      <c r="BC1606" s="1"/>
      <c r="BD1606" s="1"/>
      <c r="BE1606" s="1"/>
      <c r="BF1606" s="1"/>
      <c r="BG1606" s="1"/>
      <c r="BH1606" s="1"/>
      <c r="BI1606" s="1"/>
      <c r="BJ1606" s="1"/>
    </row>
    <row r="1607" spans="1:63" s="44" customFormat="1" ht="12" customHeight="1" x14ac:dyDescent="0.15">
      <c r="A1607" s="11" t="s">
        <v>21788</v>
      </c>
      <c r="B1607" s="68">
        <v>26</v>
      </c>
      <c r="C1607" s="11" t="s">
        <v>20</v>
      </c>
      <c r="D1607" s="11" t="s">
        <v>48</v>
      </c>
      <c r="E1607" s="11"/>
      <c r="F1607" s="69">
        <v>42424</v>
      </c>
      <c r="G1607" s="11" t="s">
        <v>21789</v>
      </c>
      <c r="H1607" s="8" t="s">
        <v>11424</v>
      </c>
      <c r="I1607" s="11" t="s">
        <v>45</v>
      </c>
      <c r="J1607" s="17" t="s">
        <v>21790</v>
      </c>
      <c r="K1607" s="8" t="s">
        <v>98</v>
      </c>
      <c r="L1607" s="11" t="s">
        <v>414</v>
      </c>
      <c r="M1607" s="8" t="s">
        <v>27</v>
      </c>
      <c r="N1607" s="8" t="s">
        <v>21791</v>
      </c>
      <c r="O1607" s="8" t="s">
        <v>400</v>
      </c>
      <c r="P1607" s="11" t="s">
        <v>401</v>
      </c>
      <c r="Q1607" s="14" t="s">
        <v>21792</v>
      </c>
      <c r="R1607" s="8" t="s">
        <v>100</v>
      </c>
      <c r="S1607" s="8" t="s">
        <v>379</v>
      </c>
      <c r="T1607" s="68" t="s">
        <v>379</v>
      </c>
      <c r="U1607" s="68" t="s">
        <v>29438</v>
      </c>
      <c r="V1607" s="68" t="s">
        <v>29439</v>
      </c>
      <c r="W1607" s="68" t="s">
        <v>100</v>
      </c>
      <c r="X1607" s="68">
        <v>1316</v>
      </c>
      <c r="Y1607" s="11"/>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X1607" s="1"/>
      <c r="AY1607" s="1"/>
      <c r="AZ1607" s="11"/>
      <c r="BC1607" s="1"/>
      <c r="BD1607" s="1"/>
      <c r="BE1607" s="1"/>
      <c r="BF1607" s="1"/>
      <c r="BG1607" s="1"/>
      <c r="BH1607" s="1"/>
      <c r="BI1607" s="1"/>
      <c r="BJ1607" s="1"/>
    </row>
    <row r="1608" spans="1:63" s="44" customFormat="1" ht="12" customHeight="1" x14ac:dyDescent="0.15">
      <c r="A1608" s="11" t="s">
        <v>22266</v>
      </c>
      <c r="B1608" s="68">
        <v>58</v>
      </c>
      <c r="C1608" s="11" t="s">
        <v>20</v>
      </c>
      <c r="D1608" s="11" t="s">
        <v>37</v>
      </c>
      <c r="E1608" s="60" t="s">
        <v>22267</v>
      </c>
      <c r="F1608" s="69">
        <v>42424</v>
      </c>
      <c r="G1608" s="11" t="s">
        <v>22268</v>
      </c>
      <c r="H1608" s="8" t="s">
        <v>22269</v>
      </c>
      <c r="I1608" s="11" t="s">
        <v>209</v>
      </c>
      <c r="J1608" s="17" t="s">
        <v>22270</v>
      </c>
      <c r="K1608" s="8" t="s">
        <v>22122</v>
      </c>
      <c r="L1608" s="8" t="s">
        <v>22271</v>
      </c>
      <c r="M1608" s="8" t="s">
        <v>27</v>
      </c>
      <c r="N1608" s="8" t="s">
        <v>22272</v>
      </c>
      <c r="O1608" s="8" t="s">
        <v>400</v>
      </c>
      <c r="P1608" s="11" t="s">
        <v>401</v>
      </c>
      <c r="Q1608" s="14" t="s">
        <v>22273</v>
      </c>
      <c r="R1608" s="8" t="s">
        <v>555</v>
      </c>
      <c r="S1608" s="8" t="s">
        <v>28</v>
      </c>
      <c r="T1608" s="68" t="s">
        <v>27756</v>
      </c>
      <c r="U1608" s="68" t="s">
        <v>29438</v>
      </c>
      <c r="V1608" s="68" t="s">
        <v>29439</v>
      </c>
      <c r="W1608" s="68" t="s">
        <v>100</v>
      </c>
      <c r="X1608" s="68">
        <v>1313</v>
      </c>
      <c r="Y1608" s="11"/>
      <c r="Z1608" s="11"/>
      <c r="AA1608" s="11"/>
      <c r="AB1608" s="11"/>
      <c r="AC1608" s="11"/>
      <c r="AD1608" s="11"/>
      <c r="AE1608" s="11"/>
      <c r="AF1608" s="11"/>
      <c r="AG1608" s="11"/>
      <c r="AH1608" s="11"/>
      <c r="AI1608" s="11"/>
      <c r="AJ1608" s="11"/>
      <c r="AK1608" s="11"/>
      <c r="AL1608" s="11"/>
      <c r="AM1608" s="11"/>
      <c r="AN1608" s="11"/>
      <c r="AO1608" s="11"/>
      <c r="AP1608" s="11"/>
      <c r="AQ1608" s="11"/>
      <c r="AR1608" s="11"/>
      <c r="AS1608" s="11"/>
      <c r="AT1608" s="11"/>
      <c r="AU1608" s="11"/>
      <c r="AV1608" s="11"/>
      <c r="AW1608" s="1"/>
      <c r="AX1608" s="1"/>
      <c r="AY1608" s="1"/>
      <c r="AZ1608" s="11"/>
      <c r="BA1608" s="11"/>
      <c r="BC1608" s="1"/>
      <c r="BD1608" s="1"/>
      <c r="BE1608" s="1"/>
      <c r="BF1608" s="1"/>
      <c r="BG1608" s="1"/>
      <c r="BH1608" s="1"/>
      <c r="BI1608" s="1"/>
      <c r="BJ1608" s="1"/>
    </row>
    <row r="1609" spans="1:63" s="44" customFormat="1" ht="12" customHeight="1" x14ac:dyDescent="0.2">
      <c r="A1609" s="11" t="s">
        <v>22482</v>
      </c>
      <c r="B1609" s="68">
        <v>16</v>
      </c>
      <c r="C1609" s="11" t="s">
        <v>20</v>
      </c>
      <c r="D1609" s="11" t="s">
        <v>37</v>
      </c>
      <c r="E1609" s="60" t="s">
        <v>22483</v>
      </c>
      <c r="F1609" s="69">
        <v>42424</v>
      </c>
      <c r="G1609" s="11" t="s">
        <v>22484</v>
      </c>
      <c r="H1609" s="8" t="s">
        <v>21395</v>
      </c>
      <c r="I1609" s="11" t="s">
        <v>431</v>
      </c>
      <c r="J1609" s="17" t="s">
        <v>22485</v>
      </c>
      <c r="K1609" s="8" t="s">
        <v>433</v>
      </c>
      <c r="L1609" s="8" t="s">
        <v>22486</v>
      </c>
      <c r="M1609" s="8" t="s">
        <v>27</v>
      </c>
      <c r="N1609" s="8" t="s">
        <v>22487</v>
      </c>
      <c r="O1609" s="8" t="s">
        <v>400</v>
      </c>
      <c r="P1609" s="11" t="s">
        <v>401</v>
      </c>
      <c r="Q1609" s="14" t="s">
        <v>22488</v>
      </c>
      <c r="R1609" s="8" t="s">
        <v>555</v>
      </c>
      <c r="S1609" s="8" t="s">
        <v>28</v>
      </c>
      <c r="T1609" s="68" t="s">
        <v>29493</v>
      </c>
      <c r="U1609" s="68" t="s">
        <v>29436</v>
      </c>
      <c r="V1609" s="68" t="s">
        <v>29439</v>
      </c>
      <c r="W1609" s="68" t="s">
        <v>100</v>
      </c>
      <c r="X1609" s="68">
        <v>1307</v>
      </c>
      <c r="Y1609" s="11"/>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70"/>
      <c r="AX1609" s="1"/>
      <c r="AY1609" s="1"/>
      <c r="AZ1609" s="11"/>
      <c r="BA1609" s="11"/>
      <c r="BC1609" s="1"/>
      <c r="BD1609" s="1"/>
      <c r="BE1609" s="1"/>
      <c r="BF1609" s="1"/>
      <c r="BG1609" s="1"/>
      <c r="BH1609" s="1"/>
      <c r="BI1609" s="1"/>
      <c r="BJ1609" s="1"/>
    </row>
    <row r="1610" spans="1:63" s="44" customFormat="1" ht="12" customHeight="1" x14ac:dyDescent="0.15">
      <c r="A1610" s="11" t="s">
        <v>22005</v>
      </c>
      <c r="B1610" s="68">
        <v>36</v>
      </c>
      <c r="C1610" s="11" t="s">
        <v>20</v>
      </c>
      <c r="D1610" s="68" t="s">
        <v>48</v>
      </c>
      <c r="E1610" s="11"/>
      <c r="F1610" s="69">
        <v>42423</v>
      </c>
      <c r="G1610" s="11" t="s">
        <v>22006</v>
      </c>
      <c r="H1610" s="8" t="s">
        <v>22007</v>
      </c>
      <c r="I1610" s="11" t="s">
        <v>45</v>
      </c>
      <c r="J1610" s="17" t="s">
        <v>22008</v>
      </c>
      <c r="K1610" s="8" t="s">
        <v>1762</v>
      </c>
      <c r="L1610" s="8" t="s">
        <v>22009</v>
      </c>
      <c r="M1610" s="8" t="s">
        <v>27</v>
      </c>
      <c r="N1610" s="8" t="s">
        <v>22010</v>
      </c>
      <c r="O1610" s="8" t="s">
        <v>400</v>
      </c>
      <c r="P1610" s="11" t="s">
        <v>401</v>
      </c>
      <c r="Q1610" s="14" t="s">
        <v>22011</v>
      </c>
      <c r="R1610" s="45" t="s">
        <v>555</v>
      </c>
      <c r="S1610" s="8" t="s">
        <v>28</v>
      </c>
      <c r="T1610" s="68" t="s">
        <v>27756</v>
      </c>
      <c r="U1610" s="68" t="s">
        <v>29436</v>
      </c>
      <c r="V1610" s="68" t="s">
        <v>21212</v>
      </c>
      <c r="W1610" s="68" t="s">
        <v>100</v>
      </c>
      <c r="X1610" s="68">
        <v>1309</v>
      </c>
      <c r="Y1610" s="11"/>
      <c r="Z1610" s="11"/>
      <c r="AA1610" s="11"/>
      <c r="AB1610" s="11"/>
      <c r="AC1610" s="11"/>
      <c r="AD1610" s="11"/>
      <c r="AE1610" s="11"/>
      <c r="AF1610" s="11"/>
      <c r="AG1610" s="11"/>
      <c r="AH1610" s="11"/>
      <c r="AI1610" s="11"/>
      <c r="AJ1610" s="11"/>
      <c r="AK1610" s="11"/>
      <c r="AL1610" s="11"/>
      <c r="AM1610" s="11"/>
      <c r="AN1610" s="11"/>
      <c r="AO1610" s="11"/>
      <c r="AP1610" s="11"/>
      <c r="AQ1610" s="11"/>
      <c r="AR1610" s="11"/>
      <c r="AS1610" s="11"/>
      <c r="AT1610" s="11"/>
      <c r="AU1610" s="11"/>
      <c r="AV1610" s="11"/>
      <c r="AX1610" s="1"/>
      <c r="AY1610" s="1"/>
      <c r="AZ1610" s="11"/>
      <c r="BA1610" s="1"/>
      <c r="BB1610" s="1"/>
      <c r="BC1610" s="1"/>
      <c r="BD1610" s="1"/>
      <c r="BE1610" s="1"/>
      <c r="BF1610" s="1"/>
      <c r="BG1610" s="1"/>
      <c r="BH1610" s="1"/>
      <c r="BI1610" s="1"/>
      <c r="BJ1610" s="1"/>
    </row>
    <row r="1611" spans="1:63" s="44" customFormat="1" ht="12" customHeight="1" x14ac:dyDescent="0.2">
      <c r="A1611" s="11" t="s">
        <v>21677</v>
      </c>
      <c r="B1611" s="68">
        <v>39</v>
      </c>
      <c r="C1611" s="11" t="s">
        <v>20</v>
      </c>
      <c r="D1611" s="11" t="s">
        <v>48</v>
      </c>
      <c r="E1611" s="11"/>
      <c r="F1611" s="69">
        <v>42423</v>
      </c>
      <c r="G1611" s="11" t="s">
        <v>21678</v>
      </c>
      <c r="H1611" s="8" t="s">
        <v>723</v>
      </c>
      <c r="I1611" s="11" t="s">
        <v>73</v>
      </c>
      <c r="J1611" s="17" t="s">
        <v>21679</v>
      </c>
      <c r="K1611" s="8" t="s">
        <v>558</v>
      </c>
      <c r="L1611" s="8" t="s">
        <v>724</v>
      </c>
      <c r="M1611" s="68" t="s">
        <v>5411</v>
      </c>
      <c r="N1611" s="8" t="s">
        <v>21680</v>
      </c>
      <c r="O1611" s="8" t="s">
        <v>400</v>
      </c>
      <c r="P1611" s="11" t="s">
        <v>401</v>
      </c>
      <c r="Q1611" s="14" t="s">
        <v>21681</v>
      </c>
      <c r="R1611" s="8" t="s">
        <v>555</v>
      </c>
      <c r="S1611" s="8" t="s">
        <v>28</v>
      </c>
      <c r="T1611" s="68" t="s">
        <v>29459</v>
      </c>
      <c r="U1611" s="68" t="s">
        <v>29438</v>
      </c>
      <c r="V1611" s="68" t="s">
        <v>29439</v>
      </c>
      <c r="W1611" s="68" t="s">
        <v>100</v>
      </c>
      <c r="X1611" s="68">
        <v>1310</v>
      </c>
      <c r="Y1611" s="11"/>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X1611" s="1"/>
      <c r="AY1611" s="1"/>
      <c r="AZ1611" s="11"/>
      <c r="BA1611" s="11"/>
      <c r="BB1611" s="70"/>
      <c r="BC1611" s="1"/>
      <c r="BD1611" s="1"/>
      <c r="BE1611" s="1"/>
      <c r="BF1611" s="1"/>
      <c r="BG1611" s="1"/>
      <c r="BH1611" s="1"/>
      <c r="BI1611" s="1"/>
      <c r="BJ1611" s="1"/>
      <c r="BK1611" s="1"/>
    </row>
    <row r="1612" spans="1:63" s="11" customFormat="1" ht="12" customHeight="1" x14ac:dyDescent="0.15">
      <c r="A1612" s="11" t="s">
        <v>21960</v>
      </c>
      <c r="B1612" s="68">
        <v>26</v>
      </c>
      <c r="C1612" s="11" t="s">
        <v>20</v>
      </c>
      <c r="D1612" s="11" t="s">
        <v>37</v>
      </c>
      <c r="F1612" s="69">
        <v>42423</v>
      </c>
      <c r="G1612" s="11" t="s">
        <v>21961</v>
      </c>
      <c r="H1612" s="8" t="s">
        <v>3324</v>
      </c>
      <c r="I1612" s="11" t="s">
        <v>123</v>
      </c>
      <c r="J1612" s="17" t="s">
        <v>21962</v>
      </c>
      <c r="K1612" s="8" t="s">
        <v>633</v>
      </c>
      <c r="L1612" s="8" t="s">
        <v>634</v>
      </c>
      <c r="M1612" s="8" t="s">
        <v>27</v>
      </c>
      <c r="N1612" s="8" t="s">
        <v>21963</v>
      </c>
      <c r="O1612" s="8" t="s">
        <v>400</v>
      </c>
      <c r="P1612" s="11" t="s">
        <v>401</v>
      </c>
      <c r="Q1612" s="14" t="s">
        <v>21964</v>
      </c>
      <c r="R1612" s="8" t="s">
        <v>555</v>
      </c>
      <c r="S1612" s="8" t="s">
        <v>28</v>
      </c>
      <c r="T1612" s="68" t="s">
        <v>27756</v>
      </c>
      <c r="U1612" s="68" t="s">
        <v>29438</v>
      </c>
      <c r="V1612" s="68" t="s">
        <v>29439</v>
      </c>
      <c r="W1612" s="68" t="s">
        <v>100</v>
      </c>
      <c r="X1612" s="68">
        <v>1317</v>
      </c>
      <c r="AW1612" s="44"/>
      <c r="AX1612" s="1"/>
      <c r="AY1612" s="1"/>
      <c r="BB1612" s="44"/>
      <c r="BC1612" s="1"/>
      <c r="BD1612" s="1"/>
      <c r="BE1612" s="1"/>
      <c r="BF1612" s="1"/>
      <c r="BG1612" s="1"/>
      <c r="BH1612" s="1"/>
      <c r="BI1612" s="1"/>
      <c r="BJ1612" s="1"/>
      <c r="BK1612" s="44"/>
    </row>
    <row r="1613" spans="1:63" s="11" customFormat="1" ht="12" customHeight="1" x14ac:dyDescent="0.15">
      <c r="A1613" s="11" t="s">
        <v>21600</v>
      </c>
      <c r="B1613" s="68">
        <v>48</v>
      </c>
      <c r="C1613" s="11" t="s">
        <v>20</v>
      </c>
      <c r="D1613" s="11" t="s">
        <v>85</v>
      </c>
      <c r="F1613" s="69">
        <v>42423</v>
      </c>
      <c r="G1613" s="11" t="s">
        <v>21601</v>
      </c>
      <c r="H1613" s="8" t="s">
        <v>189</v>
      </c>
      <c r="I1613" s="11" t="s">
        <v>25</v>
      </c>
      <c r="J1613" s="47" t="s">
        <v>21602</v>
      </c>
      <c r="K1613" s="8" t="s">
        <v>3743</v>
      </c>
      <c r="L1613" s="8" t="s">
        <v>21603</v>
      </c>
      <c r="M1613" s="8" t="s">
        <v>27</v>
      </c>
      <c r="N1613" s="8" t="s">
        <v>23155</v>
      </c>
      <c r="O1613" s="8" t="s">
        <v>400</v>
      </c>
      <c r="P1613" s="11" t="s">
        <v>401</v>
      </c>
      <c r="Q1613" s="14" t="s">
        <v>21604</v>
      </c>
      <c r="R1613" s="8" t="s">
        <v>555</v>
      </c>
      <c r="S1613" s="8" t="s">
        <v>379</v>
      </c>
      <c r="T1613" s="68" t="s">
        <v>379</v>
      </c>
      <c r="U1613" s="68" t="s">
        <v>29438</v>
      </c>
      <c r="V1613" s="68" t="s">
        <v>29439</v>
      </c>
      <c r="W1613" s="68" t="s">
        <v>100</v>
      </c>
      <c r="X1613" s="68">
        <v>1306</v>
      </c>
      <c r="AH1613" s="44"/>
      <c r="AI1613" s="44"/>
      <c r="AW1613" s="1"/>
      <c r="AX1613" s="44"/>
      <c r="AY1613" s="44"/>
      <c r="BB1613" s="44"/>
      <c r="BK1613" s="44"/>
    </row>
    <row r="1614" spans="1:63" s="11" customFormat="1" ht="12" customHeight="1" x14ac:dyDescent="0.15">
      <c r="A1614" s="11" t="s">
        <v>21616</v>
      </c>
      <c r="B1614" s="68">
        <v>33</v>
      </c>
      <c r="C1614" s="11" t="s">
        <v>20</v>
      </c>
      <c r="D1614" s="11" t="s">
        <v>48</v>
      </c>
      <c r="E1614" s="60" t="s">
        <v>21617</v>
      </c>
      <c r="F1614" s="69">
        <v>42422</v>
      </c>
      <c r="G1614" s="11" t="s">
        <v>21618</v>
      </c>
      <c r="H1614" s="8" t="s">
        <v>1298</v>
      </c>
      <c r="I1614" s="11" t="s">
        <v>209</v>
      </c>
      <c r="J1614" s="17" t="s">
        <v>8808</v>
      </c>
      <c r="K1614" s="8" t="s">
        <v>1298</v>
      </c>
      <c r="L1614" s="8" t="s">
        <v>1299</v>
      </c>
      <c r="M1614" s="8" t="s">
        <v>27</v>
      </c>
      <c r="N1614" s="8" t="s">
        <v>21619</v>
      </c>
      <c r="O1614" s="8" t="s">
        <v>400</v>
      </c>
      <c r="P1614" s="11" t="s">
        <v>401</v>
      </c>
      <c r="Q1614" s="14" t="s">
        <v>21620</v>
      </c>
      <c r="R1614" s="8" t="s">
        <v>100</v>
      </c>
      <c r="S1614" s="8" t="s">
        <v>28</v>
      </c>
      <c r="T1614" s="68" t="s">
        <v>27756</v>
      </c>
      <c r="U1614" s="68" t="s">
        <v>29438</v>
      </c>
      <c r="V1614" s="68" t="s">
        <v>21212</v>
      </c>
      <c r="W1614" s="68" t="s">
        <v>100</v>
      </c>
      <c r="X1614" s="68">
        <v>1301</v>
      </c>
      <c r="AU1614" s="44"/>
      <c r="AV1614" s="44"/>
      <c r="AX1614" s="1"/>
      <c r="AY1614" s="1"/>
      <c r="BA1614" s="44"/>
      <c r="BB1614" s="44"/>
      <c r="BC1614" s="1"/>
      <c r="BD1614" s="1"/>
      <c r="BE1614" s="1"/>
      <c r="BF1614" s="1"/>
      <c r="BG1614" s="1"/>
      <c r="BH1614" s="1"/>
      <c r="BI1614" s="1"/>
      <c r="BJ1614" s="1"/>
      <c r="BK1614" s="44"/>
    </row>
    <row r="1615" spans="1:63" s="11" customFormat="1" ht="12" customHeight="1" x14ac:dyDescent="0.15">
      <c r="A1615" s="11" t="s">
        <v>21972</v>
      </c>
      <c r="B1615" s="68">
        <v>45</v>
      </c>
      <c r="C1615" s="11" t="s">
        <v>20</v>
      </c>
      <c r="D1615" s="11" t="s">
        <v>37</v>
      </c>
      <c r="F1615" s="69">
        <v>42422</v>
      </c>
      <c r="G1615" s="11" t="s">
        <v>21973</v>
      </c>
      <c r="H1615" s="8" t="s">
        <v>679</v>
      </c>
      <c r="I1615" s="11" t="s">
        <v>45</v>
      </c>
      <c r="J1615" s="17" t="s">
        <v>21974</v>
      </c>
      <c r="K1615" s="8" t="s">
        <v>680</v>
      </c>
      <c r="L1615" s="8" t="s">
        <v>681</v>
      </c>
      <c r="M1615" s="8" t="s">
        <v>27</v>
      </c>
      <c r="N1615" s="8" t="s">
        <v>21975</v>
      </c>
      <c r="O1615" s="8" t="s">
        <v>400</v>
      </c>
      <c r="P1615" s="11" t="s">
        <v>401</v>
      </c>
      <c r="Q1615" s="14" t="s">
        <v>21976</v>
      </c>
      <c r="R1615" s="8" t="s">
        <v>100</v>
      </c>
      <c r="S1615" s="8" t="s">
        <v>28</v>
      </c>
      <c r="T1615" s="68" t="s">
        <v>29493</v>
      </c>
      <c r="U1615" s="68" t="s">
        <v>29438</v>
      </c>
      <c r="V1615" s="68" t="s">
        <v>29439</v>
      </c>
      <c r="W1615" s="68" t="s">
        <v>100</v>
      </c>
      <c r="X1615" s="68">
        <v>1302</v>
      </c>
      <c r="AW1615" s="1"/>
      <c r="AX1615" s="1"/>
      <c r="AY1615" s="1"/>
      <c r="BA1615" s="1"/>
      <c r="BB1615" s="44"/>
      <c r="BC1615" s="1"/>
      <c r="BD1615" s="1"/>
      <c r="BE1615" s="1"/>
      <c r="BF1615" s="1"/>
      <c r="BG1615" s="1"/>
      <c r="BH1615" s="1"/>
      <c r="BI1615" s="1"/>
      <c r="BJ1615" s="1"/>
      <c r="BK1615" s="44"/>
    </row>
    <row r="1616" spans="1:63" s="11" customFormat="1" ht="12" customHeight="1" x14ac:dyDescent="0.15">
      <c r="A1616" s="11" t="s">
        <v>21977</v>
      </c>
      <c r="B1616" s="68">
        <v>22</v>
      </c>
      <c r="C1616" s="11" t="s">
        <v>20</v>
      </c>
      <c r="D1616" s="11" t="s">
        <v>37</v>
      </c>
      <c r="E1616" s="60" t="s">
        <v>21978</v>
      </c>
      <c r="F1616" s="69">
        <v>42422</v>
      </c>
      <c r="G1616" s="11" t="s">
        <v>21979</v>
      </c>
      <c r="H1616" s="8" t="s">
        <v>21980</v>
      </c>
      <c r="I1616" s="11" t="s">
        <v>69</v>
      </c>
      <c r="J1616" s="17" t="s">
        <v>21981</v>
      </c>
      <c r="K1616" s="8" t="s">
        <v>4946</v>
      </c>
      <c r="L1616" s="8" t="s">
        <v>21982</v>
      </c>
      <c r="M1616" s="8" t="s">
        <v>27</v>
      </c>
      <c r="N1616" s="8" t="s">
        <v>21983</v>
      </c>
      <c r="O1616" s="8" t="s">
        <v>400</v>
      </c>
      <c r="P1616" s="11" t="s">
        <v>401</v>
      </c>
      <c r="Q1616" s="14" t="s">
        <v>21984</v>
      </c>
      <c r="R1616" s="8" t="s">
        <v>100</v>
      </c>
      <c r="S1616" s="8" t="s">
        <v>18</v>
      </c>
      <c r="T1616" s="68" t="s">
        <v>29612</v>
      </c>
      <c r="U1616" s="68" t="s">
        <v>29436</v>
      </c>
      <c r="V1616" s="68" t="s">
        <v>29439</v>
      </c>
      <c r="W1616" s="68" t="s">
        <v>100</v>
      </c>
      <c r="X1616" s="68">
        <v>1304</v>
      </c>
      <c r="AW1616" s="44"/>
      <c r="AX1616" s="1"/>
      <c r="AY1616" s="1"/>
      <c r="BA1616" s="44"/>
      <c r="BB1616" s="44"/>
      <c r="BC1616" s="1"/>
      <c r="BD1616" s="1"/>
      <c r="BE1616" s="1"/>
      <c r="BF1616" s="1"/>
      <c r="BG1616" s="1"/>
      <c r="BH1616" s="1"/>
      <c r="BI1616" s="1"/>
      <c r="BJ1616" s="1"/>
      <c r="BK1616" s="1"/>
    </row>
    <row r="1617" spans="1:63" s="11" customFormat="1" ht="12" customHeight="1" x14ac:dyDescent="0.15">
      <c r="A1617" s="11" t="s">
        <v>23216</v>
      </c>
      <c r="B1617" s="11">
        <v>37</v>
      </c>
      <c r="C1617" s="11" t="s">
        <v>20</v>
      </c>
      <c r="D1617" s="11" t="s">
        <v>85</v>
      </c>
      <c r="E1617" s="11" t="s">
        <v>23219</v>
      </c>
      <c r="F1617" s="72">
        <v>42422</v>
      </c>
      <c r="G1617" s="11" t="s">
        <v>2473</v>
      </c>
      <c r="H1617" s="8" t="s">
        <v>23220</v>
      </c>
      <c r="I1617" s="11" t="s">
        <v>41</v>
      </c>
      <c r="J1617" s="47">
        <v>6516</v>
      </c>
      <c r="K1617" s="8" t="s">
        <v>3601</v>
      </c>
      <c r="L1617" s="8" t="s">
        <v>43</v>
      </c>
      <c r="M1617" s="8" t="s">
        <v>391</v>
      </c>
      <c r="N1617" s="8" t="s">
        <v>23217</v>
      </c>
      <c r="O1617" s="8" t="s">
        <v>400</v>
      </c>
      <c r="P1617" s="11" t="s">
        <v>401</v>
      </c>
      <c r="Q1617" s="14" t="s">
        <v>23218</v>
      </c>
      <c r="R1617" s="8" t="s">
        <v>29</v>
      </c>
      <c r="S1617" s="8" t="s">
        <v>18</v>
      </c>
      <c r="AH1617" s="44"/>
      <c r="AI1617" s="44"/>
      <c r="AU1617" s="1"/>
      <c r="AV1617" s="1"/>
      <c r="AZ1617" s="1"/>
      <c r="BA1617" s="1"/>
      <c r="BB1617" s="1"/>
      <c r="BK1617" s="1"/>
    </row>
    <row r="1618" spans="1:63" s="11" customFormat="1" ht="12" customHeight="1" x14ac:dyDescent="0.15">
      <c r="A1618" s="11" t="s">
        <v>21954</v>
      </c>
      <c r="B1618" s="68">
        <v>38</v>
      </c>
      <c r="C1618" s="11" t="s">
        <v>20</v>
      </c>
      <c r="D1618" s="11" t="s">
        <v>37</v>
      </c>
      <c r="F1618" s="69">
        <v>42422</v>
      </c>
      <c r="G1618" s="11" t="s">
        <v>21955</v>
      </c>
      <c r="H1618" s="8" t="s">
        <v>2756</v>
      </c>
      <c r="I1618" s="11" t="s">
        <v>73</v>
      </c>
      <c r="J1618" s="17" t="s">
        <v>21956</v>
      </c>
      <c r="K1618" s="8" t="s">
        <v>1394</v>
      </c>
      <c r="L1618" s="8" t="s">
        <v>21957</v>
      </c>
      <c r="M1618" s="8" t="s">
        <v>27</v>
      </c>
      <c r="N1618" s="8" t="s">
        <v>21958</v>
      </c>
      <c r="O1618" s="8" t="s">
        <v>400</v>
      </c>
      <c r="P1618" s="11" t="s">
        <v>401</v>
      </c>
      <c r="Q1618" s="14" t="s">
        <v>21959</v>
      </c>
      <c r="R1618" s="8" t="s">
        <v>555</v>
      </c>
      <c r="S1618" s="8" t="s">
        <v>379</v>
      </c>
      <c r="T1618" s="68" t="s">
        <v>379</v>
      </c>
      <c r="U1618" s="68" t="s">
        <v>29436</v>
      </c>
      <c r="V1618" s="68" t="s">
        <v>29437</v>
      </c>
      <c r="W1618" s="68" t="s">
        <v>100</v>
      </c>
      <c r="X1618" s="68">
        <v>1303</v>
      </c>
      <c r="AU1618" s="44"/>
      <c r="AV1618" s="44"/>
      <c r="AW1618" s="44"/>
      <c r="AX1618" s="1"/>
      <c r="AY1618" s="1"/>
      <c r="BB1618" s="44"/>
      <c r="BC1618" s="1"/>
      <c r="BD1618" s="1"/>
      <c r="BE1618" s="1"/>
      <c r="BF1618" s="1"/>
      <c r="BG1618" s="1"/>
      <c r="BH1618" s="1"/>
      <c r="BI1618" s="1"/>
      <c r="BJ1618" s="1"/>
      <c r="BK1618" s="44"/>
    </row>
    <row r="1619" spans="1:63" s="11" customFormat="1" ht="12" customHeight="1" x14ac:dyDescent="0.15">
      <c r="A1619" s="11" t="s">
        <v>21326</v>
      </c>
      <c r="B1619" s="68">
        <v>31</v>
      </c>
      <c r="C1619" s="11" t="s">
        <v>114</v>
      </c>
      <c r="D1619" s="11" t="s">
        <v>85</v>
      </c>
      <c r="E1619" s="60" t="s">
        <v>21327</v>
      </c>
      <c r="F1619" s="69">
        <v>42421</v>
      </c>
      <c r="G1619" s="11" t="s">
        <v>21328</v>
      </c>
      <c r="H1619" s="8" t="s">
        <v>8890</v>
      </c>
      <c r="I1619" s="11" t="s">
        <v>45</v>
      </c>
      <c r="J1619" s="47" t="s">
        <v>16612</v>
      </c>
      <c r="K1619" s="8" t="s">
        <v>98</v>
      </c>
      <c r="L1619" s="8" t="s">
        <v>8892</v>
      </c>
      <c r="M1619" s="8" t="s">
        <v>27</v>
      </c>
      <c r="N1619" s="8" t="s">
        <v>23098</v>
      </c>
      <c r="O1619" s="8" t="s">
        <v>400</v>
      </c>
      <c r="P1619" s="11" t="s">
        <v>401</v>
      </c>
      <c r="Q1619" s="14" t="s">
        <v>21329</v>
      </c>
      <c r="R1619" s="8" t="s">
        <v>100</v>
      </c>
      <c r="S1619" s="8" t="s">
        <v>28</v>
      </c>
      <c r="T1619" s="68" t="s">
        <v>27756</v>
      </c>
      <c r="U1619" s="68" t="s">
        <v>29436</v>
      </c>
      <c r="V1619" s="68" t="s">
        <v>29439</v>
      </c>
      <c r="W1619" s="68" t="s">
        <v>100</v>
      </c>
      <c r="X1619" s="68">
        <v>1292</v>
      </c>
      <c r="AH1619" s="44"/>
      <c r="AI1619" s="44"/>
      <c r="AU1619" s="44"/>
      <c r="AV1619" s="44"/>
      <c r="BA1619" s="1"/>
      <c r="BK1619" s="44"/>
    </row>
    <row r="1620" spans="1:63" s="11" customFormat="1" ht="12" customHeight="1" x14ac:dyDescent="0.15">
      <c r="A1620" s="11" t="s">
        <v>21798</v>
      </c>
      <c r="B1620" s="68">
        <v>38</v>
      </c>
      <c r="C1620" s="11" t="s">
        <v>114</v>
      </c>
      <c r="D1620" s="11" t="s">
        <v>139</v>
      </c>
      <c r="E1620" s="60" t="s">
        <v>21799</v>
      </c>
      <c r="F1620" s="69">
        <v>42421</v>
      </c>
      <c r="G1620" s="11" t="s">
        <v>21800</v>
      </c>
      <c r="H1620" s="8" t="s">
        <v>723</v>
      </c>
      <c r="I1620" s="11" t="s">
        <v>330</v>
      </c>
      <c r="J1620" s="17" t="s">
        <v>11208</v>
      </c>
      <c r="K1620" s="8" t="s">
        <v>21801</v>
      </c>
      <c r="L1620" s="8" t="s">
        <v>11209</v>
      </c>
      <c r="M1620" s="8" t="s">
        <v>27</v>
      </c>
      <c r="N1620" s="8" t="s">
        <v>21802</v>
      </c>
      <c r="O1620" s="8" t="s">
        <v>400</v>
      </c>
      <c r="P1620" s="11" t="s">
        <v>401</v>
      </c>
      <c r="Q1620" s="14" t="s">
        <v>21803</v>
      </c>
      <c r="R1620" s="8" t="s">
        <v>100</v>
      </c>
      <c r="S1620" s="8" t="s">
        <v>28</v>
      </c>
      <c r="T1620" s="68" t="s">
        <v>27756</v>
      </c>
      <c r="U1620" s="68" t="s">
        <v>29438</v>
      </c>
      <c r="V1620" s="68" t="s">
        <v>29439</v>
      </c>
      <c r="W1620" s="68" t="s">
        <v>100</v>
      </c>
      <c r="X1620" s="68">
        <v>1305</v>
      </c>
      <c r="AW1620" s="44"/>
      <c r="AX1620" s="1"/>
      <c r="AY1620" s="1"/>
      <c r="BA1620" s="1"/>
      <c r="BC1620" s="1"/>
      <c r="BD1620" s="1"/>
      <c r="BE1620" s="1"/>
      <c r="BF1620" s="1"/>
      <c r="BG1620" s="1"/>
      <c r="BH1620" s="1"/>
      <c r="BI1620" s="1"/>
      <c r="BJ1620" s="1"/>
      <c r="BK1620" s="44"/>
    </row>
    <row r="1621" spans="1:63" s="11" customFormat="1" ht="12" customHeight="1" x14ac:dyDescent="0.15">
      <c r="A1621" s="11" t="s">
        <v>21539</v>
      </c>
      <c r="B1621" s="68">
        <v>32</v>
      </c>
      <c r="C1621" s="11" t="s">
        <v>20</v>
      </c>
      <c r="D1621" s="11" t="s">
        <v>85</v>
      </c>
      <c r="E1621" s="60" t="s">
        <v>21540</v>
      </c>
      <c r="F1621" s="69">
        <v>42421</v>
      </c>
      <c r="G1621" s="11" t="s">
        <v>21328</v>
      </c>
      <c r="H1621" s="8" t="s">
        <v>8890</v>
      </c>
      <c r="I1621" s="11" t="s">
        <v>45</v>
      </c>
      <c r="J1621" s="47" t="s">
        <v>16612</v>
      </c>
      <c r="K1621" s="8" t="s">
        <v>98</v>
      </c>
      <c r="L1621" s="8" t="s">
        <v>8892</v>
      </c>
      <c r="M1621" s="8" t="s">
        <v>27</v>
      </c>
      <c r="N1621" s="8" t="s">
        <v>23096</v>
      </c>
      <c r="O1621" s="8" t="s">
        <v>400</v>
      </c>
      <c r="P1621" s="11" t="s">
        <v>401</v>
      </c>
      <c r="Q1621" s="14" t="s">
        <v>21329</v>
      </c>
      <c r="R1621" s="8" t="s">
        <v>100</v>
      </c>
      <c r="S1621" s="8" t="s">
        <v>35</v>
      </c>
      <c r="T1621" s="68" t="s">
        <v>29441</v>
      </c>
      <c r="U1621" s="68" t="s">
        <v>29436</v>
      </c>
      <c r="V1621" s="68" t="s">
        <v>29439</v>
      </c>
      <c r="W1621" s="68" t="s">
        <v>100</v>
      </c>
      <c r="X1621" s="68">
        <v>1293</v>
      </c>
      <c r="AH1621" s="44"/>
      <c r="AI1621" s="44"/>
      <c r="AU1621" s="44"/>
      <c r="AV1621" s="44"/>
      <c r="BA1621" s="1"/>
      <c r="BK1621" s="1"/>
    </row>
    <row r="1622" spans="1:63" s="11" customFormat="1" ht="12" customHeight="1" x14ac:dyDescent="0.15">
      <c r="A1622" s="11" t="s">
        <v>21586</v>
      </c>
      <c r="B1622" s="68">
        <v>46</v>
      </c>
      <c r="C1622" s="11" t="s">
        <v>20</v>
      </c>
      <c r="D1622" s="11" t="s">
        <v>85</v>
      </c>
      <c r="F1622" s="69">
        <v>42421</v>
      </c>
      <c r="G1622" s="11" t="s">
        <v>21587</v>
      </c>
      <c r="H1622" s="8" t="s">
        <v>1208</v>
      </c>
      <c r="I1622" s="11" t="s">
        <v>303</v>
      </c>
      <c r="J1622" s="47" t="s">
        <v>21588</v>
      </c>
      <c r="K1622" s="8" t="s">
        <v>1209</v>
      </c>
      <c r="L1622" s="8" t="s">
        <v>1210</v>
      </c>
      <c r="M1622" s="8" t="s">
        <v>27</v>
      </c>
      <c r="N1622" s="8" t="s">
        <v>23097</v>
      </c>
      <c r="O1622" s="8" t="s">
        <v>400</v>
      </c>
      <c r="P1622" s="11" t="s">
        <v>401</v>
      </c>
      <c r="Q1622" s="14" t="s">
        <v>21589</v>
      </c>
      <c r="R1622" s="8" t="s">
        <v>100</v>
      </c>
      <c r="S1622" s="11" t="s">
        <v>35</v>
      </c>
      <c r="T1622" s="68" t="s">
        <v>29441</v>
      </c>
      <c r="U1622" s="68" t="s">
        <v>29436</v>
      </c>
      <c r="V1622" s="68" t="s">
        <v>29439</v>
      </c>
      <c r="W1622" s="68" t="s">
        <v>100</v>
      </c>
      <c r="X1622" s="68">
        <v>1289</v>
      </c>
      <c r="AH1622" s="44"/>
      <c r="AI1622" s="44"/>
      <c r="AU1622" s="44"/>
      <c r="AV1622" s="44"/>
      <c r="AW1622" s="1"/>
      <c r="AX1622" s="44"/>
      <c r="AY1622" s="44"/>
      <c r="BA1622" s="1"/>
      <c r="BK1622" s="1"/>
    </row>
    <row r="1623" spans="1:63" s="11" customFormat="1" ht="12" customHeight="1" x14ac:dyDescent="0.15">
      <c r="A1623" s="11" t="s">
        <v>21829</v>
      </c>
      <c r="B1623" s="68">
        <v>36</v>
      </c>
      <c r="C1623" s="11" t="s">
        <v>114</v>
      </c>
      <c r="D1623" s="11" t="s">
        <v>139</v>
      </c>
      <c r="F1623" s="69">
        <v>42421</v>
      </c>
      <c r="G1623" s="11" t="s">
        <v>21830</v>
      </c>
      <c r="H1623" s="8" t="s">
        <v>632</v>
      </c>
      <c r="I1623" s="11" t="s">
        <v>123</v>
      </c>
      <c r="J1623" s="17" t="s">
        <v>7443</v>
      </c>
      <c r="K1623" s="8" t="s">
        <v>633</v>
      </c>
      <c r="L1623" s="8" t="s">
        <v>634</v>
      </c>
      <c r="M1623" s="8" t="s">
        <v>27</v>
      </c>
      <c r="N1623" s="8" t="s">
        <v>23119</v>
      </c>
      <c r="O1623" s="8" t="s">
        <v>400</v>
      </c>
      <c r="P1623" s="11" t="s">
        <v>401</v>
      </c>
      <c r="Q1623" s="14" t="s">
        <v>21831</v>
      </c>
      <c r="R1623" s="8" t="s">
        <v>555</v>
      </c>
      <c r="S1623" s="8" t="s">
        <v>28</v>
      </c>
      <c r="T1623" s="68" t="s">
        <v>27756</v>
      </c>
      <c r="U1623" s="68" t="s">
        <v>29438</v>
      </c>
      <c r="V1623" s="68" t="s">
        <v>29440</v>
      </c>
      <c r="W1623" s="68" t="s">
        <v>100</v>
      </c>
      <c r="X1623" s="68">
        <v>1290</v>
      </c>
      <c r="AU1623" s="44"/>
      <c r="AV1623" s="44"/>
      <c r="AW1623" s="44"/>
      <c r="AX1623" s="1"/>
      <c r="AY1623" s="1"/>
      <c r="BB1623" s="44"/>
      <c r="BC1623" s="1"/>
      <c r="BD1623" s="1"/>
      <c r="BE1623" s="1"/>
      <c r="BF1623" s="1"/>
      <c r="BG1623" s="1"/>
      <c r="BH1623" s="1"/>
      <c r="BI1623" s="1"/>
      <c r="BJ1623" s="1"/>
      <c r="BK1623" s="44"/>
    </row>
    <row r="1624" spans="1:63" s="11" customFormat="1" ht="12" customHeight="1" x14ac:dyDescent="0.15">
      <c r="A1624" s="11" t="s">
        <v>21832</v>
      </c>
      <c r="B1624" s="68">
        <v>41</v>
      </c>
      <c r="C1624" s="11" t="s">
        <v>20</v>
      </c>
      <c r="D1624" s="11" t="s">
        <v>85</v>
      </c>
      <c r="E1624" s="60" t="s">
        <v>21833</v>
      </c>
      <c r="F1624" s="69">
        <v>42420</v>
      </c>
      <c r="G1624" s="11" t="s">
        <v>21834</v>
      </c>
      <c r="H1624" s="8" t="s">
        <v>1433</v>
      </c>
      <c r="I1624" s="11" t="s">
        <v>303</v>
      </c>
      <c r="J1624" s="47" t="s">
        <v>21835</v>
      </c>
      <c r="K1624" s="8" t="s">
        <v>883</v>
      </c>
      <c r="L1624" s="8" t="s">
        <v>21836</v>
      </c>
      <c r="M1624" s="8" t="s">
        <v>27</v>
      </c>
      <c r="N1624" s="8" t="s">
        <v>21837</v>
      </c>
      <c r="O1624" s="8" t="s">
        <v>400</v>
      </c>
      <c r="P1624" s="11" t="s">
        <v>401</v>
      </c>
      <c r="Q1624" s="14" t="s">
        <v>21838</v>
      </c>
      <c r="R1624" s="8" t="s">
        <v>100</v>
      </c>
      <c r="S1624" s="8" t="s">
        <v>28</v>
      </c>
      <c r="T1624" s="68" t="s">
        <v>27756</v>
      </c>
      <c r="U1624" s="68" t="s">
        <v>29438</v>
      </c>
      <c r="V1624" s="68" t="s">
        <v>29437</v>
      </c>
      <c r="W1624" s="68" t="s">
        <v>100</v>
      </c>
      <c r="X1624" s="68">
        <v>1296</v>
      </c>
      <c r="AH1624" s="44"/>
      <c r="AI1624" s="44"/>
      <c r="AU1624" s="44"/>
      <c r="AV1624" s="44"/>
      <c r="AW1624" s="1"/>
      <c r="AX1624" s="44"/>
      <c r="AY1624" s="44"/>
      <c r="BA1624" s="1"/>
      <c r="BK1624" s="44"/>
    </row>
    <row r="1625" spans="1:63" s="11" customFormat="1" ht="12" customHeight="1" x14ac:dyDescent="0.15">
      <c r="A1625" s="11" t="s">
        <v>21878</v>
      </c>
      <c r="B1625" s="68">
        <v>30</v>
      </c>
      <c r="C1625" s="11" t="s">
        <v>20</v>
      </c>
      <c r="D1625" s="11" t="s">
        <v>48</v>
      </c>
      <c r="E1625" s="11" t="s">
        <v>27747</v>
      </c>
      <c r="F1625" s="69">
        <v>42420</v>
      </c>
      <c r="G1625" s="11" t="s">
        <v>21879</v>
      </c>
      <c r="H1625" s="8" t="s">
        <v>1879</v>
      </c>
      <c r="I1625" s="11" t="s">
        <v>45</v>
      </c>
      <c r="J1625" s="17" t="s">
        <v>21880</v>
      </c>
      <c r="K1625" s="8" t="s">
        <v>1061</v>
      </c>
      <c r="L1625" s="8" t="s">
        <v>1881</v>
      </c>
      <c r="M1625" s="8" t="s">
        <v>27</v>
      </c>
      <c r="N1625" s="8" t="s">
        <v>23101</v>
      </c>
      <c r="O1625" s="8" t="s">
        <v>400</v>
      </c>
      <c r="P1625" s="11" t="s">
        <v>401</v>
      </c>
      <c r="Q1625" s="14" t="s">
        <v>21881</v>
      </c>
      <c r="R1625" s="8" t="s">
        <v>100</v>
      </c>
      <c r="S1625" s="8" t="s">
        <v>28</v>
      </c>
      <c r="T1625" s="68" t="s">
        <v>27756</v>
      </c>
      <c r="U1625" s="68" t="s">
        <v>29438</v>
      </c>
      <c r="V1625" s="68" t="s">
        <v>29437</v>
      </c>
      <c r="W1625" s="68" t="s">
        <v>555</v>
      </c>
      <c r="X1625" s="68">
        <v>1291</v>
      </c>
      <c r="AJ1625" s="44"/>
      <c r="AK1625" s="44"/>
      <c r="AL1625" s="44"/>
      <c r="AM1625" s="44"/>
      <c r="AN1625" s="44"/>
      <c r="AO1625" s="44"/>
      <c r="AP1625" s="44"/>
      <c r="AQ1625" s="44"/>
      <c r="AR1625" s="44"/>
      <c r="AS1625" s="44"/>
      <c r="AT1625" s="44"/>
      <c r="AU1625" s="44"/>
      <c r="AV1625" s="44"/>
      <c r="AX1625" s="1"/>
      <c r="AY1625" s="1"/>
      <c r="BA1625" s="1"/>
      <c r="BB1625" s="44"/>
      <c r="BC1625" s="1"/>
      <c r="BD1625" s="1"/>
      <c r="BE1625" s="1"/>
      <c r="BF1625" s="1"/>
      <c r="BG1625" s="1"/>
      <c r="BH1625" s="1"/>
      <c r="BI1625" s="1"/>
      <c r="BJ1625" s="1"/>
      <c r="BK1625" s="44"/>
    </row>
    <row r="1626" spans="1:63" s="11" customFormat="1" ht="12" customHeight="1" x14ac:dyDescent="0.15">
      <c r="A1626" s="11" t="s">
        <v>21636</v>
      </c>
      <c r="B1626" s="68">
        <v>23</v>
      </c>
      <c r="C1626" s="11" t="s">
        <v>20</v>
      </c>
      <c r="D1626" s="11" t="s">
        <v>48</v>
      </c>
      <c r="E1626" s="60" t="s">
        <v>21637</v>
      </c>
      <c r="F1626" s="69">
        <v>42420</v>
      </c>
      <c r="G1626" s="11" t="s">
        <v>21638</v>
      </c>
      <c r="H1626" s="8" t="s">
        <v>922</v>
      </c>
      <c r="I1626" s="11" t="s">
        <v>195</v>
      </c>
      <c r="J1626" s="17" t="s">
        <v>5423</v>
      </c>
      <c r="K1626" s="8" t="s">
        <v>467</v>
      </c>
      <c r="L1626" s="8" t="s">
        <v>5634</v>
      </c>
      <c r="M1626" s="8" t="s">
        <v>27</v>
      </c>
      <c r="N1626" s="8" t="s">
        <v>23110</v>
      </c>
      <c r="O1626" s="8" t="s">
        <v>400</v>
      </c>
      <c r="P1626" s="11" t="s">
        <v>401</v>
      </c>
      <c r="Q1626" s="14" t="s">
        <v>21639</v>
      </c>
      <c r="R1626" s="8" t="s">
        <v>100</v>
      </c>
      <c r="S1626" s="8" t="s">
        <v>28</v>
      </c>
      <c r="T1626" s="68" t="s">
        <v>27756</v>
      </c>
      <c r="U1626" s="68" t="s">
        <v>29438</v>
      </c>
      <c r="V1626" s="68" t="s">
        <v>29440</v>
      </c>
      <c r="W1626" s="68" t="s">
        <v>100</v>
      </c>
      <c r="X1626" s="68">
        <v>1294</v>
      </c>
      <c r="AJ1626" s="44"/>
      <c r="AK1626" s="44"/>
      <c r="AL1626" s="44"/>
      <c r="AM1626" s="44"/>
      <c r="AN1626" s="44"/>
      <c r="AO1626" s="44"/>
      <c r="AP1626" s="44"/>
      <c r="AQ1626" s="44"/>
      <c r="AR1626" s="44"/>
      <c r="AS1626" s="44"/>
      <c r="AT1626" s="44"/>
      <c r="AU1626" s="44"/>
      <c r="AV1626" s="44"/>
      <c r="AW1626" s="44"/>
      <c r="AX1626" s="1"/>
      <c r="AY1626" s="1"/>
      <c r="BA1626" s="1"/>
      <c r="BC1626" s="1"/>
      <c r="BD1626" s="1"/>
      <c r="BE1626" s="1"/>
      <c r="BF1626" s="1"/>
      <c r="BG1626" s="1"/>
      <c r="BH1626" s="1"/>
      <c r="BI1626" s="1"/>
      <c r="BJ1626" s="1"/>
      <c r="BK1626" s="44"/>
    </row>
    <row r="1627" spans="1:63" s="11" customFormat="1" ht="12" customHeight="1" x14ac:dyDescent="0.15">
      <c r="A1627" s="11" t="s">
        <v>23221</v>
      </c>
      <c r="B1627" s="11">
        <v>31</v>
      </c>
      <c r="C1627" s="11" t="s">
        <v>20</v>
      </c>
      <c r="D1627" s="11" t="s">
        <v>85</v>
      </c>
      <c r="E1627" s="60" t="s">
        <v>23225</v>
      </c>
      <c r="F1627" s="72">
        <v>42420</v>
      </c>
      <c r="G1627" s="11" t="s">
        <v>23224</v>
      </c>
      <c r="H1627" s="8" t="s">
        <v>1492</v>
      </c>
      <c r="I1627" s="11" t="s">
        <v>69</v>
      </c>
      <c r="J1627" s="47">
        <v>43130</v>
      </c>
      <c r="K1627" s="8" t="s">
        <v>4883</v>
      </c>
      <c r="L1627" s="8" t="s">
        <v>23223</v>
      </c>
      <c r="M1627" s="8" t="s">
        <v>2291</v>
      </c>
      <c r="N1627" s="8" t="s">
        <v>23222</v>
      </c>
      <c r="O1627" s="8" t="s">
        <v>400</v>
      </c>
      <c r="P1627" s="11" t="s">
        <v>401</v>
      </c>
      <c r="Q1627" s="14" t="s">
        <v>23226</v>
      </c>
      <c r="R1627" s="8" t="s">
        <v>100</v>
      </c>
      <c r="S1627" s="8" t="s">
        <v>18</v>
      </c>
      <c r="AH1627" s="44"/>
      <c r="AI1627" s="44"/>
      <c r="AJ1627" s="44"/>
      <c r="AK1627" s="44"/>
      <c r="AL1627" s="44"/>
      <c r="AM1627" s="44"/>
      <c r="AN1627" s="44"/>
      <c r="AO1627" s="44"/>
      <c r="AP1627" s="44"/>
      <c r="AQ1627" s="44"/>
      <c r="AR1627" s="44"/>
      <c r="AS1627" s="44"/>
      <c r="AT1627" s="44"/>
      <c r="AU1627" s="1"/>
      <c r="AV1627" s="1"/>
      <c r="AW1627" s="1"/>
      <c r="AZ1627" s="1"/>
      <c r="BA1627" s="1"/>
      <c r="BB1627" s="1"/>
      <c r="BK1627" s="1"/>
    </row>
    <row r="1628" spans="1:63" s="11" customFormat="1" ht="12" customHeight="1" x14ac:dyDescent="0.15">
      <c r="A1628" s="11" t="s">
        <v>22317</v>
      </c>
      <c r="B1628" s="68">
        <v>45</v>
      </c>
      <c r="C1628" s="11" t="s">
        <v>20</v>
      </c>
      <c r="D1628" s="11" t="s">
        <v>37</v>
      </c>
      <c r="E1628" s="60" t="s">
        <v>22318</v>
      </c>
      <c r="F1628" s="69">
        <v>42420</v>
      </c>
      <c r="G1628" s="11" t="s">
        <v>22319</v>
      </c>
      <c r="H1628" s="8" t="s">
        <v>4263</v>
      </c>
      <c r="I1628" s="11" t="s">
        <v>669</v>
      </c>
      <c r="J1628" s="17" t="s">
        <v>4264</v>
      </c>
      <c r="K1628" s="8" t="s">
        <v>4265</v>
      </c>
      <c r="L1628" s="8" t="s">
        <v>22320</v>
      </c>
      <c r="M1628" s="8" t="s">
        <v>27</v>
      </c>
      <c r="N1628" s="8" t="s">
        <v>22321</v>
      </c>
      <c r="O1628" s="8" t="s">
        <v>400</v>
      </c>
      <c r="P1628" s="11" t="s">
        <v>401</v>
      </c>
      <c r="Q1628" s="14" t="s">
        <v>22322</v>
      </c>
      <c r="R1628" s="8" t="s">
        <v>555</v>
      </c>
      <c r="S1628" s="8" t="s">
        <v>28</v>
      </c>
      <c r="T1628" s="68" t="s">
        <v>27756</v>
      </c>
      <c r="U1628" s="68" t="s">
        <v>29438</v>
      </c>
      <c r="V1628" s="68" t="s">
        <v>29439</v>
      </c>
      <c r="W1628" s="68" t="s">
        <v>100</v>
      </c>
      <c r="X1628" s="68">
        <v>1298</v>
      </c>
      <c r="AU1628" s="44"/>
      <c r="AV1628" s="44"/>
      <c r="AW1628" s="1"/>
      <c r="AX1628" s="1"/>
      <c r="AY1628" s="1"/>
      <c r="BB1628" s="44"/>
      <c r="BC1628" s="1"/>
      <c r="BD1628" s="1"/>
      <c r="BE1628" s="1"/>
      <c r="BF1628" s="1"/>
      <c r="BG1628" s="1"/>
      <c r="BH1628" s="1"/>
      <c r="BI1628" s="1"/>
      <c r="BJ1628" s="1"/>
      <c r="BK1628" s="44"/>
    </row>
    <row r="1629" spans="1:63" s="11" customFormat="1" ht="12" customHeight="1" x14ac:dyDescent="0.15">
      <c r="A1629" s="11" t="s">
        <v>22365</v>
      </c>
      <c r="B1629" s="68">
        <v>31</v>
      </c>
      <c r="C1629" s="11" t="s">
        <v>20</v>
      </c>
      <c r="D1629" s="11" t="s">
        <v>37</v>
      </c>
      <c r="E1629" s="60" t="s">
        <v>22366</v>
      </c>
      <c r="F1629" s="69">
        <v>42419</v>
      </c>
      <c r="G1629" s="11" t="s">
        <v>22367</v>
      </c>
      <c r="H1629" s="8" t="s">
        <v>22368</v>
      </c>
      <c r="I1629" s="11" t="s">
        <v>319</v>
      </c>
      <c r="J1629" s="17" t="s">
        <v>22369</v>
      </c>
      <c r="K1629" s="8" t="s">
        <v>817</v>
      </c>
      <c r="L1629" s="8" t="s">
        <v>22370</v>
      </c>
      <c r="M1629" s="8" t="s">
        <v>27</v>
      </c>
      <c r="N1629" s="8" t="s">
        <v>23115</v>
      </c>
      <c r="O1629" s="8" t="s">
        <v>400</v>
      </c>
      <c r="P1629" s="11" t="s">
        <v>401</v>
      </c>
      <c r="Q1629" s="14" t="s">
        <v>22371</v>
      </c>
      <c r="R1629" s="8" t="s">
        <v>100</v>
      </c>
      <c r="S1629" s="8" t="s">
        <v>28</v>
      </c>
      <c r="T1629" s="68" t="s">
        <v>27756</v>
      </c>
      <c r="U1629" s="68" t="s">
        <v>29438</v>
      </c>
      <c r="V1629" s="68" t="s">
        <v>29439</v>
      </c>
      <c r="W1629" s="68" t="s">
        <v>100</v>
      </c>
      <c r="X1629" s="68">
        <v>1297</v>
      </c>
      <c r="AJ1629" s="44"/>
      <c r="AK1629" s="44"/>
      <c r="AL1629" s="44"/>
      <c r="AM1629" s="44"/>
      <c r="AN1629" s="44"/>
      <c r="AO1629" s="44"/>
      <c r="AP1629" s="44"/>
      <c r="AQ1629" s="44"/>
      <c r="AR1629" s="44"/>
      <c r="AS1629" s="44"/>
      <c r="AT1629" s="44"/>
      <c r="AU1629" s="44"/>
      <c r="AV1629" s="44"/>
      <c r="AX1629" s="1"/>
      <c r="AY1629" s="1"/>
      <c r="BA1629" s="44"/>
      <c r="BB1629" s="44"/>
      <c r="BC1629" s="1"/>
      <c r="BD1629" s="1"/>
      <c r="BE1629" s="1"/>
      <c r="BF1629" s="1"/>
      <c r="BG1629" s="1"/>
      <c r="BH1629" s="1"/>
      <c r="BI1629" s="1"/>
      <c r="BJ1629" s="1"/>
      <c r="BK1629" s="44"/>
    </row>
    <row r="1630" spans="1:63" s="11" customFormat="1" ht="12" customHeight="1" x14ac:dyDescent="0.15">
      <c r="A1630" s="11" t="s">
        <v>22530</v>
      </c>
      <c r="B1630" s="68">
        <v>35</v>
      </c>
      <c r="C1630" s="11" t="s">
        <v>20</v>
      </c>
      <c r="D1630" s="11" t="s">
        <v>37</v>
      </c>
      <c r="E1630" s="60" t="s">
        <v>22531</v>
      </c>
      <c r="F1630" s="69">
        <v>42419</v>
      </c>
      <c r="G1630" s="11" t="s">
        <v>22532</v>
      </c>
      <c r="H1630" s="8" t="s">
        <v>1446</v>
      </c>
      <c r="I1630" s="11" t="s">
        <v>240</v>
      </c>
      <c r="J1630" s="17" t="s">
        <v>7326</v>
      </c>
      <c r="K1630" s="8" t="s">
        <v>1447</v>
      </c>
      <c r="L1630" s="8" t="s">
        <v>7327</v>
      </c>
      <c r="M1630" s="8" t="s">
        <v>27</v>
      </c>
      <c r="N1630" s="8" t="s">
        <v>22533</v>
      </c>
      <c r="O1630" s="8" t="s">
        <v>400</v>
      </c>
      <c r="P1630" s="11" t="s">
        <v>401</v>
      </c>
      <c r="Q1630" s="14" t="s">
        <v>22534</v>
      </c>
      <c r="R1630" s="8" t="s">
        <v>555</v>
      </c>
      <c r="S1630" s="8" t="s">
        <v>28</v>
      </c>
      <c r="T1630" s="68" t="s">
        <v>29493</v>
      </c>
      <c r="U1630" s="68" t="s">
        <v>29438</v>
      </c>
      <c r="V1630" s="68" t="s">
        <v>29439</v>
      </c>
      <c r="W1630" s="68" t="s">
        <v>100</v>
      </c>
      <c r="X1630" s="68">
        <v>1295</v>
      </c>
      <c r="AJ1630" s="44"/>
      <c r="AK1630" s="44"/>
      <c r="AL1630" s="44"/>
      <c r="AM1630" s="44"/>
      <c r="AN1630" s="44"/>
      <c r="AO1630" s="44"/>
      <c r="AP1630" s="44"/>
      <c r="AQ1630" s="44"/>
      <c r="AR1630" s="44"/>
      <c r="AS1630" s="44"/>
      <c r="AT1630" s="44"/>
      <c r="AU1630" s="44"/>
      <c r="AV1630" s="44"/>
      <c r="AX1630" s="1"/>
      <c r="AY1630" s="1"/>
      <c r="BB1630" s="44"/>
      <c r="BC1630" s="1"/>
      <c r="BD1630" s="1"/>
      <c r="BE1630" s="1"/>
      <c r="BF1630" s="1"/>
      <c r="BG1630" s="1"/>
      <c r="BH1630" s="1"/>
      <c r="BI1630" s="1"/>
      <c r="BJ1630" s="1"/>
      <c r="BK1630" s="44"/>
    </row>
    <row r="1631" spans="1:63" s="11" customFormat="1" ht="12" customHeight="1" x14ac:dyDescent="0.15">
      <c r="A1631" s="11" t="s">
        <v>21647</v>
      </c>
      <c r="B1631" s="68">
        <v>32</v>
      </c>
      <c r="C1631" s="11" t="s">
        <v>20</v>
      </c>
      <c r="D1631" s="11" t="s">
        <v>48</v>
      </c>
      <c r="E1631" s="60" t="s">
        <v>21648</v>
      </c>
      <c r="F1631" s="69">
        <v>42418</v>
      </c>
      <c r="G1631" s="11" t="s">
        <v>21649</v>
      </c>
      <c r="H1631" s="8" t="s">
        <v>1611</v>
      </c>
      <c r="I1631" s="11" t="s">
        <v>73</v>
      </c>
      <c r="J1631" s="17" t="s">
        <v>21650</v>
      </c>
      <c r="K1631" s="8" t="s">
        <v>7010</v>
      </c>
      <c r="L1631" s="8" t="s">
        <v>26306</v>
      </c>
      <c r="M1631" s="8" t="s">
        <v>27</v>
      </c>
      <c r="N1631" s="8" t="s">
        <v>21651</v>
      </c>
      <c r="O1631" s="8" t="s">
        <v>400</v>
      </c>
      <c r="P1631" s="11" t="s">
        <v>401</v>
      </c>
      <c r="Q1631" s="14" t="s">
        <v>21652</v>
      </c>
      <c r="R1631" s="8" t="s">
        <v>100</v>
      </c>
      <c r="S1631" s="8" t="s">
        <v>28</v>
      </c>
      <c r="T1631" s="68" t="s">
        <v>27756</v>
      </c>
      <c r="U1631" s="68" t="s">
        <v>29438</v>
      </c>
      <c r="V1631" s="68" t="s">
        <v>29439</v>
      </c>
      <c r="W1631" s="68" t="s">
        <v>100</v>
      </c>
      <c r="X1631" s="68">
        <v>1287</v>
      </c>
      <c r="AJ1631" s="44"/>
      <c r="AK1631" s="44"/>
      <c r="AL1631" s="44"/>
      <c r="AM1631" s="44"/>
      <c r="AN1631" s="44"/>
      <c r="AO1631" s="44"/>
      <c r="AP1631" s="44"/>
      <c r="AQ1631" s="44"/>
      <c r="AR1631" s="44"/>
      <c r="AS1631" s="44"/>
      <c r="AT1631" s="44"/>
      <c r="AX1631" s="1"/>
      <c r="AY1631" s="1"/>
      <c r="BA1631" s="44"/>
      <c r="BB1631" s="44"/>
      <c r="BC1631" s="1"/>
      <c r="BD1631" s="1"/>
      <c r="BE1631" s="1"/>
      <c r="BF1631" s="1"/>
      <c r="BG1631" s="1"/>
      <c r="BH1631" s="1"/>
      <c r="BI1631" s="1"/>
      <c r="BJ1631" s="1"/>
      <c r="BK1631" s="44"/>
    </row>
    <row r="1632" spans="1:63" s="11" customFormat="1" ht="12" customHeight="1" x14ac:dyDescent="0.15">
      <c r="A1632" s="11" t="s">
        <v>21781</v>
      </c>
      <c r="B1632" s="68">
        <v>30</v>
      </c>
      <c r="C1632" s="11" t="s">
        <v>20</v>
      </c>
      <c r="D1632" s="11" t="s">
        <v>48</v>
      </c>
      <c r="F1632" s="69">
        <v>42418</v>
      </c>
      <c r="G1632" s="11" t="s">
        <v>21782</v>
      </c>
      <c r="H1632" s="8" t="s">
        <v>3690</v>
      </c>
      <c r="I1632" s="11" t="s">
        <v>45</v>
      </c>
      <c r="J1632" s="17" t="s">
        <v>3691</v>
      </c>
      <c r="K1632" s="8" t="s">
        <v>1061</v>
      </c>
      <c r="L1632" s="8" t="s">
        <v>3692</v>
      </c>
      <c r="M1632" s="8" t="s">
        <v>27</v>
      </c>
      <c r="N1632" s="8" t="s">
        <v>21783</v>
      </c>
      <c r="O1632" s="8" t="s">
        <v>400</v>
      </c>
      <c r="P1632" s="11" t="s">
        <v>401</v>
      </c>
      <c r="Q1632" s="14" t="s">
        <v>21784</v>
      </c>
      <c r="R1632" s="8" t="s">
        <v>100</v>
      </c>
      <c r="S1632" s="8" t="s">
        <v>35</v>
      </c>
      <c r="T1632" s="68" t="s">
        <v>29441</v>
      </c>
      <c r="U1632" s="68" t="s">
        <v>29441</v>
      </c>
      <c r="V1632" s="68" t="s">
        <v>29439</v>
      </c>
      <c r="W1632" s="68" t="s">
        <v>100</v>
      </c>
      <c r="X1632" s="68">
        <v>1285</v>
      </c>
      <c r="AJ1632" s="44"/>
      <c r="AK1632" s="44"/>
      <c r="AL1632" s="44"/>
      <c r="AM1632" s="44"/>
      <c r="AN1632" s="44"/>
      <c r="AO1632" s="44"/>
      <c r="AP1632" s="44"/>
      <c r="AQ1632" s="44"/>
      <c r="AR1632" s="44"/>
      <c r="AS1632" s="44"/>
      <c r="AT1632" s="44"/>
      <c r="AU1632" s="44"/>
      <c r="AV1632" s="44"/>
      <c r="AX1632" s="1"/>
      <c r="AY1632" s="1"/>
      <c r="BA1632" s="44"/>
      <c r="BC1632" s="1"/>
      <c r="BD1632" s="1"/>
      <c r="BE1632" s="1"/>
      <c r="BF1632" s="1"/>
      <c r="BG1632" s="1"/>
      <c r="BH1632" s="1"/>
      <c r="BI1632" s="1"/>
      <c r="BJ1632" s="1"/>
      <c r="BK1632" s="1"/>
    </row>
    <row r="1633" spans="1:63" s="11" customFormat="1" ht="12" customHeight="1" x14ac:dyDescent="0.15">
      <c r="A1633" s="11" t="s">
        <v>21946</v>
      </c>
      <c r="B1633" s="68">
        <v>35</v>
      </c>
      <c r="C1633" s="11" t="s">
        <v>20</v>
      </c>
      <c r="D1633" s="11" t="s">
        <v>48</v>
      </c>
      <c r="F1633" s="69">
        <v>42418</v>
      </c>
      <c r="G1633" s="11" t="s">
        <v>21782</v>
      </c>
      <c r="H1633" s="8" t="s">
        <v>3690</v>
      </c>
      <c r="I1633" s="11" t="s">
        <v>45</v>
      </c>
      <c r="J1633" s="17" t="s">
        <v>3691</v>
      </c>
      <c r="K1633" s="8" t="s">
        <v>1061</v>
      </c>
      <c r="L1633" s="8" t="s">
        <v>3692</v>
      </c>
      <c r="M1633" s="8" t="s">
        <v>27</v>
      </c>
      <c r="N1633" s="8" t="s">
        <v>21783</v>
      </c>
      <c r="O1633" s="8" t="s">
        <v>400</v>
      </c>
      <c r="P1633" s="11" t="s">
        <v>401</v>
      </c>
      <c r="Q1633" s="14" t="s">
        <v>21784</v>
      </c>
      <c r="R1633" s="8" t="s">
        <v>100</v>
      </c>
      <c r="S1633" s="8" t="s">
        <v>35</v>
      </c>
      <c r="T1633" s="68" t="s">
        <v>29441</v>
      </c>
      <c r="U1633" s="68" t="s">
        <v>29441</v>
      </c>
      <c r="V1633" s="68" t="s">
        <v>29439</v>
      </c>
      <c r="W1633" s="68" t="s">
        <v>100</v>
      </c>
      <c r="X1633" s="68">
        <v>1286</v>
      </c>
      <c r="AJ1633" s="44"/>
      <c r="AK1633" s="44"/>
      <c r="AL1633" s="44"/>
      <c r="AM1633" s="44"/>
      <c r="AN1633" s="44"/>
      <c r="AO1633" s="44"/>
      <c r="AP1633" s="44"/>
      <c r="AQ1633" s="44"/>
      <c r="AR1633" s="44"/>
      <c r="AS1633" s="44"/>
      <c r="AT1633" s="44"/>
      <c r="AU1633" s="44"/>
      <c r="AV1633" s="44"/>
      <c r="AX1633" s="1"/>
      <c r="AY1633" s="1"/>
      <c r="BA1633" s="44"/>
      <c r="BC1633" s="1"/>
      <c r="BD1633" s="1"/>
      <c r="BE1633" s="1"/>
      <c r="BF1633" s="1"/>
      <c r="BG1633" s="1"/>
      <c r="BH1633" s="1"/>
      <c r="BI1633" s="1"/>
      <c r="BJ1633" s="1"/>
      <c r="BK1633" s="1"/>
    </row>
    <row r="1634" spans="1:63" s="11" customFormat="1" ht="12" customHeight="1" x14ac:dyDescent="0.2">
      <c r="A1634" s="11" t="s">
        <v>22173</v>
      </c>
      <c r="B1634" s="68">
        <v>25</v>
      </c>
      <c r="C1634" s="11" t="s">
        <v>20</v>
      </c>
      <c r="D1634" s="11" t="s">
        <v>37</v>
      </c>
      <c r="F1634" s="69">
        <v>42418</v>
      </c>
      <c r="G1634" s="11" t="s">
        <v>22174</v>
      </c>
      <c r="H1634" s="8" t="s">
        <v>22175</v>
      </c>
      <c r="I1634" s="11" t="s">
        <v>173</v>
      </c>
      <c r="J1634" s="17" t="s">
        <v>22176</v>
      </c>
      <c r="K1634" s="8" t="s">
        <v>433</v>
      </c>
      <c r="L1634" s="8" t="s">
        <v>22177</v>
      </c>
      <c r="M1634" s="68" t="s">
        <v>5411</v>
      </c>
      <c r="N1634" s="8" t="s">
        <v>22178</v>
      </c>
      <c r="O1634" s="8" t="s">
        <v>400</v>
      </c>
      <c r="P1634" s="11" t="s">
        <v>401</v>
      </c>
      <c r="Q1634" s="14" t="s">
        <v>22179</v>
      </c>
      <c r="R1634" s="8" t="s">
        <v>100</v>
      </c>
      <c r="S1634" s="8" t="s">
        <v>35</v>
      </c>
      <c r="T1634" s="68" t="s">
        <v>29441</v>
      </c>
      <c r="U1634" s="68" t="s">
        <v>29436</v>
      </c>
      <c r="V1634" s="68" t="s">
        <v>29439</v>
      </c>
      <c r="W1634" s="68" t="s">
        <v>100</v>
      </c>
      <c r="X1634" s="68">
        <v>1284</v>
      </c>
      <c r="AJ1634" s="44"/>
      <c r="AK1634" s="44"/>
      <c r="AL1634" s="44"/>
      <c r="AM1634" s="44"/>
      <c r="AN1634" s="44"/>
      <c r="AO1634" s="44"/>
      <c r="AP1634" s="44"/>
      <c r="AQ1634" s="44"/>
      <c r="AR1634" s="44"/>
      <c r="AS1634" s="44"/>
      <c r="AT1634" s="44"/>
      <c r="AU1634" s="44"/>
      <c r="AV1634" s="44"/>
      <c r="AX1634" s="1"/>
      <c r="AY1634" s="1"/>
      <c r="BA1634" s="44"/>
      <c r="BB1634" s="70"/>
      <c r="BC1634" s="1"/>
      <c r="BD1634" s="1"/>
      <c r="BE1634" s="1"/>
      <c r="BF1634" s="1"/>
      <c r="BG1634" s="1"/>
      <c r="BH1634" s="1"/>
      <c r="BI1634" s="1"/>
      <c r="BJ1634" s="1"/>
    </row>
    <row r="1635" spans="1:63" s="11" customFormat="1" ht="12" customHeight="1" x14ac:dyDescent="0.15">
      <c r="A1635" s="11" t="s">
        <v>22737</v>
      </c>
      <c r="B1635" s="11">
        <v>18</v>
      </c>
      <c r="C1635" s="11" t="s">
        <v>20</v>
      </c>
      <c r="D1635" s="11" t="s">
        <v>85</v>
      </c>
      <c r="E1635" s="60" t="s">
        <v>22738</v>
      </c>
      <c r="F1635" s="72">
        <v>42418</v>
      </c>
      <c r="G1635" s="11" t="s">
        <v>22739</v>
      </c>
      <c r="H1635" s="8" t="s">
        <v>22740</v>
      </c>
      <c r="I1635" s="11" t="s">
        <v>62</v>
      </c>
      <c r="J1635" s="47" t="s">
        <v>22741</v>
      </c>
      <c r="K1635" s="16" t="s">
        <v>6376</v>
      </c>
      <c r="L1635" s="16" t="s">
        <v>22742</v>
      </c>
      <c r="M1635" s="8" t="s">
        <v>379</v>
      </c>
      <c r="N1635" s="8" t="s">
        <v>22743</v>
      </c>
      <c r="O1635" s="8" t="s">
        <v>400</v>
      </c>
      <c r="P1635" s="11" t="s">
        <v>401</v>
      </c>
      <c r="Q1635" s="14" t="s">
        <v>22744</v>
      </c>
      <c r="R1635" s="8" t="s">
        <v>100</v>
      </c>
      <c r="S1635" s="66" t="s">
        <v>379</v>
      </c>
      <c r="T1635" s="66" t="s">
        <v>30738</v>
      </c>
      <c r="U1635" s="1"/>
      <c r="AH1635" s="44"/>
      <c r="AI1635" s="44"/>
      <c r="AJ1635" s="44"/>
      <c r="AK1635" s="44"/>
      <c r="AL1635" s="44"/>
      <c r="AM1635" s="44"/>
      <c r="AN1635" s="44"/>
      <c r="AO1635" s="44"/>
      <c r="AP1635" s="44"/>
      <c r="AQ1635" s="44"/>
      <c r="AR1635" s="44"/>
      <c r="AS1635" s="44"/>
      <c r="AT1635" s="44"/>
      <c r="AU1635" s="44"/>
      <c r="AV1635" s="44"/>
      <c r="AW1635" s="44"/>
      <c r="AX1635" s="44"/>
      <c r="AY1635" s="44"/>
      <c r="AZ1635" s="1"/>
      <c r="BA1635" s="1"/>
      <c r="BB1635" s="1"/>
      <c r="BK1635" s="1"/>
    </row>
    <row r="1636" spans="1:63" s="11" customFormat="1" ht="12" customHeight="1" x14ac:dyDescent="0.15">
      <c r="A1636" s="11" t="s">
        <v>21512</v>
      </c>
      <c r="B1636" s="68">
        <v>37</v>
      </c>
      <c r="C1636" s="11" t="s">
        <v>20</v>
      </c>
      <c r="D1636" s="11" t="s">
        <v>85</v>
      </c>
      <c r="F1636" s="69">
        <v>42417</v>
      </c>
      <c r="G1636" s="11" t="s">
        <v>21513</v>
      </c>
      <c r="H1636" s="8" t="s">
        <v>547</v>
      </c>
      <c r="I1636" s="11" t="s">
        <v>69</v>
      </c>
      <c r="J1636" s="47" t="s">
        <v>21514</v>
      </c>
      <c r="K1636" s="8" t="s">
        <v>548</v>
      </c>
      <c r="L1636" s="8" t="s">
        <v>549</v>
      </c>
      <c r="M1636" s="8" t="s">
        <v>27</v>
      </c>
      <c r="N1636" s="8" t="s">
        <v>21515</v>
      </c>
      <c r="O1636" s="8" t="s">
        <v>400</v>
      </c>
      <c r="P1636" s="11" t="s">
        <v>401</v>
      </c>
      <c r="Q1636" s="14" t="s">
        <v>21516</v>
      </c>
      <c r="R1636" s="8" t="s">
        <v>100</v>
      </c>
      <c r="S1636" s="8" t="s">
        <v>18</v>
      </c>
      <c r="T1636" s="68" t="s">
        <v>29612</v>
      </c>
      <c r="U1636" s="68" t="s">
        <v>29436</v>
      </c>
      <c r="V1636" s="68" t="s">
        <v>21212</v>
      </c>
      <c r="W1636" s="68" t="s">
        <v>100</v>
      </c>
      <c r="X1636" s="68">
        <v>1281</v>
      </c>
      <c r="AH1636" s="44"/>
      <c r="AI1636" s="44"/>
      <c r="AJ1636" s="44"/>
      <c r="AK1636" s="44"/>
      <c r="AL1636" s="44"/>
      <c r="AM1636" s="44"/>
      <c r="AN1636" s="44"/>
      <c r="AO1636" s="44"/>
      <c r="AP1636" s="44"/>
      <c r="AQ1636" s="44"/>
      <c r="AR1636" s="44"/>
      <c r="AS1636" s="44"/>
      <c r="AT1636" s="44"/>
      <c r="AX1636" s="44"/>
      <c r="AY1636" s="44"/>
      <c r="BA1636" s="44"/>
      <c r="BB1636" s="44"/>
      <c r="BK1636" s="1"/>
    </row>
    <row r="1637" spans="1:63" s="11" customFormat="1" ht="12" customHeight="1" x14ac:dyDescent="0.15">
      <c r="A1637" s="11" t="s">
        <v>21995</v>
      </c>
      <c r="B1637" s="68">
        <v>30</v>
      </c>
      <c r="C1637" s="11" t="s">
        <v>20</v>
      </c>
      <c r="D1637" s="11" t="s">
        <v>37</v>
      </c>
      <c r="F1637" s="69">
        <v>42416</v>
      </c>
      <c r="G1637" s="11" t="s">
        <v>21996</v>
      </c>
      <c r="H1637" s="8" t="s">
        <v>21997</v>
      </c>
      <c r="I1637" s="11" t="s">
        <v>978</v>
      </c>
      <c r="J1637" s="17" t="s">
        <v>21998</v>
      </c>
      <c r="K1637" s="8" t="s">
        <v>1864</v>
      </c>
      <c r="L1637" s="8" t="s">
        <v>21999</v>
      </c>
      <c r="M1637" s="8" t="s">
        <v>27</v>
      </c>
      <c r="N1637" s="8" t="s">
        <v>22000</v>
      </c>
      <c r="O1637" s="8" t="s">
        <v>400</v>
      </c>
      <c r="P1637" s="11" t="s">
        <v>401</v>
      </c>
      <c r="Q1637" s="14" t="s">
        <v>22001</v>
      </c>
      <c r="R1637" s="8" t="s">
        <v>100</v>
      </c>
      <c r="S1637" s="8" t="s">
        <v>28</v>
      </c>
      <c r="T1637" s="68" t="s">
        <v>27756</v>
      </c>
      <c r="U1637" s="68" t="s">
        <v>29436</v>
      </c>
      <c r="V1637" s="68" t="s">
        <v>29440</v>
      </c>
      <c r="W1637" s="68" t="s">
        <v>100</v>
      </c>
      <c r="X1637" s="68">
        <v>1279</v>
      </c>
      <c r="AJ1637" s="44"/>
      <c r="AK1637" s="44"/>
      <c r="AL1637" s="44"/>
      <c r="AM1637" s="44"/>
      <c r="AN1637" s="44"/>
      <c r="AO1637" s="44"/>
      <c r="AP1637" s="44"/>
      <c r="AQ1637" s="44"/>
      <c r="AR1637" s="44"/>
      <c r="AS1637" s="44"/>
      <c r="AT1637" s="44"/>
      <c r="AX1637" s="1"/>
      <c r="AY1637" s="1"/>
      <c r="BA1637" s="44"/>
      <c r="BB1637" s="44"/>
      <c r="BC1637" s="1"/>
      <c r="BD1637" s="1"/>
      <c r="BE1637" s="1"/>
      <c r="BF1637" s="1"/>
      <c r="BG1637" s="1"/>
      <c r="BH1637" s="1"/>
      <c r="BI1637" s="1"/>
      <c r="BJ1637" s="1"/>
      <c r="BK1637" s="44"/>
    </row>
    <row r="1638" spans="1:63" s="44" customFormat="1" ht="12" customHeight="1" x14ac:dyDescent="0.15">
      <c r="A1638" s="11" t="s">
        <v>22724</v>
      </c>
      <c r="B1638" s="68">
        <v>48</v>
      </c>
      <c r="C1638" s="11" t="s">
        <v>20</v>
      </c>
      <c r="D1638" s="11" t="s">
        <v>37</v>
      </c>
      <c r="E1638" s="11"/>
      <c r="F1638" s="69">
        <v>42416</v>
      </c>
      <c r="G1638" s="11" t="s">
        <v>22725</v>
      </c>
      <c r="H1638" s="8" t="s">
        <v>22726</v>
      </c>
      <c r="I1638" s="11" t="s">
        <v>431</v>
      </c>
      <c r="J1638" s="17" t="s">
        <v>22727</v>
      </c>
      <c r="K1638" s="8" t="s">
        <v>4946</v>
      </c>
      <c r="L1638" s="8" t="s">
        <v>22728</v>
      </c>
      <c r="M1638" s="8" t="s">
        <v>27</v>
      </c>
      <c r="N1638" s="8" t="s">
        <v>22729</v>
      </c>
      <c r="O1638" s="8" t="s">
        <v>400</v>
      </c>
      <c r="P1638" s="11" t="s">
        <v>401</v>
      </c>
      <c r="Q1638" s="14" t="s">
        <v>22730</v>
      </c>
      <c r="R1638" s="8" t="s">
        <v>100</v>
      </c>
      <c r="S1638" s="8" t="s">
        <v>379</v>
      </c>
      <c r="T1638" s="68" t="s">
        <v>379</v>
      </c>
      <c r="U1638" s="68" t="s">
        <v>29438</v>
      </c>
      <c r="V1638" s="68" t="s">
        <v>29437</v>
      </c>
      <c r="W1638" s="68" t="s">
        <v>100</v>
      </c>
      <c r="X1638" s="68">
        <v>1278</v>
      </c>
      <c r="Y1638" s="11"/>
      <c r="Z1638" s="11"/>
      <c r="AA1638" s="11"/>
      <c r="AB1638" s="11"/>
      <c r="AC1638" s="11"/>
      <c r="AD1638" s="11"/>
      <c r="AE1638" s="11"/>
      <c r="AF1638" s="11"/>
      <c r="AG1638" s="11"/>
      <c r="AH1638" s="11"/>
      <c r="AI1638" s="11"/>
      <c r="AU1638" s="11"/>
      <c r="AV1638" s="11"/>
      <c r="AW1638" s="1"/>
      <c r="AX1638" s="1"/>
      <c r="AY1638" s="1"/>
      <c r="AZ1638" s="11"/>
      <c r="BC1638" s="1"/>
      <c r="BD1638" s="1"/>
      <c r="BE1638" s="1"/>
      <c r="BF1638" s="1"/>
      <c r="BG1638" s="1"/>
      <c r="BH1638" s="1"/>
      <c r="BI1638" s="1"/>
      <c r="BJ1638" s="1"/>
    </row>
    <row r="1639" spans="1:63" s="44" customFormat="1" ht="12" customHeight="1" x14ac:dyDescent="0.2">
      <c r="A1639" s="11" t="s">
        <v>22457</v>
      </c>
      <c r="B1639" s="68">
        <v>51</v>
      </c>
      <c r="C1639" s="11" t="s">
        <v>20</v>
      </c>
      <c r="D1639" s="11" t="s">
        <v>37</v>
      </c>
      <c r="E1639" s="60" t="s">
        <v>22458</v>
      </c>
      <c r="F1639" s="69">
        <v>42416</v>
      </c>
      <c r="G1639" s="11" t="s">
        <v>22459</v>
      </c>
      <c r="H1639" s="8" t="s">
        <v>4883</v>
      </c>
      <c r="I1639" s="11" t="s">
        <v>41</v>
      </c>
      <c r="J1639" s="17" t="s">
        <v>22460</v>
      </c>
      <c r="K1639" s="8" t="s">
        <v>4883</v>
      </c>
      <c r="L1639" s="8" t="s">
        <v>4885</v>
      </c>
      <c r="M1639" s="8" t="s">
        <v>27</v>
      </c>
      <c r="N1639" s="8" t="s">
        <v>23140</v>
      </c>
      <c r="O1639" s="8" t="s">
        <v>400</v>
      </c>
      <c r="P1639" s="11" t="s">
        <v>401</v>
      </c>
      <c r="Q1639" s="14" t="s">
        <v>22461</v>
      </c>
      <c r="R1639" s="68" t="s">
        <v>555</v>
      </c>
      <c r="S1639" s="8" t="s">
        <v>28</v>
      </c>
      <c r="T1639" s="68" t="s">
        <v>29493</v>
      </c>
      <c r="U1639" s="68" t="s">
        <v>29436</v>
      </c>
      <c r="V1639" s="68" t="s">
        <v>29439</v>
      </c>
      <c r="W1639" s="68" t="s">
        <v>100</v>
      </c>
      <c r="X1639" s="68">
        <v>1275</v>
      </c>
      <c r="Y1639" s="11"/>
      <c r="Z1639" s="11"/>
      <c r="AA1639" s="11"/>
      <c r="AB1639" s="11"/>
      <c r="AC1639" s="11"/>
      <c r="AD1639" s="11"/>
      <c r="AE1639" s="11"/>
      <c r="AF1639" s="11"/>
      <c r="AG1639" s="11"/>
      <c r="AH1639" s="11"/>
      <c r="AI1639" s="11"/>
      <c r="AU1639" s="11"/>
      <c r="AV1639" s="11"/>
      <c r="AW1639" s="1"/>
      <c r="AX1639" s="1"/>
      <c r="AY1639" s="1"/>
      <c r="AZ1639" s="11"/>
      <c r="BA1639" s="70"/>
      <c r="BC1639" s="1"/>
      <c r="BD1639" s="1"/>
      <c r="BE1639" s="1"/>
      <c r="BF1639" s="1"/>
      <c r="BG1639" s="1"/>
      <c r="BH1639" s="1"/>
      <c r="BI1639" s="1"/>
      <c r="BJ1639" s="1"/>
    </row>
    <row r="1640" spans="1:63" s="44" customFormat="1" ht="12" customHeight="1" x14ac:dyDescent="0.15">
      <c r="A1640" s="11" t="s">
        <v>23507</v>
      </c>
      <c r="B1640" s="11">
        <v>38</v>
      </c>
      <c r="C1640" s="11" t="s">
        <v>20</v>
      </c>
      <c r="D1640" s="11" t="s">
        <v>48</v>
      </c>
      <c r="E1640" s="44" t="s">
        <v>23572</v>
      </c>
      <c r="F1640" s="72">
        <v>42415</v>
      </c>
      <c r="G1640" s="11" t="s">
        <v>23577</v>
      </c>
      <c r="H1640" s="8" t="s">
        <v>23576</v>
      </c>
      <c r="I1640" s="11" t="s">
        <v>73</v>
      </c>
      <c r="J1640" s="44">
        <v>78537</v>
      </c>
      <c r="K1640" s="8" t="s">
        <v>1394</v>
      </c>
      <c r="L1640" s="8" t="s">
        <v>23575</v>
      </c>
      <c r="M1640" s="8" t="s">
        <v>391</v>
      </c>
      <c r="N1640" s="8" t="s">
        <v>23574</v>
      </c>
      <c r="O1640" s="8" t="s">
        <v>400</v>
      </c>
      <c r="P1640" s="11" t="s">
        <v>401</v>
      </c>
      <c r="Q1640" s="44" t="s">
        <v>23573</v>
      </c>
      <c r="R1640" s="11" t="s">
        <v>964</v>
      </c>
      <c r="S1640" s="8" t="s">
        <v>18</v>
      </c>
      <c r="AJ1640" s="11"/>
      <c r="AK1640" s="11"/>
      <c r="AL1640" s="11"/>
      <c r="AM1640" s="11"/>
      <c r="AN1640" s="11"/>
      <c r="AO1640" s="11"/>
      <c r="AP1640" s="11"/>
      <c r="AQ1640" s="11"/>
      <c r="AR1640" s="11"/>
      <c r="AS1640" s="11"/>
      <c r="AT1640" s="11"/>
      <c r="AU1640" s="1"/>
      <c r="AV1640" s="1"/>
      <c r="AW1640" s="11"/>
      <c r="AX1640" s="1"/>
      <c r="AY1640" s="1"/>
      <c r="AZ1640" s="1"/>
      <c r="BA1640" s="1"/>
      <c r="BB1640" s="1"/>
      <c r="BC1640" s="1"/>
      <c r="BD1640" s="1"/>
      <c r="BE1640" s="1"/>
      <c r="BF1640" s="1"/>
      <c r="BG1640" s="1"/>
      <c r="BH1640" s="1"/>
      <c r="BI1640" s="1"/>
      <c r="BJ1640" s="1"/>
      <c r="BK1640" s="1"/>
    </row>
    <row r="1641" spans="1:63" s="44" customFormat="1" ht="12" customHeight="1" x14ac:dyDescent="0.15">
      <c r="A1641" s="11" t="s">
        <v>21736</v>
      </c>
      <c r="B1641" s="68">
        <v>52</v>
      </c>
      <c r="C1641" s="11" t="s">
        <v>20</v>
      </c>
      <c r="D1641" s="11" t="s">
        <v>48</v>
      </c>
      <c r="E1641" s="11"/>
      <c r="F1641" s="69">
        <v>42415</v>
      </c>
      <c r="G1641" s="11" t="s">
        <v>21737</v>
      </c>
      <c r="H1641" s="8" t="s">
        <v>21738</v>
      </c>
      <c r="I1641" s="11" t="s">
        <v>195</v>
      </c>
      <c r="J1641" s="17" t="s">
        <v>21739</v>
      </c>
      <c r="K1641" s="8" t="s">
        <v>786</v>
      </c>
      <c r="L1641" s="8" t="s">
        <v>21740</v>
      </c>
      <c r="M1641" s="8" t="s">
        <v>27</v>
      </c>
      <c r="N1641" s="8" t="s">
        <v>21741</v>
      </c>
      <c r="O1641" s="8" t="s">
        <v>400</v>
      </c>
      <c r="P1641" s="11" t="s">
        <v>401</v>
      </c>
      <c r="Q1641" s="14" t="s">
        <v>21742</v>
      </c>
      <c r="R1641" s="8" t="s">
        <v>100</v>
      </c>
      <c r="S1641" s="8" t="s">
        <v>28</v>
      </c>
      <c r="T1641" s="68" t="s">
        <v>27756</v>
      </c>
      <c r="U1641" s="68" t="s">
        <v>29438</v>
      </c>
      <c r="V1641" s="68" t="s">
        <v>29439</v>
      </c>
      <c r="W1641" s="68" t="s">
        <v>100</v>
      </c>
      <c r="X1641" s="68">
        <v>1282</v>
      </c>
      <c r="Y1641" s="11"/>
      <c r="Z1641" s="11"/>
      <c r="AA1641" s="11"/>
      <c r="AB1641" s="11"/>
      <c r="AC1641" s="11"/>
      <c r="AD1641" s="11"/>
      <c r="AE1641" s="11"/>
      <c r="AF1641" s="11"/>
      <c r="AG1641" s="11"/>
      <c r="AJ1641" s="11"/>
      <c r="AK1641" s="11"/>
      <c r="AL1641" s="11"/>
      <c r="AM1641" s="11"/>
      <c r="AN1641" s="11"/>
      <c r="AO1641" s="11"/>
      <c r="AP1641" s="11"/>
      <c r="AQ1641" s="11"/>
      <c r="AR1641" s="11"/>
      <c r="AS1641" s="11"/>
      <c r="AT1641" s="11"/>
      <c r="AU1641" s="11"/>
      <c r="AV1641" s="11"/>
      <c r="AW1641" s="1"/>
      <c r="AX1641" s="1"/>
      <c r="AY1641" s="1"/>
      <c r="AZ1641" s="11"/>
      <c r="BC1641" s="1"/>
      <c r="BD1641" s="1"/>
      <c r="BE1641" s="1"/>
      <c r="BF1641" s="1"/>
      <c r="BG1641" s="1"/>
      <c r="BH1641" s="1"/>
      <c r="BI1641" s="1"/>
      <c r="BJ1641" s="1"/>
    </row>
    <row r="1642" spans="1:63" s="44" customFormat="1" ht="12" customHeight="1" x14ac:dyDescent="0.15">
      <c r="A1642" s="11" t="s">
        <v>22664</v>
      </c>
      <c r="B1642" s="68">
        <v>39</v>
      </c>
      <c r="C1642" s="11" t="s">
        <v>20</v>
      </c>
      <c r="D1642" s="11" t="s">
        <v>37</v>
      </c>
      <c r="E1642" s="60" t="s">
        <v>22665</v>
      </c>
      <c r="F1642" s="69">
        <v>42415</v>
      </c>
      <c r="G1642" s="11" t="s">
        <v>22666</v>
      </c>
      <c r="H1642" s="8" t="s">
        <v>22667</v>
      </c>
      <c r="I1642" s="11" t="s">
        <v>45</v>
      </c>
      <c r="J1642" s="17" t="s">
        <v>22668</v>
      </c>
      <c r="K1642" s="8" t="s">
        <v>1061</v>
      </c>
      <c r="L1642" s="8" t="s">
        <v>4424</v>
      </c>
      <c r="M1642" s="8" t="s">
        <v>27</v>
      </c>
      <c r="N1642" s="8" t="s">
        <v>22669</v>
      </c>
      <c r="O1642" s="8" t="s">
        <v>400</v>
      </c>
      <c r="P1642" s="11" t="s">
        <v>401</v>
      </c>
      <c r="Q1642" s="14" t="s">
        <v>22670</v>
      </c>
      <c r="R1642" s="8" t="s">
        <v>100</v>
      </c>
      <c r="S1642" s="8" t="s">
        <v>35</v>
      </c>
      <c r="T1642" s="68" t="s">
        <v>29441</v>
      </c>
      <c r="U1642" s="68" t="s">
        <v>29441</v>
      </c>
      <c r="V1642" s="68" t="s">
        <v>29439</v>
      </c>
      <c r="W1642" s="68" t="s">
        <v>100</v>
      </c>
      <c r="X1642" s="68">
        <v>1274</v>
      </c>
      <c r="Y1642" s="11"/>
      <c r="Z1642" s="11"/>
      <c r="AA1642" s="11"/>
      <c r="AB1642" s="11"/>
      <c r="AC1642" s="11"/>
      <c r="AD1642" s="11"/>
      <c r="AE1642" s="11"/>
      <c r="AF1642" s="11"/>
      <c r="AG1642" s="11"/>
      <c r="AH1642" s="11"/>
      <c r="AI1642" s="11"/>
      <c r="AU1642" s="11"/>
      <c r="AV1642" s="11"/>
      <c r="AX1642" s="1"/>
      <c r="AY1642" s="1"/>
      <c r="AZ1642" s="11"/>
      <c r="BC1642" s="1"/>
      <c r="BD1642" s="1"/>
      <c r="BE1642" s="1"/>
      <c r="BF1642" s="1"/>
      <c r="BG1642" s="1"/>
      <c r="BH1642" s="1"/>
      <c r="BI1642" s="1"/>
      <c r="BJ1642" s="1"/>
      <c r="BK1642" s="1"/>
    </row>
    <row r="1643" spans="1:63" s="44" customFormat="1" ht="12" customHeight="1" x14ac:dyDescent="0.15">
      <c r="A1643" s="11" t="s">
        <v>10831</v>
      </c>
      <c r="B1643" s="68">
        <v>29</v>
      </c>
      <c r="C1643" s="11" t="s">
        <v>20</v>
      </c>
      <c r="D1643" s="11" t="s">
        <v>48</v>
      </c>
      <c r="E1643" s="11"/>
      <c r="F1643" s="69">
        <v>42414</v>
      </c>
      <c r="G1643" s="11" t="s">
        <v>21609</v>
      </c>
      <c r="H1643" s="8" t="s">
        <v>5977</v>
      </c>
      <c r="I1643" s="11" t="s">
        <v>45</v>
      </c>
      <c r="J1643" s="17" t="s">
        <v>5978</v>
      </c>
      <c r="K1643" s="8" t="s">
        <v>98</v>
      </c>
      <c r="L1643" s="11" t="s">
        <v>414</v>
      </c>
      <c r="M1643" s="8" t="s">
        <v>27</v>
      </c>
      <c r="N1643" s="8" t="s">
        <v>21610</v>
      </c>
      <c r="O1643" s="8" t="s">
        <v>400</v>
      </c>
      <c r="P1643" s="11" t="s">
        <v>401</v>
      </c>
      <c r="Q1643" s="14" t="s">
        <v>21611</v>
      </c>
      <c r="R1643" s="8" t="s">
        <v>100</v>
      </c>
      <c r="S1643" s="8" t="s">
        <v>28</v>
      </c>
      <c r="T1643" s="68" t="s">
        <v>27756</v>
      </c>
      <c r="U1643" s="68" t="s">
        <v>29436</v>
      </c>
      <c r="V1643" s="68" t="s">
        <v>29439</v>
      </c>
      <c r="W1643" s="68" t="s">
        <v>100</v>
      </c>
      <c r="X1643" s="68">
        <v>1271</v>
      </c>
      <c r="Y1643" s="11"/>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X1643" s="1"/>
      <c r="AY1643" s="1"/>
      <c r="AZ1643" s="11"/>
      <c r="BC1643" s="1"/>
      <c r="BD1643" s="1"/>
      <c r="BE1643" s="1"/>
      <c r="BF1643" s="1"/>
      <c r="BG1643" s="1"/>
      <c r="BH1643" s="1"/>
      <c r="BI1643" s="1"/>
      <c r="BJ1643" s="1"/>
    </row>
    <row r="1644" spans="1:63" s="44" customFormat="1" ht="12" customHeight="1" x14ac:dyDescent="0.15">
      <c r="A1644" s="11" t="s">
        <v>22106</v>
      </c>
      <c r="B1644" s="68">
        <v>26</v>
      </c>
      <c r="C1644" s="11" t="s">
        <v>20</v>
      </c>
      <c r="D1644" s="11" t="s">
        <v>37</v>
      </c>
      <c r="E1644" s="11"/>
      <c r="F1644" s="69">
        <v>42414</v>
      </c>
      <c r="G1644" s="11" t="s">
        <v>22107</v>
      </c>
      <c r="H1644" s="8" t="s">
        <v>98</v>
      </c>
      <c r="I1644" s="11" t="s">
        <v>45</v>
      </c>
      <c r="J1644" s="17" t="s">
        <v>19679</v>
      </c>
      <c r="K1644" s="8" t="s">
        <v>98</v>
      </c>
      <c r="L1644" s="8" t="s">
        <v>99</v>
      </c>
      <c r="M1644" s="8" t="s">
        <v>27</v>
      </c>
      <c r="N1644" s="8" t="s">
        <v>23136</v>
      </c>
      <c r="O1644" s="8" t="s">
        <v>400</v>
      </c>
      <c r="P1644" s="11" t="s">
        <v>401</v>
      </c>
      <c r="Q1644" s="14" t="s">
        <v>22108</v>
      </c>
      <c r="R1644" s="8" t="s">
        <v>100</v>
      </c>
      <c r="S1644" s="8" t="s">
        <v>28</v>
      </c>
      <c r="T1644" s="68" t="s">
        <v>29493</v>
      </c>
      <c r="U1644" s="68" t="s">
        <v>29436</v>
      </c>
      <c r="V1644" s="68" t="s">
        <v>29439</v>
      </c>
      <c r="W1644" s="68" t="s">
        <v>100</v>
      </c>
      <c r="X1644" s="68">
        <v>1280</v>
      </c>
      <c r="Y1644" s="11"/>
      <c r="Z1644" s="11"/>
      <c r="AA1644" s="11"/>
      <c r="AB1644" s="11"/>
      <c r="AC1644" s="11"/>
      <c r="AD1644" s="11"/>
      <c r="AE1644" s="11"/>
      <c r="AF1644" s="11"/>
      <c r="AG1644" s="11"/>
      <c r="AH1644" s="11"/>
      <c r="AI1644" s="11"/>
      <c r="AJ1644" s="11"/>
      <c r="AK1644" s="11"/>
      <c r="AL1644" s="11"/>
      <c r="AM1644" s="11"/>
      <c r="AN1644" s="11"/>
      <c r="AO1644" s="11"/>
      <c r="AP1644" s="11"/>
      <c r="AQ1644" s="11"/>
      <c r="AR1644" s="11"/>
      <c r="AS1644" s="11"/>
      <c r="AT1644" s="11"/>
      <c r="AU1644" s="11"/>
      <c r="AV1644" s="11"/>
      <c r="AW1644" s="11"/>
      <c r="AX1644" s="1"/>
      <c r="AY1644" s="1"/>
      <c r="AZ1644" s="11"/>
      <c r="BC1644" s="1"/>
      <c r="BD1644" s="1"/>
      <c r="BE1644" s="1"/>
      <c r="BF1644" s="1"/>
      <c r="BG1644" s="1"/>
      <c r="BH1644" s="1"/>
      <c r="BI1644" s="1"/>
      <c r="BJ1644" s="1"/>
    </row>
    <row r="1645" spans="1:63" s="44" customFormat="1" ht="12" customHeight="1" x14ac:dyDescent="0.15">
      <c r="A1645" s="11" t="s">
        <v>22115</v>
      </c>
      <c r="B1645" s="68">
        <v>50</v>
      </c>
      <c r="C1645" s="11" t="s">
        <v>20</v>
      </c>
      <c r="D1645" s="11" t="s">
        <v>37</v>
      </c>
      <c r="E1645" s="11"/>
      <c r="F1645" s="69">
        <v>42414</v>
      </c>
      <c r="G1645" s="11" t="s">
        <v>22116</v>
      </c>
      <c r="H1645" s="8" t="s">
        <v>3572</v>
      </c>
      <c r="I1645" s="11" t="s">
        <v>62</v>
      </c>
      <c r="J1645" s="17" t="s">
        <v>7548</v>
      </c>
      <c r="K1645" s="8" t="s">
        <v>3574</v>
      </c>
      <c r="L1645" s="8" t="s">
        <v>3575</v>
      </c>
      <c r="M1645" s="8" t="s">
        <v>27</v>
      </c>
      <c r="N1645" s="8" t="s">
        <v>22117</v>
      </c>
      <c r="O1645" s="8" t="s">
        <v>400</v>
      </c>
      <c r="P1645" s="11" t="s">
        <v>401</v>
      </c>
      <c r="Q1645" s="14" t="s">
        <v>22118</v>
      </c>
      <c r="R1645" s="8" t="s">
        <v>555</v>
      </c>
      <c r="S1645" s="8" t="s">
        <v>28</v>
      </c>
      <c r="T1645" s="68" t="s">
        <v>29493</v>
      </c>
      <c r="U1645" s="68" t="s">
        <v>29436</v>
      </c>
      <c r="V1645" s="68" t="s">
        <v>29439</v>
      </c>
      <c r="W1645" s="68" t="s">
        <v>100</v>
      </c>
      <c r="X1645" s="68">
        <v>1269</v>
      </c>
      <c r="Y1645" s="11"/>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
      <c r="AX1645" s="1"/>
      <c r="AY1645" s="1"/>
      <c r="AZ1645" s="11"/>
      <c r="BA1645" s="11"/>
      <c r="BC1645" s="1"/>
      <c r="BD1645" s="1"/>
      <c r="BE1645" s="1"/>
      <c r="BF1645" s="1"/>
      <c r="BG1645" s="1"/>
      <c r="BH1645" s="1"/>
      <c r="BI1645" s="1"/>
      <c r="BJ1645" s="1"/>
    </row>
    <row r="1646" spans="1:63" s="44" customFormat="1" ht="12" customHeight="1" x14ac:dyDescent="0.2">
      <c r="A1646" s="11" t="s">
        <v>21337</v>
      </c>
      <c r="B1646" s="68">
        <v>29</v>
      </c>
      <c r="C1646" s="11" t="s">
        <v>20</v>
      </c>
      <c r="D1646" s="11" t="s">
        <v>85</v>
      </c>
      <c r="E1646" s="60" t="s">
        <v>21338</v>
      </c>
      <c r="F1646" s="69">
        <v>42413</v>
      </c>
      <c r="G1646" s="11" t="s">
        <v>21339</v>
      </c>
      <c r="H1646" s="8" t="s">
        <v>21340</v>
      </c>
      <c r="I1646" s="11" t="s">
        <v>370</v>
      </c>
      <c r="J1646" s="47" t="s">
        <v>1863</v>
      </c>
      <c r="K1646" s="8" t="s">
        <v>1864</v>
      </c>
      <c r="L1646" s="8" t="s">
        <v>21341</v>
      </c>
      <c r="M1646" s="68" t="s">
        <v>5411</v>
      </c>
      <c r="N1646" s="8" t="s">
        <v>22965</v>
      </c>
      <c r="O1646" s="8" t="s">
        <v>400</v>
      </c>
      <c r="P1646" s="11" t="s">
        <v>401</v>
      </c>
      <c r="Q1646" s="14" t="s">
        <v>21342</v>
      </c>
      <c r="R1646" s="8" t="s">
        <v>100</v>
      </c>
      <c r="S1646" s="8" t="s">
        <v>28</v>
      </c>
      <c r="T1646" s="68" t="s">
        <v>27756</v>
      </c>
      <c r="U1646" s="68" t="s">
        <v>29438</v>
      </c>
      <c r="V1646" s="68" t="s">
        <v>29439</v>
      </c>
      <c r="W1646" s="68" t="s">
        <v>555</v>
      </c>
      <c r="X1646" s="68">
        <v>1268</v>
      </c>
      <c r="Y1646" s="11"/>
      <c r="Z1646" s="11"/>
      <c r="AA1646" s="11"/>
      <c r="AB1646" s="11"/>
      <c r="AC1646" s="11"/>
      <c r="AD1646" s="11"/>
      <c r="AE1646" s="11"/>
      <c r="AF1646" s="11"/>
      <c r="AG1646" s="11"/>
      <c r="AJ1646" s="11"/>
      <c r="AK1646" s="11"/>
      <c r="AL1646" s="11"/>
      <c r="AM1646" s="11"/>
      <c r="AN1646" s="11"/>
      <c r="AO1646" s="11"/>
      <c r="AP1646" s="11"/>
      <c r="AQ1646" s="11"/>
      <c r="AR1646" s="11"/>
      <c r="AS1646" s="11"/>
      <c r="AT1646" s="11"/>
      <c r="AU1646" s="11"/>
      <c r="AV1646" s="11"/>
      <c r="AX1646" s="11"/>
      <c r="AY1646" s="11"/>
      <c r="AZ1646" s="11"/>
      <c r="BB1646" s="70"/>
      <c r="BC1646" s="11"/>
      <c r="BD1646" s="11"/>
      <c r="BE1646" s="11"/>
      <c r="BF1646" s="11"/>
      <c r="BG1646" s="11"/>
      <c r="BH1646" s="11"/>
      <c r="BI1646" s="11"/>
      <c r="BJ1646" s="11"/>
      <c r="BK1646" s="1"/>
    </row>
    <row r="1647" spans="1:63" s="44" customFormat="1" ht="12" customHeight="1" x14ac:dyDescent="0.15">
      <c r="A1647" s="11" t="s">
        <v>21490</v>
      </c>
      <c r="B1647" s="68">
        <v>24</v>
      </c>
      <c r="C1647" s="11" t="s">
        <v>20</v>
      </c>
      <c r="D1647" s="11" t="s">
        <v>85</v>
      </c>
      <c r="E1647" s="11"/>
      <c r="F1647" s="69">
        <v>42413</v>
      </c>
      <c r="G1647" s="11" t="s">
        <v>21491</v>
      </c>
      <c r="H1647" s="8" t="s">
        <v>21492</v>
      </c>
      <c r="I1647" s="11" t="s">
        <v>73</v>
      </c>
      <c r="J1647" s="47" t="s">
        <v>21493</v>
      </c>
      <c r="K1647" s="8" t="s">
        <v>21494</v>
      </c>
      <c r="L1647" s="8" t="s">
        <v>281</v>
      </c>
      <c r="M1647" s="8" t="s">
        <v>27</v>
      </c>
      <c r="N1647" s="8" t="s">
        <v>21495</v>
      </c>
      <c r="O1647" s="8" t="s">
        <v>400</v>
      </c>
      <c r="P1647" s="11" t="s">
        <v>401</v>
      </c>
      <c r="Q1647" s="14" t="s">
        <v>21496</v>
      </c>
      <c r="R1647" s="8" t="s">
        <v>100</v>
      </c>
      <c r="S1647" s="8" t="s">
        <v>18</v>
      </c>
      <c r="T1647" s="68" t="s">
        <v>28345</v>
      </c>
      <c r="U1647" s="68" t="s">
        <v>29436</v>
      </c>
      <c r="V1647" s="68" t="s">
        <v>21212</v>
      </c>
      <c r="W1647" s="68" t="s">
        <v>100</v>
      </c>
      <c r="X1647" s="68">
        <v>1270</v>
      </c>
      <c r="Y1647" s="11"/>
      <c r="Z1647" s="11"/>
      <c r="AA1647" s="11"/>
      <c r="AB1647" s="11"/>
      <c r="AC1647" s="11"/>
      <c r="AD1647" s="11"/>
      <c r="AE1647" s="11"/>
      <c r="AF1647" s="11"/>
      <c r="AG1647" s="11"/>
      <c r="AJ1647" s="11"/>
      <c r="AK1647" s="11"/>
      <c r="AL1647" s="11"/>
      <c r="AM1647" s="11"/>
      <c r="AN1647" s="11"/>
      <c r="AO1647" s="11"/>
      <c r="AP1647" s="11"/>
      <c r="AQ1647" s="11"/>
      <c r="AR1647" s="11"/>
      <c r="AS1647" s="11"/>
      <c r="AT1647" s="11"/>
      <c r="AU1647" s="11"/>
      <c r="AV1647" s="11"/>
      <c r="AW1647" s="11"/>
      <c r="AZ1647" s="11"/>
      <c r="BC1647" s="11"/>
      <c r="BD1647" s="11"/>
      <c r="BE1647" s="11"/>
      <c r="BF1647" s="11"/>
      <c r="BG1647" s="11"/>
      <c r="BH1647" s="11"/>
      <c r="BI1647" s="11"/>
      <c r="BJ1647" s="11"/>
      <c r="BK1647" s="1"/>
    </row>
    <row r="1648" spans="1:63" s="44" customFormat="1" ht="12" customHeight="1" x14ac:dyDescent="0.2">
      <c r="A1648" s="11" t="s">
        <v>21553</v>
      </c>
      <c r="B1648" s="68">
        <v>19</v>
      </c>
      <c r="C1648" s="11" t="s">
        <v>20</v>
      </c>
      <c r="D1648" s="11" t="s">
        <v>85</v>
      </c>
      <c r="E1648" s="60" t="s">
        <v>21554</v>
      </c>
      <c r="F1648" s="69">
        <v>42413</v>
      </c>
      <c r="G1648" s="11" t="s">
        <v>21555</v>
      </c>
      <c r="H1648" s="8" t="s">
        <v>21556</v>
      </c>
      <c r="I1648" s="11" t="s">
        <v>244</v>
      </c>
      <c r="J1648" s="53" t="s">
        <v>21557</v>
      </c>
      <c r="K1648" s="2" t="s">
        <v>21558</v>
      </c>
      <c r="L1648" s="2" t="s">
        <v>21559</v>
      </c>
      <c r="M1648" s="8" t="s">
        <v>27</v>
      </c>
      <c r="N1648" s="8" t="s">
        <v>21560</v>
      </c>
      <c r="O1648" s="8" t="s">
        <v>400</v>
      </c>
      <c r="P1648" s="11" t="s">
        <v>401</v>
      </c>
      <c r="Q1648" s="14" t="s">
        <v>21561</v>
      </c>
      <c r="R1648" s="8" t="s">
        <v>100</v>
      </c>
      <c r="S1648" s="13" t="s">
        <v>18</v>
      </c>
      <c r="T1648" s="68" t="s">
        <v>28345</v>
      </c>
      <c r="U1648" s="68" t="s">
        <v>29438</v>
      </c>
      <c r="V1648" s="68" t="s">
        <v>29439</v>
      </c>
      <c r="W1648" s="68" t="s">
        <v>100</v>
      </c>
      <c r="X1648" s="68">
        <v>1272</v>
      </c>
      <c r="Y1648" s="11"/>
      <c r="Z1648" s="11"/>
      <c r="AA1648" s="11"/>
      <c r="AB1648" s="11"/>
      <c r="AC1648" s="11"/>
      <c r="AD1648" s="11"/>
      <c r="AE1648" s="11"/>
      <c r="AF1648" s="11"/>
      <c r="AG1648" s="11"/>
      <c r="AJ1648" s="11"/>
      <c r="AK1648" s="11"/>
      <c r="AL1648" s="11"/>
      <c r="AM1648" s="11"/>
      <c r="AN1648" s="11"/>
      <c r="AO1648" s="11"/>
      <c r="AP1648" s="11"/>
      <c r="AQ1648" s="11"/>
      <c r="AR1648" s="11"/>
      <c r="AS1648" s="11"/>
      <c r="AT1648" s="11"/>
      <c r="AU1648" s="11"/>
      <c r="AV1648" s="11"/>
      <c r="AW1648" s="70"/>
      <c r="AX1648" s="70"/>
      <c r="AY1648" s="70"/>
      <c r="AZ1648" s="11"/>
      <c r="BC1648" s="11"/>
      <c r="BD1648" s="11"/>
      <c r="BE1648" s="11"/>
      <c r="BF1648" s="11"/>
      <c r="BG1648" s="11"/>
      <c r="BH1648" s="11"/>
      <c r="BI1648" s="11"/>
      <c r="BJ1648" s="11"/>
      <c r="BK1648" s="1"/>
    </row>
    <row r="1649" spans="1:63" s="44" customFormat="1" ht="12" customHeight="1" x14ac:dyDescent="0.15">
      <c r="A1649" s="11" t="s">
        <v>21361</v>
      </c>
      <c r="B1649" s="68">
        <v>22</v>
      </c>
      <c r="C1649" s="11" t="s">
        <v>20</v>
      </c>
      <c r="D1649" s="11" t="s">
        <v>85</v>
      </c>
      <c r="E1649" s="60" t="s">
        <v>21362</v>
      </c>
      <c r="F1649" s="69">
        <v>42413</v>
      </c>
      <c r="G1649" s="11" t="s">
        <v>21363</v>
      </c>
      <c r="H1649" s="8" t="s">
        <v>189</v>
      </c>
      <c r="I1649" s="11" t="s">
        <v>25</v>
      </c>
      <c r="J1649" s="47" t="s">
        <v>15094</v>
      </c>
      <c r="K1649" s="8" t="s">
        <v>3743</v>
      </c>
      <c r="L1649" s="8" t="s">
        <v>1683</v>
      </c>
      <c r="M1649" s="8" t="s">
        <v>27</v>
      </c>
      <c r="N1649" s="8" t="s">
        <v>21364</v>
      </c>
      <c r="O1649" s="8" t="s">
        <v>400</v>
      </c>
      <c r="P1649" s="11" t="s">
        <v>401</v>
      </c>
      <c r="Q1649" s="14" t="s">
        <v>21365</v>
      </c>
      <c r="R1649" s="8" t="s">
        <v>555</v>
      </c>
      <c r="S1649" s="8" t="s">
        <v>28</v>
      </c>
      <c r="T1649" s="68" t="s">
        <v>27756</v>
      </c>
      <c r="U1649" s="68" t="s">
        <v>29438</v>
      </c>
      <c r="V1649" s="68" t="s">
        <v>29437</v>
      </c>
      <c r="W1649" s="68" t="s">
        <v>555</v>
      </c>
      <c r="X1649" s="68">
        <v>1266</v>
      </c>
      <c r="Y1649" s="11"/>
      <c r="Z1649" s="11"/>
      <c r="AA1649" s="11"/>
      <c r="AB1649" s="11"/>
      <c r="AC1649" s="11"/>
      <c r="AD1649" s="11"/>
      <c r="AE1649" s="11"/>
      <c r="AF1649" s="11"/>
      <c r="AG1649" s="11"/>
      <c r="AJ1649" s="11"/>
      <c r="AK1649" s="11"/>
      <c r="AL1649" s="11"/>
      <c r="AM1649" s="11"/>
      <c r="AN1649" s="11"/>
      <c r="AO1649" s="11"/>
      <c r="AP1649" s="11"/>
      <c r="AQ1649" s="11"/>
      <c r="AR1649" s="11"/>
      <c r="AS1649" s="11"/>
      <c r="AT1649" s="11"/>
      <c r="AU1649" s="11"/>
      <c r="AV1649" s="11"/>
      <c r="AZ1649" s="11"/>
      <c r="BA1649" s="11"/>
      <c r="BC1649" s="11"/>
      <c r="BD1649" s="11"/>
      <c r="BE1649" s="11"/>
      <c r="BF1649" s="11"/>
      <c r="BG1649" s="11"/>
      <c r="BH1649" s="11"/>
      <c r="BI1649" s="11"/>
      <c r="BJ1649" s="11"/>
    </row>
    <row r="1650" spans="1:63" s="44" customFormat="1" ht="12" customHeight="1" x14ac:dyDescent="0.15">
      <c r="A1650" s="11" t="s">
        <v>23176</v>
      </c>
      <c r="B1650" s="11">
        <v>24</v>
      </c>
      <c r="C1650" s="11" t="s">
        <v>20</v>
      </c>
      <c r="D1650" s="11" t="s">
        <v>85</v>
      </c>
      <c r="E1650" s="60" t="s">
        <v>23181</v>
      </c>
      <c r="F1650" s="72">
        <v>42412</v>
      </c>
      <c r="G1650" s="11" t="s">
        <v>23179</v>
      </c>
      <c r="H1650" s="8" t="s">
        <v>23180</v>
      </c>
      <c r="I1650" s="11" t="s">
        <v>173</v>
      </c>
      <c r="J1650" s="47">
        <v>30274</v>
      </c>
      <c r="K1650" s="16" t="s">
        <v>1790</v>
      </c>
      <c r="L1650" s="16" t="s">
        <v>23177</v>
      </c>
      <c r="M1650" s="8" t="s">
        <v>27</v>
      </c>
      <c r="N1650" s="8" t="s">
        <v>23178</v>
      </c>
      <c r="O1650" s="8" t="s">
        <v>400</v>
      </c>
      <c r="P1650" s="11" t="s">
        <v>401</v>
      </c>
      <c r="Q1650" s="14" t="s">
        <v>23182</v>
      </c>
      <c r="R1650" s="8" t="s">
        <v>100</v>
      </c>
      <c r="S1650" s="8" t="s">
        <v>28</v>
      </c>
      <c r="T1650" s="68"/>
      <c r="U1650" s="68"/>
      <c r="V1650" s="68"/>
      <c r="W1650" s="68"/>
      <c r="X1650" s="68"/>
      <c r="Y1650" s="11"/>
      <c r="Z1650" s="11"/>
      <c r="AA1650" s="11"/>
      <c r="AB1650" s="11"/>
      <c r="AC1650" s="11"/>
      <c r="AD1650" s="11"/>
      <c r="AE1650" s="11"/>
      <c r="AF1650" s="11"/>
      <c r="AG1650" s="11"/>
      <c r="AJ1650" s="11"/>
      <c r="AK1650" s="11"/>
      <c r="AL1650" s="11"/>
      <c r="AM1650" s="11"/>
      <c r="AN1650" s="11"/>
      <c r="AO1650" s="11"/>
      <c r="AP1650" s="11"/>
      <c r="AQ1650" s="11"/>
      <c r="AR1650" s="11"/>
      <c r="AS1650" s="11"/>
      <c r="AT1650" s="11"/>
      <c r="AU1650" s="11"/>
      <c r="AV1650" s="11"/>
      <c r="AW1650" s="1"/>
      <c r="AZ1650" s="1"/>
      <c r="BA1650" s="1"/>
      <c r="BB1650" s="1"/>
      <c r="BC1650" s="11"/>
      <c r="BD1650" s="11"/>
      <c r="BE1650" s="11"/>
      <c r="BF1650" s="11"/>
      <c r="BG1650" s="11"/>
      <c r="BH1650" s="11"/>
      <c r="BI1650" s="11"/>
      <c r="BJ1650" s="11"/>
    </row>
    <row r="1651" spans="1:63" s="44" customFormat="1" ht="12" customHeight="1" x14ac:dyDescent="0.15">
      <c r="A1651" s="11" t="s">
        <v>22400</v>
      </c>
      <c r="B1651" s="68">
        <v>53</v>
      </c>
      <c r="C1651" s="11" t="s">
        <v>20</v>
      </c>
      <c r="D1651" s="11" t="s">
        <v>37</v>
      </c>
      <c r="E1651" s="60" t="s">
        <v>22401</v>
      </c>
      <c r="F1651" s="69">
        <v>42412</v>
      </c>
      <c r="G1651" s="11" t="s">
        <v>22402</v>
      </c>
      <c r="H1651" s="8" t="s">
        <v>926</v>
      </c>
      <c r="I1651" s="11" t="s">
        <v>73</v>
      </c>
      <c r="J1651" s="17" t="s">
        <v>12885</v>
      </c>
      <c r="K1651" s="8" t="s">
        <v>74</v>
      </c>
      <c r="L1651" s="8" t="s">
        <v>5634</v>
      </c>
      <c r="M1651" s="8" t="s">
        <v>27</v>
      </c>
      <c r="N1651" s="8" t="s">
        <v>22403</v>
      </c>
      <c r="O1651" s="8" t="s">
        <v>400</v>
      </c>
      <c r="P1651" s="11" t="s">
        <v>401</v>
      </c>
      <c r="Q1651" s="14" t="s">
        <v>22404</v>
      </c>
      <c r="R1651" s="8" t="s">
        <v>100</v>
      </c>
      <c r="S1651" s="8" t="s">
        <v>28</v>
      </c>
      <c r="T1651" s="68" t="s">
        <v>27756</v>
      </c>
      <c r="U1651" s="68" t="s">
        <v>29436</v>
      </c>
      <c r="V1651" s="68" t="s">
        <v>29439</v>
      </c>
      <c r="W1651" s="68" t="s">
        <v>100</v>
      </c>
      <c r="X1651" s="68">
        <v>1273</v>
      </c>
      <c r="Y1651" s="11"/>
      <c r="Z1651" s="11"/>
      <c r="AA1651" s="11"/>
      <c r="AB1651" s="11"/>
      <c r="AC1651" s="11"/>
      <c r="AD1651" s="11"/>
      <c r="AE1651" s="11"/>
      <c r="AF1651" s="11"/>
      <c r="AG1651" s="11"/>
      <c r="AH1651" s="11"/>
      <c r="AI1651" s="11"/>
      <c r="AJ1651" s="11"/>
      <c r="AK1651" s="11"/>
      <c r="AL1651" s="11"/>
      <c r="AM1651" s="11"/>
      <c r="AN1651" s="11"/>
      <c r="AO1651" s="11"/>
      <c r="AP1651" s="11"/>
      <c r="AQ1651" s="11"/>
      <c r="AR1651" s="11"/>
      <c r="AS1651" s="11"/>
      <c r="AT1651" s="11"/>
      <c r="AU1651" s="11"/>
      <c r="AV1651" s="11"/>
      <c r="AW1651" s="1"/>
      <c r="AX1651" s="1"/>
      <c r="AY1651" s="1"/>
      <c r="AZ1651" s="11"/>
      <c r="BC1651" s="1"/>
      <c r="BD1651" s="1"/>
      <c r="BE1651" s="1"/>
      <c r="BF1651" s="1"/>
      <c r="BG1651" s="1"/>
      <c r="BH1651" s="1"/>
      <c r="BI1651" s="1"/>
      <c r="BJ1651" s="1"/>
    </row>
    <row r="1652" spans="1:63" s="44" customFormat="1" ht="12" customHeight="1" x14ac:dyDescent="0.15">
      <c r="A1652" s="11" t="s">
        <v>23508</v>
      </c>
      <c r="B1652" s="11">
        <v>32</v>
      </c>
      <c r="C1652" s="11" t="s">
        <v>20</v>
      </c>
      <c r="D1652" s="11" t="s">
        <v>85</v>
      </c>
      <c r="F1652" s="72">
        <v>42412</v>
      </c>
      <c r="G1652" s="11" t="s">
        <v>23579</v>
      </c>
      <c r="H1652" s="8" t="s">
        <v>23580</v>
      </c>
      <c r="I1652" s="11" t="s">
        <v>173</v>
      </c>
      <c r="J1652" s="44">
        <v>30337</v>
      </c>
      <c r="K1652" s="8" t="s">
        <v>1556</v>
      </c>
      <c r="L1652" s="8" t="s">
        <v>8226</v>
      </c>
      <c r="M1652" s="8" t="s">
        <v>379</v>
      </c>
      <c r="N1652" s="8" t="s">
        <v>23578</v>
      </c>
      <c r="O1652" s="8" t="s">
        <v>400</v>
      </c>
      <c r="P1652" s="11" t="s">
        <v>401</v>
      </c>
      <c r="Q1652" s="44" t="s">
        <v>23581</v>
      </c>
      <c r="R1652" s="8" t="s">
        <v>100</v>
      </c>
      <c r="S1652" s="8" t="s">
        <v>379</v>
      </c>
      <c r="AJ1652" s="11"/>
      <c r="AK1652" s="11"/>
      <c r="AL1652" s="11"/>
      <c r="AM1652" s="11"/>
      <c r="AN1652" s="11"/>
      <c r="AO1652" s="11"/>
      <c r="AP1652" s="11"/>
      <c r="AQ1652" s="11"/>
      <c r="AR1652" s="11"/>
      <c r="AS1652" s="11"/>
      <c r="AT1652" s="11"/>
      <c r="AZ1652" s="1"/>
      <c r="BA1652" s="1"/>
      <c r="BB1652" s="1"/>
      <c r="BC1652" s="11"/>
      <c r="BD1652" s="11"/>
      <c r="BE1652" s="11"/>
      <c r="BF1652" s="11"/>
      <c r="BG1652" s="11"/>
      <c r="BH1652" s="11"/>
      <c r="BI1652" s="11"/>
      <c r="BJ1652" s="11"/>
      <c r="BK1652" s="1"/>
    </row>
    <row r="1653" spans="1:63" s="44" customFormat="1" ht="12" customHeight="1" x14ac:dyDescent="0.15">
      <c r="A1653" s="11" t="s">
        <v>21574</v>
      </c>
      <c r="B1653" s="68">
        <v>29</v>
      </c>
      <c r="C1653" s="11" t="s">
        <v>20</v>
      </c>
      <c r="D1653" s="11" t="s">
        <v>85</v>
      </c>
      <c r="E1653" s="11"/>
      <c r="F1653" s="69">
        <v>42412</v>
      </c>
      <c r="G1653" s="11" t="s">
        <v>21575</v>
      </c>
      <c r="H1653" s="8" t="s">
        <v>1697</v>
      </c>
      <c r="I1653" s="11" t="s">
        <v>46</v>
      </c>
      <c r="J1653" s="47" t="s">
        <v>3229</v>
      </c>
      <c r="K1653" s="8" t="s">
        <v>1699</v>
      </c>
      <c r="L1653" s="8" t="s">
        <v>3230</v>
      </c>
      <c r="M1653" s="8" t="s">
        <v>27</v>
      </c>
      <c r="N1653" s="8" t="s">
        <v>21576</v>
      </c>
      <c r="O1653" s="8" t="s">
        <v>400</v>
      </c>
      <c r="P1653" s="11" t="s">
        <v>401</v>
      </c>
      <c r="Q1653" s="14" t="s">
        <v>21577</v>
      </c>
      <c r="R1653" s="8" t="s">
        <v>555</v>
      </c>
      <c r="S1653" s="8" t="s">
        <v>28</v>
      </c>
      <c r="T1653" s="68" t="s">
        <v>27756</v>
      </c>
      <c r="U1653" s="68" t="s">
        <v>29438</v>
      </c>
      <c r="V1653" s="68" t="s">
        <v>29439</v>
      </c>
      <c r="W1653" s="68" t="s">
        <v>100</v>
      </c>
      <c r="X1653" s="68">
        <v>1262</v>
      </c>
      <c r="Y1653" s="11"/>
      <c r="Z1653" s="11"/>
      <c r="AA1653" s="11"/>
      <c r="AB1653" s="11"/>
      <c r="AC1653" s="11"/>
      <c r="AD1653" s="11"/>
      <c r="AE1653" s="11"/>
      <c r="AF1653" s="11"/>
      <c r="AG1653" s="11"/>
      <c r="AJ1653" s="11"/>
      <c r="AK1653" s="11"/>
      <c r="AL1653" s="11"/>
      <c r="AM1653" s="11"/>
      <c r="AN1653" s="11"/>
      <c r="AO1653" s="11"/>
      <c r="AP1653" s="11"/>
      <c r="AQ1653" s="11"/>
      <c r="AR1653" s="11"/>
      <c r="AS1653" s="11"/>
      <c r="AT1653" s="11"/>
      <c r="AU1653" s="11"/>
      <c r="AV1653" s="11"/>
      <c r="AX1653" s="11"/>
      <c r="AY1653" s="11"/>
      <c r="AZ1653" s="11"/>
      <c r="BA1653" s="11"/>
      <c r="BC1653" s="11"/>
      <c r="BD1653" s="11"/>
      <c r="BE1653" s="11"/>
      <c r="BF1653" s="11"/>
      <c r="BG1653" s="11"/>
      <c r="BH1653" s="11"/>
      <c r="BI1653" s="11"/>
      <c r="BJ1653" s="11"/>
    </row>
    <row r="1654" spans="1:63" s="44" customFormat="1" ht="12" customHeight="1" x14ac:dyDescent="0.15">
      <c r="A1654" s="11" t="s">
        <v>21419</v>
      </c>
      <c r="B1654" s="68">
        <v>32</v>
      </c>
      <c r="C1654" s="11" t="s">
        <v>114</v>
      </c>
      <c r="D1654" s="11" t="s">
        <v>85</v>
      </c>
      <c r="E1654" s="60" t="s">
        <v>21420</v>
      </c>
      <c r="F1654" s="69">
        <v>42412</v>
      </c>
      <c r="G1654" s="11" t="s">
        <v>21421</v>
      </c>
      <c r="H1654" s="8" t="s">
        <v>5000</v>
      </c>
      <c r="I1654" s="11" t="s">
        <v>423</v>
      </c>
      <c r="J1654" s="47" t="s">
        <v>21422</v>
      </c>
      <c r="K1654" s="8" t="s">
        <v>13309</v>
      </c>
      <c r="L1654" s="8" t="s">
        <v>21423</v>
      </c>
      <c r="M1654" s="8" t="s">
        <v>27</v>
      </c>
      <c r="N1654" s="8" t="s">
        <v>22975</v>
      </c>
      <c r="O1654" s="8" t="s">
        <v>400</v>
      </c>
      <c r="P1654" s="11" t="s">
        <v>401</v>
      </c>
      <c r="Q1654" s="14" t="s">
        <v>21424</v>
      </c>
      <c r="R1654" s="8" t="s">
        <v>555</v>
      </c>
      <c r="S1654" s="8" t="s">
        <v>28</v>
      </c>
      <c r="T1654" s="68" t="s">
        <v>27756</v>
      </c>
      <c r="U1654" s="68" t="s">
        <v>29436</v>
      </c>
      <c r="V1654" s="68" t="s">
        <v>29439</v>
      </c>
      <c r="W1654" s="68" t="s">
        <v>100</v>
      </c>
      <c r="X1654" s="68">
        <v>1276</v>
      </c>
      <c r="Y1654" s="11"/>
      <c r="Z1654" s="11"/>
      <c r="AA1654" s="11"/>
      <c r="AB1654" s="11"/>
      <c r="AC1654" s="11"/>
      <c r="AD1654" s="11"/>
      <c r="AE1654" s="11"/>
      <c r="AF1654" s="11"/>
      <c r="AG1654" s="11"/>
      <c r="AJ1654" s="11"/>
      <c r="AK1654" s="11"/>
      <c r="AL1654" s="11"/>
      <c r="AM1654" s="11"/>
      <c r="AN1654" s="11"/>
      <c r="AO1654" s="11"/>
      <c r="AP1654" s="11"/>
      <c r="AQ1654" s="11"/>
      <c r="AR1654" s="11"/>
      <c r="AS1654" s="11"/>
      <c r="AT1654" s="11"/>
      <c r="AU1654" s="11"/>
      <c r="AV1654" s="11"/>
      <c r="AW1654" s="11"/>
      <c r="AX1654" s="11"/>
      <c r="AY1654" s="11"/>
      <c r="AZ1654" s="11"/>
      <c r="BA1654" s="11"/>
      <c r="BC1654" s="11"/>
      <c r="BD1654" s="11"/>
      <c r="BE1654" s="11"/>
      <c r="BF1654" s="11"/>
      <c r="BG1654" s="11"/>
      <c r="BH1654" s="11"/>
      <c r="BI1654" s="11"/>
      <c r="BJ1654" s="11"/>
    </row>
    <row r="1655" spans="1:63" s="44" customFormat="1" ht="12" customHeight="1" x14ac:dyDescent="0.15">
      <c r="A1655" s="11" t="s">
        <v>22564</v>
      </c>
      <c r="B1655" s="68">
        <v>45</v>
      </c>
      <c r="C1655" s="11" t="s">
        <v>20</v>
      </c>
      <c r="D1655" s="11" t="s">
        <v>37</v>
      </c>
      <c r="E1655" s="11"/>
      <c r="F1655" s="69">
        <v>42411</v>
      </c>
      <c r="G1655" s="11" t="s">
        <v>22565</v>
      </c>
      <c r="H1655" s="8" t="s">
        <v>1492</v>
      </c>
      <c r="I1655" s="11" t="s">
        <v>45</v>
      </c>
      <c r="J1655" s="17" t="s">
        <v>8884</v>
      </c>
      <c r="K1655" s="8" t="s">
        <v>98</v>
      </c>
      <c r="L1655" s="11" t="s">
        <v>414</v>
      </c>
      <c r="M1655" s="8" t="s">
        <v>27</v>
      </c>
      <c r="N1655" s="8" t="s">
        <v>22566</v>
      </c>
      <c r="O1655" s="8" t="s">
        <v>400</v>
      </c>
      <c r="P1655" s="11" t="s">
        <v>401</v>
      </c>
      <c r="Q1655" s="14" t="s">
        <v>22567</v>
      </c>
      <c r="R1655" s="8" t="s">
        <v>100</v>
      </c>
      <c r="S1655" s="8" t="s">
        <v>28</v>
      </c>
      <c r="T1655" s="68" t="s">
        <v>29500</v>
      </c>
      <c r="U1655" s="68" t="s">
        <v>29436</v>
      </c>
      <c r="V1655" s="68" t="s">
        <v>29439</v>
      </c>
      <c r="W1655" s="68" t="s">
        <v>100</v>
      </c>
      <c r="X1655" s="68">
        <v>1261</v>
      </c>
      <c r="Y1655" s="11"/>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
      <c r="AX1655" s="1"/>
      <c r="AY1655" s="1"/>
      <c r="AZ1655" s="11"/>
      <c r="BC1655" s="1"/>
      <c r="BD1655" s="1"/>
      <c r="BE1655" s="1"/>
      <c r="BF1655" s="1"/>
      <c r="BG1655" s="1"/>
      <c r="BH1655" s="1"/>
      <c r="BI1655" s="1"/>
      <c r="BJ1655" s="1"/>
    </row>
    <row r="1656" spans="1:63" s="44" customFormat="1" ht="12" customHeight="1" x14ac:dyDescent="0.15">
      <c r="A1656" s="11" t="s">
        <v>21590</v>
      </c>
      <c r="B1656" s="68">
        <v>30</v>
      </c>
      <c r="C1656" s="11" t="s">
        <v>20</v>
      </c>
      <c r="D1656" s="11" t="s">
        <v>85</v>
      </c>
      <c r="E1656" s="11"/>
      <c r="F1656" s="69">
        <v>42411</v>
      </c>
      <c r="G1656" s="11" t="s">
        <v>21591</v>
      </c>
      <c r="H1656" s="8" t="s">
        <v>1287</v>
      </c>
      <c r="I1656" s="11" t="s">
        <v>69</v>
      </c>
      <c r="J1656" s="47" t="s">
        <v>5030</v>
      </c>
      <c r="K1656" s="8" t="s">
        <v>1288</v>
      </c>
      <c r="L1656" s="8" t="s">
        <v>12562</v>
      </c>
      <c r="M1656" s="8" t="s">
        <v>27</v>
      </c>
      <c r="N1656" s="8" t="s">
        <v>23156</v>
      </c>
      <c r="O1656" s="8" t="s">
        <v>400</v>
      </c>
      <c r="P1656" s="11" t="s">
        <v>401</v>
      </c>
      <c r="Q1656" s="14" t="s">
        <v>21592</v>
      </c>
      <c r="R1656" s="8" t="s">
        <v>29</v>
      </c>
      <c r="S1656" s="8" t="s">
        <v>28</v>
      </c>
      <c r="T1656" s="68" t="s">
        <v>29459</v>
      </c>
      <c r="U1656" s="68" t="s">
        <v>29438</v>
      </c>
      <c r="V1656" s="68" t="s">
        <v>29437</v>
      </c>
      <c r="W1656" s="68" t="s">
        <v>100</v>
      </c>
      <c r="X1656" s="68">
        <v>1263</v>
      </c>
      <c r="Y1656" s="11"/>
      <c r="Z1656" s="11"/>
      <c r="AA1656" s="11"/>
      <c r="AB1656" s="11"/>
      <c r="AC1656" s="11"/>
      <c r="AD1656" s="11"/>
      <c r="AE1656" s="11"/>
      <c r="AF1656" s="11"/>
      <c r="AG1656" s="11"/>
      <c r="AJ1656" s="11"/>
      <c r="AK1656" s="11"/>
      <c r="AL1656" s="11"/>
      <c r="AM1656" s="11"/>
      <c r="AN1656" s="11"/>
      <c r="AO1656" s="11"/>
      <c r="AP1656" s="11"/>
      <c r="AQ1656" s="11"/>
      <c r="AR1656" s="11"/>
      <c r="AS1656" s="11"/>
      <c r="AT1656" s="11"/>
      <c r="AU1656" s="11"/>
      <c r="AV1656" s="11"/>
      <c r="AW1656" s="11"/>
      <c r="AX1656" s="11"/>
      <c r="AY1656" s="11"/>
      <c r="AZ1656" s="11"/>
      <c r="BA1656" s="1"/>
      <c r="BB1656" s="1"/>
      <c r="BC1656" s="11"/>
      <c r="BD1656" s="11"/>
      <c r="BE1656" s="11"/>
      <c r="BF1656" s="11"/>
      <c r="BG1656" s="11"/>
      <c r="BH1656" s="11"/>
      <c r="BI1656" s="11"/>
      <c r="BJ1656" s="11"/>
      <c r="BK1656" s="11"/>
    </row>
    <row r="1657" spans="1:63" s="44" customFormat="1" ht="12" customHeight="1" x14ac:dyDescent="0.15">
      <c r="A1657" s="11" t="s">
        <v>22497</v>
      </c>
      <c r="B1657" s="68">
        <v>35</v>
      </c>
      <c r="C1657" s="11" t="s">
        <v>20</v>
      </c>
      <c r="D1657" s="11" t="s">
        <v>37</v>
      </c>
      <c r="E1657" s="60" t="s">
        <v>22498</v>
      </c>
      <c r="F1657" s="69">
        <v>42411</v>
      </c>
      <c r="G1657" s="11" t="s">
        <v>22499</v>
      </c>
      <c r="H1657" s="8" t="s">
        <v>22500</v>
      </c>
      <c r="I1657" s="11" t="s">
        <v>366</v>
      </c>
      <c r="J1657" s="17" t="s">
        <v>22501</v>
      </c>
      <c r="K1657" s="8" t="s">
        <v>9441</v>
      </c>
      <c r="L1657" s="8" t="s">
        <v>22502</v>
      </c>
      <c r="M1657" s="8" t="s">
        <v>27</v>
      </c>
      <c r="N1657" s="8" t="s">
        <v>22503</v>
      </c>
      <c r="O1657" s="8" t="s">
        <v>400</v>
      </c>
      <c r="P1657" s="11" t="s">
        <v>401</v>
      </c>
      <c r="Q1657" s="14" t="s">
        <v>22504</v>
      </c>
      <c r="R1657" s="8" t="s">
        <v>555</v>
      </c>
      <c r="S1657" s="8" t="s">
        <v>28</v>
      </c>
      <c r="T1657" s="68" t="s">
        <v>29493</v>
      </c>
      <c r="U1657" s="68" t="s">
        <v>29436</v>
      </c>
      <c r="V1657" s="68" t="s">
        <v>29439</v>
      </c>
      <c r="W1657" s="68" t="s">
        <v>100</v>
      </c>
      <c r="X1657" s="68">
        <v>1258</v>
      </c>
      <c r="Y1657" s="11"/>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
      <c r="AY1657" s="1"/>
      <c r="AZ1657" s="11"/>
      <c r="BA1657" s="11"/>
      <c r="BC1657" s="1"/>
      <c r="BD1657" s="1"/>
      <c r="BE1657" s="1"/>
      <c r="BF1657" s="1"/>
      <c r="BG1657" s="1"/>
      <c r="BH1657" s="1"/>
      <c r="BI1657" s="1"/>
      <c r="BJ1657" s="1"/>
    </row>
    <row r="1658" spans="1:63" s="44" customFormat="1" ht="12" customHeight="1" x14ac:dyDescent="0.15">
      <c r="A1658" s="11" t="s">
        <v>22043</v>
      </c>
      <c r="B1658" s="68">
        <v>67</v>
      </c>
      <c r="C1658" s="11" t="s">
        <v>20</v>
      </c>
      <c r="D1658" s="11" t="s">
        <v>37</v>
      </c>
      <c r="E1658" s="11"/>
      <c r="F1658" s="69">
        <v>42410</v>
      </c>
      <c r="G1658" s="11" t="s">
        <v>22044</v>
      </c>
      <c r="H1658" s="8" t="s">
        <v>22045</v>
      </c>
      <c r="I1658" s="11" t="s">
        <v>52</v>
      </c>
      <c r="J1658" s="17" t="s">
        <v>22046</v>
      </c>
      <c r="K1658" s="8" t="s">
        <v>9724</v>
      </c>
      <c r="L1658" s="8" t="s">
        <v>14714</v>
      </c>
      <c r="M1658" s="8" t="s">
        <v>27</v>
      </c>
      <c r="N1658" s="8" t="s">
        <v>22047</v>
      </c>
      <c r="O1658" s="8" t="s">
        <v>400</v>
      </c>
      <c r="P1658" s="11" t="s">
        <v>401</v>
      </c>
      <c r="Q1658" s="14" t="s">
        <v>22048</v>
      </c>
      <c r="R1658" s="8" t="s">
        <v>100</v>
      </c>
      <c r="S1658" s="8" t="s">
        <v>28</v>
      </c>
      <c r="T1658" s="68" t="s">
        <v>27756</v>
      </c>
      <c r="U1658" s="68" t="s">
        <v>29438</v>
      </c>
      <c r="V1658" s="68" t="s">
        <v>29439</v>
      </c>
      <c r="W1658" s="68" t="s">
        <v>100</v>
      </c>
      <c r="X1658" s="68">
        <v>1254</v>
      </c>
      <c r="Y1658" s="11"/>
      <c r="Z1658" s="11"/>
      <c r="AA1658" s="11"/>
      <c r="AB1658" s="11"/>
      <c r="AC1658" s="11"/>
      <c r="AD1658" s="11"/>
      <c r="AE1658" s="11"/>
      <c r="AF1658" s="11"/>
      <c r="AG1658" s="11"/>
      <c r="AH1658" s="11"/>
      <c r="AI1658" s="11"/>
      <c r="AJ1658" s="11"/>
      <c r="AK1658" s="11"/>
      <c r="AL1658" s="11"/>
      <c r="AM1658" s="11"/>
      <c r="AN1658" s="11"/>
      <c r="AO1658" s="11"/>
      <c r="AP1658" s="11"/>
      <c r="AQ1658" s="11"/>
      <c r="AR1658" s="11"/>
      <c r="AS1658" s="11"/>
      <c r="AT1658" s="11"/>
      <c r="AU1658" s="11"/>
      <c r="AV1658" s="11"/>
      <c r="AW1658" s="1"/>
      <c r="AX1658" s="1"/>
      <c r="AY1658" s="1"/>
      <c r="AZ1658" s="11"/>
      <c r="BC1658" s="1"/>
      <c r="BD1658" s="1"/>
      <c r="BE1658" s="1"/>
      <c r="BF1658" s="1"/>
      <c r="BG1658" s="1"/>
      <c r="BH1658" s="1"/>
      <c r="BI1658" s="1"/>
      <c r="BJ1658" s="1"/>
    </row>
    <row r="1659" spans="1:63" s="44" customFormat="1" ht="12" customHeight="1" x14ac:dyDescent="0.15">
      <c r="A1659" s="11" t="s">
        <v>21804</v>
      </c>
      <c r="B1659" s="68">
        <v>36</v>
      </c>
      <c r="C1659" s="11" t="s">
        <v>20</v>
      </c>
      <c r="D1659" s="11" t="s">
        <v>139</v>
      </c>
      <c r="E1659" s="11"/>
      <c r="F1659" s="69">
        <v>42410</v>
      </c>
      <c r="G1659" s="11" t="s">
        <v>21805</v>
      </c>
      <c r="H1659" s="8" t="s">
        <v>21806</v>
      </c>
      <c r="I1659" s="11" t="s">
        <v>330</v>
      </c>
      <c r="J1659" s="17" t="s">
        <v>21807</v>
      </c>
      <c r="K1659" s="8" t="s">
        <v>21808</v>
      </c>
      <c r="L1659" s="8" t="s">
        <v>21809</v>
      </c>
      <c r="M1659" s="8" t="s">
        <v>27</v>
      </c>
      <c r="N1659" s="8" t="s">
        <v>23099</v>
      </c>
      <c r="O1659" s="8" t="s">
        <v>400</v>
      </c>
      <c r="P1659" s="11" t="s">
        <v>401</v>
      </c>
      <c r="Q1659" s="14" t="s">
        <v>21810</v>
      </c>
      <c r="R1659" s="8" t="s">
        <v>29</v>
      </c>
      <c r="S1659" s="8" t="s">
        <v>28</v>
      </c>
      <c r="T1659" s="68" t="s">
        <v>27756</v>
      </c>
      <c r="U1659" s="68" t="s">
        <v>29438</v>
      </c>
      <c r="V1659" s="68" t="s">
        <v>29439</v>
      </c>
      <c r="W1659" s="68" t="s">
        <v>100</v>
      </c>
      <c r="X1659" s="68">
        <v>1255</v>
      </c>
      <c r="Y1659" s="11"/>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X1659" s="1"/>
      <c r="AY1659" s="1"/>
      <c r="AZ1659" s="11"/>
      <c r="BA1659" s="1"/>
      <c r="BB1659" s="1"/>
      <c r="BC1659" s="1"/>
      <c r="BD1659" s="1"/>
      <c r="BE1659" s="1"/>
      <c r="BF1659" s="1"/>
      <c r="BG1659" s="1"/>
      <c r="BH1659" s="1"/>
      <c r="BI1659" s="1"/>
      <c r="BJ1659" s="1"/>
    </row>
    <row r="1660" spans="1:63" s="44" customFormat="1" ht="12" customHeight="1" x14ac:dyDescent="0.15">
      <c r="A1660" s="11" t="s">
        <v>22305</v>
      </c>
      <c r="B1660" s="68">
        <v>41</v>
      </c>
      <c r="C1660" s="11" t="s">
        <v>20</v>
      </c>
      <c r="D1660" s="11" t="s">
        <v>37</v>
      </c>
      <c r="E1660" s="11" t="s">
        <v>22306</v>
      </c>
      <c r="F1660" s="69">
        <v>42410</v>
      </c>
      <c r="G1660" s="11" t="s">
        <v>22307</v>
      </c>
      <c r="H1660" s="8" t="s">
        <v>890</v>
      </c>
      <c r="I1660" s="11" t="s">
        <v>315</v>
      </c>
      <c r="J1660" s="17" t="s">
        <v>10806</v>
      </c>
      <c r="K1660" s="8" t="s">
        <v>1778</v>
      </c>
      <c r="L1660" s="8" t="s">
        <v>5634</v>
      </c>
      <c r="M1660" s="8" t="s">
        <v>27</v>
      </c>
      <c r="N1660" s="8" t="s">
        <v>22308</v>
      </c>
      <c r="O1660" s="8" t="s">
        <v>400</v>
      </c>
      <c r="P1660" s="11" t="s">
        <v>401</v>
      </c>
      <c r="Q1660" s="14" t="s">
        <v>22309</v>
      </c>
      <c r="R1660" s="8" t="s">
        <v>29</v>
      </c>
      <c r="S1660" s="8" t="s">
        <v>28</v>
      </c>
      <c r="T1660" s="68" t="s">
        <v>27756</v>
      </c>
      <c r="U1660" s="68" t="s">
        <v>29438</v>
      </c>
      <c r="V1660" s="68" t="s">
        <v>29439</v>
      </c>
      <c r="W1660" s="68" t="s">
        <v>100</v>
      </c>
      <c r="X1660" s="68">
        <v>1253</v>
      </c>
      <c r="Y1660" s="11"/>
      <c r="Z1660" s="11"/>
      <c r="AA1660" s="11"/>
      <c r="AB1660" s="11"/>
      <c r="AC1660" s="11"/>
      <c r="AD1660" s="11"/>
      <c r="AE1660" s="11"/>
      <c r="AF1660" s="11"/>
      <c r="AG1660" s="11"/>
      <c r="AH1660" s="11"/>
      <c r="AI1660" s="11"/>
      <c r="AJ1660" s="11"/>
      <c r="AK1660" s="11"/>
      <c r="AL1660" s="11"/>
      <c r="AM1660" s="11"/>
      <c r="AN1660" s="11"/>
      <c r="AO1660" s="11"/>
      <c r="AP1660" s="11"/>
      <c r="AQ1660" s="11"/>
      <c r="AR1660" s="11"/>
      <c r="AS1660" s="11"/>
      <c r="AT1660" s="11"/>
      <c r="AU1660" s="11"/>
      <c r="AV1660" s="11"/>
      <c r="AW1660" s="1"/>
      <c r="AX1660" s="1"/>
      <c r="AY1660" s="1"/>
      <c r="AZ1660" s="11"/>
      <c r="BA1660" s="1"/>
      <c r="BB1660" s="1"/>
      <c r="BC1660" s="1"/>
      <c r="BD1660" s="1"/>
      <c r="BE1660" s="1"/>
      <c r="BF1660" s="1"/>
      <c r="BG1660" s="1"/>
      <c r="BH1660" s="1"/>
      <c r="BI1660" s="1"/>
      <c r="BJ1660" s="1"/>
    </row>
    <row r="1661" spans="1:63" s="44" customFormat="1" ht="12" customHeight="1" x14ac:dyDescent="0.15">
      <c r="A1661" s="11" t="s">
        <v>21901</v>
      </c>
      <c r="B1661" s="68">
        <v>56</v>
      </c>
      <c r="C1661" s="11" t="s">
        <v>20</v>
      </c>
      <c r="D1661" s="44" t="s">
        <v>30</v>
      </c>
      <c r="E1661" s="11"/>
      <c r="F1661" s="69">
        <v>42410</v>
      </c>
      <c r="G1661" s="11" t="s">
        <v>21902</v>
      </c>
      <c r="H1661" s="8" t="s">
        <v>21903</v>
      </c>
      <c r="I1661" s="11" t="s">
        <v>73</v>
      </c>
      <c r="J1661" s="17" t="s">
        <v>21904</v>
      </c>
      <c r="K1661" s="8" t="s">
        <v>1277</v>
      </c>
      <c r="L1661" s="8" t="s">
        <v>21905</v>
      </c>
      <c r="M1661" s="8" t="s">
        <v>27</v>
      </c>
      <c r="N1661" s="8" t="s">
        <v>21906</v>
      </c>
      <c r="O1661" s="8" t="s">
        <v>400</v>
      </c>
      <c r="P1661" s="11" t="s">
        <v>401</v>
      </c>
      <c r="Q1661" s="14" t="s">
        <v>21907</v>
      </c>
      <c r="R1661" s="8" t="s">
        <v>555</v>
      </c>
      <c r="S1661" s="8" t="s">
        <v>28</v>
      </c>
      <c r="T1661" s="68" t="s">
        <v>27756</v>
      </c>
      <c r="U1661" s="68" t="s">
        <v>29438</v>
      </c>
      <c r="V1661" s="68" t="s">
        <v>29439</v>
      </c>
      <c r="W1661" s="68" t="s">
        <v>100</v>
      </c>
      <c r="X1661" s="68">
        <v>1260</v>
      </c>
      <c r="Y1661" s="11"/>
      <c r="Z1661" s="11"/>
      <c r="AA1661" s="11"/>
      <c r="AB1661" s="11"/>
      <c r="AC1661" s="11"/>
      <c r="AD1661" s="11"/>
      <c r="AE1661" s="11"/>
      <c r="AF1661" s="11"/>
      <c r="AG1661" s="11"/>
      <c r="AJ1661" s="11"/>
      <c r="AK1661" s="11"/>
      <c r="AL1661" s="11"/>
      <c r="AM1661" s="11"/>
      <c r="AN1661" s="11"/>
      <c r="AO1661" s="11"/>
      <c r="AP1661" s="11"/>
      <c r="AQ1661" s="11"/>
      <c r="AR1661" s="11"/>
      <c r="AS1661" s="11"/>
      <c r="AT1661" s="11"/>
      <c r="AU1661" s="11"/>
      <c r="AV1661" s="11"/>
      <c r="AW1661" s="1"/>
      <c r="AX1661" s="1"/>
      <c r="AY1661" s="1"/>
      <c r="AZ1661" s="11"/>
      <c r="BA1661" s="11"/>
      <c r="BC1661" s="1"/>
      <c r="BD1661" s="1"/>
      <c r="BE1661" s="1"/>
      <c r="BF1661" s="1"/>
      <c r="BG1661" s="1"/>
      <c r="BH1661" s="1"/>
      <c r="BI1661" s="1"/>
      <c r="BJ1661" s="1"/>
    </row>
    <row r="1662" spans="1:63" ht="12" customHeight="1" x14ac:dyDescent="0.15">
      <c r="A1662" s="11" t="s">
        <v>22551</v>
      </c>
      <c r="B1662" s="68">
        <v>52</v>
      </c>
      <c r="C1662" s="11" t="s">
        <v>20</v>
      </c>
      <c r="D1662" s="11" t="s">
        <v>37</v>
      </c>
      <c r="E1662" s="60" t="s">
        <v>22552</v>
      </c>
      <c r="F1662" s="69">
        <v>42410</v>
      </c>
      <c r="G1662" s="11" t="s">
        <v>22553</v>
      </c>
      <c r="H1662" s="8" t="s">
        <v>22554</v>
      </c>
      <c r="I1662" s="11" t="s">
        <v>133</v>
      </c>
      <c r="J1662" s="17" t="s">
        <v>22555</v>
      </c>
      <c r="K1662" s="8" t="s">
        <v>3594</v>
      </c>
      <c r="L1662" s="8" t="s">
        <v>22556</v>
      </c>
      <c r="M1662" s="8" t="s">
        <v>27</v>
      </c>
      <c r="N1662" s="8" t="s">
        <v>22557</v>
      </c>
      <c r="O1662" s="8" t="s">
        <v>1010</v>
      </c>
      <c r="P1662" s="11" t="s">
        <v>401</v>
      </c>
      <c r="Q1662" s="14" t="s">
        <v>22558</v>
      </c>
      <c r="R1662" s="8" t="s">
        <v>555</v>
      </c>
      <c r="S1662" s="8" t="s">
        <v>28</v>
      </c>
      <c r="T1662" s="68" t="s">
        <v>29493</v>
      </c>
      <c r="U1662" s="68" t="s">
        <v>29438</v>
      </c>
      <c r="V1662" s="68" t="s">
        <v>29439</v>
      </c>
      <c r="W1662" s="68" t="s">
        <v>555</v>
      </c>
      <c r="X1662" s="68">
        <v>1257</v>
      </c>
      <c r="Y1662" s="11"/>
      <c r="Z1662" s="11"/>
      <c r="AA1662" s="11"/>
      <c r="AB1662" s="11"/>
      <c r="AC1662" s="11"/>
      <c r="AD1662" s="11"/>
      <c r="AE1662" s="11"/>
      <c r="AF1662" s="11"/>
      <c r="AG1662" s="11"/>
      <c r="AH1662" s="11"/>
      <c r="AI1662" s="11"/>
      <c r="AJ1662" s="11"/>
      <c r="AK1662" s="11"/>
      <c r="AL1662" s="11"/>
      <c r="AM1662" s="11"/>
      <c r="AN1662" s="11"/>
      <c r="AO1662" s="11"/>
      <c r="AP1662" s="11"/>
      <c r="AQ1662" s="11"/>
      <c r="AR1662" s="11"/>
      <c r="AS1662" s="11"/>
      <c r="AT1662" s="11"/>
      <c r="AU1662" s="11"/>
      <c r="AV1662" s="11"/>
      <c r="AZ1662" s="11"/>
      <c r="BA1662" s="11"/>
      <c r="BB1662" s="44"/>
      <c r="BK1662" s="44"/>
    </row>
    <row r="1663" spans="1:63" ht="12" customHeight="1" x14ac:dyDescent="0.15">
      <c r="A1663" s="11" t="s">
        <v>21856</v>
      </c>
      <c r="B1663" s="68">
        <v>29</v>
      </c>
      <c r="C1663" s="11" t="s">
        <v>20</v>
      </c>
      <c r="D1663" s="11" t="s">
        <v>942</v>
      </c>
      <c r="E1663" s="11" t="s">
        <v>21857</v>
      </c>
      <c r="F1663" s="69">
        <v>42409</v>
      </c>
      <c r="G1663" s="11" t="s">
        <v>21858</v>
      </c>
      <c r="H1663" s="8" t="s">
        <v>21859</v>
      </c>
      <c r="I1663" s="11" t="s">
        <v>870</v>
      </c>
      <c r="J1663" s="17" t="s">
        <v>21860</v>
      </c>
      <c r="K1663" s="8" t="s">
        <v>3943</v>
      </c>
      <c r="L1663" s="8" t="s">
        <v>3944</v>
      </c>
      <c r="M1663" s="8" t="s">
        <v>27</v>
      </c>
      <c r="N1663" s="8" t="s">
        <v>21861</v>
      </c>
      <c r="O1663" s="8" t="s">
        <v>400</v>
      </c>
      <c r="P1663" s="11" t="s">
        <v>401</v>
      </c>
      <c r="Q1663" s="14" t="s">
        <v>21862</v>
      </c>
      <c r="R1663" s="8" t="s">
        <v>100</v>
      </c>
      <c r="S1663" s="8" t="s">
        <v>28</v>
      </c>
      <c r="T1663" s="68" t="s">
        <v>27756</v>
      </c>
      <c r="U1663" s="68" t="s">
        <v>29438</v>
      </c>
      <c r="V1663" s="68" t="s">
        <v>29439</v>
      </c>
      <c r="W1663" s="68" t="s">
        <v>100</v>
      </c>
      <c r="X1663" s="68">
        <v>1256</v>
      </c>
      <c r="Y1663" s="11"/>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44"/>
      <c r="AV1663" s="44"/>
      <c r="AW1663" s="44"/>
      <c r="AZ1663" s="11"/>
      <c r="BA1663" s="44"/>
      <c r="BB1663" s="44"/>
      <c r="BK1663" s="44"/>
    </row>
    <row r="1664" spans="1:63" ht="12" customHeight="1" x14ac:dyDescent="0.15">
      <c r="A1664" s="11" t="s">
        <v>21690</v>
      </c>
      <c r="B1664" s="68">
        <v>22</v>
      </c>
      <c r="C1664" s="11" t="s">
        <v>20</v>
      </c>
      <c r="D1664" s="11" t="s">
        <v>48</v>
      </c>
      <c r="E1664" s="11"/>
      <c r="F1664" s="69">
        <v>42409</v>
      </c>
      <c r="G1664" s="11" t="s">
        <v>21691</v>
      </c>
      <c r="H1664" s="8" t="s">
        <v>1879</v>
      </c>
      <c r="I1664" s="11" t="s">
        <v>45</v>
      </c>
      <c r="J1664" s="17" t="s">
        <v>1880</v>
      </c>
      <c r="K1664" s="8" t="s">
        <v>1061</v>
      </c>
      <c r="L1664" s="8" t="s">
        <v>1881</v>
      </c>
      <c r="M1664" s="8" t="s">
        <v>27</v>
      </c>
      <c r="N1664" s="8" t="s">
        <v>21692</v>
      </c>
      <c r="O1664" s="8" t="s">
        <v>400</v>
      </c>
      <c r="P1664" s="11" t="s">
        <v>401</v>
      </c>
      <c r="Q1664" s="14" t="s">
        <v>21693</v>
      </c>
      <c r="R1664" s="8" t="s">
        <v>100</v>
      </c>
      <c r="S1664" s="8" t="s">
        <v>18</v>
      </c>
      <c r="T1664" s="68" t="s">
        <v>28345</v>
      </c>
      <c r="U1664" s="68" t="s">
        <v>29441</v>
      </c>
      <c r="V1664" s="68" t="s">
        <v>29439</v>
      </c>
      <c r="W1664" s="68" t="s">
        <v>555</v>
      </c>
      <c r="X1664" s="68">
        <v>1251</v>
      </c>
      <c r="Y1664" s="11"/>
      <c r="Z1664" s="11"/>
      <c r="AA1664" s="11"/>
      <c r="AB1664" s="11"/>
      <c r="AC1664" s="11"/>
      <c r="AD1664" s="11"/>
      <c r="AE1664" s="11"/>
      <c r="AF1664" s="11"/>
      <c r="AG1664" s="11"/>
      <c r="AH1664" s="11"/>
      <c r="AI1664" s="11"/>
      <c r="AJ1664" s="11"/>
      <c r="AK1664" s="11"/>
      <c r="AL1664" s="11"/>
      <c r="AM1664" s="11"/>
      <c r="AN1664" s="11"/>
      <c r="AO1664" s="11"/>
      <c r="AP1664" s="11"/>
      <c r="AQ1664" s="11"/>
      <c r="AR1664" s="11"/>
      <c r="AS1664" s="11"/>
      <c r="AT1664" s="11"/>
      <c r="AU1664" s="44"/>
      <c r="AV1664" s="44"/>
      <c r="AW1664" s="44"/>
      <c r="AZ1664" s="11"/>
      <c r="BA1664" s="44"/>
      <c r="BB1664" s="44"/>
    </row>
    <row r="1665" spans="1:63" ht="12" customHeight="1" x14ac:dyDescent="0.15">
      <c r="A1665" s="11" t="s">
        <v>22626</v>
      </c>
      <c r="B1665" s="11">
        <v>44</v>
      </c>
      <c r="C1665" s="11" t="s">
        <v>114</v>
      </c>
      <c r="D1665" s="11" t="s">
        <v>37</v>
      </c>
      <c r="E1665" s="60" t="s">
        <v>22627</v>
      </c>
      <c r="F1665" s="72">
        <v>42409</v>
      </c>
      <c r="G1665" s="11" t="s">
        <v>22620</v>
      </c>
      <c r="H1665" s="8" t="s">
        <v>22621</v>
      </c>
      <c r="I1665" s="11" t="s">
        <v>423</v>
      </c>
      <c r="J1665" s="17" t="s">
        <v>22622</v>
      </c>
      <c r="K1665" s="8" t="s">
        <v>3109</v>
      </c>
      <c r="L1665" s="8" t="s">
        <v>22623</v>
      </c>
      <c r="M1665" s="8" t="s">
        <v>27</v>
      </c>
      <c r="N1665" s="8" t="s">
        <v>22624</v>
      </c>
      <c r="O1665" s="8" t="s">
        <v>613</v>
      </c>
      <c r="P1665" s="11" t="s">
        <v>401</v>
      </c>
      <c r="Q1665" s="14" t="s">
        <v>22625</v>
      </c>
      <c r="R1665" s="8" t="s">
        <v>555</v>
      </c>
      <c r="S1665" s="8" t="s">
        <v>18</v>
      </c>
      <c r="T1665" s="68"/>
      <c r="U1665" s="68"/>
      <c r="V1665" s="68"/>
      <c r="W1665" s="68"/>
      <c r="X1665" s="68"/>
      <c r="Y1665" s="11"/>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44"/>
      <c r="AV1665" s="44"/>
      <c r="BA1665" s="11"/>
      <c r="BB1665" s="11"/>
    </row>
    <row r="1666" spans="1:63" ht="12" customHeight="1" x14ac:dyDescent="0.15">
      <c r="A1666" s="11" t="s">
        <v>22618</v>
      </c>
      <c r="B1666" s="11">
        <v>10</v>
      </c>
      <c r="C1666" s="11" t="s">
        <v>20</v>
      </c>
      <c r="D1666" s="11" t="s">
        <v>37</v>
      </c>
      <c r="E1666" s="60" t="s">
        <v>22619</v>
      </c>
      <c r="F1666" s="72">
        <v>42409</v>
      </c>
      <c r="G1666" s="11" t="s">
        <v>22620</v>
      </c>
      <c r="H1666" s="8" t="s">
        <v>22621</v>
      </c>
      <c r="I1666" s="11" t="s">
        <v>423</v>
      </c>
      <c r="J1666" s="17" t="s">
        <v>22622</v>
      </c>
      <c r="K1666" s="8" t="s">
        <v>3109</v>
      </c>
      <c r="L1666" s="8" t="s">
        <v>22623</v>
      </c>
      <c r="M1666" s="8" t="s">
        <v>27</v>
      </c>
      <c r="N1666" s="8" t="s">
        <v>22624</v>
      </c>
      <c r="O1666" s="8" t="s">
        <v>613</v>
      </c>
      <c r="P1666" s="11" t="s">
        <v>401</v>
      </c>
      <c r="Q1666" s="14" t="s">
        <v>22625</v>
      </c>
      <c r="R1666" s="8" t="s">
        <v>555</v>
      </c>
      <c r="S1666" s="8" t="s">
        <v>18</v>
      </c>
      <c r="T1666" s="68"/>
      <c r="U1666" s="68"/>
      <c r="V1666" s="68"/>
      <c r="W1666" s="68"/>
      <c r="X1666" s="68"/>
      <c r="Y1666" s="11"/>
      <c r="Z1666" s="11"/>
      <c r="AA1666" s="11"/>
      <c r="AB1666" s="11"/>
      <c r="AC1666" s="11"/>
      <c r="AD1666" s="11"/>
      <c r="AE1666" s="11"/>
      <c r="AF1666" s="11"/>
      <c r="AG1666" s="11"/>
      <c r="AH1666" s="11"/>
      <c r="AI1666" s="11"/>
      <c r="AJ1666" s="11"/>
      <c r="AK1666" s="11"/>
      <c r="AL1666" s="11"/>
      <c r="AM1666" s="11"/>
      <c r="AN1666" s="11"/>
      <c r="AO1666" s="11"/>
      <c r="AP1666" s="11"/>
      <c r="AQ1666" s="11"/>
      <c r="AR1666" s="11"/>
      <c r="AS1666" s="11"/>
      <c r="AT1666" s="11"/>
      <c r="AU1666" s="44"/>
      <c r="AV1666" s="44"/>
      <c r="BA1666" s="11"/>
      <c r="BB1666" s="11"/>
    </row>
    <row r="1667" spans="1:63" ht="12" customHeight="1" x14ac:dyDescent="0.15">
      <c r="A1667" s="11" t="s">
        <v>21450</v>
      </c>
      <c r="B1667" s="68">
        <v>33</v>
      </c>
      <c r="C1667" s="11" t="s">
        <v>20</v>
      </c>
      <c r="D1667" s="11" t="s">
        <v>85</v>
      </c>
      <c r="E1667" s="11" t="s">
        <v>21451</v>
      </c>
      <c r="F1667" s="69">
        <v>42408</v>
      </c>
      <c r="G1667" s="11" t="s">
        <v>21452</v>
      </c>
      <c r="H1667" s="8" t="s">
        <v>403</v>
      </c>
      <c r="I1667" s="11" t="s">
        <v>404</v>
      </c>
      <c r="J1667" s="47" t="s">
        <v>1960</v>
      </c>
      <c r="K1667" s="8" t="s">
        <v>906</v>
      </c>
      <c r="L1667" s="8" t="s">
        <v>21453</v>
      </c>
      <c r="M1667" s="8" t="s">
        <v>27</v>
      </c>
      <c r="N1667" s="8" t="s">
        <v>21454</v>
      </c>
      <c r="O1667" s="8" t="s">
        <v>400</v>
      </c>
      <c r="P1667" s="11" t="s">
        <v>401</v>
      </c>
      <c r="Q1667" s="14" t="s">
        <v>21455</v>
      </c>
      <c r="R1667" s="8" t="s">
        <v>100</v>
      </c>
      <c r="S1667" s="8" t="s">
        <v>28</v>
      </c>
      <c r="T1667" s="68" t="s">
        <v>27756</v>
      </c>
      <c r="U1667" s="68" t="s">
        <v>29438</v>
      </c>
      <c r="V1667" s="68" t="s">
        <v>29437</v>
      </c>
      <c r="W1667" s="68" t="s">
        <v>100</v>
      </c>
      <c r="X1667" s="68">
        <v>1245</v>
      </c>
      <c r="Y1667" s="11"/>
      <c r="Z1667" s="11"/>
      <c r="AA1667" s="11"/>
      <c r="AB1667" s="11"/>
      <c r="AC1667" s="11"/>
      <c r="AD1667" s="11"/>
      <c r="AE1667" s="11"/>
      <c r="AF1667" s="11"/>
      <c r="AG1667" s="11"/>
      <c r="AH1667" s="44"/>
      <c r="AI1667" s="44"/>
      <c r="AJ1667" s="44"/>
      <c r="AK1667" s="44"/>
      <c r="AL1667" s="44"/>
      <c r="AM1667" s="44"/>
      <c r="AN1667" s="44"/>
      <c r="AO1667" s="44"/>
      <c r="AP1667" s="44"/>
      <c r="AQ1667" s="44"/>
      <c r="AR1667" s="44"/>
      <c r="AS1667" s="44"/>
      <c r="AT1667" s="44"/>
      <c r="AU1667" s="44"/>
      <c r="AV1667" s="44"/>
      <c r="AW1667" s="11"/>
      <c r="AX1667" s="11"/>
      <c r="AY1667" s="11"/>
      <c r="AZ1667" s="11"/>
      <c r="BA1667" s="44"/>
      <c r="BB1667" s="44"/>
      <c r="BC1667" s="11"/>
      <c r="BD1667" s="11"/>
      <c r="BE1667" s="11"/>
      <c r="BF1667" s="11"/>
      <c r="BG1667" s="11"/>
      <c r="BH1667" s="11"/>
      <c r="BI1667" s="11"/>
      <c r="BJ1667" s="11"/>
      <c r="BK1667" s="44"/>
    </row>
    <row r="1668" spans="1:63" ht="12" customHeight="1" x14ac:dyDescent="0.15">
      <c r="A1668" s="11" t="s">
        <v>9130</v>
      </c>
      <c r="B1668" s="68">
        <v>22</v>
      </c>
      <c r="C1668" s="11" t="s">
        <v>20</v>
      </c>
      <c r="D1668" s="11" t="s">
        <v>85</v>
      </c>
      <c r="E1668" s="11" t="s">
        <v>21562</v>
      </c>
      <c r="F1668" s="69">
        <v>42408</v>
      </c>
      <c r="G1668" s="11" t="s">
        <v>21563</v>
      </c>
      <c r="H1668" s="8" t="s">
        <v>1039</v>
      </c>
      <c r="I1668" s="11" t="s">
        <v>25</v>
      </c>
      <c r="J1668" s="47" t="s">
        <v>5043</v>
      </c>
      <c r="K1668" s="8" t="s">
        <v>2579</v>
      </c>
      <c r="L1668" s="8" t="s">
        <v>2425</v>
      </c>
      <c r="M1668" s="8" t="s">
        <v>27</v>
      </c>
      <c r="N1668" s="8" t="s">
        <v>21564</v>
      </c>
      <c r="O1668" s="8" t="s">
        <v>400</v>
      </c>
      <c r="P1668" s="11" t="s">
        <v>401</v>
      </c>
      <c r="Q1668" s="14" t="s">
        <v>21565</v>
      </c>
      <c r="R1668" s="8" t="s">
        <v>100</v>
      </c>
      <c r="S1668" s="8" t="s">
        <v>379</v>
      </c>
      <c r="T1668" s="68" t="s">
        <v>379</v>
      </c>
      <c r="U1668" s="68" t="s">
        <v>29436</v>
      </c>
      <c r="V1668" s="68" t="s">
        <v>29437</v>
      </c>
      <c r="W1668" s="68" t="s">
        <v>100</v>
      </c>
      <c r="X1668" s="68">
        <v>1252</v>
      </c>
      <c r="Y1668" s="11"/>
      <c r="Z1668" s="11"/>
      <c r="AA1668" s="11"/>
      <c r="AB1668" s="11"/>
      <c r="AC1668" s="11"/>
      <c r="AD1668" s="11"/>
      <c r="AE1668" s="11"/>
      <c r="AF1668" s="11"/>
      <c r="AG1668" s="11"/>
      <c r="AH1668" s="44"/>
      <c r="AI1668" s="44"/>
      <c r="AJ1668" s="44"/>
      <c r="AK1668" s="44"/>
      <c r="AL1668" s="44"/>
      <c r="AM1668" s="44"/>
      <c r="AN1668" s="44"/>
      <c r="AO1668" s="44"/>
      <c r="AP1668" s="44"/>
      <c r="AQ1668" s="44"/>
      <c r="AR1668" s="44"/>
      <c r="AS1668" s="44"/>
      <c r="AT1668" s="44"/>
      <c r="AU1668" s="44"/>
      <c r="AV1668" s="44"/>
      <c r="AW1668" s="44"/>
      <c r="AX1668" s="44"/>
      <c r="AY1668" s="44"/>
      <c r="AZ1668" s="11"/>
      <c r="BA1668" s="44"/>
      <c r="BB1668" s="44"/>
      <c r="BC1668" s="11"/>
      <c r="BD1668" s="11"/>
      <c r="BE1668" s="11"/>
      <c r="BF1668" s="11"/>
      <c r="BG1668" s="11"/>
      <c r="BH1668" s="11"/>
      <c r="BI1668" s="11"/>
      <c r="BJ1668" s="11"/>
      <c r="BK1668" s="44"/>
    </row>
    <row r="1669" spans="1:63" ht="12" customHeight="1" x14ac:dyDescent="0.2">
      <c r="A1669" s="11" t="s">
        <v>21497</v>
      </c>
      <c r="B1669" s="68">
        <v>17</v>
      </c>
      <c r="C1669" s="11" t="s">
        <v>20</v>
      </c>
      <c r="D1669" s="11" t="s">
        <v>85</v>
      </c>
      <c r="E1669" s="11" t="s">
        <v>21498</v>
      </c>
      <c r="F1669" s="69">
        <v>42408</v>
      </c>
      <c r="G1669" s="11" t="s">
        <v>21499</v>
      </c>
      <c r="H1669" s="8" t="s">
        <v>1313</v>
      </c>
      <c r="I1669" s="11" t="s">
        <v>73</v>
      </c>
      <c r="J1669" s="47" t="s">
        <v>21500</v>
      </c>
      <c r="K1669" s="8" t="s">
        <v>1314</v>
      </c>
      <c r="L1669" s="8" t="s">
        <v>1315</v>
      </c>
      <c r="M1669" s="8" t="s">
        <v>27</v>
      </c>
      <c r="N1669" s="8" t="s">
        <v>21501</v>
      </c>
      <c r="O1669" s="8" t="s">
        <v>22969</v>
      </c>
      <c r="P1669" s="11" t="s">
        <v>401</v>
      </c>
      <c r="Q1669" s="14" t="s">
        <v>21502</v>
      </c>
      <c r="R1669" s="8" t="s">
        <v>29</v>
      </c>
      <c r="S1669" s="8" t="s">
        <v>18</v>
      </c>
      <c r="T1669" s="68" t="s">
        <v>28345</v>
      </c>
      <c r="U1669" s="68" t="s">
        <v>29436</v>
      </c>
      <c r="V1669" s="68" t="s">
        <v>29439</v>
      </c>
      <c r="W1669" s="68" t="s">
        <v>100</v>
      </c>
      <c r="X1669" s="68">
        <v>1247</v>
      </c>
      <c r="Y1669" s="11"/>
      <c r="Z1669" s="11"/>
      <c r="AA1669" s="11"/>
      <c r="AB1669" s="11"/>
      <c r="AC1669" s="11"/>
      <c r="AD1669" s="11"/>
      <c r="AE1669" s="11"/>
      <c r="AF1669" s="11"/>
      <c r="AG1669" s="11"/>
      <c r="AH1669" s="44"/>
      <c r="AI1669" s="44"/>
      <c r="AJ1669" s="44"/>
      <c r="AK1669" s="44"/>
      <c r="AL1669" s="44"/>
      <c r="AM1669" s="44"/>
      <c r="AN1669" s="44"/>
      <c r="AO1669" s="44"/>
      <c r="AP1669" s="44"/>
      <c r="AQ1669" s="44"/>
      <c r="AR1669" s="44"/>
      <c r="AS1669" s="44"/>
      <c r="AT1669" s="44"/>
      <c r="AU1669" s="44"/>
      <c r="AV1669" s="44"/>
      <c r="AW1669" s="70"/>
      <c r="AX1669" s="70"/>
      <c r="AY1669" s="70"/>
      <c r="AZ1669" s="11"/>
      <c r="BC1669" s="11"/>
      <c r="BD1669" s="11"/>
      <c r="BE1669" s="11"/>
      <c r="BF1669" s="11"/>
      <c r="BG1669" s="11"/>
      <c r="BH1669" s="11"/>
      <c r="BI1669" s="11"/>
      <c r="BJ1669" s="11"/>
    </row>
    <row r="1670" spans="1:63" s="44" customFormat="1" ht="12" customHeight="1" x14ac:dyDescent="0.15">
      <c r="A1670" s="11" t="s">
        <v>21425</v>
      </c>
      <c r="B1670" s="68">
        <v>23</v>
      </c>
      <c r="C1670" s="11" t="s">
        <v>20</v>
      </c>
      <c r="D1670" s="11" t="s">
        <v>85</v>
      </c>
      <c r="E1670" s="11" t="s">
        <v>21426</v>
      </c>
      <c r="F1670" s="69">
        <v>42407</v>
      </c>
      <c r="G1670" s="11" t="s">
        <v>21427</v>
      </c>
      <c r="H1670" s="8" t="s">
        <v>1287</v>
      </c>
      <c r="I1670" s="11" t="s">
        <v>69</v>
      </c>
      <c r="J1670" s="47" t="s">
        <v>21428</v>
      </c>
      <c r="K1670" s="8" t="s">
        <v>1288</v>
      </c>
      <c r="L1670" s="8" t="s">
        <v>12562</v>
      </c>
      <c r="M1670" s="8" t="s">
        <v>27</v>
      </c>
      <c r="N1670" s="8" t="s">
        <v>21429</v>
      </c>
      <c r="O1670" s="8" t="s">
        <v>400</v>
      </c>
      <c r="P1670" s="11" t="s">
        <v>401</v>
      </c>
      <c r="Q1670" s="14" t="s">
        <v>21430</v>
      </c>
      <c r="R1670" s="8" t="s">
        <v>100</v>
      </c>
      <c r="S1670" s="8" t="s">
        <v>28</v>
      </c>
      <c r="T1670" s="68" t="s">
        <v>27756</v>
      </c>
      <c r="U1670" s="68" t="s">
        <v>29436</v>
      </c>
      <c r="V1670" s="68" t="s">
        <v>21212</v>
      </c>
      <c r="W1670" s="68" t="s">
        <v>100</v>
      </c>
      <c r="X1670" s="68">
        <v>1239</v>
      </c>
      <c r="Y1670" s="11"/>
      <c r="Z1670" s="11"/>
      <c r="AA1670" s="11"/>
      <c r="AB1670" s="11"/>
      <c r="AC1670" s="11"/>
      <c r="AD1670" s="11"/>
      <c r="AE1670" s="11"/>
      <c r="AF1670" s="11"/>
      <c r="AG1670" s="11"/>
      <c r="AZ1670" s="11"/>
      <c r="BC1670" s="11"/>
      <c r="BD1670" s="11"/>
      <c r="BE1670" s="11"/>
      <c r="BF1670" s="11"/>
      <c r="BG1670" s="11"/>
      <c r="BH1670" s="11"/>
      <c r="BI1670" s="11"/>
      <c r="BJ1670" s="11"/>
    </row>
    <row r="1671" spans="1:63" s="44" customFormat="1" ht="12" customHeight="1" x14ac:dyDescent="0.15">
      <c r="A1671" s="11" t="s">
        <v>21850</v>
      </c>
      <c r="B1671" s="68">
        <v>27</v>
      </c>
      <c r="C1671" s="11" t="s">
        <v>20</v>
      </c>
      <c r="D1671" s="11" t="s">
        <v>48</v>
      </c>
      <c r="E1671" s="11"/>
      <c r="F1671" s="69">
        <v>42407</v>
      </c>
      <c r="G1671" s="11" t="s">
        <v>21851</v>
      </c>
      <c r="H1671" s="8" t="s">
        <v>21852</v>
      </c>
      <c r="I1671" s="11" t="s">
        <v>81</v>
      </c>
      <c r="J1671" s="17" t="s">
        <v>21853</v>
      </c>
      <c r="K1671" s="8" t="s">
        <v>643</v>
      </c>
      <c r="L1671" s="8" t="s">
        <v>21854</v>
      </c>
      <c r="M1671" s="8" t="s">
        <v>27</v>
      </c>
      <c r="N1671" s="8" t="s">
        <v>23142</v>
      </c>
      <c r="O1671" s="8" t="s">
        <v>400</v>
      </c>
      <c r="P1671" s="11" t="s">
        <v>401</v>
      </c>
      <c r="Q1671" s="14" t="s">
        <v>21855</v>
      </c>
      <c r="R1671" s="8" t="s">
        <v>100</v>
      </c>
      <c r="S1671" s="8" t="s">
        <v>28</v>
      </c>
      <c r="T1671" s="68" t="s">
        <v>29493</v>
      </c>
      <c r="U1671" s="68" t="s">
        <v>29436</v>
      </c>
      <c r="V1671" s="68" t="s">
        <v>29439</v>
      </c>
      <c r="W1671" s="68" t="s">
        <v>100</v>
      </c>
      <c r="X1671" s="68">
        <v>1244</v>
      </c>
      <c r="Y1671" s="11"/>
      <c r="Z1671" s="11"/>
      <c r="AA1671" s="11"/>
      <c r="AB1671" s="11"/>
      <c r="AC1671" s="11"/>
      <c r="AD1671" s="11"/>
      <c r="AE1671" s="11"/>
      <c r="AH1671" s="11"/>
      <c r="AI1671" s="11"/>
      <c r="AX1671" s="1"/>
      <c r="AY1671" s="1"/>
      <c r="AZ1671" s="11"/>
      <c r="BC1671" s="1"/>
      <c r="BD1671" s="1"/>
      <c r="BE1671" s="1"/>
      <c r="BF1671" s="1"/>
      <c r="BG1671" s="1"/>
      <c r="BH1671" s="1"/>
      <c r="BI1671" s="1"/>
      <c r="BJ1671" s="1"/>
    </row>
    <row r="1672" spans="1:63" s="44" customFormat="1" ht="12" customHeight="1" x14ac:dyDescent="0.15">
      <c r="A1672" s="11" t="s">
        <v>21937</v>
      </c>
      <c r="B1672" s="68">
        <v>36</v>
      </c>
      <c r="C1672" s="11" t="s">
        <v>20</v>
      </c>
      <c r="D1672" s="68" t="s">
        <v>37</v>
      </c>
      <c r="E1672" s="11"/>
      <c r="F1672" s="69">
        <v>42407</v>
      </c>
      <c r="G1672" s="11" t="s">
        <v>21938</v>
      </c>
      <c r="H1672" s="8" t="s">
        <v>1313</v>
      </c>
      <c r="I1672" s="11" t="s">
        <v>978</v>
      </c>
      <c r="J1672" s="17" t="s">
        <v>21939</v>
      </c>
      <c r="K1672" s="8" t="s">
        <v>2260</v>
      </c>
      <c r="L1672" s="8" t="s">
        <v>21940</v>
      </c>
      <c r="M1672" s="8" t="s">
        <v>27</v>
      </c>
      <c r="N1672" s="8" t="s">
        <v>21941</v>
      </c>
      <c r="O1672" s="8" t="s">
        <v>400</v>
      </c>
      <c r="P1672" s="11" t="s">
        <v>401</v>
      </c>
      <c r="Q1672" s="14" t="s">
        <v>21942</v>
      </c>
      <c r="R1672" s="8" t="s">
        <v>100</v>
      </c>
      <c r="S1672" s="2" t="s">
        <v>28</v>
      </c>
      <c r="T1672" s="68" t="s">
        <v>27756</v>
      </c>
      <c r="U1672" s="68" t="s">
        <v>29436</v>
      </c>
      <c r="V1672" s="68" t="s">
        <v>29439</v>
      </c>
      <c r="W1672" s="68" t="s">
        <v>100</v>
      </c>
      <c r="X1672" s="68">
        <v>1241</v>
      </c>
      <c r="Y1672" s="11"/>
      <c r="Z1672" s="11"/>
      <c r="AA1672" s="11"/>
      <c r="AB1672" s="11"/>
      <c r="AC1672" s="11"/>
      <c r="AD1672" s="11"/>
      <c r="AE1672" s="11"/>
      <c r="AF1672" s="11"/>
      <c r="AG1672" s="11"/>
      <c r="AH1672" s="11"/>
      <c r="AI1672" s="11"/>
      <c r="AX1672" s="1"/>
      <c r="AY1672" s="1"/>
      <c r="AZ1672" s="11"/>
      <c r="BC1672" s="1"/>
      <c r="BD1672" s="1"/>
      <c r="BE1672" s="1"/>
      <c r="BF1672" s="1"/>
      <c r="BG1672" s="1"/>
      <c r="BH1672" s="1"/>
      <c r="BI1672" s="1"/>
      <c r="BJ1672" s="1"/>
    </row>
    <row r="1673" spans="1:63" s="44" customFormat="1" ht="12" customHeight="1" x14ac:dyDescent="0.2">
      <c r="A1673" s="11" t="s">
        <v>21719</v>
      </c>
      <c r="B1673" s="68">
        <v>16</v>
      </c>
      <c r="C1673" s="11" t="s">
        <v>20</v>
      </c>
      <c r="D1673" s="11" t="s">
        <v>48</v>
      </c>
      <c r="E1673" s="11"/>
      <c r="F1673" s="69">
        <v>42406</v>
      </c>
      <c r="G1673" s="11" t="s">
        <v>21720</v>
      </c>
      <c r="H1673" s="8" t="s">
        <v>98</v>
      </c>
      <c r="I1673" s="11" t="s">
        <v>45</v>
      </c>
      <c r="J1673" s="17" t="s">
        <v>21721</v>
      </c>
      <c r="K1673" s="8" t="s">
        <v>98</v>
      </c>
      <c r="L1673" s="8" t="s">
        <v>99</v>
      </c>
      <c r="M1673" s="8" t="s">
        <v>27</v>
      </c>
      <c r="N1673" s="8" t="s">
        <v>23102</v>
      </c>
      <c r="O1673" s="8" t="s">
        <v>400</v>
      </c>
      <c r="P1673" s="11" t="s">
        <v>401</v>
      </c>
      <c r="Q1673" s="8" t="s">
        <v>21722</v>
      </c>
      <c r="R1673" s="8" t="s">
        <v>100</v>
      </c>
      <c r="S1673" s="8" t="s">
        <v>28</v>
      </c>
      <c r="T1673" s="68" t="s">
        <v>27756</v>
      </c>
      <c r="U1673" s="68" t="s">
        <v>29438</v>
      </c>
      <c r="V1673" s="68" t="s">
        <v>29437</v>
      </c>
      <c r="W1673" s="68" t="s">
        <v>555</v>
      </c>
      <c r="X1673" s="68">
        <v>1240</v>
      </c>
      <c r="Y1673" s="11"/>
      <c r="Z1673" s="11"/>
      <c r="AA1673" s="11"/>
      <c r="AB1673" s="11"/>
      <c r="AC1673" s="11"/>
      <c r="AF1673" s="11"/>
      <c r="AG1673" s="11"/>
      <c r="AH1673" s="11"/>
      <c r="AI1673" s="11"/>
      <c r="AW1673" s="70"/>
      <c r="AX1673" s="1"/>
      <c r="AY1673" s="1"/>
      <c r="AZ1673" s="11"/>
      <c r="BB1673" s="11"/>
      <c r="BC1673" s="1"/>
      <c r="BD1673" s="1"/>
      <c r="BE1673" s="1"/>
      <c r="BF1673" s="1"/>
      <c r="BG1673" s="1"/>
      <c r="BH1673" s="1"/>
      <c r="BI1673" s="1"/>
      <c r="BJ1673" s="1"/>
    </row>
    <row r="1674" spans="1:63" s="44" customFormat="1" ht="12" customHeight="1" x14ac:dyDescent="0.15">
      <c r="A1674" s="11" t="s">
        <v>22783</v>
      </c>
      <c r="B1674" s="11">
        <v>47</v>
      </c>
      <c r="C1674" s="11" t="s">
        <v>20</v>
      </c>
      <c r="D1674" s="11" t="s">
        <v>37</v>
      </c>
      <c r="E1674" s="11"/>
      <c r="F1674" s="72">
        <v>42406</v>
      </c>
      <c r="G1674" s="11" t="s">
        <v>22784</v>
      </c>
      <c r="H1674" s="8" t="s">
        <v>866</v>
      </c>
      <c r="I1674" s="11" t="s">
        <v>69</v>
      </c>
      <c r="J1674" s="17" t="s">
        <v>22785</v>
      </c>
      <c r="K1674" s="8" t="s">
        <v>1406</v>
      </c>
      <c r="L1674" s="8" t="s">
        <v>22786</v>
      </c>
      <c r="M1674" s="8" t="s">
        <v>27</v>
      </c>
      <c r="N1674" s="8" t="s">
        <v>22787</v>
      </c>
      <c r="O1674" s="8" t="s">
        <v>400</v>
      </c>
      <c r="P1674" s="11" t="s">
        <v>401</v>
      </c>
      <c r="Q1674" s="14" t="s">
        <v>22788</v>
      </c>
      <c r="R1674" s="8" t="s">
        <v>100</v>
      </c>
      <c r="S1674" s="8" t="s">
        <v>28</v>
      </c>
      <c r="T1674" s="68"/>
      <c r="U1674" s="68"/>
      <c r="V1674" s="68"/>
      <c r="W1674" s="68"/>
      <c r="X1674" s="68"/>
      <c r="Y1674" s="11"/>
      <c r="Z1674" s="11"/>
      <c r="AA1674" s="11"/>
      <c r="AB1674" s="11"/>
      <c r="AC1674" s="11"/>
      <c r="AD1674" s="11"/>
      <c r="AE1674" s="11"/>
      <c r="AF1674" s="11"/>
      <c r="AG1674" s="11"/>
      <c r="AH1674" s="11"/>
      <c r="AI1674" s="11"/>
      <c r="AW1674" s="1"/>
      <c r="AX1674" s="1"/>
      <c r="AY1674" s="1"/>
      <c r="AZ1674" s="1"/>
      <c r="BA1674" s="1"/>
      <c r="BB1674" s="1"/>
      <c r="BC1674" s="1"/>
      <c r="BD1674" s="1"/>
      <c r="BE1674" s="1"/>
      <c r="BF1674" s="1"/>
      <c r="BG1674" s="1"/>
      <c r="BH1674" s="1"/>
      <c r="BI1674" s="1"/>
      <c r="BJ1674" s="1"/>
    </row>
    <row r="1675" spans="1:63" s="44" customFormat="1" ht="12" customHeight="1" x14ac:dyDescent="0.15">
      <c r="A1675" s="11" t="s">
        <v>22794</v>
      </c>
      <c r="B1675" s="11">
        <v>31</v>
      </c>
      <c r="C1675" s="11" t="s">
        <v>20</v>
      </c>
      <c r="D1675" s="11" t="s">
        <v>85</v>
      </c>
      <c r="E1675" s="11"/>
      <c r="F1675" s="72">
        <v>42406</v>
      </c>
      <c r="G1675" s="11" t="s">
        <v>22753</v>
      </c>
      <c r="H1675" s="8" t="s">
        <v>945</v>
      </c>
      <c r="I1675" s="11" t="s">
        <v>45</v>
      </c>
      <c r="J1675" s="17" t="s">
        <v>22754</v>
      </c>
      <c r="K1675" s="16" t="s">
        <v>945</v>
      </c>
      <c r="L1675" s="16" t="s">
        <v>957</v>
      </c>
      <c r="M1675" s="8" t="s">
        <v>379</v>
      </c>
      <c r="N1675" s="8" t="s">
        <v>22755</v>
      </c>
      <c r="O1675" s="8" t="s">
        <v>400</v>
      </c>
      <c r="P1675" s="11" t="s">
        <v>401</v>
      </c>
      <c r="Q1675" s="14" t="s">
        <v>22756</v>
      </c>
      <c r="R1675" s="8" t="s">
        <v>100</v>
      </c>
      <c r="S1675" s="8" t="s">
        <v>35</v>
      </c>
      <c r="T1675" s="11"/>
      <c r="U1675" s="11"/>
      <c r="V1675" s="11"/>
      <c r="W1675" s="11"/>
      <c r="X1675" s="11"/>
      <c r="Y1675" s="11"/>
      <c r="Z1675" s="11"/>
      <c r="AA1675" s="11"/>
      <c r="AB1675" s="11"/>
      <c r="AC1675" s="11"/>
      <c r="AD1675" s="11"/>
      <c r="AE1675" s="11"/>
      <c r="AF1675" s="11"/>
      <c r="AG1675" s="11"/>
      <c r="AH1675" s="11"/>
      <c r="AI1675" s="11"/>
      <c r="AZ1675" s="1"/>
      <c r="BA1675" s="1"/>
      <c r="BB1675" s="1"/>
      <c r="BC1675" s="11"/>
      <c r="BD1675" s="11"/>
      <c r="BE1675" s="11"/>
      <c r="BF1675" s="11"/>
      <c r="BG1675" s="11"/>
      <c r="BH1675" s="11"/>
      <c r="BI1675" s="11"/>
      <c r="BJ1675" s="11"/>
      <c r="BK1675" s="11"/>
    </row>
    <row r="1676" spans="1:63" s="44" customFormat="1" ht="12" customHeight="1" x14ac:dyDescent="0.15">
      <c r="A1676" s="11" t="s">
        <v>22757</v>
      </c>
      <c r="B1676" s="11">
        <v>27</v>
      </c>
      <c r="C1676" s="11" t="s">
        <v>20</v>
      </c>
      <c r="D1676" s="11" t="s">
        <v>85</v>
      </c>
      <c r="E1676" s="60" t="s">
        <v>22758</v>
      </c>
      <c r="F1676" s="72">
        <v>42406</v>
      </c>
      <c r="G1676" s="11" t="s">
        <v>22753</v>
      </c>
      <c r="H1676" s="8" t="s">
        <v>945</v>
      </c>
      <c r="I1676" s="11" t="s">
        <v>45</v>
      </c>
      <c r="J1676" s="47" t="s">
        <v>22754</v>
      </c>
      <c r="K1676" s="16" t="s">
        <v>945</v>
      </c>
      <c r="L1676" s="16" t="s">
        <v>957</v>
      </c>
      <c r="M1676" s="8" t="s">
        <v>379</v>
      </c>
      <c r="N1676" s="8" t="s">
        <v>22755</v>
      </c>
      <c r="O1676" s="8" t="s">
        <v>400</v>
      </c>
      <c r="P1676" s="11" t="s">
        <v>401</v>
      </c>
      <c r="Q1676" s="14" t="s">
        <v>22756</v>
      </c>
      <c r="R1676" s="8" t="s">
        <v>100</v>
      </c>
      <c r="S1676" s="8" t="s">
        <v>35</v>
      </c>
      <c r="T1676" s="11"/>
      <c r="U1676" s="11"/>
      <c r="V1676" s="11"/>
      <c r="W1676" s="11"/>
      <c r="X1676" s="11"/>
      <c r="Y1676" s="11"/>
      <c r="Z1676" s="11"/>
      <c r="AA1676" s="11"/>
      <c r="AB1676" s="11"/>
      <c r="AC1676" s="11"/>
      <c r="AD1676" s="11"/>
      <c r="AE1676" s="11"/>
      <c r="AF1676" s="11"/>
      <c r="AG1676" s="11"/>
      <c r="AH1676" s="1"/>
      <c r="AI1676" s="1"/>
      <c r="AZ1676" s="1"/>
      <c r="BA1676" s="1"/>
      <c r="BB1676" s="1"/>
      <c r="BC1676" s="11"/>
      <c r="BD1676" s="11"/>
      <c r="BE1676" s="11"/>
      <c r="BF1676" s="11"/>
      <c r="BG1676" s="11"/>
      <c r="BH1676" s="11"/>
      <c r="BI1676" s="11"/>
      <c r="BJ1676" s="11"/>
      <c r="BK1676" s="11"/>
    </row>
    <row r="1677" spans="1:63" s="44" customFormat="1" ht="12" customHeight="1" x14ac:dyDescent="0.15">
      <c r="A1677" s="11" t="s">
        <v>22751</v>
      </c>
      <c r="B1677" s="11">
        <v>23</v>
      </c>
      <c r="C1677" s="11" t="s">
        <v>20</v>
      </c>
      <c r="D1677" s="11" t="s">
        <v>85</v>
      </c>
      <c r="E1677" s="60" t="s">
        <v>22752</v>
      </c>
      <c r="F1677" s="72">
        <v>42406</v>
      </c>
      <c r="G1677" s="11" t="s">
        <v>22753</v>
      </c>
      <c r="H1677" s="8" t="s">
        <v>945</v>
      </c>
      <c r="I1677" s="11" t="s">
        <v>45</v>
      </c>
      <c r="J1677" s="47" t="s">
        <v>22754</v>
      </c>
      <c r="K1677" s="16" t="s">
        <v>945</v>
      </c>
      <c r="L1677" s="16" t="s">
        <v>957</v>
      </c>
      <c r="M1677" s="8" t="s">
        <v>379</v>
      </c>
      <c r="N1677" s="8" t="s">
        <v>22755</v>
      </c>
      <c r="O1677" s="8" t="s">
        <v>400</v>
      </c>
      <c r="P1677" s="11" t="s">
        <v>401</v>
      </c>
      <c r="Q1677" s="14" t="s">
        <v>22756</v>
      </c>
      <c r="R1677" s="8" t="s">
        <v>100</v>
      </c>
      <c r="S1677" s="8" t="s">
        <v>35</v>
      </c>
      <c r="T1677" s="11"/>
      <c r="U1677" s="11"/>
      <c r="V1677" s="11"/>
      <c r="W1677" s="11"/>
      <c r="X1677" s="11"/>
      <c r="Y1677" s="11"/>
      <c r="Z1677" s="11"/>
      <c r="AA1677" s="11"/>
      <c r="AB1677" s="11"/>
      <c r="AC1677" s="11"/>
      <c r="AD1677" s="11"/>
      <c r="AE1677" s="11"/>
      <c r="AF1677" s="11"/>
      <c r="AG1677" s="11"/>
      <c r="AH1677" s="1"/>
      <c r="AI1677" s="1"/>
      <c r="AZ1677" s="1"/>
      <c r="BA1677" s="1"/>
      <c r="BB1677" s="1"/>
      <c r="BC1677" s="11"/>
      <c r="BD1677" s="11"/>
      <c r="BE1677" s="11"/>
      <c r="BF1677" s="11"/>
      <c r="BG1677" s="11"/>
      <c r="BH1677" s="11"/>
      <c r="BI1677" s="11"/>
      <c r="BJ1677" s="11"/>
      <c r="BK1677" s="11"/>
    </row>
    <row r="1678" spans="1:63" s="44" customFormat="1" ht="12" customHeight="1" x14ac:dyDescent="0.15">
      <c r="A1678" s="11" t="s">
        <v>22283</v>
      </c>
      <c r="B1678" s="68">
        <v>30</v>
      </c>
      <c r="C1678" s="11" t="s">
        <v>20</v>
      </c>
      <c r="D1678" s="11" t="s">
        <v>37</v>
      </c>
      <c r="E1678" s="60" t="s">
        <v>22284</v>
      </c>
      <c r="F1678" s="69">
        <v>42405</v>
      </c>
      <c r="G1678" s="11" t="s">
        <v>22285</v>
      </c>
      <c r="H1678" s="8" t="s">
        <v>22286</v>
      </c>
      <c r="I1678" s="11" t="s">
        <v>62</v>
      </c>
      <c r="J1678" s="17" t="s">
        <v>22287</v>
      </c>
      <c r="K1678" s="8" t="s">
        <v>2978</v>
      </c>
      <c r="L1678" s="8" t="s">
        <v>22288</v>
      </c>
      <c r="M1678" s="8" t="s">
        <v>27</v>
      </c>
      <c r="N1678" s="8" t="s">
        <v>22289</v>
      </c>
      <c r="O1678" s="8" t="s">
        <v>400</v>
      </c>
      <c r="P1678" s="11" t="s">
        <v>401</v>
      </c>
      <c r="Q1678" s="14" t="s">
        <v>22290</v>
      </c>
      <c r="R1678" s="8" t="s">
        <v>100</v>
      </c>
      <c r="S1678" s="8" t="s">
        <v>28</v>
      </c>
      <c r="T1678" s="68" t="s">
        <v>27756</v>
      </c>
      <c r="U1678" s="68" t="s">
        <v>29436</v>
      </c>
      <c r="V1678" s="68" t="s">
        <v>29437</v>
      </c>
      <c r="W1678" s="68" t="s">
        <v>100</v>
      </c>
      <c r="X1678" s="68">
        <v>1246</v>
      </c>
      <c r="Y1678" s="11"/>
      <c r="Z1678" s="11"/>
      <c r="AA1678" s="11"/>
      <c r="AB1678" s="11"/>
      <c r="AC1678" s="11"/>
      <c r="AD1678" s="11"/>
      <c r="AE1678" s="11"/>
      <c r="AF1678" s="11"/>
      <c r="AG1678" s="11"/>
      <c r="AH1678" s="11"/>
      <c r="AI1678" s="11"/>
      <c r="AW1678" s="11"/>
      <c r="AX1678" s="1"/>
      <c r="AY1678" s="1"/>
      <c r="AZ1678" s="11"/>
      <c r="BB1678" s="11"/>
      <c r="BC1678" s="1"/>
      <c r="BD1678" s="1"/>
      <c r="BE1678" s="1"/>
      <c r="BF1678" s="1"/>
      <c r="BG1678" s="1"/>
      <c r="BH1678" s="1"/>
      <c r="BI1678" s="1"/>
      <c r="BJ1678" s="1"/>
    </row>
    <row r="1679" spans="1:63" s="44" customFormat="1" ht="12" customHeight="1" x14ac:dyDescent="0.15">
      <c r="A1679" s="11" t="s">
        <v>22323</v>
      </c>
      <c r="B1679" s="68">
        <v>51</v>
      </c>
      <c r="C1679" s="11" t="s">
        <v>20</v>
      </c>
      <c r="D1679" s="11" t="s">
        <v>37</v>
      </c>
      <c r="E1679" s="11" t="s">
        <v>22324</v>
      </c>
      <c r="F1679" s="69">
        <v>42405</v>
      </c>
      <c r="G1679" s="11"/>
      <c r="H1679" s="8" t="s">
        <v>3393</v>
      </c>
      <c r="I1679" s="11" t="s">
        <v>366</v>
      </c>
      <c r="J1679" s="17" t="s">
        <v>22325</v>
      </c>
      <c r="K1679" s="8" t="s">
        <v>6437</v>
      </c>
      <c r="L1679" s="8" t="s">
        <v>22326</v>
      </c>
      <c r="M1679" s="8" t="s">
        <v>27</v>
      </c>
      <c r="N1679" s="8" t="s">
        <v>22327</v>
      </c>
      <c r="O1679" s="8" t="s">
        <v>400</v>
      </c>
      <c r="P1679" s="11" t="s">
        <v>401</v>
      </c>
      <c r="Q1679" s="14" t="s">
        <v>22328</v>
      </c>
      <c r="R1679" s="8" t="s">
        <v>100</v>
      </c>
      <c r="S1679" s="8" t="s">
        <v>28</v>
      </c>
      <c r="T1679" s="68" t="s">
        <v>27756</v>
      </c>
      <c r="U1679" s="68" t="s">
        <v>29438</v>
      </c>
      <c r="V1679" s="68" t="s">
        <v>29440</v>
      </c>
      <c r="W1679" s="68" t="s">
        <v>100</v>
      </c>
      <c r="X1679" s="68">
        <v>1248</v>
      </c>
      <c r="Y1679" s="11"/>
      <c r="Z1679" s="11"/>
      <c r="AA1679" s="11"/>
      <c r="AB1679" s="11"/>
      <c r="AC1679" s="11"/>
      <c r="AF1679" s="11"/>
      <c r="AG1679" s="11"/>
      <c r="AH1679" s="11"/>
      <c r="AI1679" s="11"/>
      <c r="AW1679" s="1"/>
      <c r="AX1679" s="1"/>
      <c r="AY1679" s="1"/>
      <c r="BB1679" s="11"/>
      <c r="BC1679" s="1"/>
      <c r="BD1679" s="1"/>
      <c r="BE1679" s="1"/>
      <c r="BF1679" s="1"/>
      <c r="BG1679" s="1"/>
      <c r="BH1679" s="1"/>
      <c r="BI1679" s="1"/>
      <c r="BJ1679" s="1"/>
    </row>
    <row r="1680" spans="1:63" s="44" customFormat="1" ht="12" customHeight="1" x14ac:dyDescent="0.15">
      <c r="A1680" s="11" t="s">
        <v>22339</v>
      </c>
      <c r="B1680" s="68">
        <v>55</v>
      </c>
      <c r="C1680" s="11" t="s">
        <v>20</v>
      </c>
      <c r="D1680" s="11" t="s">
        <v>37</v>
      </c>
      <c r="E1680" s="11" t="s">
        <v>22340</v>
      </c>
      <c r="F1680" s="69">
        <v>42405</v>
      </c>
      <c r="G1680" s="11" t="s">
        <v>22341</v>
      </c>
      <c r="H1680" s="8" t="s">
        <v>5849</v>
      </c>
      <c r="I1680" s="11" t="s">
        <v>117</v>
      </c>
      <c r="J1680" s="17" t="s">
        <v>22342</v>
      </c>
      <c r="K1680" s="8" t="s">
        <v>22343</v>
      </c>
      <c r="L1680" s="8" t="s">
        <v>5851</v>
      </c>
      <c r="M1680" s="8" t="s">
        <v>27</v>
      </c>
      <c r="N1680" s="8" t="s">
        <v>23112</v>
      </c>
      <c r="O1680" s="8" t="s">
        <v>400</v>
      </c>
      <c r="P1680" s="11" t="s">
        <v>401</v>
      </c>
      <c r="Q1680" s="14" t="s">
        <v>22344</v>
      </c>
      <c r="R1680" s="8" t="s">
        <v>100</v>
      </c>
      <c r="S1680" s="8" t="s">
        <v>28</v>
      </c>
      <c r="T1680" s="68" t="s">
        <v>27756</v>
      </c>
      <c r="U1680" s="68" t="s">
        <v>29438</v>
      </c>
      <c r="V1680" s="68" t="s">
        <v>29439</v>
      </c>
      <c r="W1680" s="68" t="s">
        <v>555</v>
      </c>
      <c r="X1680" s="68">
        <v>1249</v>
      </c>
      <c r="Y1680" s="11"/>
      <c r="Z1680" s="11"/>
      <c r="AA1680" s="11"/>
      <c r="AB1680" s="11"/>
      <c r="AC1680" s="11"/>
      <c r="AD1680" s="11"/>
      <c r="AE1680" s="11"/>
      <c r="AF1680" s="11"/>
      <c r="AG1680" s="11"/>
      <c r="AH1680" s="11"/>
      <c r="AI1680" s="11"/>
      <c r="AW1680" s="1"/>
      <c r="AX1680" s="1"/>
      <c r="AY1680" s="1"/>
      <c r="AZ1680" s="11"/>
      <c r="BB1680" s="11"/>
      <c r="BC1680" s="1"/>
      <c r="BD1680" s="1"/>
      <c r="BE1680" s="1"/>
      <c r="BF1680" s="1"/>
      <c r="BG1680" s="1"/>
      <c r="BH1680" s="1"/>
      <c r="BI1680" s="1"/>
      <c r="BJ1680" s="1"/>
    </row>
    <row r="1681" spans="1:63" s="44" customFormat="1" ht="12" customHeight="1" x14ac:dyDescent="0.15">
      <c r="A1681" s="11" t="s">
        <v>22686</v>
      </c>
      <c r="B1681" s="11">
        <v>23</v>
      </c>
      <c r="C1681" s="11" t="s">
        <v>114</v>
      </c>
      <c r="D1681" s="11" t="s">
        <v>37</v>
      </c>
      <c r="E1681" s="11" t="s">
        <v>22687</v>
      </c>
      <c r="F1681" s="72">
        <v>42405</v>
      </c>
      <c r="G1681" s="11" t="s">
        <v>22688</v>
      </c>
      <c r="H1681" s="8" t="s">
        <v>18270</v>
      </c>
      <c r="I1681" s="11" t="s">
        <v>25</v>
      </c>
      <c r="J1681" s="17" t="s">
        <v>22689</v>
      </c>
      <c r="K1681" s="8" t="s">
        <v>18272</v>
      </c>
      <c r="L1681" s="8" t="s">
        <v>22690</v>
      </c>
      <c r="M1681" s="8" t="s">
        <v>27</v>
      </c>
      <c r="N1681" s="8" t="s">
        <v>22691</v>
      </c>
      <c r="O1681" s="8" t="s">
        <v>400</v>
      </c>
      <c r="P1681" s="11" t="s">
        <v>401</v>
      </c>
      <c r="Q1681" s="14" t="s">
        <v>22692</v>
      </c>
      <c r="R1681" s="8" t="s">
        <v>100</v>
      </c>
      <c r="S1681" s="8" t="s">
        <v>35</v>
      </c>
      <c r="T1681" s="68"/>
      <c r="U1681" s="68"/>
      <c r="V1681" s="68"/>
      <c r="W1681" s="68"/>
      <c r="X1681" s="68"/>
      <c r="Y1681" s="11"/>
      <c r="Z1681" s="11"/>
      <c r="AA1681" s="11"/>
      <c r="AB1681" s="11"/>
      <c r="AC1681" s="11"/>
      <c r="AD1681" s="11"/>
      <c r="AE1681" s="11"/>
      <c r="AF1681" s="11"/>
      <c r="AG1681" s="11"/>
      <c r="AH1681" s="11"/>
      <c r="AI1681" s="11"/>
      <c r="AW1681" s="1"/>
      <c r="AX1681" s="1"/>
      <c r="AY1681" s="1"/>
      <c r="AZ1681" s="1"/>
      <c r="BA1681" s="1"/>
      <c r="BB1681" s="1"/>
      <c r="BC1681" s="1"/>
      <c r="BD1681" s="1"/>
      <c r="BE1681" s="1"/>
      <c r="BF1681" s="1"/>
      <c r="BG1681" s="1"/>
      <c r="BH1681" s="1"/>
      <c r="BI1681" s="1"/>
      <c r="BJ1681" s="1"/>
      <c r="BK1681" s="1"/>
    </row>
    <row r="1682" spans="1:63" s="44" customFormat="1" ht="12" customHeight="1" x14ac:dyDescent="0.15">
      <c r="A1682" s="11" t="s">
        <v>21990</v>
      </c>
      <c r="B1682" s="68">
        <v>38</v>
      </c>
      <c r="C1682" s="11" t="s">
        <v>20</v>
      </c>
      <c r="D1682" s="68" t="s">
        <v>30</v>
      </c>
      <c r="E1682" s="60" t="s">
        <v>21991</v>
      </c>
      <c r="F1682" s="69">
        <v>42405</v>
      </c>
      <c r="G1682" s="11" t="s">
        <v>21992</v>
      </c>
      <c r="H1682" s="8" t="s">
        <v>21859</v>
      </c>
      <c r="I1682" s="11" t="s">
        <v>870</v>
      </c>
      <c r="J1682" s="17" t="s">
        <v>21860</v>
      </c>
      <c r="K1682" s="8" t="s">
        <v>3943</v>
      </c>
      <c r="L1682" s="8" t="s">
        <v>3944</v>
      </c>
      <c r="M1682" s="8" t="s">
        <v>27</v>
      </c>
      <c r="N1682" s="8" t="s">
        <v>21993</v>
      </c>
      <c r="O1682" s="8" t="s">
        <v>400</v>
      </c>
      <c r="P1682" s="11" t="s">
        <v>401</v>
      </c>
      <c r="Q1682" s="14" t="s">
        <v>21994</v>
      </c>
      <c r="R1682" s="8" t="s">
        <v>100</v>
      </c>
      <c r="S1682" s="8" t="s">
        <v>379</v>
      </c>
      <c r="T1682" s="68" t="s">
        <v>379</v>
      </c>
      <c r="U1682" s="68" t="s">
        <v>29436</v>
      </c>
      <c r="V1682" s="68" t="s">
        <v>29437</v>
      </c>
      <c r="W1682" s="68" t="s">
        <v>100</v>
      </c>
      <c r="X1682" s="68">
        <v>1242</v>
      </c>
      <c r="Y1682" s="11"/>
      <c r="Z1682" s="11"/>
      <c r="AA1682" s="11"/>
      <c r="AB1682" s="11"/>
      <c r="AC1682" s="11"/>
      <c r="AD1682" s="11"/>
      <c r="AE1682" s="11"/>
      <c r="AH1682" s="11"/>
      <c r="AI1682" s="11"/>
      <c r="AX1682" s="1"/>
      <c r="AY1682" s="1"/>
      <c r="AZ1682" s="11"/>
      <c r="BB1682" s="11"/>
      <c r="BC1682" s="1"/>
      <c r="BD1682" s="1"/>
      <c r="BE1682" s="1"/>
      <c r="BF1682" s="1"/>
      <c r="BG1682" s="1"/>
      <c r="BH1682" s="1"/>
      <c r="BI1682" s="1"/>
      <c r="BJ1682" s="1"/>
    </row>
    <row r="1683" spans="1:63" s="44" customFormat="1" ht="12" customHeight="1" x14ac:dyDescent="0.15">
      <c r="A1683" s="11" t="s">
        <v>22433</v>
      </c>
      <c r="B1683" s="11">
        <v>43</v>
      </c>
      <c r="C1683" s="11" t="s">
        <v>20</v>
      </c>
      <c r="D1683" s="11" t="s">
        <v>37</v>
      </c>
      <c r="E1683" s="11" t="s">
        <v>22434</v>
      </c>
      <c r="F1683" s="72">
        <v>42405</v>
      </c>
      <c r="G1683" s="8" t="s">
        <v>22435</v>
      </c>
      <c r="H1683" s="8" t="s">
        <v>1233</v>
      </c>
      <c r="I1683" s="11" t="s">
        <v>1083</v>
      </c>
      <c r="J1683" s="17" t="s">
        <v>22436</v>
      </c>
      <c r="K1683" s="8" t="s">
        <v>1234</v>
      </c>
      <c r="L1683" s="8" t="s">
        <v>22437</v>
      </c>
      <c r="M1683" s="8" t="s">
        <v>27</v>
      </c>
      <c r="N1683" s="8" t="s">
        <v>22438</v>
      </c>
      <c r="O1683" s="8" t="s">
        <v>613</v>
      </c>
      <c r="P1683" s="11" t="s">
        <v>401</v>
      </c>
      <c r="Q1683" s="14" t="s">
        <v>22439</v>
      </c>
      <c r="R1683" s="8" t="s">
        <v>555</v>
      </c>
      <c r="S1683" s="8" t="s">
        <v>28</v>
      </c>
      <c r="T1683" s="68"/>
      <c r="U1683" s="68"/>
      <c r="V1683" s="68"/>
      <c r="W1683" s="68"/>
      <c r="X1683" s="68"/>
      <c r="Y1683" s="11"/>
      <c r="Z1683" s="11"/>
      <c r="AA1683" s="11"/>
      <c r="AB1683" s="11"/>
      <c r="AC1683" s="11"/>
      <c r="AD1683" s="11"/>
      <c r="AE1683" s="11"/>
      <c r="AF1683" s="11"/>
      <c r="AG1683" s="11"/>
      <c r="AH1683" s="11"/>
      <c r="AI1683" s="11"/>
      <c r="AW1683" s="1"/>
      <c r="AX1683" s="1"/>
      <c r="AY1683" s="1"/>
      <c r="AZ1683" s="1"/>
      <c r="BA1683" s="11"/>
      <c r="BB1683" s="11"/>
      <c r="BC1683" s="1"/>
      <c r="BD1683" s="1"/>
      <c r="BE1683" s="1"/>
      <c r="BF1683" s="1"/>
      <c r="BG1683" s="1"/>
      <c r="BH1683" s="1"/>
      <c r="BI1683" s="1"/>
      <c r="BJ1683" s="1"/>
    </row>
    <row r="1684" spans="1:63" s="44" customFormat="1" ht="12" customHeight="1" x14ac:dyDescent="0.15">
      <c r="A1684" s="11" t="s">
        <v>23509</v>
      </c>
      <c r="B1684" s="11">
        <v>37</v>
      </c>
      <c r="C1684" s="11" t="s">
        <v>20</v>
      </c>
      <c r="D1684" s="11" t="s">
        <v>85</v>
      </c>
      <c r="F1684" s="72">
        <v>42405</v>
      </c>
      <c r="G1684" s="11" t="s">
        <v>23582</v>
      </c>
      <c r="H1684" s="8" t="s">
        <v>878</v>
      </c>
      <c r="I1684" s="11" t="s">
        <v>45</v>
      </c>
      <c r="J1684" s="44">
        <v>94509</v>
      </c>
      <c r="K1684" s="8" t="s">
        <v>4500</v>
      </c>
      <c r="L1684" s="8" t="s">
        <v>14509</v>
      </c>
      <c r="M1684" s="8" t="s">
        <v>2291</v>
      </c>
      <c r="N1684" s="8" t="s">
        <v>23583</v>
      </c>
      <c r="O1684" s="8" t="s">
        <v>400</v>
      </c>
      <c r="P1684" s="11" t="s">
        <v>401</v>
      </c>
      <c r="Q1684" s="44" t="s">
        <v>23584</v>
      </c>
      <c r="R1684" s="8" t="s">
        <v>555</v>
      </c>
      <c r="S1684" s="8" t="s">
        <v>18</v>
      </c>
      <c r="AU1684" s="1"/>
      <c r="AV1684" s="1"/>
      <c r="AW1684" s="1"/>
      <c r="AX1684" s="11"/>
      <c r="AY1684" s="11"/>
      <c r="AZ1684" s="1"/>
      <c r="BA1684" s="11"/>
      <c r="BB1684" s="11"/>
      <c r="BC1684" s="11"/>
      <c r="BD1684" s="11"/>
      <c r="BE1684" s="11"/>
      <c r="BF1684" s="11"/>
      <c r="BG1684" s="11"/>
      <c r="BH1684" s="11"/>
      <c r="BI1684" s="11"/>
      <c r="BJ1684" s="11"/>
      <c r="BK1684" s="1"/>
    </row>
    <row r="1685" spans="1:63" s="44" customFormat="1" ht="12" customHeight="1" x14ac:dyDescent="0.15">
      <c r="A1685" s="11" t="s">
        <v>21747</v>
      </c>
      <c r="B1685" s="68">
        <v>43</v>
      </c>
      <c r="C1685" s="11" t="s">
        <v>20</v>
      </c>
      <c r="D1685" s="11" t="s">
        <v>48</v>
      </c>
      <c r="E1685" s="11"/>
      <c r="F1685" s="69">
        <v>42404</v>
      </c>
      <c r="G1685" s="11" t="s">
        <v>21748</v>
      </c>
      <c r="H1685" s="8" t="s">
        <v>857</v>
      </c>
      <c r="I1685" s="11" t="s">
        <v>73</v>
      </c>
      <c r="J1685" s="17" t="s">
        <v>17673</v>
      </c>
      <c r="K1685" s="8" t="s">
        <v>857</v>
      </c>
      <c r="L1685" s="1" t="s">
        <v>4732</v>
      </c>
      <c r="M1685" s="8" t="s">
        <v>27</v>
      </c>
      <c r="N1685" s="8" t="s">
        <v>23116</v>
      </c>
      <c r="O1685" s="8" t="s">
        <v>400</v>
      </c>
      <c r="P1685" s="11" t="s">
        <v>401</v>
      </c>
      <c r="Q1685" s="14" t="s">
        <v>21749</v>
      </c>
      <c r="R1685" s="8" t="s">
        <v>100</v>
      </c>
      <c r="S1685" s="8" t="s">
        <v>28</v>
      </c>
      <c r="T1685" s="68" t="s">
        <v>27756</v>
      </c>
      <c r="U1685" s="68" t="s">
        <v>29438</v>
      </c>
      <c r="V1685" s="68" t="s">
        <v>29439</v>
      </c>
      <c r="W1685" s="68" t="s">
        <v>100</v>
      </c>
      <c r="X1685" s="68">
        <v>1250</v>
      </c>
      <c r="Y1685" s="11"/>
      <c r="Z1685" s="11"/>
      <c r="AA1685" s="11"/>
      <c r="AB1685" s="11"/>
      <c r="AC1685" s="11"/>
      <c r="AD1685" s="11"/>
      <c r="AE1685" s="11"/>
      <c r="AF1685" s="11"/>
      <c r="AG1685" s="11"/>
      <c r="AH1685" s="11"/>
      <c r="AI1685" s="11"/>
      <c r="AW1685" s="1"/>
      <c r="AX1685" s="1"/>
      <c r="AY1685" s="1"/>
      <c r="BC1685" s="1"/>
      <c r="BD1685" s="1"/>
      <c r="BE1685" s="1"/>
      <c r="BF1685" s="1"/>
      <c r="BG1685" s="1"/>
      <c r="BH1685" s="1"/>
      <c r="BI1685" s="1"/>
      <c r="BJ1685" s="1"/>
    </row>
    <row r="1686" spans="1:63" s="44" customFormat="1" ht="12" customHeight="1" x14ac:dyDescent="0.15">
      <c r="A1686" s="11" t="s">
        <v>22054</v>
      </c>
      <c r="B1686" s="68">
        <v>47</v>
      </c>
      <c r="C1686" s="11" t="s">
        <v>20</v>
      </c>
      <c r="D1686" s="11" t="s">
        <v>37</v>
      </c>
      <c r="E1686" s="11"/>
      <c r="F1686" s="69">
        <v>42404</v>
      </c>
      <c r="G1686" s="11" t="s">
        <v>22055</v>
      </c>
      <c r="H1686" s="8" t="s">
        <v>430</v>
      </c>
      <c r="I1686" s="11" t="s">
        <v>431</v>
      </c>
      <c r="J1686" s="17" t="s">
        <v>3647</v>
      </c>
      <c r="K1686" s="8" t="s">
        <v>433</v>
      </c>
      <c r="L1686" s="8" t="s">
        <v>1412</v>
      </c>
      <c r="M1686" s="8" t="s">
        <v>27</v>
      </c>
      <c r="N1686" s="8" t="s">
        <v>22056</v>
      </c>
      <c r="O1686" s="8" t="s">
        <v>400</v>
      </c>
      <c r="P1686" s="11" t="s">
        <v>401</v>
      </c>
      <c r="Q1686" s="14" t="s">
        <v>22057</v>
      </c>
      <c r="R1686" s="8" t="s">
        <v>100</v>
      </c>
      <c r="S1686" s="8" t="s">
        <v>28</v>
      </c>
      <c r="T1686" s="68" t="s">
        <v>27756</v>
      </c>
      <c r="U1686" s="68" t="s">
        <v>29438</v>
      </c>
      <c r="V1686" s="68" t="s">
        <v>29440</v>
      </c>
      <c r="W1686" s="68" t="s">
        <v>100</v>
      </c>
      <c r="X1686" s="68">
        <v>1238</v>
      </c>
      <c r="Y1686" s="11"/>
      <c r="Z1686" s="11"/>
      <c r="AA1686" s="11"/>
      <c r="AB1686" s="11"/>
      <c r="AC1686" s="11"/>
      <c r="AD1686" s="11"/>
      <c r="AE1686" s="11"/>
      <c r="AF1686" s="11"/>
      <c r="AG1686" s="11"/>
      <c r="AH1686" s="11"/>
      <c r="AI1686" s="11"/>
      <c r="AW1686" s="1"/>
      <c r="AX1686" s="1"/>
      <c r="AY1686" s="1"/>
      <c r="BC1686" s="1"/>
      <c r="BD1686" s="1"/>
      <c r="BE1686" s="1"/>
      <c r="BF1686" s="1"/>
      <c r="BG1686" s="1"/>
      <c r="BH1686" s="1"/>
      <c r="BI1686" s="1"/>
      <c r="BJ1686" s="1"/>
    </row>
    <row r="1687" spans="1:63" s="44" customFormat="1" ht="12" customHeight="1" x14ac:dyDescent="0.15">
      <c r="A1687" s="11" t="s">
        <v>21483</v>
      </c>
      <c r="B1687" s="68">
        <v>36</v>
      </c>
      <c r="C1687" s="11" t="s">
        <v>20</v>
      </c>
      <c r="D1687" s="11" t="s">
        <v>85</v>
      </c>
      <c r="E1687" s="11"/>
      <c r="F1687" s="69">
        <v>42404</v>
      </c>
      <c r="G1687" s="11" t="s">
        <v>21484</v>
      </c>
      <c r="H1687" s="8" t="s">
        <v>575</v>
      </c>
      <c r="I1687" s="11" t="s">
        <v>73</v>
      </c>
      <c r="J1687" s="47" t="s">
        <v>14441</v>
      </c>
      <c r="K1687" s="8" t="s">
        <v>576</v>
      </c>
      <c r="L1687" s="8" t="s">
        <v>577</v>
      </c>
      <c r="M1687" s="8" t="s">
        <v>27</v>
      </c>
      <c r="N1687" s="8" t="s">
        <v>22976</v>
      </c>
      <c r="O1687" s="8" t="s">
        <v>400</v>
      </c>
      <c r="P1687" s="11" t="s">
        <v>401</v>
      </c>
      <c r="Q1687" s="14" t="s">
        <v>21485</v>
      </c>
      <c r="R1687" s="8" t="s">
        <v>100</v>
      </c>
      <c r="S1687" s="8" t="s">
        <v>18</v>
      </c>
      <c r="T1687" s="68" t="s">
        <v>28345</v>
      </c>
      <c r="U1687" s="68" t="s">
        <v>29436</v>
      </c>
      <c r="V1687" s="68" t="s">
        <v>29439</v>
      </c>
      <c r="W1687" s="68" t="s">
        <v>100</v>
      </c>
      <c r="X1687" s="68">
        <v>1237</v>
      </c>
      <c r="Y1687" s="11"/>
      <c r="Z1687" s="11"/>
      <c r="AA1687" s="11"/>
      <c r="AB1687" s="11"/>
      <c r="AC1687" s="11"/>
      <c r="AD1687" s="11"/>
      <c r="AE1687" s="11"/>
      <c r="AF1687" s="11"/>
      <c r="AG1687" s="11"/>
      <c r="AH1687" s="1"/>
      <c r="AI1687" s="1"/>
      <c r="AX1687" s="11"/>
      <c r="AY1687" s="11"/>
      <c r="BB1687" s="11"/>
      <c r="BC1687" s="11"/>
      <c r="BD1687" s="11"/>
      <c r="BE1687" s="11"/>
      <c r="BF1687" s="11"/>
      <c r="BG1687" s="11"/>
      <c r="BH1687" s="11"/>
      <c r="BI1687" s="11"/>
      <c r="BJ1687" s="11"/>
      <c r="BK1687" s="1"/>
    </row>
    <row r="1688" spans="1:63" s="44" customFormat="1" ht="12" customHeight="1" x14ac:dyDescent="0.15">
      <c r="A1688" s="11" t="s">
        <v>22645</v>
      </c>
      <c r="B1688" s="68">
        <v>54</v>
      </c>
      <c r="C1688" s="11" t="s">
        <v>20</v>
      </c>
      <c r="D1688" s="11" t="s">
        <v>37</v>
      </c>
      <c r="E1688" s="60" t="s">
        <v>22646</v>
      </c>
      <c r="F1688" s="69">
        <v>42404</v>
      </c>
      <c r="G1688" s="11" t="s">
        <v>22647</v>
      </c>
      <c r="H1688" s="8" t="s">
        <v>2502</v>
      </c>
      <c r="I1688" s="11" t="s">
        <v>69</v>
      </c>
      <c r="J1688" s="17" t="s">
        <v>22648</v>
      </c>
      <c r="K1688" s="8" t="s">
        <v>1256</v>
      </c>
      <c r="L1688" s="8" t="s">
        <v>1257</v>
      </c>
      <c r="M1688" s="8" t="s">
        <v>27</v>
      </c>
      <c r="N1688" s="8" t="s">
        <v>22649</v>
      </c>
      <c r="O1688" s="8" t="s">
        <v>400</v>
      </c>
      <c r="P1688" s="11" t="s">
        <v>401</v>
      </c>
      <c r="Q1688" s="14" t="s">
        <v>22650</v>
      </c>
      <c r="R1688" s="8" t="s">
        <v>100</v>
      </c>
      <c r="S1688" s="8" t="s">
        <v>18</v>
      </c>
      <c r="T1688" s="68" t="s">
        <v>29612</v>
      </c>
      <c r="U1688" s="68" t="s">
        <v>29438</v>
      </c>
      <c r="V1688" s="68" t="s">
        <v>29439</v>
      </c>
      <c r="W1688" s="68" t="s">
        <v>100</v>
      </c>
      <c r="X1688" s="68">
        <v>1243</v>
      </c>
      <c r="Y1688" s="11"/>
      <c r="Z1688" s="11"/>
      <c r="AA1688" s="11"/>
      <c r="AB1688" s="11"/>
      <c r="AC1688" s="11"/>
      <c r="AD1688" s="11"/>
      <c r="AE1688" s="11"/>
      <c r="AF1688" s="11"/>
      <c r="AG1688" s="11"/>
      <c r="AH1688" s="11"/>
      <c r="AI1688" s="11"/>
      <c r="AW1688" s="1"/>
      <c r="AX1688" s="1"/>
      <c r="AY1688" s="1"/>
      <c r="BC1688" s="1"/>
      <c r="BD1688" s="1"/>
      <c r="BE1688" s="1"/>
      <c r="BF1688" s="1"/>
      <c r="BG1688" s="1"/>
      <c r="BH1688" s="1"/>
      <c r="BI1688" s="1"/>
      <c r="BJ1688" s="1"/>
      <c r="BK1688" s="1"/>
    </row>
    <row r="1689" spans="1:63" s="44" customFormat="1" ht="12" customHeight="1" x14ac:dyDescent="0.15">
      <c r="A1689" s="11" t="s">
        <v>22440</v>
      </c>
      <c r="B1689" s="68">
        <v>24</v>
      </c>
      <c r="C1689" s="11" t="s">
        <v>22441</v>
      </c>
      <c r="D1689" s="11" t="s">
        <v>37</v>
      </c>
      <c r="E1689" s="60" t="s">
        <v>22442</v>
      </c>
      <c r="F1689" s="69">
        <v>42404</v>
      </c>
      <c r="G1689" s="11" t="s">
        <v>22443</v>
      </c>
      <c r="H1689" s="8" t="s">
        <v>1428</v>
      </c>
      <c r="I1689" s="11" t="s">
        <v>123</v>
      </c>
      <c r="J1689" s="17" t="s">
        <v>22444</v>
      </c>
      <c r="K1689" s="8" t="s">
        <v>633</v>
      </c>
      <c r="L1689" s="8" t="s">
        <v>1429</v>
      </c>
      <c r="M1689" s="8" t="s">
        <v>27</v>
      </c>
      <c r="N1689" s="8" t="s">
        <v>22445</v>
      </c>
      <c r="O1689" s="8" t="s">
        <v>400</v>
      </c>
      <c r="P1689" s="11" t="s">
        <v>401</v>
      </c>
      <c r="Q1689" s="14" t="s">
        <v>22446</v>
      </c>
      <c r="R1689" s="8" t="s">
        <v>555</v>
      </c>
      <c r="S1689" s="8" t="s">
        <v>28</v>
      </c>
      <c r="T1689" s="68" t="s">
        <v>29493</v>
      </c>
      <c r="U1689" s="68" t="s">
        <v>29436</v>
      </c>
      <c r="V1689" s="68" t="s">
        <v>29439</v>
      </c>
      <c r="W1689" s="68" t="s">
        <v>555</v>
      </c>
      <c r="X1689" s="68">
        <v>1236</v>
      </c>
      <c r="Y1689" s="11"/>
      <c r="Z1689" s="11"/>
      <c r="AA1689" s="11"/>
      <c r="AB1689" s="11"/>
      <c r="AC1689" s="11"/>
      <c r="AD1689" s="11"/>
      <c r="AE1689" s="11"/>
      <c r="AF1689" s="11"/>
      <c r="AG1689" s="11"/>
      <c r="AH1689" s="11"/>
      <c r="AI1689" s="11"/>
      <c r="AW1689" s="11"/>
      <c r="AX1689" s="1"/>
      <c r="AY1689" s="1"/>
      <c r="BA1689" s="11"/>
      <c r="BC1689" s="1"/>
      <c r="BD1689" s="1"/>
      <c r="BE1689" s="1"/>
      <c r="BF1689" s="1"/>
      <c r="BG1689" s="1"/>
      <c r="BH1689" s="1"/>
      <c r="BI1689" s="1"/>
      <c r="BJ1689" s="1"/>
    </row>
    <row r="1690" spans="1:63" s="44" customFormat="1" ht="12" customHeight="1" x14ac:dyDescent="0.15">
      <c r="A1690" s="11" t="s">
        <v>22334</v>
      </c>
      <c r="B1690" s="68">
        <v>53</v>
      </c>
      <c r="C1690" s="11" t="s">
        <v>20</v>
      </c>
      <c r="D1690" s="11" t="s">
        <v>37</v>
      </c>
      <c r="E1690" s="60" t="s">
        <v>22335</v>
      </c>
      <c r="F1690" s="69">
        <v>42403</v>
      </c>
      <c r="G1690" s="11"/>
      <c r="H1690" s="8" t="s">
        <v>7436</v>
      </c>
      <c r="I1690" s="11" t="s">
        <v>395</v>
      </c>
      <c r="J1690" s="17" t="s">
        <v>11260</v>
      </c>
      <c r="K1690" s="8" t="s">
        <v>7436</v>
      </c>
      <c r="L1690" s="8" t="s">
        <v>22336</v>
      </c>
      <c r="M1690" s="8" t="s">
        <v>27</v>
      </c>
      <c r="N1690" s="8" t="s">
        <v>22337</v>
      </c>
      <c r="O1690" s="8" t="s">
        <v>400</v>
      </c>
      <c r="P1690" s="11" t="s">
        <v>401</v>
      </c>
      <c r="Q1690" s="14" t="s">
        <v>22338</v>
      </c>
      <c r="R1690" s="8" t="s">
        <v>100</v>
      </c>
      <c r="S1690" s="8" t="s">
        <v>28</v>
      </c>
      <c r="T1690" s="68" t="s">
        <v>27756</v>
      </c>
      <c r="U1690" s="68" t="s">
        <v>29438</v>
      </c>
      <c r="V1690" s="68" t="s">
        <v>29439</v>
      </c>
      <c r="W1690" s="68" t="s">
        <v>100</v>
      </c>
      <c r="X1690" s="68">
        <v>1233</v>
      </c>
      <c r="Y1690" s="11"/>
      <c r="Z1690" s="11"/>
      <c r="AA1690" s="11"/>
      <c r="AB1690" s="11"/>
      <c r="AC1690" s="11"/>
      <c r="AD1690" s="11"/>
      <c r="AE1690" s="11"/>
      <c r="AF1690" s="11"/>
      <c r="AG1690" s="11"/>
      <c r="AH1690" s="11"/>
      <c r="AI1690" s="11"/>
      <c r="AU1690" s="1"/>
      <c r="AV1690" s="1"/>
      <c r="AW1690" s="1"/>
      <c r="AX1690" s="1"/>
      <c r="AY1690" s="1"/>
      <c r="BC1690" s="1"/>
      <c r="BD1690" s="1"/>
      <c r="BE1690" s="1"/>
      <c r="BF1690" s="1"/>
      <c r="BG1690" s="1"/>
      <c r="BH1690" s="1"/>
      <c r="BI1690" s="1"/>
      <c r="BJ1690" s="1"/>
    </row>
    <row r="1691" spans="1:63" s="44" customFormat="1" ht="12" customHeight="1" x14ac:dyDescent="0.15">
      <c r="A1691" s="11" t="s">
        <v>21822</v>
      </c>
      <c r="B1691" s="68">
        <v>22</v>
      </c>
      <c r="C1691" s="11" t="s">
        <v>20</v>
      </c>
      <c r="D1691" s="11" t="s">
        <v>139</v>
      </c>
      <c r="E1691" s="60" t="s">
        <v>21823</v>
      </c>
      <c r="F1691" s="69">
        <v>42403</v>
      </c>
      <c r="G1691" s="11"/>
      <c r="H1691" s="8" t="s">
        <v>21824</v>
      </c>
      <c r="I1691" s="11" t="s">
        <v>143</v>
      </c>
      <c r="J1691" s="17" t="s">
        <v>21825</v>
      </c>
      <c r="K1691" s="8" t="s">
        <v>21826</v>
      </c>
      <c r="L1691" s="8" t="s">
        <v>21827</v>
      </c>
      <c r="M1691" s="8" t="s">
        <v>27</v>
      </c>
      <c r="N1691" s="8" t="s">
        <v>23114</v>
      </c>
      <c r="O1691" s="8" t="s">
        <v>400</v>
      </c>
      <c r="P1691" s="11" t="s">
        <v>401</v>
      </c>
      <c r="Q1691" s="14" t="s">
        <v>21828</v>
      </c>
      <c r="R1691" s="8" t="s">
        <v>100</v>
      </c>
      <c r="S1691" s="2" t="s">
        <v>18</v>
      </c>
      <c r="T1691" s="68" t="s">
        <v>28345</v>
      </c>
      <c r="U1691" s="68" t="s">
        <v>29438</v>
      </c>
      <c r="V1691" s="68" t="s">
        <v>29439</v>
      </c>
      <c r="W1691" s="68" t="s">
        <v>555</v>
      </c>
      <c r="X1691" s="68">
        <v>1235</v>
      </c>
      <c r="Y1691" s="11"/>
      <c r="Z1691" s="11"/>
      <c r="AA1691" s="11"/>
      <c r="AB1691" s="11"/>
      <c r="AC1691" s="11"/>
      <c r="AD1691" s="11"/>
      <c r="AE1691" s="11"/>
      <c r="AF1691" s="11"/>
      <c r="AG1691" s="11"/>
      <c r="AH1691" s="11"/>
      <c r="AI1691" s="11"/>
      <c r="AJ1691" s="1"/>
      <c r="AK1691" s="1"/>
      <c r="AL1691" s="1"/>
      <c r="AM1691" s="1"/>
      <c r="AN1691" s="1"/>
      <c r="AO1691" s="1"/>
      <c r="AP1691" s="1"/>
      <c r="AQ1691" s="1"/>
      <c r="AR1691" s="1"/>
      <c r="AS1691" s="1"/>
      <c r="AT1691" s="1"/>
      <c r="AU1691" s="1"/>
      <c r="AV1691" s="1"/>
      <c r="AX1691" s="1"/>
      <c r="AY1691" s="1"/>
      <c r="BC1691" s="1"/>
      <c r="BD1691" s="1"/>
      <c r="BE1691" s="1"/>
      <c r="BF1691" s="1"/>
      <c r="BG1691" s="1"/>
      <c r="BH1691" s="1"/>
      <c r="BI1691" s="1"/>
      <c r="BJ1691" s="1"/>
      <c r="BK1691" s="1"/>
    </row>
    <row r="1692" spans="1:63" s="44" customFormat="1" ht="12" customHeight="1" x14ac:dyDescent="0.15">
      <c r="A1692" s="11" t="s">
        <v>22012</v>
      </c>
      <c r="B1692" s="68">
        <v>31</v>
      </c>
      <c r="C1692" s="11" t="s">
        <v>20</v>
      </c>
      <c r="D1692" s="68" t="s">
        <v>48</v>
      </c>
      <c r="E1692" s="11"/>
      <c r="F1692" s="69">
        <v>42403</v>
      </c>
      <c r="G1692" s="11" t="s">
        <v>22013</v>
      </c>
      <c r="H1692" s="8" t="s">
        <v>3052</v>
      </c>
      <c r="I1692" s="11" t="s">
        <v>62</v>
      </c>
      <c r="J1692" s="17" t="s">
        <v>22014</v>
      </c>
      <c r="K1692" s="8" t="s">
        <v>420</v>
      </c>
      <c r="L1692" s="8" t="s">
        <v>7488</v>
      </c>
      <c r="M1692" s="8" t="s">
        <v>27</v>
      </c>
      <c r="N1692" s="8" t="s">
        <v>22015</v>
      </c>
      <c r="O1692" s="8" t="s">
        <v>400</v>
      </c>
      <c r="P1692" s="11" t="s">
        <v>401</v>
      </c>
      <c r="Q1692" s="14" t="s">
        <v>22016</v>
      </c>
      <c r="R1692" s="8" t="s">
        <v>555</v>
      </c>
      <c r="S1692" s="8" t="s">
        <v>28</v>
      </c>
      <c r="T1692" s="68" t="s">
        <v>27756</v>
      </c>
      <c r="U1692" s="68" t="s">
        <v>29438</v>
      </c>
      <c r="V1692" s="68" t="s">
        <v>29439</v>
      </c>
      <c r="W1692" s="68" t="s">
        <v>100</v>
      </c>
      <c r="X1692" s="68">
        <v>1234</v>
      </c>
      <c r="Y1692" s="11"/>
      <c r="Z1692" s="11"/>
      <c r="AA1692" s="11"/>
      <c r="AB1692" s="11"/>
      <c r="AC1692" s="11"/>
      <c r="AD1692" s="11"/>
      <c r="AE1692" s="11"/>
      <c r="AF1692" s="11"/>
      <c r="AG1692" s="11"/>
      <c r="AH1692" s="11"/>
      <c r="AI1692" s="11"/>
      <c r="AJ1692" s="1"/>
      <c r="AK1692" s="1"/>
      <c r="AL1692" s="1"/>
      <c r="AM1692" s="1"/>
      <c r="AN1692" s="1"/>
      <c r="AO1692" s="1"/>
      <c r="AP1692" s="1"/>
      <c r="AQ1692" s="1"/>
      <c r="AR1692" s="1"/>
      <c r="AS1692" s="1"/>
      <c r="AT1692" s="1"/>
      <c r="AW1692" s="11"/>
      <c r="AX1692" s="1"/>
      <c r="AY1692" s="1"/>
      <c r="BA1692" s="11"/>
      <c r="BC1692" s="1"/>
      <c r="BD1692" s="1"/>
      <c r="BE1692" s="1"/>
      <c r="BF1692" s="1"/>
      <c r="BG1692" s="1"/>
      <c r="BH1692" s="1"/>
      <c r="BI1692" s="1"/>
      <c r="BJ1692" s="1"/>
    </row>
    <row r="1693" spans="1:63" s="44" customFormat="1" ht="12" customHeight="1" x14ac:dyDescent="0.15">
      <c r="A1693" s="11" t="s">
        <v>22705</v>
      </c>
      <c r="B1693" s="11">
        <v>34</v>
      </c>
      <c r="C1693" s="11" t="s">
        <v>20</v>
      </c>
      <c r="D1693" s="11" t="s">
        <v>139</v>
      </c>
      <c r="E1693" s="60" t="s">
        <v>22706</v>
      </c>
      <c r="F1693" s="72">
        <v>42402</v>
      </c>
      <c r="G1693" s="11" t="s">
        <v>22707</v>
      </c>
      <c r="H1693" s="8" t="s">
        <v>22708</v>
      </c>
      <c r="I1693" s="11" t="s">
        <v>404</v>
      </c>
      <c r="J1693" s="17" t="s">
        <v>22709</v>
      </c>
      <c r="K1693" s="8" t="s">
        <v>22710</v>
      </c>
      <c r="L1693" s="8" t="s">
        <v>22711</v>
      </c>
      <c r="M1693" s="8" t="s">
        <v>27</v>
      </c>
      <c r="N1693" s="8" t="s">
        <v>22712</v>
      </c>
      <c r="O1693" s="8" t="s">
        <v>22713</v>
      </c>
      <c r="P1693" s="11" t="s">
        <v>1159</v>
      </c>
      <c r="Q1693" s="14" t="s">
        <v>22714</v>
      </c>
      <c r="R1693" s="8" t="s">
        <v>100</v>
      </c>
      <c r="S1693" s="8" t="s">
        <v>18</v>
      </c>
      <c r="T1693" s="68"/>
      <c r="U1693" s="68"/>
      <c r="V1693" s="68"/>
      <c r="W1693" s="68"/>
      <c r="X1693" s="68"/>
      <c r="Y1693" s="11"/>
      <c r="Z1693" s="11"/>
      <c r="AA1693" s="11"/>
      <c r="AB1693" s="11"/>
      <c r="AC1693" s="11"/>
      <c r="AD1693" s="11"/>
      <c r="AE1693" s="11"/>
      <c r="AF1693" s="11"/>
      <c r="AG1693" s="11"/>
      <c r="AH1693" s="11"/>
      <c r="AI1693" s="1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row>
    <row r="1694" spans="1:63" s="44" customFormat="1" ht="12" customHeight="1" x14ac:dyDescent="0.15">
      <c r="A1694" s="11" t="s">
        <v>23510</v>
      </c>
      <c r="B1694" s="11">
        <v>33</v>
      </c>
      <c r="C1694" s="11" t="s">
        <v>20</v>
      </c>
      <c r="D1694" s="11" t="s">
        <v>37</v>
      </c>
      <c r="E1694" s="44" t="s">
        <v>23585</v>
      </c>
      <c r="F1694" s="72">
        <v>42402</v>
      </c>
      <c r="G1694" s="11" t="s">
        <v>23588</v>
      </c>
      <c r="H1694" s="8" t="s">
        <v>575</v>
      </c>
      <c r="I1694" s="11" t="s">
        <v>73</v>
      </c>
      <c r="J1694" s="44">
        <v>78112</v>
      </c>
      <c r="K1694" s="8" t="s">
        <v>576</v>
      </c>
      <c r="L1694" s="8" t="s">
        <v>585</v>
      </c>
      <c r="M1694" s="8" t="s">
        <v>379</v>
      </c>
      <c r="N1694" s="8" t="s">
        <v>23587</v>
      </c>
      <c r="O1694" s="8" t="s">
        <v>400</v>
      </c>
      <c r="P1694" s="11" t="s">
        <v>401</v>
      </c>
      <c r="Q1694" s="44" t="s">
        <v>23586</v>
      </c>
      <c r="R1694" s="8" t="s">
        <v>100</v>
      </c>
      <c r="S1694" s="8" t="s">
        <v>18</v>
      </c>
      <c r="AJ1694" s="1"/>
      <c r="AK1694" s="1"/>
      <c r="AL1694" s="1"/>
      <c r="AM1694" s="1"/>
      <c r="AN1694" s="1"/>
      <c r="AO1694" s="1"/>
      <c r="AP1694" s="1"/>
      <c r="AQ1694" s="1"/>
      <c r="AR1694" s="1"/>
      <c r="AS1694" s="1"/>
      <c r="AT1694" s="1"/>
      <c r="AX1694" s="1"/>
      <c r="AY1694" s="1"/>
      <c r="AZ1694" s="1"/>
      <c r="BA1694" s="1"/>
      <c r="BB1694" s="1"/>
      <c r="BC1694" s="1"/>
      <c r="BD1694" s="1"/>
      <c r="BE1694" s="1"/>
      <c r="BF1694" s="1"/>
      <c r="BG1694" s="1"/>
      <c r="BH1694" s="1"/>
      <c r="BI1694" s="1"/>
      <c r="BJ1694" s="1"/>
      <c r="BK1694" s="1"/>
    </row>
    <row r="1695" spans="1:63" s="44" customFormat="1" ht="12" customHeight="1" x14ac:dyDescent="0.2">
      <c r="A1695" s="11" t="s">
        <v>22109</v>
      </c>
      <c r="B1695" s="68">
        <v>30</v>
      </c>
      <c r="C1695" s="11" t="s">
        <v>20</v>
      </c>
      <c r="D1695" s="11" t="s">
        <v>37</v>
      </c>
      <c r="E1695" s="11"/>
      <c r="F1695" s="69">
        <v>42402</v>
      </c>
      <c r="G1695" s="11" t="s">
        <v>22110</v>
      </c>
      <c r="H1695" s="8" t="s">
        <v>22111</v>
      </c>
      <c r="I1695" s="11" t="s">
        <v>45</v>
      </c>
      <c r="J1695" s="17" t="s">
        <v>22112</v>
      </c>
      <c r="K1695" s="8" t="s">
        <v>1642</v>
      </c>
      <c r="L1695" s="8" t="s">
        <v>2323</v>
      </c>
      <c r="M1695" s="68" t="s">
        <v>5411</v>
      </c>
      <c r="N1695" s="8" t="s">
        <v>22113</v>
      </c>
      <c r="O1695" s="8" t="s">
        <v>400</v>
      </c>
      <c r="P1695" s="11" t="s">
        <v>401</v>
      </c>
      <c r="Q1695" s="14" t="s">
        <v>22114</v>
      </c>
      <c r="R1695" s="8" t="s">
        <v>555</v>
      </c>
      <c r="S1695" s="8" t="s">
        <v>28</v>
      </c>
      <c r="T1695" s="68" t="s">
        <v>29493</v>
      </c>
      <c r="U1695" s="68" t="s">
        <v>29436</v>
      </c>
      <c r="V1695" s="68" t="s">
        <v>29439</v>
      </c>
      <c r="W1695" s="68" t="s">
        <v>100</v>
      </c>
      <c r="X1695" s="68">
        <v>1231</v>
      </c>
      <c r="Y1695" s="11"/>
      <c r="Z1695" s="11"/>
      <c r="AA1695" s="11"/>
      <c r="AB1695" s="11"/>
      <c r="AC1695" s="11"/>
      <c r="AD1695" s="11"/>
      <c r="AE1695" s="11"/>
      <c r="AF1695" s="11"/>
      <c r="AG1695" s="11"/>
      <c r="AH1695" s="11"/>
      <c r="AI1695" s="11"/>
      <c r="AJ1695" s="1"/>
      <c r="AK1695" s="1"/>
      <c r="AL1695" s="1"/>
      <c r="AM1695" s="1"/>
      <c r="AN1695" s="1"/>
      <c r="AO1695" s="1"/>
      <c r="AP1695" s="1"/>
      <c r="AQ1695" s="1"/>
      <c r="AR1695" s="1"/>
      <c r="AS1695" s="1"/>
      <c r="AT1695" s="1"/>
      <c r="AU1695" s="1"/>
      <c r="AV1695" s="1"/>
      <c r="AW1695" s="11"/>
      <c r="AX1695" s="1"/>
      <c r="AY1695" s="1"/>
      <c r="BA1695" s="11"/>
      <c r="BB1695" s="70"/>
      <c r="BC1695" s="1"/>
      <c r="BD1695" s="1"/>
      <c r="BE1695" s="1"/>
      <c r="BF1695" s="1"/>
      <c r="BG1695" s="1"/>
      <c r="BH1695" s="1"/>
      <c r="BI1695" s="1"/>
      <c r="BJ1695" s="1"/>
      <c r="BK1695" s="1"/>
    </row>
    <row r="1696" spans="1:63" s="44" customFormat="1" ht="12" customHeight="1" x14ac:dyDescent="0.15">
      <c r="A1696" s="11" t="s">
        <v>21503</v>
      </c>
      <c r="B1696" s="68">
        <v>36</v>
      </c>
      <c r="C1696" s="11" t="s">
        <v>20</v>
      </c>
      <c r="D1696" s="11" t="s">
        <v>85</v>
      </c>
      <c r="E1696" s="11"/>
      <c r="F1696" s="69">
        <v>42401</v>
      </c>
      <c r="G1696" s="11" t="s">
        <v>21504</v>
      </c>
      <c r="H1696" s="8" t="s">
        <v>118</v>
      </c>
      <c r="I1696" s="11" t="s">
        <v>3664</v>
      </c>
      <c r="J1696" s="47" t="s">
        <v>10654</v>
      </c>
      <c r="K1696" s="8" t="s">
        <v>3666</v>
      </c>
      <c r="L1696" s="8" t="s">
        <v>19405</v>
      </c>
      <c r="M1696" s="8" t="s">
        <v>27</v>
      </c>
      <c r="N1696" s="8" t="s">
        <v>22971</v>
      </c>
      <c r="O1696" s="8" t="s">
        <v>400</v>
      </c>
      <c r="P1696" s="11" t="s">
        <v>401</v>
      </c>
      <c r="Q1696" s="14" t="s">
        <v>21505</v>
      </c>
      <c r="R1696" s="8" t="s">
        <v>29</v>
      </c>
      <c r="S1696" s="8" t="s">
        <v>18</v>
      </c>
      <c r="T1696" s="68" t="s">
        <v>29612</v>
      </c>
      <c r="U1696" s="68" t="s">
        <v>29438</v>
      </c>
      <c r="V1696" s="68" t="s">
        <v>29440</v>
      </c>
      <c r="W1696" s="68" t="s">
        <v>100</v>
      </c>
      <c r="X1696" s="68">
        <v>1219</v>
      </c>
      <c r="Y1696" s="11"/>
      <c r="Z1696" s="11"/>
      <c r="AA1696" s="11"/>
      <c r="AB1696" s="11"/>
      <c r="AC1696" s="11"/>
      <c r="AD1696" s="11"/>
      <c r="AE1696" s="11"/>
      <c r="AF1696" s="11"/>
      <c r="AG1696" s="11"/>
      <c r="AH1696" s="1"/>
      <c r="AI1696" s="1"/>
      <c r="AJ1696" s="1"/>
      <c r="AK1696" s="1"/>
      <c r="AL1696" s="1"/>
      <c r="AM1696" s="1"/>
      <c r="AN1696" s="1"/>
      <c r="AO1696" s="1"/>
      <c r="AP1696" s="1"/>
      <c r="AQ1696" s="1"/>
      <c r="AR1696" s="1"/>
      <c r="AS1696" s="1"/>
      <c r="AT1696" s="1"/>
      <c r="AU1696" s="1"/>
      <c r="AV1696" s="1"/>
      <c r="AX1696" s="11"/>
      <c r="AY1696" s="11"/>
      <c r="BA1696" s="1"/>
      <c r="BB1696" s="1"/>
      <c r="BC1696" s="11"/>
      <c r="BD1696" s="11"/>
      <c r="BE1696" s="11"/>
      <c r="BF1696" s="11"/>
      <c r="BG1696" s="11"/>
      <c r="BH1696" s="11"/>
      <c r="BI1696" s="11"/>
      <c r="BJ1696" s="11"/>
      <c r="BK1696" s="1"/>
    </row>
    <row r="1697" spans="1:63" s="44" customFormat="1" ht="12" customHeight="1" x14ac:dyDescent="0.15">
      <c r="A1697" s="11" t="s">
        <v>21732</v>
      </c>
      <c r="B1697" s="68">
        <v>21</v>
      </c>
      <c r="C1697" s="11" t="s">
        <v>20</v>
      </c>
      <c r="D1697" s="11" t="s">
        <v>48</v>
      </c>
      <c r="E1697" s="11"/>
      <c r="F1697" s="69">
        <v>42401</v>
      </c>
      <c r="G1697" s="11" t="s">
        <v>21733</v>
      </c>
      <c r="H1697" s="8" t="s">
        <v>922</v>
      </c>
      <c r="I1697" s="11" t="s">
        <v>195</v>
      </c>
      <c r="J1697" s="17" t="s">
        <v>4960</v>
      </c>
      <c r="K1697" s="8" t="s">
        <v>467</v>
      </c>
      <c r="L1697" s="8" t="s">
        <v>21734</v>
      </c>
      <c r="M1697" s="8" t="s">
        <v>27</v>
      </c>
      <c r="N1697" s="8" t="s">
        <v>23126</v>
      </c>
      <c r="O1697" s="8" t="s">
        <v>400</v>
      </c>
      <c r="P1697" s="11" t="s">
        <v>401</v>
      </c>
      <c r="Q1697" s="14" t="s">
        <v>21735</v>
      </c>
      <c r="R1697" s="8" t="s">
        <v>555</v>
      </c>
      <c r="S1697" s="8" t="s">
        <v>28</v>
      </c>
      <c r="T1697" s="68" t="s">
        <v>27756</v>
      </c>
      <c r="U1697" s="68" t="s">
        <v>29438</v>
      </c>
      <c r="V1697" s="68" t="s">
        <v>29437</v>
      </c>
      <c r="W1697" s="68" t="s">
        <v>555</v>
      </c>
      <c r="X1697" s="68">
        <v>1232</v>
      </c>
      <c r="Y1697" s="11"/>
      <c r="Z1697" s="11"/>
      <c r="AA1697" s="11"/>
      <c r="AB1697" s="11"/>
      <c r="AC1697" s="11"/>
      <c r="AD1697" s="11"/>
      <c r="AE1697" s="11"/>
      <c r="AF1697" s="11"/>
      <c r="AG1697" s="11"/>
      <c r="AH1697" s="11"/>
      <c r="AI1697" s="11"/>
      <c r="AJ1697" s="1"/>
      <c r="AK1697" s="1"/>
      <c r="AL1697" s="1"/>
      <c r="AM1697" s="1"/>
      <c r="AN1697" s="1"/>
      <c r="AO1697" s="1"/>
      <c r="AP1697" s="1"/>
      <c r="AQ1697" s="1"/>
      <c r="AR1697" s="1"/>
      <c r="AS1697" s="1"/>
      <c r="AT1697" s="1"/>
      <c r="AU1697" s="1"/>
      <c r="AV1697" s="1"/>
      <c r="AX1697" s="1"/>
      <c r="AY1697" s="1"/>
      <c r="BA1697" s="11"/>
      <c r="BC1697" s="1"/>
      <c r="BD1697" s="1"/>
      <c r="BE1697" s="1"/>
      <c r="BF1697" s="1"/>
      <c r="BG1697" s="1"/>
      <c r="BH1697" s="1"/>
      <c r="BI1697" s="1"/>
      <c r="BJ1697" s="1"/>
    </row>
    <row r="1698" spans="1:63" s="44" customFormat="1" ht="12" customHeight="1" x14ac:dyDescent="0.15">
      <c r="A1698" s="11" t="s">
        <v>21918</v>
      </c>
      <c r="B1698" s="68">
        <v>46</v>
      </c>
      <c r="C1698" s="11" t="s">
        <v>20</v>
      </c>
      <c r="D1698" s="11" t="s">
        <v>48</v>
      </c>
      <c r="E1698" s="11"/>
      <c r="F1698" s="69">
        <v>42400</v>
      </c>
      <c r="G1698" s="11" t="s">
        <v>21919</v>
      </c>
      <c r="H1698" s="8" t="s">
        <v>21920</v>
      </c>
      <c r="I1698" s="11" t="s">
        <v>62</v>
      </c>
      <c r="J1698" s="17" t="s">
        <v>21921</v>
      </c>
      <c r="K1698" s="8" t="s">
        <v>18987</v>
      </c>
      <c r="L1698" s="8" t="s">
        <v>18905</v>
      </c>
      <c r="M1698" s="8" t="s">
        <v>27</v>
      </c>
      <c r="N1698" s="8" t="s">
        <v>21922</v>
      </c>
      <c r="O1698" s="8" t="s">
        <v>400</v>
      </c>
      <c r="P1698" s="11" t="s">
        <v>401</v>
      </c>
      <c r="Q1698" s="14" t="s">
        <v>21923</v>
      </c>
      <c r="R1698" s="8" t="s">
        <v>100</v>
      </c>
      <c r="S1698" s="8" t="s">
        <v>28</v>
      </c>
      <c r="T1698" s="68" t="s">
        <v>29493</v>
      </c>
      <c r="U1698" s="68" t="s">
        <v>29436</v>
      </c>
      <c r="V1698" s="68" t="s">
        <v>29439</v>
      </c>
      <c r="W1698" s="68" t="s">
        <v>100</v>
      </c>
      <c r="X1698" s="68">
        <v>1223</v>
      </c>
      <c r="Y1698" s="11"/>
      <c r="Z1698" s="11"/>
      <c r="AA1698" s="11"/>
      <c r="AB1698" s="11"/>
      <c r="AC1698" s="11"/>
      <c r="AD1698" s="11"/>
      <c r="AE1698" s="11"/>
      <c r="AF1698" s="11"/>
      <c r="AG1698" s="11"/>
      <c r="AH1698" s="11"/>
      <c r="AI1698" s="11"/>
      <c r="AW1698" s="1"/>
      <c r="AX1698" s="1"/>
      <c r="AY1698" s="1"/>
      <c r="BC1698" s="1"/>
      <c r="BD1698" s="1"/>
      <c r="BE1698" s="1"/>
      <c r="BF1698" s="1"/>
      <c r="BG1698" s="1"/>
      <c r="BH1698" s="1"/>
      <c r="BI1698" s="1"/>
      <c r="BJ1698" s="1"/>
    </row>
    <row r="1699" spans="1:63" s="44" customFormat="1" ht="12" customHeight="1" x14ac:dyDescent="0.15">
      <c r="A1699" s="11" t="s">
        <v>22246</v>
      </c>
      <c r="B1699" s="68">
        <v>42</v>
      </c>
      <c r="C1699" s="11" t="s">
        <v>20</v>
      </c>
      <c r="D1699" s="11" t="s">
        <v>37</v>
      </c>
      <c r="E1699" s="11"/>
      <c r="F1699" s="69">
        <v>42400</v>
      </c>
      <c r="G1699" s="11" t="s">
        <v>22247</v>
      </c>
      <c r="H1699" s="8" t="s">
        <v>679</v>
      </c>
      <c r="I1699" s="11" t="s">
        <v>45</v>
      </c>
      <c r="J1699" s="17" t="s">
        <v>8095</v>
      </c>
      <c r="K1699" s="8" t="s">
        <v>680</v>
      </c>
      <c r="L1699" s="8" t="s">
        <v>957</v>
      </c>
      <c r="M1699" s="8" t="s">
        <v>27</v>
      </c>
      <c r="N1699" s="8" t="s">
        <v>22248</v>
      </c>
      <c r="O1699" s="8" t="s">
        <v>400</v>
      </c>
      <c r="P1699" s="11" t="s">
        <v>401</v>
      </c>
      <c r="Q1699" s="14" t="s">
        <v>22249</v>
      </c>
      <c r="R1699" s="8" t="s">
        <v>100</v>
      </c>
      <c r="S1699" s="8" t="s">
        <v>28</v>
      </c>
      <c r="T1699" s="68" t="s">
        <v>27756</v>
      </c>
      <c r="U1699" s="68" t="s">
        <v>29438</v>
      </c>
      <c r="V1699" s="68" t="s">
        <v>29437</v>
      </c>
      <c r="W1699" s="68" t="s">
        <v>100</v>
      </c>
      <c r="X1699" s="68">
        <v>1288</v>
      </c>
      <c r="Y1699" s="11"/>
      <c r="Z1699" s="11"/>
      <c r="AA1699" s="11"/>
      <c r="AB1699" s="11"/>
      <c r="AC1699" s="11"/>
      <c r="AD1699" s="11"/>
      <c r="AE1699" s="11"/>
      <c r="AF1699" s="11"/>
      <c r="AG1699" s="11"/>
      <c r="AH1699" s="11"/>
      <c r="AI1699" s="11"/>
      <c r="AJ1699" s="1"/>
      <c r="AK1699" s="1"/>
      <c r="AL1699" s="1"/>
      <c r="AM1699" s="1"/>
      <c r="AN1699" s="1"/>
      <c r="AO1699" s="1"/>
      <c r="AP1699" s="1"/>
      <c r="AQ1699" s="1"/>
      <c r="AR1699" s="1"/>
      <c r="AS1699" s="1"/>
      <c r="AT1699" s="1"/>
      <c r="AU1699" s="1"/>
      <c r="AV1699" s="1"/>
      <c r="AW1699" s="1"/>
      <c r="AX1699" s="1"/>
      <c r="AY1699" s="1"/>
      <c r="AZ1699" s="11"/>
      <c r="BC1699" s="1"/>
      <c r="BD1699" s="1"/>
      <c r="BE1699" s="1"/>
      <c r="BF1699" s="1"/>
      <c r="BG1699" s="1"/>
      <c r="BH1699" s="1"/>
      <c r="BI1699" s="1"/>
      <c r="BJ1699" s="1"/>
    </row>
    <row r="1700" spans="1:63" s="44" customFormat="1" ht="12" customHeight="1" x14ac:dyDescent="0.2">
      <c r="A1700" s="11" t="s">
        <v>8017</v>
      </c>
      <c r="B1700" s="68">
        <v>25</v>
      </c>
      <c r="C1700" s="11" t="s">
        <v>20</v>
      </c>
      <c r="D1700" s="11" t="s">
        <v>37</v>
      </c>
      <c r="E1700" s="11"/>
      <c r="F1700" s="69">
        <v>42400</v>
      </c>
      <c r="G1700" s="11" t="s">
        <v>22189</v>
      </c>
      <c r="H1700" s="8" t="s">
        <v>926</v>
      </c>
      <c r="I1700" s="11" t="s">
        <v>73</v>
      </c>
      <c r="J1700" s="17" t="s">
        <v>22190</v>
      </c>
      <c r="K1700" s="8" t="s">
        <v>74</v>
      </c>
      <c r="L1700" s="8" t="s">
        <v>22191</v>
      </c>
      <c r="M1700" s="68" t="s">
        <v>5411</v>
      </c>
      <c r="N1700" s="8" t="s">
        <v>23117</v>
      </c>
      <c r="O1700" s="8" t="s">
        <v>400</v>
      </c>
      <c r="P1700" s="11" t="s">
        <v>401</v>
      </c>
      <c r="Q1700" s="14" t="s">
        <v>22192</v>
      </c>
      <c r="R1700" s="8" t="s">
        <v>29</v>
      </c>
      <c r="S1700" s="13" t="s">
        <v>18</v>
      </c>
      <c r="T1700" s="68" t="s">
        <v>28345</v>
      </c>
      <c r="U1700" s="68" t="s">
        <v>29438</v>
      </c>
      <c r="V1700" s="68" t="s">
        <v>29439</v>
      </c>
      <c r="W1700" s="68" t="s">
        <v>100</v>
      </c>
      <c r="X1700" s="68">
        <v>1225</v>
      </c>
      <c r="Y1700" s="11"/>
      <c r="Z1700" s="11"/>
      <c r="AA1700" s="11"/>
      <c r="AB1700" s="11"/>
      <c r="AC1700" s="11"/>
      <c r="AD1700" s="11"/>
      <c r="AE1700" s="11"/>
      <c r="AF1700" s="11"/>
      <c r="AG1700" s="11"/>
      <c r="AH1700" s="11"/>
      <c r="AI1700" s="11"/>
      <c r="AW1700" s="11"/>
      <c r="AX1700" s="1"/>
      <c r="AY1700" s="1"/>
      <c r="AZ1700" s="11"/>
      <c r="BA1700" s="1"/>
      <c r="BB1700" s="70"/>
      <c r="BC1700" s="1"/>
      <c r="BD1700" s="1"/>
      <c r="BE1700" s="1"/>
      <c r="BF1700" s="1"/>
      <c r="BG1700" s="1"/>
      <c r="BH1700" s="1"/>
      <c r="BI1700" s="1"/>
      <c r="BJ1700" s="1"/>
      <c r="BK1700" s="1"/>
    </row>
    <row r="1701" spans="1:63" s="44" customFormat="1" ht="12" customHeight="1" x14ac:dyDescent="0.2">
      <c r="A1701" s="11" t="s">
        <v>21471</v>
      </c>
      <c r="B1701" s="68">
        <v>37</v>
      </c>
      <c r="C1701" s="11" t="s">
        <v>20</v>
      </c>
      <c r="D1701" s="11" t="s">
        <v>85</v>
      </c>
      <c r="E1701" s="11"/>
      <c r="F1701" s="69">
        <v>42400</v>
      </c>
      <c r="G1701" s="11" t="s">
        <v>21472</v>
      </c>
      <c r="H1701" s="8" t="s">
        <v>1633</v>
      </c>
      <c r="I1701" s="11" t="s">
        <v>404</v>
      </c>
      <c r="J1701" s="47" t="s">
        <v>10306</v>
      </c>
      <c r="K1701" s="8" t="s">
        <v>1635</v>
      </c>
      <c r="L1701" s="8" t="s">
        <v>21473</v>
      </c>
      <c r="M1701" s="68" t="s">
        <v>5411</v>
      </c>
      <c r="N1701" s="8" t="s">
        <v>22966</v>
      </c>
      <c r="O1701" s="8" t="s">
        <v>400</v>
      </c>
      <c r="P1701" s="11" t="s">
        <v>401</v>
      </c>
      <c r="Q1701" s="14" t="s">
        <v>21474</v>
      </c>
      <c r="R1701" s="8" t="s">
        <v>555</v>
      </c>
      <c r="S1701" s="8" t="s">
        <v>28</v>
      </c>
      <c r="T1701" s="68" t="s">
        <v>29493</v>
      </c>
      <c r="U1701" s="68" t="s">
        <v>29438</v>
      </c>
      <c r="V1701" s="68" t="s">
        <v>29439</v>
      </c>
      <c r="W1701" s="68" t="s">
        <v>100</v>
      </c>
      <c r="X1701" s="68">
        <v>1220</v>
      </c>
      <c r="Y1701" s="11"/>
      <c r="Z1701" s="11"/>
      <c r="AA1701" s="11"/>
      <c r="AB1701" s="11"/>
      <c r="AC1701" s="11"/>
      <c r="AD1701" s="11"/>
      <c r="AE1701" s="11"/>
      <c r="AF1701" s="11"/>
      <c r="AG1701" s="11"/>
      <c r="AH1701" s="1"/>
      <c r="AI1701" s="1"/>
      <c r="AW1701" s="11"/>
      <c r="BA1701" s="11"/>
      <c r="BB1701" s="70"/>
      <c r="BC1701" s="11"/>
      <c r="BD1701" s="11"/>
      <c r="BE1701" s="11"/>
      <c r="BF1701" s="11"/>
      <c r="BG1701" s="11"/>
      <c r="BH1701" s="11"/>
      <c r="BI1701" s="11"/>
      <c r="BJ1701" s="11"/>
      <c r="BK1701" s="1"/>
    </row>
    <row r="1702" spans="1:63" s="44" customFormat="1" ht="12" customHeight="1" x14ac:dyDescent="0.15">
      <c r="A1702" s="11" t="s">
        <v>21867</v>
      </c>
      <c r="B1702" s="68">
        <v>62</v>
      </c>
      <c r="C1702" s="11" t="s">
        <v>20</v>
      </c>
      <c r="D1702" s="11" t="s">
        <v>30</v>
      </c>
      <c r="E1702" s="11"/>
      <c r="F1702" s="69">
        <v>42400</v>
      </c>
      <c r="G1702" s="11" t="s">
        <v>21868</v>
      </c>
      <c r="H1702" s="8" t="s">
        <v>526</v>
      </c>
      <c r="I1702" s="11" t="s">
        <v>45</v>
      </c>
      <c r="J1702" s="17" t="s">
        <v>21869</v>
      </c>
      <c r="K1702" s="8" t="s">
        <v>602</v>
      </c>
      <c r="L1702" s="8" t="s">
        <v>22921</v>
      </c>
      <c r="M1702" s="8" t="s">
        <v>27</v>
      </c>
      <c r="N1702" s="8" t="s">
        <v>21870</v>
      </c>
      <c r="O1702" s="8" t="s">
        <v>400</v>
      </c>
      <c r="P1702" s="11" t="s">
        <v>401</v>
      </c>
      <c r="Q1702" s="14" t="s">
        <v>21871</v>
      </c>
      <c r="R1702" s="8" t="s">
        <v>555</v>
      </c>
      <c r="S1702" s="8" t="s">
        <v>28</v>
      </c>
      <c r="T1702" s="68" t="s">
        <v>27756</v>
      </c>
      <c r="U1702" s="68" t="s">
        <v>29438</v>
      </c>
      <c r="V1702" s="68" t="s">
        <v>29439</v>
      </c>
      <c r="W1702" s="68" t="s">
        <v>100</v>
      </c>
      <c r="X1702" s="68">
        <v>1229</v>
      </c>
      <c r="Y1702" s="11"/>
      <c r="Z1702" s="11"/>
      <c r="AA1702" s="11"/>
      <c r="AB1702" s="11"/>
      <c r="AC1702" s="11"/>
      <c r="AD1702" s="11"/>
      <c r="AE1702" s="11"/>
      <c r="AF1702" s="11"/>
      <c r="AG1702" s="11"/>
      <c r="AH1702" s="11"/>
      <c r="AI1702" s="11"/>
      <c r="AU1702" s="1"/>
      <c r="AV1702" s="1"/>
      <c r="AW1702" s="1"/>
      <c r="AX1702" s="1"/>
      <c r="AY1702" s="1"/>
      <c r="BA1702" s="11"/>
      <c r="BC1702" s="1"/>
      <c r="BD1702" s="1"/>
      <c r="BE1702" s="1"/>
      <c r="BF1702" s="1"/>
      <c r="BG1702" s="1"/>
      <c r="BH1702" s="1"/>
      <c r="BI1702" s="1"/>
      <c r="BJ1702" s="1"/>
    </row>
    <row r="1703" spans="1:63" s="44" customFormat="1" ht="12" customHeight="1" x14ac:dyDescent="0.15">
      <c r="A1703" s="11" t="s">
        <v>21570</v>
      </c>
      <c r="B1703" s="68">
        <v>29</v>
      </c>
      <c r="C1703" s="11" t="s">
        <v>20</v>
      </c>
      <c r="D1703" s="11" t="s">
        <v>85</v>
      </c>
      <c r="E1703" s="11"/>
      <c r="F1703" s="69">
        <v>42399</v>
      </c>
      <c r="G1703" s="11" t="s">
        <v>21571</v>
      </c>
      <c r="H1703" s="8" t="s">
        <v>87</v>
      </c>
      <c r="I1703" s="11" t="s">
        <v>44</v>
      </c>
      <c r="J1703" s="47" t="s">
        <v>9619</v>
      </c>
      <c r="K1703" s="8" t="s">
        <v>88</v>
      </c>
      <c r="L1703" s="8" t="s">
        <v>89</v>
      </c>
      <c r="M1703" s="8" t="s">
        <v>27</v>
      </c>
      <c r="N1703" s="8" t="s">
        <v>21572</v>
      </c>
      <c r="O1703" s="8" t="s">
        <v>400</v>
      </c>
      <c r="P1703" s="11" t="s">
        <v>401</v>
      </c>
      <c r="Q1703" s="14" t="s">
        <v>21573</v>
      </c>
      <c r="R1703" s="8" t="s">
        <v>100</v>
      </c>
      <c r="S1703" s="8" t="s">
        <v>28</v>
      </c>
      <c r="T1703" s="68" t="s">
        <v>27756</v>
      </c>
      <c r="U1703" s="68" t="s">
        <v>29438</v>
      </c>
      <c r="V1703" s="68" t="s">
        <v>29439</v>
      </c>
      <c r="W1703" s="68" t="s">
        <v>100</v>
      </c>
      <c r="X1703" s="68">
        <v>1221</v>
      </c>
      <c r="Y1703" s="11"/>
      <c r="Z1703" s="11"/>
      <c r="AA1703" s="11"/>
      <c r="AB1703" s="11"/>
      <c r="AC1703" s="11"/>
      <c r="AD1703" s="11"/>
      <c r="AE1703" s="11"/>
      <c r="AF1703" s="11"/>
      <c r="AG1703" s="11"/>
      <c r="AH1703" s="1"/>
      <c r="AI1703" s="1"/>
      <c r="AX1703" s="11"/>
      <c r="AY1703" s="11"/>
      <c r="AZ1703" s="11"/>
      <c r="BC1703" s="11"/>
      <c r="BD1703" s="11"/>
      <c r="BE1703" s="11"/>
      <c r="BF1703" s="11"/>
      <c r="BG1703" s="11"/>
      <c r="BH1703" s="11"/>
      <c r="BI1703" s="11"/>
      <c r="BJ1703" s="11"/>
    </row>
    <row r="1704" spans="1:63" s="44" customFormat="1" ht="12" customHeight="1" x14ac:dyDescent="0.15">
      <c r="A1704" s="11" t="s">
        <v>22049</v>
      </c>
      <c r="B1704" s="68">
        <v>42</v>
      </c>
      <c r="C1704" s="11" t="s">
        <v>20</v>
      </c>
      <c r="D1704" s="11" t="s">
        <v>37</v>
      </c>
      <c r="E1704" s="11"/>
      <c r="F1704" s="69">
        <v>42399</v>
      </c>
      <c r="G1704" s="11"/>
      <c r="H1704" s="8" t="s">
        <v>1411</v>
      </c>
      <c r="I1704" s="11" t="s">
        <v>431</v>
      </c>
      <c r="J1704" s="17" t="s">
        <v>22050</v>
      </c>
      <c r="K1704" s="8" t="s">
        <v>3395</v>
      </c>
      <c r="L1704" s="8" t="s">
        <v>22051</v>
      </c>
      <c r="M1704" s="8" t="s">
        <v>27</v>
      </c>
      <c r="N1704" s="8" t="s">
        <v>22052</v>
      </c>
      <c r="O1704" s="8" t="s">
        <v>400</v>
      </c>
      <c r="P1704" s="11" t="s">
        <v>401</v>
      </c>
      <c r="Q1704" s="14" t="s">
        <v>22053</v>
      </c>
      <c r="R1704" s="8" t="s">
        <v>100</v>
      </c>
      <c r="S1704" s="8" t="s">
        <v>28</v>
      </c>
      <c r="T1704" s="68" t="s">
        <v>27756</v>
      </c>
      <c r="U1704" s="68" t="s">
        <v>29438</v>
      </c>
      <c r="V1704" s="68" t="s">
        <v>29437</v>
      </c>
      <c r="W1704" s="68" t="s">
        <v>100</v>
      </c>
      <c r="X1704" s="68">
        <v>1230</v>
      </c>
      <c r="Y1704" s="11"/>
      <c r="Z1704" s="11"/>
      <c r="AA1704" s="11"/>
      <c r="AB1704" s="11"/>
      <c r="AC1704" s="11"/>
      <c r="AD1704" s="11"/>
      <c r="AE1704" s="11"/>
      <c r="AF1704" s="11"/>
      <c r="AG1704" s="11"/>
      <c r="AH1704" s="11"/>
      <c r="AI1704" s="11"/>
      <c r="AW1704" s="1"/>
      <c r="AX1704" s="1"/>
      <c r="AY1704" s="1"/>
      <c r="AZ1704" s="11"/>
      <c r="BC1704" s="1"/>
      <c r="BD1704" s="1"/>
      <c r="BE1704" s="1"/>
      <c r="BF1704" s="1"/>
      <c r="BG1704" s="1"/>
      <c r="BH1704" s="1"/>
      <c r="BI1704" s="1"/>
      <c r="BJ1704" s="1"/>
    </row>
    <row r="1705" spans="1:63" s="44" customFormat="1" ht="12" customHeight="1" x14ac:dyDescent="0.15">
      <c r="A1705" s="11" t="s">
        <v>21776</v>
      </c>
      <c r="B1705" s="68">
        <v>38</v>
      </c>
      <c r="C1705" s="11" t="s">
        <v>20</v>
      </c>
      <c r="D1705" s="11" t="s">
        <v>48</v>
      </c>
      <c r="E1705" s="11"/>
      <c r="F1705" s="69">
        <v>42399</v>
      </c>
      <c r="G1705" s="11" t="s">
        <v>21777</v>
      </c>
      <c r="H1705" s="8" t="s">
        <v>1171</v>
      </c>
      <c r="I1705" s="11" t="s">
        <v>209</v>
      </c>
      <c r="J1705" s="17" t="s">
        <v>21778</v>
      </c>
      <c r="K1705" s="8" t="s">
        <v>553</v>
      </c>
      <c r="L1705" s="8" t="s">
        <v>21779</v>
      </c>
      <c r="M1705" s="8" t="s">
        <v>27</v>
      </c>
      <c r="N1705" s="8" t="s">
        <v>23139</v>
      </c>
      <c r="O1705" s="8" t="s">
        <v>400</v>
      </c>
      <c r="P1705" s="11" t="s">
        <v>401</v>
      </c>
      <c r="Q1705" s="14" t="s">
        <v>21780</v>
      </c>
      <c r="R1705" s="8" t="s">
        <v>100</v>
      </c>
      <c r="S1705" s="8" t="s">
        <v>35</v>
      </c>
      <c r="T1705" s="68" t="s">
        <v>29496</v>
      </c>
      <c r="U1705" s="68" t="s">
        <v>29436</v>
      </c>
      <c r="V1705" s="68" t="s">
        <v>29439</v>
      </c>
      <c r="W1705" s="68" t="s">
        <v>100</v>
      </c>
      <c r="X1705" s="68">
        <v>1222</v>
      </c>
      <c r="Y1705" s="11"/>
      <c r="Z1705" s="11"/>
      <c r="AA1705" s="11"/>
      <c r="AB1705" s="11"/>
      <c r="AC1705" s="11"/>
      <c r="AD1705" s="11"/>
      <c r="AE1705" s="11"/>
      <c r="AF1705" s="11"/>
      <c r="AG1705" s="11"/>
      <c r="AH1705" s="11"/>
      <c r="AI1705" s="11"/>
      <c r="AX1705" s="1"/>
      <c r="AY1705" s="1"/>
      <c r="AZ1705" s="11"/>
      <c r="BC1705" s="1"/>
      <c r="BD1705" s="1"/>
      <c r="BE1705" s="1"/>
      <c r="BF1705" s="1"/>
      <c r="BG1705" s="1"/>
      <c r="BH1705" s="1"/>
      <c r="BI1705" s="1"/>
      <c r="BJ1705" s="1"/>
      <c r="BK1705" s="1"/>
    </row>
    <row r="1706" spans="1:63" s="44" customFormat="1" ht="12" customHeight="1" x14ac:dyDescent="0.15">
      <c r="A1706" s="11" t="s">
        <v>21727</v>
      </c>
      <c r="B1706" s="68">
        <v>64</v>
      </c>
      <c r="C1706" s="11" t="s">
        <v>20</v>
      </c>
      <c r="D1706" s="11" t="s">
        <v>48</v>
      </c>
      <c r="E1706" s="11"/>
      <c r="F1706" s="69">
        <v>42399</v>
      </c>
      <c r="G1706" s="11" t="s">
        <v>21728</v>
      </c>
      <c r="H1706" s="8" t="s">
        <v>172</v>
      </c>
      <c r="I1706" s="11" t="s">
        <v>173</v>
      </c>
      <c r="J1706" s="17" t="s">
        <v>19805</v>
      </c>
      <c r="K1706" s="8" t="s">
        <v>174</v>
      </c>
      <c r="L1706" s="8" t="s">
        <v>21729</v>
      </c>
      <c r="M1706" s="8" t="s">
        <v>27</v>
      </c>
      <c r="N1706" s="8" t="s">
        <v>21730</v>
      </c>
      <c r="O1706" s="8" t="s">
        <v>400</v>
      </c>
      <c r="P1706" s="11" t="s">
        <v>401</v>
      </c>
      <c r="Q1706" s="14" t="s">
        <v>21731</v>
      </c>
      <c r="R1706" s="8" t="s">
        <v>555</v>
      </c>
      <c r="S1706" s="8" t="s">
        <v>28</v>
      </c>
      <c r="T1706" s="68" t="s">
        <v>27756</v>
      </c>
      <c r="U1706" s="68" t="s">
        <v>29438</v>
      </c>
      <c r="V1706" s="68" t="s">
        <v>29439</v>
      </c>
      <c r="W1706" s="68" t="s">
        <v>100</v>
      </c>
      <c r="X1706" s="68">
        <v>1224</v>
      </c>
      <c r="Y1706" s="11"/>
      <c r="Z1706" s="11"/>
      <c r="AA1706" s="11"/>
      <c r="AB1706" s="11"/>
      <c r="AC1706" s="11"/>
      <c r="AD1706" s="11"/>
      <c r="AE1706" s="11"/>
      <c r="AF1706" s="11"/>
      <c r="AG1706" s="11"/>
      <c r="AH1706" s="11"/>
      <c r="AI1706" s="11"/>
      <c r="AW1706" s="1"/>
      <c r="AX1706" s="1"/>
      <c r="AY1706" s="1"/>
      <c r="AZ1706" s="11"/>
      <c r="BA1706" s="11"/>
      <c r="BC1706" s="1"/>
      <c r="BD1706" s="1"/>
      <c r="BE1706" s="1"/>
      <c r="BF1706" s="1"/>
      <c r="BG1706" s="1"/>
      <c r="BH1706" s="1"/>
      <c r="BI1706" s="1"/>
      <c r="BJ1706" s="1"/>
    </row>
    <row r="1707" spans="1:63" s="44" customFormat="1" ht="12" customHeight="1" x14ac:dyDescent="0.15">
      <c r="A1707" s="11" t="s">
        <v>21374</v>
      </c>
      <c r="B1707" s="68">
        <v>33</v>
      </c>
      <c r="C1707" s="11" t="s">
        <v>20</v>
      </c>
      <c r="D1707" s="11" t="s">
        <v>85</v>
      </c>
      <c r="E1707" s="60" t="s">
        <v>21375</v>
      </c>
      <c r="F1707" s="69">
        <v>42398</v>
      </c>
      <c r="G1707" s="11" t="s">
        <v>21376</v>
      </c>
      <c r="H1707" s="8" t="s">
        <v>1272</v>
      </c>
      <c r="I1707" s="11" t="s">
        <v>46</v>
      </c>
      <c r="J1707" s="47" t="s">
        <v>21377</v>
      </c>
      <c r="K1707" s="8" t="s">
        <v>528</v>
      </c>
      <c r="L1707" s="8" t="s">
        <v>1273</v>
      </c>
      <c r="M1707" s="8" t="s">
        <v>27</v>
      </c>
      <c r="N1707" s="8" t="s">
        <v>21378</v>
      </c>
      <c r="O1707" s="8" t="s">
        <v>400</v>
      </c>
      <c r="P1707" s="11" t="s">
        <v>401</v>
      </c>
      <c r="Q1707" s="14" t="s">
        <v>21379</v>
      </c>
      <c r="R1707" s="8" t="s">
        <v>100</v>
      </c>
      <c r="S1707" s="8" t="s">
        <v>28</v>
      </c>
      <c r="T1707" s="68" t="s">
        <v>27756</v>
      </c>
      <c r="U1707" s="68" t="s">
        <v>29438</v>
      </c>
      <c r="V1707" s="68" t="s">
        <v>21212</v>
      </c>
      <c r="W1707" s="68" t="s">
        <v>100</v>
      </c>
      <c r="X1707" s="68">
        <v>1216</v>
      </c>
      <c r="Y1707" s="11"/>
      <c r="Z1707" s="11"/>
      <c r="AA1707" s="11"/>
      <c r="AB1707" s="11"/>
      <c r="AC1707" s="11"/>
      <c r="AD1707" s="11"/>
      <c r="AE1707" s="11"/>
      <c r="AF1707" s="11"/>
      <c r="AG1707" s="11"/>
      <c r="AH1707" s="1"/>
      <c r="AI1707" s="1"/>
      <c r="AW1707" s="11"/>
      <c r="AX1707" s="11"/>
      <c r="AY1707" s="11"/>
      <c r="AZ1707" s="11"/>
      <c r="BC1707" s="11"/>
      <c r="BD1707" s="11"/>
      <c r="BE1707" s="11"/>
      <c r="BF1707" s="11"/>
      <c r="BG1707" s="11"/>
      <c r="BH1707" s="11"/>
      <c r="BI1707" s="11"/>
      <c r="BJ1707" s="11"/>
    </row>
    <row r="1708" spans="1:63" s="44" customFormat="1" ht="12" customHeight="1" x14ac:dyDescent="0.15">
      <c r="A1708" s="11" t="s">
        <v>21460</v>
      </c>
      <c r="B1708" s="68">
        <v>29</v>
      </c>
      <c r="C1708" s="11" t="s">
        <v>20</v>
      </c>
      <c r="D1708" s="11" t="s">
        <v>85</v>
      </c>
      <c r="E1708" s="60" t="s">
        <v>21461</v>
      </c>
      <c r="F1708" s="69">
        <v>42398</v>
      </c>
      <c r="G1708" s="11" t="s">
        <v>21462</v>
      </c>
      <c r="H1708" s="8" t="s">
        <v>6133</v>
      </c>
      <c r="I1708" s="11" t="s">
        <v>73</v>
      </c>
      <c r="J1708" s="47" t="s">
        <v>6134</v>
      </c>
      <c r="K1708" s="8" t="s">
        <v>285</v>
      </c>
      <c r="L1708" s="8" t="s">
        <v>6135</v>
      </c>
      <c r="M1708" s="8" t="s">
        <v>27</v>
      </c>
      <c r="N1708" s="8" t="s">
        <v>21463</v>
      </c>
      <c r="O1708" s="8" t="s">
        <v>400</v>
      </c>
      <c r="P1708" s="11" t="s">
        <v>401</v>
      </c>
      <c r="Q1708" s="14" t="s">
        <v>21464</v>
      </c>
      <c r="R1708" s="8" t="s">
        <v>100</v>
      </c>
      <c r="S1708" s="8" t="s">
        <v>28</v>
      </c>
      <c r="T1708" s="68" t="s">
        <v>27756</v>
      </c>
      <c r="U1708" s="68" t="s">
        <v>29436</v>
      </c>
      <c r="V1708" s="68" t="s">
        <v>29439</v>
      </c>
      <c r="W1708" s="68" t="s">
        <v>100</v>
      </c>
      <c r="X1708" s="68">
        <v>1218</v>
      </c>
      <c r="Y1708" s="11"/>
      <c r="Z1708" s="11"/>
      <c r="AA1708" s="11"/>
      <c r="AB1708" s="11"/>
      <c r="AC1708" s="11"/>
      <c r="AD1708" s="11"/>
      <c r="AE1708" s="11"/>
      <c r="AF1708" s="11"/>
      <c r="AG1708" s="11"/>
      <c r="AH1708" s="1"/>
      <c r="AI1708" s="1"/>
      <c r="AX1708" s="11"/>
      <c r="AY1708" s="11"/>
      <c r="AZ1708" s="11"/>
      <c r="BC1708" s="11"/>
      <c r="BD1708" s="11"/>
      <c r="BE1708" s="11"/>
      <c r="BF1708" s="11"/>
      <c r="BG1708" s="11"/>
      <c r="BH1708" s="11"/>
      <c r="BI1708" s="11"/>
      <c r="BJ1708" s="11"/>
    </row>
    <row r="1709" spans="1:63" s="44" customFormat="1" ht="12" customHeight="1" x14ac:dyDescent="0.15">
      <c r="A1709" s="11" t="s">
        <v>21931</v>
      </c>
      <c r="B1709" s="68">
        <v>41</v>
      </c>
      <c r="C1709" s="11" t="s">
        <v>114</v>
      </c>
      <c r="D1709" s="11" t="s">
        <v>37</v>
      </c>
      <c r="E1709" s="11"/>
      <c r="F1709" s="69">
        <v>42398</v>
      </c>
      <c r="G1709" s="11" t="s">
        <v>21932</v>
      </c>
      <c r="H1709" s="8" t="s">
        <v>21933</v>
      </c>
      <c r="I1709" s="11" t="s">
        <v>94</v>
      </c>
      <c r="J1709" s="17" t="s">
        <v>21934</v>
      </c>
      <c r="K1709" s="8" t="s">
        <v>5538</v>
      </c>
      <c r="L1709" s="8" t="s">
        <v>7724</v>
      </c>
      <c r="M1709" s="8" t="s">
        <v>27</v>
      </c>
      <c r="N1709" s="8" t="s">
        <v>21935</v>
      </c>
      <c r="O1709" s="8" t="s">
        <v>400</v>
      </c>
      <c r="P1709" s="11" t="s">
        <v>401</v>
      </c>
      <c r="Q1709" s="14" t="s">
        <v>21936</v>
      </c>
      <c r="R1709" s="8" t="s">
        <v>100</v>
      </c>
      <c r="S1709" s="68" t="s">
        <v>379</v>
      </c>
      <c r="T1709" s="68" t="s">
        <v>379</v>
      </c>
      <c r="U1709" s="68" t="s">
        <v>29438</v>
      </c>
      <c r="V1709" s="68" t="s">
        <v>29437</v>
      </c>
      <c r="W1709" s="68" t="s">
        <v>100</v>
      </c>
      <c r="X1709" s="68">
        <v>1226</v>
      </c>
      <c r="Y1709" s="11"/>
      <c r="Z1709" s="11"/>
      <c r="AA1709" s="11"/>
      <c r="AB1709" s="11"/>
      <c r="AC1709" s="11"/>
      <c r="AD1709" s="11"/>
      <c r="AE1709" s="11"/>
      <c r="AF1709" s="11"/>
      <c r="AG1709" s="11"/>
      <c r="AH1709" s="11"/>
      <c r="AI1709" s="11"/>
      <c r="AW1709" s="1"/>
      <c r="AX1709" s="1"/>
      <c r="AY1709" s="1"/>
      <c r="AZ1709" s="11"/>
      <c r="BA1709" s="11"/>
      <c r="BC1709" s="1"/>
      <c r="BD1709" s="1"/>
      <c r="BE1709" s="1"/>
      <c r="BF1709" s="1"/>
      <c r="BG1709" s="1"/>
      <c r="BH1709" s="1"/>
      <c r="BI1709" s="1"/>
      <c r="BJ1709" s="1"/>
    </row>
    <row r="1710" spans="1:63" s="44" customFormat="1" ht="12" customHeight="1" x14ac:dyDescent="0.15">
      <c r="A1710" s="11" t="s">
        <v>23511</v>
      </c>
      <c r="B1710" s="11">
        <v>24</v>
      </c>
      <c r="C1710" s="11" t="s">
        <v>20</v>
      </c>
      <c r="D1710" s="11" t="s">
        <v>48</v>
      </c>
      <c r="E1710" s="44" t="s">
        <v>23589</v>
      </c>
      <c r="F1710" s="72">
        <v>42397</v>
      </c>
      <c r="G1710" s="11" t="s">
        <v>23590</v>
      </c>
      <c r="H1710" s="8" t="s">
        <v>15295</v>
      </c>
      <c r="I1710" s="11" t="s">
        <v>62</v>
      </c>
      <c r="J1710" s="44">
        <v>33026</v>
      </c>
      <c r="K1710" s="8" t="s">
        <v>1123</v>
      </c>
      <c r="L1710" s="8" t="s">
        <v>17398</v>
      </c>
      <c r="M1710" s="8" t="s">
        <v>379</v>
      </c>
      <c r="N1710" s="8" t="s">
        <v>23591</v>
      </c>
      <c r="O1710" s="8" t="s">
        <v>400</v>
      </c>
      <c r="P1710" s="11" t="s">
        <v>401</v>
      </c>
      <c r="Q1710" s="44" t="s">
        <v>23592</v>
      </c>
      <c r="R1710" s="8" t="s">
        <v>100</v>
      </c>
      <c r="S1710" s="8" t="s">
        <v>379</v>
      </c>
      <c r="AX1710" s="1"/>
      <c r="AY1710" s="1"/>
      <c r="AZ1710" s="1"/>
      <c r="BA1710" s="1"/>
      <c r="BB1710" s="1"/>
      <c r="BC1710" s="1"/>
      <c r="BD1710" s="1"/>
      <c r="BE1710" s="1"/>
      <c r="BF1710" s="1"/>
      <c r="BG1710" s="1"/>
      <c r="BH1710" s="1"/>
      <c r="BI1710" s="1"/>
      <c r="BJ1710" s="1"/>
      <c r="BK1710" s="1"/>
    </row>
    <row r="1711" spans="1:63" s="44" customFormat="1" ht="12" customHeight="1" x14ac:dyDescent="0.15">
      <c r="A1711" s="11" t="s">
        <v>21811</v>
      </c>
      <c r="B1711" s="68">
        <v>32</v>
      </c>
      <c r="C1711" s="11" t="s">
        <v>114</v>
      </c>
      <c r="D1711" s="11" t="s">
        <v>139</v>
      </c>
      <c r="E1711" s="60" t="s">
        <v>21812</v>
      </c>
      <c r="F1711" s="69">
        <v>42397</v>
      </c>
      <c r="G1711" s="11" t="s">
        <v>21813</v>
      </c>
      <c r="H1711" s="8" t="s">
        <v>882</v>
      </c>
      <c r="I1711" s="11" t="s">
        <v>303</v>
      </c>
      <c r="J1711" s="17" t="s">
        <v>21814</v>
      </c>
      <c r="K1711" s="8" t="s">
        <v>883</v>
      </c>
      <c r="L1711" s="8" t="s">
        <v>884</v>
      </c>
      <c r="M1711" s="8" t="s">
        <v>27</v>
      </c>
      <c r="N1711" s="8" t="s">
        <v>21815</v>
      </c>
      <c r="O1711" s="8" t="s">
        <v>400</v>
      </c>
      <c r="P1711" s="11" t="s">
        <v>401</v>
      </c>
      <c r="Q1711" s="14" t="s">
        <v>21816</v>
      </c>
      <c r="R1711" s="8" t="s">
        <v>100</v>
      </c>
      <c r="S1711" s="8" t="s">
        <v>379</v>
      </c>
      <c r="T1711" s="68" t="s">
        <v>379</v>
      </c>
      <c r="U1711" s="68" t="s">
        <v>29436</v>
      </c>
      <c r="V1711" s="68" t="s">
        <v>29439</v>
      </c>
      <c r="W1711" s="68" t="s">
        <v>100</v>
      </c>
      <c r="X1711" s="68">
        <v>1213</v>
      </c>
      <c r="Y1711" s="11"/>
      <c r="Z1711" s="11"/>
      <c r="AA1711" s="11"/>
      <c r="AB1711" s="11"/>
      <c r="AC1711" s="11"/>
      <c r="AD1711" s="11"/>
      <c r="AE1711" s="11"/>
      <c r="AF1711" s="11"/>
      <c r="AG1711" s="11"/>
      <c r="AH1711" s="11"/>
      <c r="AI1711" s="11"/>
      <c r="AW1711" s="11"/>
      <c r="AX1711" s="1"/>
      <c r="AY1711" s="1"/>
      <c r="AZ1711" s="11"/>
      <c r="BA1711" s="11"/>
      <c r="BC1711" s="1"/>
      <c r="BD1711" s="1"/>
      <c r="BE1711" s="1"/>
      <c r="BF1711" s="1"/>
      <c r="BG1711" s="1"/>
      <c r="BH1711" s="1"/>
      <c r="BI1711" s="1"/>
      <c r="BJ1711" s="1"/>
    </row>
    <row r="1712" spans="1:63" s="44" customFormat="1" ht="12" customHeight="1" x14ac:dyDescent="0.2">
      <c r="A1712" s="11" t="s">
        <v>21443</v>
      </c>
      <c r="B1712" s="68">
        <v>19</v>
      </c>
      <c r="C1712" s="11" t="s">
        <v>20</v>
      </c>
      <c r="D1712" s="11" t="s">
        <v>85</v>
      </c>
      <c r="E1712" s="60" t="s">
        <v>21444</v>
      </c>
      <c r="F1712" s="69">
        <v>42397</v>
      </c>
      <c r="G1712" s="11" t="s">
        <v>21445</v>
      </c>
      <c r="H1712" s="8" t="s">
        <v>21446</v>
      </c>
      <c r="I1712" s="11" t="s">
        <v>117</v>
      </c>
      <c r="J1712" s="47" t="s">
        <v>21447</v>
      </c>
      <c r="K1712" s="8" t="s">
        <v>4256</v>
      </c>
      <c r="L1712" s="8" t="s">
        <v>4257</v>
      </c>
      <c r="M1712" s="8" t="s">
        <v>27</v>
      </c>
      <c r="N1712" s="8" t="s">
        <v>21448</v>
      </c>
      <c r="O1712" s="8" t="s">
        <v>400</v>
      </c>
      <c r="P1712" s="11" t="s">
        <v>401</v>
      </c>
      <c r="Q1712" s="14" t="s">
        <v>21449</v>
      </c>
      <c r="R1712" s="8" t="s">
        <v>555</v>
      </c>
      <c r="S1712" s="8" t="s">
        <v>28</v>
      </c>
      <c r="T1712" s="68" t="s">
        <v>27756</v>
      </c>
      <c r="U1712" s="68" t="s">
        <v>29436</v>
      </c>
      <c r="V1712" s="68" t="s">
        <v>29439</v>
      </c>
      <c r="W1712" s="68" t="s">
        <v>100</v>
      </c>
      <c r="X1712" s="68">
        <v>1215</v>
      </c>
      <c r="Y1712" s="11"/>
      <c r="Z1712" s="11"/>
      <c r="AA1712" s="11"/>
      <c r="AB1712" s="11"/>
      <c r="AC1712" s="11"/>
      <c r="AD1712" s="11"/>
      <c r="AE1712" s="11"/>
      <c r="AF1712" s="11"/>
      <c r="AG1712" s="11"/>
      <c r="AW1712" s="70"/>
      <c r="AX1712" s="70"/>
      <c r="AY1712" s="70"/>
      <c r="AZ1712" s="11"/>
      <c r="BA1712" s="11"/>
      <c r="BC1712" s="11"/>
      <c r="BD1712" s="11"/>
      <c r="BE1712" s="11"/>
      <c r="BF1712" s="11"/>
      <c r="BG1712" s="11"/>
      <c r="BH1712" s="11"/>
      <c r="BI1712" s="11"/>
      <c r="BJ1712" s="11"/>
    </row>
    <row r="1713" spans="1:63" s="11" customFormat="1" ht="12" customHeight="1" x14ac:dyDescent="0.15">
      <c r="A1713" s="11" t="s">
        <v>22693</v>
      </c>
      <c r="B1713" s="68">
        <v>33</v>
      </c>
      <c r="C1713" s="11" t="s">
        <v>20</v>
      </c>
      <c r="D1713" s="11" t="s">
        <v>37</v>
      </c>
      <c r="E1713" s="60" t="s">
        <v>22694</v>
      </c>
      <c r="F1713" s="69">
        <v>42397</v>
      </c>
      <c r="G1713" s="11" t="s">
        <v>22695</v>
      </c>
      <c r="H1713" s="8" t="s">
        <v>1627</v>
      </c>
      <c r="I1713" s="11" t="s">
        <v>463</v>
      </c>
      <c r="J1713" s="17" t="s">
        <v>4625</v>
      </c>
      <c r="K1713" s="8" t="s">
        <v>938</v>
      </c>
      <c r="L1713" s="8" t="s">
        <v>2253</v>
      </c>
      <c r="M1713" s="8" t="s">
        <v>27</v>
      </c>
      <c r="N1713" s="8" t="s">
        <v>22696</v>
      </c>
      <c r="O1713" s="8" t="s">
        <v>400</v>
      </c>
      <c r="P1713" s="11" t="s">
        <v>401</v>
      </c>
      <c r="Q1713" s="14" t="s">
        <v>22697</v>
      </c>
      <c r="R1713" s="8" t="s">
        <v>555</v>
      </c>
      <c r="S1713" s="2" t="s">
        <v>28</v>
      </c>
      <c r="T1713" s="68" t="s">
        <v>27756</v>
      </c>
      <c r="U1713" s="68" t="s">
        <v>29438</v>
      </c>
      <c r="V1713" s="68" t="s">
        <v>29440</v>
      </c>
      <c r="W1713" s="68" t="s">
        <v>100</v>
      </c>
      <c r="X1713" s="68">
        <v>1214</v>
      </c>
      <c r="AJ1713" s="44"/>
      <c r="AK1713" s="44"/>
      <c r="AL1713" s="44"/>
      <c r="AM1713" s="44"/>
      <c r="AN1713" s="44"/>
      <c r="AO1713" s="44"/>
      <c r="AP1713" s="44"/>
      <c r="AQ1713" s="44"/>
      <c r="AR1713" s="44"/>
      <c r="AS1713" s="44"/>
      <c r="AT1713" s="44"/>
      <c r="AU1713" s="44"/>
      <c r="AV1713" s="44"/>
      <c r="AX1713" s="1"/>
      <c r="AY1713" s="1"/>
      <c r="BB1713" s="44"/>
      <c r="BC1713" s="1"/>
      <c r="BD1713" s="1"/>
      <c r="BE1713" s="1"/>
      <c r="BF1713" s="1"/>
      <c r="BG1713" s="1"/>
      <c r="BH1713" s="1"/>
      <c r="BI1713" s="1"/>
      <c r="BJ1713" s="1"/>
      <c r="BK1713" s="44"/>
    </row>
    <row r="1714" spans="1:63" s="11" customFormat="1" ht="12" customHeight="1" x14ac:dyDescent="0.15">
      <c r="A1714" s="11" t="s">
        <v>21548</v>
      </c>
      <c r="B1714" s="68">
        <v>32</v>
      </c>
      <c r="C1714" s="11" t="s">
        <v>20</v>
      </c>
      <c r="D1714" s="11" t="s">
        <v>85</v>
      </c>
      <c r="E1714" s="60" t="s">
        <v>21549</v>
      </c>
      <c r="F1714" s="69">
        <v>42396</v>
      </c>
      <c r="G1714" s="11" t="s">
        <v>21550</v>
      </c>
      <c r="H1714" s="8" t="s">
        <v>1192</v>
      </c>
      <c r="I1714" s="11" t="s">
        <v>319</v>
      </c>
      <c r="J1714" s="47" t="s">
        <v>21551</v>
      </c>
      <c r="K1714" s="8" t="s">
        <v>1193</v>
      </c>
      <c r="L1714" s="8" t="s">
        <v>1194</v>
      </c>
      <c r="M1714" s="8" t="s">
        <v>27</v>
      </c>
      <c r="N1714" s="8" t="s">
        <v>22972</v>
      </c>
      <c r="O1714" s="8" t="s">
        <v>400</v>
      </c>
      <c r="P1714" s="11" t="s">
        <v>401</v>
      </c>
      <c r="Q1714" s="14" t="s">
        <v>21552</v>
      </c>
      <c r="R1714" s="8" t="s">
        <v>100</v>
      </c>
      <c r="S1714" s="2" t="s">
        <v>28</v>
      </c>
      <c r="T1714" s="68" t="s">
        <v>27756</v>
      </c>
      <c r="U1714" s="68" t="s">
        <v>29438</v>
      </c>
      <c r="V1714" s="68" t="s">
        <v>21212</v>
      </c>
      <c r="W1714" s="68" t="s">
        <v>555</v>
      </c>
      <c r="X1714" s="68">
        <v>1205</v>
      </c>
      <c r="AH1714" s="44"/>
      <c r="AI1714" s="44"/>
      <c r="AJ1714" s="44"/>
      <c r="AK1714" s="44"/>
      <c r="AL1714" s="44"/>
      <c r="AM1714" s="44"/>
      <c r="AN1714" s="44"/>
      <c r="AO1714" s="44"/>
      <c r="AP1714" s="44"/>
      <c r="AQ1714" s="44"/>
      <c r="AR1714" s="44"/>
      <c r="AS1714" s="44"/>
      <c r="AT1714" s="44"/>
      <c r="AU1714" s="44"/>
      <c r="AV1714" s="44"/>
      <c r="BB1714" s="44"/>
    </row>
    <row r="1715" spans="1:63" s="11" customFormat="1" ht="12" customHeight="1" x14ac:dyDescent="0.15">
      <c r="A1715" s="11" t="s">
        <v>21625</v>
      </c>
      <c r="B1715" s="68">
        <v>26</v>
      </c>
      <c r="C1715" s="11" t="s">
        <v>20</v>
      </c>
      <c r="D1715" s="11" t="s">
        <v>48</v>
      </c>
      <c r="E1715" s="60" t="s">
        <v>21626</v>
      </c>
      <c r="F1715" s="69">
        <v>42396</v>
      </c>
      <c r="G1715" s="11" t="s">
        <v>21627</v>
      </c>
      <c r="H1715" s="8" t="s">
        <v>6277</v>
      </c>
      <c r="I1715" s="11" t="s">
        <v>173</v>
      </c>
      <c r="J1715" s="17" t="s">
        <v>12369</v>
      </c>
      <c r="K1715" s="8" t="s">
        <v>3309</v>
      </c>
      <c r="L1715" s="8" t="s">
        <v>21628</v>
      </c>
      <c r="M1715" s="8" t="s">
        <v>27</v>
      </c>
      <c r="N1715" s="8" t="s">
        <v>23105</v>
      </c>
      <c r="O1715" s="8" t="s">
        <v>400</v>
      </c>
      <c r="P1715" s="11" t="s">
        <v>401</v>
      </c>
      <c r="Q1715" s="14" t="s">
        <v>21629</v>
      </c>
      <c r="R1715" s="8" t="s">
        <v>100</v>
      </c>
      <c r="S1715" s="8" t="s">
        <v>28</v>
      </c>
      <c r="T1715" s="68" t="s">
        <v>27756</v>
      </c>
      <c r="U1715" s="68" t="s">
        <v>29438</v>
      </c>
      <c r="V1715" s="68" t="s">
        <v>29437</v>
      </c>
      <c r="W1715" s="68" t="s">
        <v>100</v>
      </c>
      <c r="X1715" s="68">
        <v>1212</v>
      </c>
      <c r="AJ1715" s="44"/>
      <c r="AK1715" s="44"/>
      <c r="AL1715" s="44"/>
      <c r="AM1715" s="44"/>
      <c r="AN1715" s="44"/>
      <c r="AO1715" s="44"/>
      <c r="AP1715" s="44"/>
      <c r="AQ1715" s="44"/>
      <c r="AR1715" s="44"/>
      <c r="AS1715" s="44"/>
      <c r="AT1715" s="44"/>
      <c r="AU1715" s="44"/>
      <c r="AV1715" s="44"/>
      <c r="AW1715" s="44"/>
      <c r="AX1715" s="1"/>
      <c r="AY1715" s="1"/>
      <c r="BB1715" s="44"/>
      <c r="BC1715" s="1"/>
      <c r="BD1715" s="1"/>
      <c r="BE1715" s="1"/>
      <c r="BF1715" s="1"/>
      <c r="BG1715" s="1"/>
      <c r="BH1715" s="1"/>
      <c r="BI1715" s="1"/>
      <c r="BJ1715" s="1"/>
      <c r="BK1715" s="44"/>
    </row>
    <row r="1716" spans="1:63" s="11" customFormat="1" ht="12" customHeight="1" x14ac:dyDescent="0.15">
      <c r="A1716" s="11" t="s">
        <v>21890</v>
      </c>
      <c r="B1716" s="68">
        <v>31</v>
      </c>
      <c r="C1716" s="11" t="s">
        <v>20</v>
      </c>
      <c r="D1716" s="11" t="s">
        <v>48</v>
      </c>
      <c r="F1716" s="69">
        <v>42396</v>
      </c>
      <c r="G1716" s="11" t="s">
        <v>21891</v>
      </c>
      <c r="H1716" s="8" t="s">
        <v>628</v>
      </c>
      <c r="I1716" s="11" t="s">
        <v>195</v>
      </c>
      <c r="J1716" s="17" t="s">
        <v>13146</v>
      </c>
      <c r="K1716" s="8" t="s">
        <v>628</v>
      </c>
      <c r="L1716" s="8" t="s">
        <v>21892</v>
      </c>
      <c r="M1716" s="8" t="s">
        <v>27</v>
      </c>
      <c r="N1716" s="8" t="s">
        <v>21893</v>
      </c>
      <c r="O1716" s="8" t="s">
        <v>400</v>
      </c>
      <c r="P1716" s="11" t="s">
        <v>401</v>
      </c>
      <c r="Q1716" s="14" t="s">
        <v>21894</v>
      </c>
      <c r="R1716" s="8" t="s">
        <v>100</v>
      </c>
      <c r="S1716" s="8" t="s">
        <v>28</v>
      </c>
      <c r="T1716" s="68" t="s">
        <v>27756</v>
      </c>
      <c r="U1716" s="68" t="s">
        <v>29438</v>
      </c>
      <c r="V1716" s="68" t="s">
        <v>29439</v>
      </c>
      <c r="W1716" s="68" t="s">
        <v>100</v>
      </c>
      <c r="X1716" s="68">
        <v>1206</v>
      </c>
      <c r="AJ1716" s="44"/>
      <c r="AK1716" s="44"/>
      <c r="AL1716" s="44"/>
      <c r="AM1716" s="44"/>
      <c r="AN1716" s="44"/>
      <c r="AO1716" s="44"/>
      <c r="AP1716" s="44"/>
      <c r="AQ1716" s="44"/>
      <c r="AR1716" s="44"/>
      <c r="AS1716" s="44"/>
      <c r="AT1716" s="44"/>
      <c r="AU1716" s="44"/>
      <c r="AV1716" s="44"/>
      <c r="AX1716" s="1"/>
      <c r="AY1716" s="1"/>
      <c r="BB1716" s="44"/>
      <c r="BC1716" s="1"/>
      <c r="BD1716" s="1"/>
      <c r="BE1716" s="1"/>
      <c r="BF1716" s="1"/>
      <c r="BG1716" s="1"/>
      <c r="BH1716" s="1"/>
      <c r="BI1716" s="1"/>
      <c r="BJ1716" s="1"/>
      <c r="BK1716" s="44"/>
    </row>
    <row r="1717" spans="1:63" s="11" customFormat="1" ht="12" customHeight="1" x14ac:dyDescent="0.15">
      <c r="A1717" s="11" t="s">
        <v>22235</v>
      </c>
      <c r="B1717" s="68">
        <v>52</v>
      </c>
      <c r="C1717" s="11" t="s">
        <v>20</v>
      </c>
      <c r="D1717" s="11" t="s">
        <v>37</v>
      </c>
      <c r="E1717" s="60" t="s">
        <v>22236</v>
      </c>
      <c r="F1717" s="69">
        <v>42396</v>
      </c>
      <c r="G1717" s="11" t="s">
        <v>22237</v>
      </c>
      <c r="H1717" s="8" t="s">
        <v>22238</v>
      </c>
      <c r="I1717" s="11" t="s">
        <v>978</v>
      </c>
      <c r="J1717" s="17" t="s">
        <v>22239</v>
      </c>
      <c r="K1717" s="8" t="s">
        <v>2514</v>
      </c>
      <c r="L1717" s="8" t="s">
        <v>22240</v>
      </c>
      <c r="M1717" s="8" t="s">
        <v>27</v>
      </c>
      <c r="N1717" s="8" t="s">
        <v>22241</v>
      </c>
      <c r="O1717" s="8" t="s">
        <v>400</v>
      </c>
      <c r="P1717" s="11" t="s">
        <v>401</v>
      </c>
      <c r="Q1717" s="14" t="s">
        <v>22242</v>
      </c>
      <c r="R1717" s="8" t="s">
        <v>100</v>
      </c>
      <c r="S1717" s="8" t="s">
        <v>28</v>
      </c>
      <c r="T1717" s="68" t="s">
        <v>27756</v>
      </c>
      <c r="U1717" s="68" t="s">
        <v>29438</v>
      </c>
      <c r="V1717" s="68" t="s">
        <v>29439</v>
      </c>
      <c r="W1717" s="68" t="s">
        <v>100</v>
      </c>
      <c r="X1717" s="68">
        <v>1204</v>
      </c>
      <c r="AJ1717" s="44"/>
      <c r="AK1717" s="44"/>
      <c r="AL1717" s="44"/>
      <c r="AM1717" s="44"/>
      <c r="AN1717" s="44"/>
      <c r="AO1717" s="44"/>
      <c r="AP1717" s="44"/>
      <c r="AQ1717" s="44"/>
      <c r="AR1717" s="44"/>
      <c r="AS1717" s="44"/>
      <c r="AT1717" s="44"/>
      <c r="AU1717" s="44"/>
      <c r="AV1717" s="44"/>
      <c r="AW1717" s="1"/>
      <c r="AX1717" s="1"/>
      <c r="AY1717" s="1"/>
      <c r="BB1717" s="44"/>
      <c r="BC1717" s="1"/>
      <c r="BD1717" s="1"/>
      <c r="BE1717" s="1"/>
      <c r="BF1717" s="1"/>
      <c r="BG1717" s="1"/>
      <c r="BH1717" s="1"/>
      <c r="BI1717" s="1"/>
      <c r="BJ1717" s="1"/>
      <c r="BK1717" s="44"/>
    </row>
    <row r="1718" spans="1:63" s="11" customFormat="1" ht="12" customHeight="1" x14ac:dyDescent="0.15">
      <c r="A1718" s="11" t="s">
        <v>22516</v>
      </c>
      <c r="B1718" s="68">
        <v>27</v>
      </c>
      <c r="C1718" s="11" t="s">
        <v>20</v>
      </c>
      <c r="D1718" s="11" t="s">
        <v>37</v>
      </c>
      <c r="E1718" s="60" t="s">
        <v>22517</v>
      </c>
      <c r="F1718" s="69">
        <v>42396</v>
      </c>
      <c r="G1718" s="11" t="s">
        <v>22518</v>
      </c>
      <c r="H1718" s="8" t="s">
        <v>22519</v>
      </c>
      <c r="I1718" s="11" t="s">
        <v>32</v>
      </c>
      <c r="J1718" s="17" t="s">
        <v>22520</v>
      </c>
      <c r="K1718" s="8" t="s">
        <v>19273</v>
      </c>
      <c r="L1718" s="8" t="s">
        <v>22521</v>
      </c>
      <c r="M1718" s="8" t="s">
        <v>27</v>
      </c>
      <c r="N1718" s="8" t="s">
        <v>22522</v>
      </c>
      <c r="O1718" s="8" t="s">
        <v>400</v>
      </c>
      <c r="P1718" s="11" t="s">
        <v>401</v>
      </c>
      <c r="Q1718" s="14" t="s">
        <v>22523</v>
      </c>
      <c r="R1718" s="8" t="s">
        <v>100</v>
      </c>
      <c r="S1718" s="8" t="s">
        <v>28</v>
      </c>
      <c r="T1718" s="68" t="s">
        <v>29493</v>
      </c>
      <c r="U1718" s="68" t="s">
        <v>29436</v>
      </c>
      <c r="V1718" s="68" t="s">
        <v>29439</v>
      </c>
      <c r="W1718" s="68" t="s">
        <v>100</v>
      </c>
      <c r="X1718" s="68">
        <v>1207</v>
      </c>
      <c r="AJ1718" s="44"/>
      <c r="AK1718" s="44"/>
      <c r="AL1718" s="44"/>
      <c r="AM1718" s="44"/>
      <c r="AN1718" s="44"/>
      <c r="AO1718" s="44"/>
      <c r="AP1718" s="44"/>
      <c r="AQ1718" s="44"/>
      <c r="AR1718" s="44"/>
      <c r="AS1718" s="44"/>
      <c r="AT1718" s="44"/>
      <c r="AU1718" s="44"/>
      <c r="AV1718" s="44"/>
      <c r="AW1718" s="44"/>
      <c r="AX1718" s="1"/>
      <c r="AY1718" s="1"/>
      <c r="BB1718" s="44"/>
      <c r="BC1718" s="1"/>
      <c r="BD1718" s="1"/>
      <c r="BE1718" s="1"/>
      <c r="BF1718" s="1"/>
      <c r="BG1718" s="1"/>
      <c r="BH1718" s="1"/>
      <c r="BI1718" s="1"/>
      <c r="BJ1718" s="1"/>
      <c r="BK1718" s="44"/>
    </row>
    <row r="1719" spans="1:63" s="11" customFormat="1" ht="12" customHeight="1" x14ac:dyDescent="0.15">
      <c r="A1719" s="11" t="s">
        <v>21908</v>
      </c>
      <c r="B1719" s="68">
        <v>30</v>
      </c>
      <c r="C1719" s="11" t="s">
        <v>20</v>
      </c>
      <c r="D1719" s="68" t="s">
        <v>37</v>
      </c>
      <c r="F1719" s="69">
        <v>42396</v>
      </c>
      <c r="G1719" s="11" t="s">
        <v>21909</v>
      </c>
      <c r="H1719" s="8" t="s">
        <v>21910</v>
      </c>
      <c r="I1719" s="11" t="s">
        <v>73</v>
      </c>
      <c r="J1719" s="17" t="s">
        <v>21911</v>
      </c>
      <c r="K1719" s="8" t="s">
        <v>3288</v>
      </c>
      <c r="L1719" s="8" t="s">
        <v>15371</v>
      </c>
      <c r="M1719" s="8" t="s">
        <v>27</v>
      </c>
      <c r="N1719" s="8" t="s">
        <v>21912</v>
      </c>
      <c r="O1719" s="8" t="s">
        <v>400</v>
      </c>
      <c r="P1719" s="11" t="s">
        <v>401</v>
      </c>
      <c r="Q1719" s="14" t="s">
        <v>21913</v>
      </c>
      <c r="R1719" s="8" t="s">
        <v>100</v>
      </c>
      <c r="S1719" s="8" t="s">
        <v>28</v>
      </c>
      <c r="T1719" s="68" t="s">
        <v>27756</v>
      </c>
      <c r="U1719" s="68" t="s">
        <v>29438</v>
      </c>
      <c r="V1719" s="68" t="s">
        <v>29437</v>
      </c>
      <c r="W1719" s="68" t="s">
        <v>100</v>
      </c>
      <c r="X1719" s="68">
        <v>1210</v>
      </c>
      <c r="AJ1719" s="44"/>
      <c r="AK1719" s="44"/>
      <c r="AL1719" s="44"/>
      <c r="AM1719" s="44"/>
      <c r="AN1719" s="44"/>
      <c r="AO1719" s="44"/>
      <c r="AP1719" s="44"/>
      <c r="AQ1719" s="44"/>
      <c r="AR1719" s="44"/>
      <c r="AS1719" s="44"/>
      <c r="AT1719" s="44"/>
      <c r="AU1719" s="44"/>
      <c r="AV1719" s="44"/>
      <c r="AX1719" s="1"/>
      <c r="AY1719" s="1"/>
      <c r="BB1719" s="44"/>
      <c r="BC1719" s="1"/>
      <c r="BD1719" s="1"/>
      <c r="BE1719" s="1"/>
      <c r="BF1719" s="1"/>
      <c r="BG1719" s="1"/>
      <c r="BH1719" s="1"/>
      <c r="BI1719" s="1"/>
      <c r="BJ1719" s="1"/>
      <c r="BK1719" s="44"/>
    </row>
    <row r="1720" spans="1:63" s="11" customFormat="1" ht="12" customHeight="1" x14ac:dyDescent="0.2">
      <c r="A1720" s="11" t="s">
        <v>21319</v>
      </c>
      <c r="B1720" s="68">
        <v>40</v>
      </c>
      <c r="C1720" s="11" t="s">
        <v>20</v>
      </c>
      <c r="D1720" s="11" t="s">
        <v>21</v>
      </c>
      <c r="E1720" s="60" t="s">
        <v>21320</v>
      </c>
      <c r="F1720" s="69">
        <v>42396</v>
      </c>
      <c r="G1720" s="11" t="s">
        <v>21321</v>
      </c>
      <c r="H1720" s="8" t="s">
        <v>8792</v>
      </c>
      <c r="I1720" s="11" t="s">
        <v>319</v>
      </c>
      <c r="J1720" s="17" t="s">
        <v>21322</v>
      </c>
      <c r="K1720" s="8" t="s">
        <v>8794</v>
      </c>
      <c r="L1720" s="8" t="s">
        <v>21323</v>
      </c>
      <c r="M1720" s="8" t="s">
        <v>27</v>
      </c>
      <c r="N1720" s="8" t="s">
        <v>21324</v>
      </c>
      <c r="O1720" s="8" t="s">
        <v>400</v>
      </c>
      <c r="P1720" s="11" t="s">
        <v>401</v>
      </c>
      <c r="Q1720" s="14" t="s">
        <v>21325</v>
      </c>
      <c r="R1720" s="8" t="s">
        <v>555</v>
      </c>
      <c r="S1720" s="13" t="s">
        <v>18</v>
      </c>
      <c r="T1720" s="68" t="s">
        <v>29612</v>
      </c>
      <c r="U1720" s="68" t="s">
        <v>29436</v>
      </c>
      <c r="V1720" s="68" t="s">
        <v>29439</v>
      </c>
      <c r="W1720" s="68" t="s">
        <v>100</v>
      </c>
      <c r="X1720" s="68">
        <v>1208</v>
      </c>
      <c r="AJ1720" s="44"/>
      <c r="AK1720" s="44"/>
      <c r="AL1720" s="44"/>
      <c r="AM1720" s="44"/>
      <c r="AN1720" s="44"/>
      <c r="AO1720" s="44"/>
      <c r="AP1720" s="44"/>
      <c r="AQ1720" s="44"/>
      <c r="AR1720" s="44"/>
      <c r="AS1720" s="44"/>
      <c r="AT1720" s="44"/>
      <c r="AU1720" s="44"/>
      <c r="AV1720" s="44"/>
      <c r="AW1720" s="44"/>
      <c r="AX1720" s="70"/>
      <c r="AY1720" s="70"/>
      <c r="BB1720" s="44"/>
      <c r="BC1720" s="66"/>
      <c r="BD1720" s="66"/>
      <c r="BE1720" s="66"/>
      <c r="BF1720" s="66"/>
      <c r="BG1720" s="66"/>
      <c r="BH1720" s="66"/>
      <c r="BI1720" s="66"/>
      <c r="BJ1720" s="66"/>
      <c r="BK1720" s="1"/>
    </row>
    <row r="1721" spans="1:63" s="11" customFormat="1" ht="12" customHeight="1" x14ac:dyDescent="0.15">
      <c r="A1721" s="11" t="s">
        <v>21566</v>
      </c>
      <c r="B1721" s="68">
        <v>31</v>
      </c>
      <c r="C1721" s="11" t="s">
        <v>114</v>
      </c>
      <c r="D1721" s="11" t="s">
        <v>85</v>
      </c>
      <c r="E1721" s="60" t="s">
        <v>21567</v>
      </c>
      <c r="F1721" s="69">
        <v>42396</v>
      </c>
      <c r="G1721" s="11" t="s">
        <v>21568</v>
      </c>
      <c r="H1721" s="8" t="s">
        <v>5726</v>
      </c>
      <c r="I1721" s="11" t="s">
        <v>57</v>
      </c>
      <c r="J1721" s="47" t="s">
        <v>5727</v>
      </c>
      <c r="K1721" s="8" t="s">
        <v>1128</v>
      </c>
      <c r="L1721" s="8" t="s">
        <v>5728</v>
      </c>
      <c r="M1721" s="8" t="s">
        <v>27</v>
      </c>
      <c r="N1721" s="8" t="s">
        <v>23108</v>
      </c>
      <c r="O1721" s="8" t="s">
        <v>400</v>
      </c>
      <c r="P1721" s="11" t="s">
        <v>401</v>
      </c>
      <c r="Q1721" s="14" t="s">
        <v>21569</v>
      </c>
      <c r="R1721" s="8" t="s">
        <v>555</v>
      </c>
      <c r="S1721" s="8" t="s">
        <v>379</v>
      </c>
      <c r="T1721" s="68" t="s">
        <v>379</v>
      </c>
      <c r="U1721" s="68" t="s">
        <v>29436</v>
      </c>
      <c r="V1721" s="68" t="s">
        <v>29437</v>
      </c>
      <c r="W1721" s="68" t="s">
        <v>100</v>
      </c>
      <c r="X1721" s="68">
        <v>1209</v>
      </c>
      <c r="AH1721" s="44"/>
      <c r="AI1721" s="44"/>
      <c r="AJ1721" s="44"/>
      <c r="AK1721" s="44"/>
      <c r="AL1721" s="44"/>
      <c r="AM1721" s="44"/>
      <c r="AN1721" s="44"/>
      <c r="AO1721" s="44"/>
      <c r="AP1721" s="44"/>
      <c r="AQ1721" s="44"/>
      <c r="AR1721" s="44"/>
      <c r="AS1721" s="44"/>
      <c r="AT1721" s="44"/>
      <c r="AU1721" s="44"/>
      <c r="AV1721" s="44"/>
      <c r="BB1721" s="44"/>
      <c r="BK1721" s="44"/>
    </row>
    <row r="1722" spans="1:63" s="11" customFormat="1" ht="12" customHeight="1" x14ac:dyDescent="0.15">
      <c r="A1722" s="11" t="s">
        <v>22698</v>
      </c>
      <c r="B1722" s="68">
        <v>55</v>
      </c>
      <c r="C1722" s="11" t="s">
        <v>20</v>
      </c>
      <c r="D1722" s="11" t="s">
        <v>37</v>
      </c>
      <c r="E1722" s="60" t="s">
        <v>22699</v>
      </c>
      <c r="F1722" s="69">
        <v>42395</v>
      </c>
      <c r="G1722" s="11" t="s">
        <v>22700</v>
      </c>
      <c r="H1722" s="8" t="s">
        <v>1018</v>
      </c>
      <c r="I1722" s="11" t="s">
        <v>117</v>
      </c>
      <c r="J1722" s="17" t="s">
        <v>22701</v>
      </c>
      <c r="K1722" s="8" t="s">
        <v>22702</v>
      </c>
      <c r="L1722" s="8" t="s">
        <v>405</v>
      </c>
      <c r="M1722" s="8" t="s">
        <v>27</v>
      </c>
      <c r="N1722" s="8" t="s">
        <v>22703</v>
      </c>
      <c r="O1722" s="8" t="s">
        <v>400</v>
      </c>
      <c r="P1722" s="11" t="s">
        <v>401</v>
      </c>
      <c r="Q1722" s="14" t="s">
        <v>22704</v>
      </c>
      <c r="R1722" s="8" t="s">
        <v>100</v>
      </c>
      <c r="S1722" s="2" t="s">
        <v>28</v>
      </c>
      <c r="T1722" s="68" t="s">
        <v>27756</v>
      </c>
      <c r="U1722" s="68" t="s">
        <v>29436</v>
      </c>
      <c r="V1722" s="68" t="s">
        <v>29439</v>
      </c>
      <c r="W1722" s="68" t="s">
        <v>100</v>
      </c>
      <c r="X1722" s="68">
        <v>1203</v>
      </c>
      <c r="AJ1722" s="44"/>
      <c r="AK1722" s="44"/>
      <c r="AL1722" s="44"/>
      <c r="AM1722" s="44"/>
      <c r="AN1722" s="44"/>
      <c r="AO1722" s="44"/>
      <c r="AP1722" s="44"/>
      <c r="AQ1722" s="44"/>
      <c r="AR1722" s="44"/>
      <c r="AS1722" s="44"/>
      <c r="AT1722" s="44"/>
      <c r="AU1722" s="44"/>
      <c r="AV1722" s="44"/>
      <c r="AW1722" s="1"/>
      <c r="AX1722" s="1"/>
      <c r="AY1722" s="1"/>
      <c r="BB1722" s="44"/>
      <c r="BC1722" s="1"/>
      <c r="BD1722" s="1"/>
      <c r="BE1722" s="1"/>
      <c r="BF1722" s="1"/>
      <c r="BG1722" s="1"/>
      <c r="BH1722" s="1"/>
      <c r="BI1722" s="1"/>
      <c r="BJ1722" s="1"/>
      <c r="BK1722" s="44"/>
    </row>
    <row r="1723" spans="1:63" s="44" customFormat="1" ht="12" customHeight="1" x14ac:dyDescent="0.15">
      <c r="A1723" s="11" t="s">
        <v>22771</v>
      </c>
      <c r="B1723" s="11">
        <v>57</v>
      </c>
      <c r="C1723" s="11" t="s">
        <v>114</v>
      </c>
      <c r="D1723" s="11" t="s">
        <v>48</v>
      </c>
      <c r="E1723" s="11"/>
      <c r="F1723" s="72">
        <v>42395</v>
      </c>
      <c r="G1723" s="11" t="s">
        <v>24412</v>
      </c>
      <c r="H1723" s="8" t="s">
        <v>1198</v>
      </c>
      <c r="I1723" s="11" t="s">
        <v>73</v>
      </c>
      <c r="J1723" s="17" t="s">
        <v>6574</v>
      </c>
      <c r="K1723" s="8" t="s">
        <v>1199</v>
      </c>
      <c r="L1723" s="8" t="s">
        <v>1200</v>
      </c>
      <c r="M1723" s="8" t="s">
        <v>27</v>
      </c>
      <c r="N1723" s="8" t="s">
        <v>22772</v>
      </c>
      <c r="O1723" s="8" t="s">
        <v>400</v>
      </c>
      <c r="P1723" s="11" t="s">
        <v>401</v>
      </c>
      <c r="Q1723" s="14" t="s">
        <v>22773</v>
      </c>
      <c r="R1723" s="8" t="s">
        <v>100</v>
      </c>
      <c r="S1723" s="8" t="s">
        <v>18</v>
      </c>
      <c r="T1723" s="68"/>
      <c r="U1723" s="68"/>
      <c r="V1723" s="68"/>
      <c r="W1723" s="68"/>
      <c r="X1723" s="68"/>
      <c r="Y1723" s="11"/>
      <c r="Z1723" s="11"/>
      <c r="AA1723" s="11"/>
      <c r="AB1723" s="11"/>
      <c r="AC1723" s="11"/>
      <c r="AD1723" s="11"/>
      <c r="AE1723" s="11"/>
      <c r="AF1723" s="11"/>
      <c r="AG1723" s="11"/>
      <c r="AH1723" s="11"/>
      <c r="AI1723" s="11"/>
      <c r="AW1723" s="1"/>
      <c r="AX1723" s="1"/>
      <c r="AY1723" s="1"/>
      <c r="AZ1723" s="1"/>
      <c r="BA1723" s="1"/>
      <c r="BB1723" s="1"/>
      <c r="BC1723" s="1"/>
      <c r="BD1723" s="1"/>
      <c r="BE1723" s="1"/>
      <c r="BF1723" s="1"/>
      <c r="BG1723" s="1"/>
      <c r="BH1723" s="1"/>
      <c r="BI1723" s="1"/>
      <c r="BJ1723" s="1"/>
      <c r="BK1723" s="1"/>
    </row>
    <row r="1724" spans="1:63" s="11" customFormat="1" ht="12" customHeight="1" x14ac:dyDescent="0.15">
      <c r="A1724" s="11" t="s">
        <v>22731</v>
      </c>
      <c r="B1724" s="11">
        <v>19</v>
      </c>
      <c r="C1724" s="11" t="s">
        <v>20</v>
      </c>
      <c r="D1724" s="11" t="s">
        <v>85</v>
      </c>
      <c r="E1724" s="60" t="s">
        <v>22732</v>
      </c>
      <c r="F1724" s="72">
        <v>42395</v>
      </c>
      <c r="G1724" s="11" t="s">
        <v>22733</v>
      </c>
      <c r="H1724" s="8" t="s">
        <v>291</v>
      </c>
      <c r="I1724" s="11" t="s">
        <v>57</v>
      </c>
      <c r="J1724" s="47" t="s">
        <v>19076</v>
      </c>
      <c r="K1724" s="8" t="s">
        <v>10125</v>
      </c>
      <c r="L1724" s="8" t="s">
        <v>22734</v>
      </c>
      <c r="M1724" s="8" t="s">
        <v>379</v>
      </c>
      <c r="N1724" s="8" t="s">
        <v>22735</v>
      </c>
      <c r="O1724" s="8" t="s">
        <v>400</v>
      </c>
      <c r="P1724" s="11" t="s">
        <v>401</v>
      </c>
      <c r="Q1724" s="14" t="s">
        <v>22736</v>
      </c>
      <c r="R1724" s="8" t="s">
        <v>100</v>
      </c>
      <c r="S1724" s="66" t="s">
        <v>379</v>
      </c>
      <c r="T1724" s="66" t="s">
        <v>30738</v>
      </c>
      <c r="U1724" s="1"/>
      <c r="AH1724" s="44"/>
      <c r="AI1724" s="44"/>
      <c r="AJ1724" s="44"/>
      <c r="AK1724" s="44"/>
      <c r="AL1724" s="44"/>
      <c r="AM1724" s="44"/>
      <c r="AN1724" s="44"/>
      <c r="AO1724" s="44"/>
      <c r="AP1724" s="44"/>
      <c r="AQ1724" s="44"/>
      <c r="AR1724" s="44"/>
      <c r="AS1724" s="44"/>
      <c r="AT1724" s="44"/>
      <c r="AU1724" s="44"/>
      <c r="AV1724" s="44"/>
      <c r="AW1724" s="44"/>
      <c r="AX1724" s="44"/>
      <c r="AY1724" s="44"/>
      <c r="AZ1724" s="1"/>
      <c r="BA1724" s="1"/>
      <c r="BB1724" s="1"/>
      <c r="BK1724" s="1"/>
    </row>
    <row r="1725" spans="1:63" s="11" customFormat="1" ht="12" customHeight="1" x14ac:dyDescent="0.15">
      <c r="A1725" s="11" t="s">
        <v>23512</v>
      </c>
      <c r="B1725" s="11">
        <v>47</v>
      </c>
      <c r="C1725" s="11" t="s">
        <v>20</v>
      </c>
      <c r="D1725" s="11" t="s">
        <v>37</v>
      </c>
      <c r="E1725" s="44" t="s">
        <v>23593</v>
      </c>
      <c r="F1725" s="72">
        <v>42394</v>
      </c>
      <c r="G1725" s="11" t="s">
        <v>23596</v>
      </c>
      <c r="H1725" s="8" t="s">
        <v>23597</v>
      </c>
      <c r="I1725" s="11" t="s">
        <v>45</v>
      </c>
      <c r="J1725" s="44">
        <v>92345</v>
      </c>
      <c r="K1725" s="8" t="s">
        <v>309</v>
      </c>
      <c r="L1725" s="8" t="s">
        <v>23595</v>
      </c>
      <c r="M1725" s="8" t="s">
        <v>27</v>
      </c>
      <c r="N1725" s="8" t="s">
        <v>23601</v>
      </c>
      <c r="O1725" s="8" t="s">
        <v>400</v>
      </c>
      <c r="P1725" s="11" t="s">
        <v>401</v>
      </c>
      <c r="Q1725" s="44" t="s">
        <v>23594</v>
      </c>
      <c r="R1725" s="8" t="s">
        <v>100</v>
      </c>
      <c r="S1725" s="8" t="s">
        <v>28</v>
      </c>
      <c r="T1725" s="68"/>
      <c r="U1725" s="68"/>
      <c r="V1725" s="68"/>
      <c r="W1725" s="68"/>
      <c r="X1725" s="68"/>
      <c r="Y1725" s="44"/>
      <c r="Z1725" s="44"/>
      <c r="AA1725" s="44"/>
      <c r="AB1725" s="44"/>
      <c r="AC1725" s="44"/>
      <c r="AD1725" s="44"/>
      <c r="AE1725" s="44"/>
      <c r="AF1725" s="44"/>
      <c r="AG1725" s="44"/>
      <c r="AH1725" s="44"/>
      <c r="AI1725" s="44"/>
      <c r="AJ1725" s="44"/>
      <c r="AK1725" s="44"/>
      <c r="AL1725" s="44"/>
      <c r="AM1725" s="44"/>
      <c r="AN1725" s="44"/>
      <c r="AO1725" s="44"/>
      <c r="AP1725" s="44"/>
      <c r="AQ1725" s="44"/>
      <c r="AR1725" s="44"/>
      <c r="AS1725" s="44"/>
      <c r="AT1725" s="44"/>
      <c r="AU1725" s="44"/>
      <c r="AV1725" s="44"/>
      <c r="AW1725" s="1"/>
      <c r="AX1725" s="1"/>
      <c r="AY1725" s="1"/>
      <c r="AZ1725" s="1"/>
      <c r="BA1725" s="1"/>
      <c r="BB1725" s="1"/>
      <c r="BC1725" s="1"/>
      <c r="BD1725" s="1"/>
      <c r="BE1725" s="1"/>
      <c r="BF1725" s="1"/>
      <c r="BG1725" s="1"/>
      <c r="BH1725" s="1"/>
      <c r="BI1725" s="1"/>
      <c r="BJ1725" s="1"/>
      <c r="BK1725" s="44"/>
    </row>
    <row r="1726" spans="1:63" s="11" customFormat="1" ht="12" customHeight="1" x14ac:dyDescent="0.2">
      <c r="A1726" s="11" t="s">
        <v>21762</v>
      </c>
      <c r="B1726" s="68">
        <v>38</v>
      </c>
      <c r="C1726" s="11" t="s">
        <v>20</v>
      </c>
      <c r="D1726" s="11" t="s">
        <v>48</v>
      </c>
      <c r="F1726" s="69">
        <v>42394</v>
      </c>
      <c r="G1726" s="11" t="s">
        <v>21763</v>
      </c>
      <c r="H1726" s="8" t="s">
        <v>1611</v>
      </c>
      <c r="I1726" s="11" t="s">
        <v>269</v>
      </c>
      <c r="J1726" s="3" t="s">
        <v>7468</v>
      </c>
      <c r="K1726" s="2" t="s">
        <v>6245</v>
      </c>
      <c r="L1726" s="2" t="s">
        <v>7469</v>
      </c>
      <c r="M1726" s="68" t="s">
        <v>5411</v>
      </c>
      <c r="N1726" s="8" t="s">
        <v>21764</v>
      </c>
      <c r="O1726" s="8" t="s">
        <v>400</v>
      </c>
      <c r="P1726" s="11" t="s">
        <v>401</v>
      </c>
      <c r="Q1726" s="14" t="s">
        <v>21765</v>
      </c>
      <c r="R1726" s="8" t="s">
        <v>555</v>
      </c>
      <c r="S1726" s="8" t="s">
        <v>28</v>
      </c>
      <c r="T1726" s="68" t="s">
        <v>29493</v>
      </c>
      <c r="U1726" s="68" t="s">
        <v>29436</v>
      </c>
      <c r="V1726" s="68" t="s">
        <v>29439</v>
      </c>
      <c r="W1726" s="68" t="s">
        <v>100</v>
      </c>
      <c r="X1726" s="68">
        <v>1199</v>
      </c>
      <c r="AJ1726" s="44"/>
      <c r="AK1726" s="44"/>
      <c r="AL1726" s="44"/>
      <c r="AM1726" s="44"/>
      <c r="AN1726" s="44"/>
      <c r="AO1726" s="44"/>
      <c r="AP1726" s="44"/>
      <c r="AQ1726" s="44"/>
      <c r="AR1726" s="44"/>
      <c r="AS1726" s="44"/>
      <c r="AT1726" s="44"/>
      <c r="AU1726" s="44"/>
      <c r="AV1726" s="44"/>
      <c r="AW1726" s="44"/>
      <c r="AX1726" s="1"/>
      <c r="AY1726" s="1"/>
      <c r="BB1726" s="70"/>
      <c r="BC1726" s="1"/>
      <c r="BD1726" s="1"/>
      <c r="BE1726" s="1"/>
      <c r="BF1726" s="1"/>
      <c r="BG1726" s="1"/>
      <c r="BH1726" s="1"/>
      <c r="BI1726" s="1"/>
      <c r="BJ1726" s="1"/>
      <c r="BK1726" s="1"/>
    </row>
    <row r="1727" spans="1:63" s="44" customFormat="1" ht="12" customHeight="1" x14ac:dyDescent="0.15">
      <c r="A1727" s="11" t="s">
        <v>22793</v>
      </c>
      <c r="B1727" s="11">
        <v>27</v>
      </c>
      <c r="C1727" s="11" t="s">
        <v>114</v>
      </c>
      <c r="D1727" s="11" t="s">
        <v>85</v>
      </c>
      <c r="E1727" s="11"/>
      <c r="F1727" s="72">
        <v>42393</v>
      </c>
      <c r="G1727" s="11" t="s">
        <v>22767</v>
      </c>
      <c r="H1727" s="8" t="s">
        <v>1767</v>
      </c>
      <c r="I1727" s="11" t="s">
        <v>62</v>
      </c>
      <c r="J1727" s="17" t="s">
        <v>1768</v>
      </c>
      <c r="K1727" s="8" t="s">
        <v>1769</v>
      </c>
      <c r="L1727" s="8" t="s">
        <v>22768</v>
      </c>
      <c r="M1727" s="8" t="s">
        <v>379</v>
      </c>
      <c r="N1727" s="8" t="s">
        <v>22769</v>
      </c>
      <c r="O1727" s="8" t="s">
        <v>400</v>
      </c>
      <c r="P1727" s="11" t="s">
        <v>401</v>
      </c>
      <c r="Q1727" s="14" t="s">
        <v>22770</v>
      </c>
      <c r="R1727" s="8" t="s">
        <v>100</v>
      </c>
      <c r="S1727" s="66" t="s">
        <v>379</v>
      </c>
      <c r="T1727" s="66" t="s">
        <v>30738</v>
      </c>
      <c r="U1727" s="1"/>
      <c r="V1727" s="11"/>
      <c r="W1727" s="11"/>
      <c r="X1727" s="11"/>
      <c r="Y1727" s="11"/>
      <c r="Z1727" s="11"/>
      <c r="AA1727" s="11"/>
      <c r="AB1727" s="11"/>
      <c r="AC1727" s="11"/>
      <c r="AD1727" s="11"/>
      <c r="AE1727" s="11"/>
      <c r="AF1727" s="11"/>
      <c r="AG1727" s="11"/>
      <c r="AH1727" s="11"/>
      <c r="AI1727" s="11"/>
      <c r="AZ1727" s="1"/>
      <c r="BA1727" s="1"/>
      <c r="BB1727" s="1"/>
      <c r="BC1727" s="11"/>
      <c r="BD1727" s="11"/>
      <c r="BE1727" s="11"/>
      <c r="BF1727" s="11"/>
      <c r="BG1727" s="11"/>
      <c r="BH1727" s="11"/>
      <c r="BI1727" s="11"/>
      <c r="BJ1727" s="11"/>
      <c r="BK1727" s="1"/>
    </row>
    <row r="1728" spans="1:63" s="44" customFormat="1" ht="12" customHeight="1" x14ac:dyDescent="0.15">
      <c r="A1728" s="11" t="s">
        <v>22765</v>
      </c>
      <c r="B1728" s="11">
        <v>30</v>
      </c>
      <c r="C1728" s="11" t="s">
        <v>20</v>
      </c>
      <c r="D1728" s="11" t="s">
        <v>85</v>
      </c>
      <c r="E1728" s="60" t="s">
        <v>22766</v>
      </c>
      <c r="F1728" s="72">
        <v>42393</v>
      </c>
      <c r="G1728" s="11" t="s">
        <v>22767</v>
      </c>
      <c r="H1728" s="8" t="s">
        <v>1767</v>
      </c>
      <c r="I1728" s="11" t="s">
        <v>62</v>
      </c>
      <c r="J1728" s="47" t="s">
        <v>1768</v>
      </c>
      <c r="K1728" s="8" t="s">
        <v>1769</v>
      </c>
      <c r="L1728" s="8" t="s">
        <v>22768</v>
      </c>
      <c r="M1728" s="8" t="s">
        <v>379</v>
      </c>
      <c r="N1728" s="8" t="s">
        <v>22769</v>
      </c>
      <c r="O1728" s="8" t="s">
        <v>400</v>
      </c>
      <c r="P1728" s="11" t="s">
        <v>401</v>
      </c>
      <c r="Q1728" s="14" t="s">
        <v>22770</v>
      </c>
      <c r="R1728" s="8" t="s">
        <v>100</v>
      </c>
      <c r="S1728" s="8" t="s">
        <v>379</v>
      </c>
      <c r="T1728" s="11"/>
      <c r="U1728" s="11"/>
      <c r="V1728" s="11"/>
      <c r="W1728" s="11"/>
      <c r="X1728" s="11"/>
      <c r="Y1728" s="11"/>
      <c r="Z1728" s="11"/>
      <c r="AA1728" s="11"/>
      <c r="AB1728" s="11"/>
      <c r="AC1728" s="11"/>
      <c r="AD1728" s="11"/>
      <c r="AE1728" s="11"/>
      <c r="AF1728" s="11"/>
      <c r="AG1728" s="11"/>
      <c r="AZ1728" s="1"/>
      <c r="BA1728" s="1"/>
      <c r="BB1728" s="1"/>
      <c r="BC1728" s="11"/>
      <c r="BD1728" s="11"/>
      <c r="BE1728" s="11"/>
      <c r="BF1728" s="11"/>
      <c r="BG1728" s="11"/>
      <c r="BH1728" s="11"/>
      <c r="BI1728" s="11"/>
      <c r="BJ1728" s="11"/>
      <c r="BK1728" s="1"/>
    </row>
    <row r="1729" spans="1:63" s="44" customFormat="1" ht="12" customHeight="1" x14ac:dyDescent="0.15">
      <c r="A1729" s="11" t="s">
        <v>22168</v>
      </c>
      <c r="B1729" s="68">
        <v>43</v>
      </c>
      <c r="C1729" s="11" t="s">
        <v>20</v>
      </c>
      <c r="D1729" s="11" t="s">
        <v>37</v>
      </c>
      <c r="E1729" s="11"/>
      <c r="F1729" s="69">
        <v>42392</v>
      </c>
      <c r="G1729" s="11" t="s">
        <v>22169</v>
      </c>
      <c r="H1729" s="8" t="s">
        <v>1722</v>
      </c>
      <c r="I1729" s="11" t="s">
        <v>94</v>
      </c>
      <c r="J1729" s="17" t="s">
        <v>1723</v>
      </c>
      <c r="K1729" s="8" t="s">
        <v>1724</v>
      </c>
      <c r="L1729" s="8" t="s">
        <v>22170</v>
      </c>
      <c r="M1729" s="8" t="s">
        <v>27</v>
      </c>
      <c r="N1729" s="8" t="s">
        <v>22171</v>
      </c>
      <c r="O1729" s="8" t="s">
        <v>400</v>
      </c>
      <c r="P1729" s="11" t="s">
        <v>401</v>
      </c>
      <c r="Q1729" s="14" t="s">
        <v>22172</v>
      </c>
      <c r="R1729" s="8" t="s">
        <v>100</v>
      </c>
      <c r="S1729" s="8" t="s">
        <v>28</v>
      </c>
      <c r="T1729" s="68" t="s">
        <v>29505</v>
      </c>
      <c r="U1729" s="68" t="s">
        <v>29436</v>
      </c>
      <c r="V1729" s="68" t="s">
        <v>29439</v>
      </c>
      <c r="W1729" s="68" t="s">
        <v>555</v>
      </c>
      <c r="X1729" s="68">
        <v>1200</v>
      </c>
      <c r="Y1729" s="11"/>
      <c r="Z1729" s="11"/>
      <c r="AA1729" s="11"/>
      <c r="AB1729" s="11"/>
      <c r="AC1729" s="11"/>
      <c r="AD1729" s="11"/>
      <c r="AE1729" s="11"/>
      <c r="AF1729" s="11"/>
      <c r="AG1729" s="11"/>
      <c r="AH1729" s="11"/>
      <c r="AI1729" s="11"/>
      <c r="AW1729" s="1"/>
      <c r="AX1729" s="1"/>
      <c r="AY1729" s="1"/>
      <c r="AZ1729" s="11"/>
      <c r="BA1729" s="11"/>
      <c r="BC1729" s="1"/>
      <c r="BD1729" s="1"/>
      <c r="BE1729" s="1"/>
      <c r="BF1729" s="1"/>
      <c r="BG1729" s="1"/>
      <c r="BH1729" s="1"/>
      <c r="BI1729" s="1"/>
      <c r="BJ1729" s="1"/>
    </row>
    <row r="1730" spans="1:63" s="44" customFormat="1" ht="12" customHeight="1" x14ac:dyDescent="0.15">
      <c r="A1730" s="11" t="s">
        <v>22022</v>
      </c>
      <c r="B1730" s="11">
        <v>26</v>
      </c>
      <c r="C1730" s="11" t="s">
        <v>20</v>
      </c>
      <c r="D1730" s="11" t="s">
        <v>37</v>
      </c>
      <c r="E1730" s="11"/>
      <c r="F1730" s="72">
        <v>42391</v>
      </c>
      <c r="G1730" s="11" t="s">
        <v>22023</v>
      </c>
      <c r="H1730" s="8" t="s">
        <v>1647</v>
      </c>
      <c r="I1730" s="11" t="s">
        <v>173</v>
      </c>
      <c r="J1730" s="17" t="s">
        <v>1648</v>
      </c>
      <c r="K1730" s="8" t="s">
        <v>874</v>
      </c>
      <c r="L1730" s="8" t="s">
        <v>1649</v>
      </c>
      <c r="M1730" s="8" t="s">
        <v>27</v>
      </c>
      <c r="N1730" s="8" t="s">
        <v>22024</v>
      </c>
      <c r="O1730" s="8" t="s">
        <v>400</v>
      </c>
      <c r="P1730" s="11" t="s">
        <v>401</v>
      </c>
      <c r="Q1730" s="14" t="s">
        <v>22025</v>
      </c>
      <c r="R1730" s="8" t="s">
        <v>100</v>
      </c>
      <c r="S1730" s="8" t="s">
        <v>28</v>
      </c>
      <c r="T1730" s="68"/>
      <c r="U1730" s="68"/>
      <c r="V1730" s="68"/>
      <c r="W1730" s="68"/>
      <c r="X1730" s="68"/>
      <c r="Y1730" s="11"/>
      <c r="Z1730" s="11"/>
      <c r="AA1730" s="11"/>
      <c r="AB1730" s="11"/>
      <c r="AC1730" s="11"/>
      <c r="AD1730" s="11"/>
      <c r="AE1730" s="11"/>
      <c r="AF1730" s="11"/>
      <c r="AG1730" s="11"/>
      <c r="AH1730" s="11"/>
      <c r="AI1730" s="11"/>
      <c r="AW1730" s="1"/>
      <c r="AX1730" s="1"/>
      <c r="AY1730" s="1"/>
      <c r="AZ1730" s="1"/>
      <c r="BA1730" s="1"/>
      <c r="BB1730" s="1"/>
      <c r="BC1730" s="1"/>
      <c r="BD1730" s="1"/>
      <c r="BE1730" s="1"/>
      <c r="BF1730" s="1"/>
      <c r="BG1730" s="1"/>
      <c r="BH1730" s="1"/>
      <c r="BI1730" s="1"/>
      <c r="BJ1730" s="1"/>
    </row>
    <row r="1731" spans="1:63" s="44" customFormat="1" ht="12" customHeight="1" x14ac:dyDescent="0.15">
      <c r="A1731" s="11" t="s">
        <v>22587</v>
      </c>
      <c r="B1731" s="11">
        <v>67</v>
      </c>
      <c r="C1731" s="11" t="s">
        <v>114</v>
      </c>
      <c r="D1731" s="11" t="s">
        <v>37</v>
      </c>
      <c r="E1731" s="60" t="s">
        <v>22588</v>
      </c>
      <c r="F1731" s="72">
        <v>42391</v>
      </c>
      <c r="G1731" s="11" t="s">
        <v>22589</v>
      </c>
      <c r="H1731" s="8" t="s">
        <v>22590</v>
      </c>
      <c r="I1731" s="11" t="s">
        <v>217</v>
      </c>
      <c r="J1731" s="17" t="s">
        <v>22591</v>
      </c>
      <c r="K1731" s="8" t="s">
        <v>22592</v>
      </c>
      <c r="L1731" s="8" t="s">
        <v>22593</v>
      </c>
      <c r="M1731" s="8" t="s">
        <v>379</v>
      </c>
      <c r="N1731" s="8" t="s">
        <v>22594</v>
      </c>
      <c r="O1731" s="8" t="s">
        <v>400</v>
      </c>
      <c r="P1731" s="11" t="s">
        <v>401</v>
      </c>
      <c r="Q1731" s="14" t="s">
        <v>22595</v>
      </c>
      <c r="R1731" s="8" t="s">
        <v>100</v>
      </c>
      <c r="S1731" s="8" t="s">
        <v>18</v>
      </c>
      <c r="T1731" s="11"/>
      <c r="U1731" s="11"/>
      <c r="V1731" s="11"/>
      <c r="W1731" s="11"/>
      <c r="X1731" s="11"/>
      <c r="Y1731" s="11"/>
      <c r="Z1731" s="11"/>
      <c r="AA1731" s="11"/>
      <c r="AB1731" s="11"/>
      <c r="AC1731" s="11"/>
      <c r="AD1731" s="11"/>
      <c r="AE1731" s="11"/>
      <c r="AF1731" s="11"/>
      <c r="AG1731" s="11"/>
      <c r="AH1731" s="11"/>
      <c r="AI1731" s="11"/>
      <c r="AX1731" s="1"/>
      <c r="AY1731" s="1"/>
      <c r="AZ1731" s="1"/>
      <c r="BA1731" s="1"/>
      <c r="BB1731" s="1"/>
      <c r="BC1731" s="1"/>
      <c r="BD1731" s="1"/>
      <c r="BE1731" s="1"/>
      <c r="BF1731" s="1"/>
      <c r="BG1731" s="1"/>
      <c r="BH1731" s="1"/>
      <c r="BI1731" s="1"/>
      <c r="BJ1731" s="1"/>
      <c r="BK1731" s="1"/>
    </row>
    <row r="1732" spans="1:63" s="44" customFormat="1" ht="12" customHeight="1" x14ac:dyDescent="0.15">
      <c r="A1732" s="11" t="s">
        <v>22795</v>
      </c>
      <c r="B1732" s="11">
        <v>38</v>
      </c>
      <c r="C1732" s="11" t="s">
        <v>20</v>
      </c>
      <c r="D1732" s="11" t="s">
        <v>85</v>
      </c>
      <c r="E1732" s="11" t="s">
        <v>26280</v>
      </c>
      <c r="F1732" s="72">
        <v>42391</v>
      </c>
      <c r="G1732" s="11" t="s">
        <v>22796</v>
      </c>
      <c r="H1732" s="8" t="s">
        <v>87</v>
      </c>
      <c r="I1732" s="11" t="s">
        <v>44</v>
      </c>
      <c r="J1732" s="17" t="s">
        <v>5294</v>
      </c>
      <c r="K1732" s="8" t="s">
        <v>88</v>
      </c>
      <c r="L1732" s="8" t="s">
        <v>89</v>
      </c>
      <c r="M1732" s="8" t="s">
        <v>379</v>
      </c>
      <c r="N1732" s="8" t="s">
        <v>22922</v>
      </c>
      <c r="O1732" s="8" t="s">
        <v>400</v>
      </c>
      <c r="P1732" s="11" t="s">
        <v>401</v>
      </c>
      <c r="Q1732" s="14" t="s">
        <v>22797</v>
      </c>
      <c r="R1732" s="8" t="s">
        <v>100</v>
      </c>
      <c r="S1732" s="8" t="s">
        <v>379</v>
      </c>
      <c r="T1732" s="11"/>
      <c r="U1732" s="11"/>
      <c r="V1732" s="11"/>
      <c r="W1732" s="11"/>
      <c r="X1732" s="11"/>
      <c r="Y1732" s="11"/>
      <c r="Z1732" s="11"/>
      <c r="AA1732" s="11"/>
      <c r="AB1732" s="11"/>
      <c r="AC1732" s="11"/>
      <c r="AD1732" s="11"/>
      <c r="AE1732" s="11"/>
      <c r="AF1732" s="11"/>
      <c r="AG1732" s="11"/>
      <c r="AH1732" s="11"/>
      <c r="AI1732" s="11"/>
      <c r="AZ1732" s="1"/>
      <c r="BA1732" s="1"/>
      <c r="BB1732" s="1"/>
      <c r="BC1732" s="11"/>
      <c r="BD1732" s="11"/>
      <c r="BE1732" s="11"/>
      <c r="BF1732" s="11"/>
      <c r="BG1732" s="11"/>
      <c r="BH1732" s="11"/>
      <c r="BI1732" s="11"/>
      <c r="BJ1732" s="11"/>
      <c r="BK1732" s="1"/>
    </row>
    <row r="1733" spans="1:63" s="44" customFormat="1" ht="12" customHeight="1" x14ac:dyDescent="0.15">
      <c r="A1733" s="11" t="s">
        <v>23513</v>
      </c>
      <c r="B1733" s="11">
        <v>44</v>
      </c>
      <c r="C1733" s="11" t="s">
        <v>20</v>
      </c>
      <c r="D1733" s="11" t="s">
        <v>37</v>
      </c>
      <c r="E1733" s="44" t="s">
        <v>23598</v>
      </c>
      <c r="F1733" s="72">
        <v>42390</v>
      </c>
      <c r="G1733" s="11" t="s">
        <v>23602</v>
      </c>
      <c r="H1733" s="44" t="s">
        <v>23603</v>
      </c>
      <c r="I1733" s="11" t="s">
        <v>81</v>
      </c>
      <c r="J1733" s="44">
        <v>8332</v>
      </c>
      <c r="K1733" s="8" t="s">
        <v>3152</v>
      </c>
      <c r="L1733" s="8" t="s">
        <v>23600</v>
      </c>
      <c r="M1733" s="8" t="s">
        <v>379</v>
      </c>
      <c r="N1733" s="8" t="s">
        <v>23599</v>
      </c>
      <c r="O1733" s="8" t="s">
        <v>400</v>
      </c>
      <c r="P1733" s="11" t="s">
        <v>401</v>
      </c>
      <c r="Q1733" s="44" t="s">
        <v>23604</v>
      </c>
      <c r="R1733" s="8" t="s">
        <v>100</v>
      </c>
      <c r="S1733" s="66" t="s">
        <v>379</v>
      </c>
      <c r="T1733" s="66" t="s">
        <v>30738</v>
      </c>
      <c r="U1733" s="1"/>
      <c r="AX1733" s="1"/>
      <c r="AY1733" s="1"/>
      <c r="AZ1733" s="1"/>
      <c r="BA1733" s="1"/>
      <c r="BB1733" s="1"/>
      <c r="BC1733" s="1"/>
      <c r="BD1733" s="1"/>
      <c r="BE1733" s="1"/>
      <c r="BF1733" s="1"/>
      <c r="BG1733" s="1"/>
      <c r="BH1733" s="1"/>
      <c r="BI1733" s="1"/>
      <c r="BJ1733" s="1"/>
      <c r="BK1733" s="1"/>
    </row>
    <row r="1734" spans="1:63" s="44" customFormat="1" ht="12" customHeight="1" x14ac:dyDescent="0.15">
      <c r="A1734" s="11" t="s">
        <v>21431</v>
      </c>
      <c r="B1734" s="68">
        <v>39</v>
      </c>
      <c r="C1734" s="11" t="s">
        <v>20</v>
      </c>
      <c r="D1734" s="11" t="s">
        <v>85</v>
      </c>
      <c r="E1734" s="60" t="s">
        <v>21432</v>
      </c>
      <c r="F1734" s="69">
        <v>42390</v>
      </c>
      <c r="G1734" s="11" t="s">
        <v>21433</v>
      </c>
      <c r="H1734" s="8" t="s">
        <v>13652</v>
      </c>
      <c r="I1734" s="11" t="s">
        <v>395</v>
      </c>
      <c r="J1734" s="47" t="s">
        <v>21434</v>
      </c>
      <c r="K1734" s="8" t="s">
        <v>21435</v>
      </c>
      <c r="L1734" s="8" t="s">
        <v>2045</v>
      </c>
      <c r="M1734" s="8" t="s">
        <v>27</v>
      </c>
      <c r="N1734" s="8" t="s">
        <v>21436</v>
      </c>
      <c r="O1734" s="8" t="s">
        <v>400</v>
      </c>
      <c r="P1734" s="11" t="s">
        <v>401</v>
      </c>
      <c r="Q1734" s="14" t="s">
        <v>21437</v>
      </c>
      <c r="R1734" s="8" t="s">
        <v>555</v>
      </c>
      <c r="S1734" s="8" t="s">
        <v>28</v>
      </c>
      <c r="T1734" s="68" t="s">
        <v>27756</v>
      </c>
      <c r="U1734" s="68" t="s">
        <v>29438</v>
      </c>
      <c r="V1734" s="68" t="s">
        <v>29437</v>
      </c>
      <c r="W1734" s="68" t="s">
        <v>100</v>
      </c>
      <c r="X1734" s="68">
        <v>1201</v>
      </c>
      <c r="Y1734" s="11"/>
      <c r="Z1734" s="11"/>
      <c r="AA1734" s="11"/>
      <c r="AB1734" s="11"/>
      <c r="AC1734" s="11"/>
      <c r="AD1734" s="11"/>
      <c r="AE1734" s="11"/>
      <c r="AF1734" s="11"/>
      <c r="AG1734" s="11"/>
      <c r="AZ1734" s="11"/>
      <c r="BA1734" s="11"/>
      <c r="BC1734" s="11"/>
      <c r="BD1734" s="11"/>
      <c r="BE1734" s="11"/>
      <c r="BF1734" s="11"/>
      <c r="BG1734" s="11"/>
      <c r="BH1734" s="11"/>
      <c r="BI1734" s="11"/>
      <c r="BJ1734" s="11"/>
    </row>
    <row r="1735" spans="1:63" s="44" customFormat="1" ht="12" customHeight="1" x14ac:dyDescent="0.15">
      <c r="A1735" s="11" t="s">
        <v>21366</v>
      </c>
      <c r="B1735" s="68">
        <v>40</v>
      </c>
      <c r="C1735" s="11" t="s">
        <v>20</v>
      </c>
      <c r="D1735" s="11" t="s">
        <v>85</v>
      </c>
      <c r="E1735" s="60" t="s">
        <v>21367</v>
      </c>
      <c r="F1735" s="69">
        <v>42389</v>
      </c>
      <c r="G1735" s="11" t="s">
        <v>21368</v>
      </c>
      <c r="H1735" s="8" t="s">
        <v>21369</v>
      </c>
      <c r="I1735" s="11" t="s">
        <v>25</v>
      </c>
      <c r="J1735" s="47" t="s">
        <v>21370</v>
      </c>
      <c r="K1735" s="8" t="s">
        <v>21371</v>
      </c>
      <c r="L1735" s="8" t="s">
        <v>22919</v>
      </c>
      <c r="M1735" s="8" t="s">
        <v>27</v>
      </c>
      <c r="N1735" s="8" t="s">
        <v>21372</v>
      </c>
      <c r="O1735" s="8" t="s">
        <v>400</v>
      </c>
      <c r="P1735" s="11" t="s">
        <v>401</v>
      </c>
      <c r="Q1735" s="14" t="s">
        <v>21373</v>
      </c>
      <c r="R1735" s="8" t="s">
        <v>100</v>
      </c>
      <c r="S1735" s="8" t="s">
        <v>28</v>
      </c>
      <c r="T1735" s="68" t="s">
        <v>27756</v>
      </c>
      <c r="U1735" s="68" t="s">
        <v>29438</v>
      </c>
      <c r="V1735" s="68" t="s">
        <v>29439</v>
      </c>
      <c r="W1735" s="68" t="s">
        <v>100</v>
      </c>
      <c r="X1735" s="68">
        <v>1191</v>
      </c>
      <c r="Y1735" s="11"/>
      <c r="Z1735" s="11"/>
      <c r="AA1735" s="11"/>
      <c r="AB1735" s="11"/>
      <c r="AC1735" s="11"/>
      <c r="AD1735" s="11"/>
      <c r="AE1735" s="11"/>
      <c r="AF1735" s="11"/>
      <c r="AG1735" s="11"/>
      <c r="AZ1735" s="11"/>
      <c r="BC1735" s="11"/>
      <c r="BD1735" s="11"/>
      <c r="BE1735" s="11"/>
      <c r="BF1735" s="11"/>
      <c r="BG1735" s="11"/>
      <c r="BH1735" s="11"/>
      <c r="BI1735" s="11"/>
      <c r="BJ1735" s="11"/>
    </row>
    <row r="1736" spans="1:63" s="44" customFormat="1" ht="12" customHeight="1" x14ac:dyDescent="0.15">
      <c r="A1736" s="11" t="s">
        <v>22220</v>
      </c>
      <c r="B1736" s="68">
        <v>33</v>
      </c>
      <c r="C1736" s="11" t="s">
        <v>20</v>
      </c>
      <c r="D1736" s="11" t="s">
        <v>37</v>
      </c>
      <c r="E1736" s="60" t="s">
        <v>22221</v>
      </c>
      <c r="F1736" s="69">
        <v>42389</v>
      </c>
      <c r="G1736" s="11" t="s">
        <v>22222</v>
      </c>
      <c r="H1736" s="8" t="s">
        <v>22223</v>
      </c>
      <c r="I1736" s="11" t="s">
        <v>94</v>
      </c>
      <c r="J1736" s="17" t="s">
        <v>22224</v>
      </c>
      <c r="K1736" s="8" t="s">
        <v>2160</v>
      </c>
      <c r="L1736" s="8" t="s">
        <v>6995</v>
      </c>
      <c r="M1736" s="8" t="s">
        <v>27</v>
      </c>
      <c r="N1736" s="8" t="s">
        <v>23133</v>
      </c>
      <c r="O1736" s="8" t="s">
        <v>400</v>
      </c>
      <c r="P1736" s="11" t="s">
        <v>401</v>
      </c>
      <c r="Q1736" s="14" t="s">
        <v>22225</v>
      </c>
      <c r="R1736" s="8" t="s">
        <v>100</v>
      </c>
      <c r="S1736" s="8" t="s">
        <v>28</v>
      </c>
      <c r="T1736" s="68" t="s">
        <v>27756</v>
      </c>
      <c r="U1736" s="68" t="s">
        <v>29436</v>
      </c>
      <c r="V1736" s="68" t="s">
        <v>29440</v>
      </c>
      <c r="W1736" s="68" t="s">
        <v>555</v>
      </c>
      <c r="X1736" s="68">
        <v>1194</v>
      </c>
      <c r="Y1736" s="11"/>
      <c r="Z1736" s="11"/>
      <c r="AA1736" s="11"/>
      <c r="AB1736" s="11"/>
      <c r="AC1736" s="11"/>
      <c r="AD1736" s="11"/>
      <c r="AE1736" s="11"/>
      <c r="AF1736" s="11"/>
      <c r="AG1736" s="11"/>
      <c r="AH1736" s="11"/>
      <c r="AI1736" s="11"/>
      <c r="AW1736" s="11"/>
      <c r="AX1736" s="1"/>
      <c r="AY1736" s="1"/>
      <c r="AZ1736" s="11"/>
      <c r="BA1736" s="11"/>
      <c r="BC1736" s="1"/>
      <c r="BD1736" s="1"/>
      <c r="BE1736" s="1"/>
      <c r="BF1736" s="1"/>
      <c r="BG1736" s="1"/>
      <c r="BH1736" s="1"/>
      <c r="BI1736" s="1"/>
      <c r="BJ1736" s="1"/>
    </row>
    <row r="1737" spans="1:63" s="11" customFormat="1" ht="12" customHeight="1" x14ac:dyDescent="0.15">
      <c r="A1737" s="11" t="s">
        <v>22819</v>
      </c>
      <c r="B1737" s="68">
        <v>37</v>
      </c>
      <c r="C1737" s="11" t="s">
        <v>20</v>
      </c>
      <c r="D1737" s="11" t="s">
        <v>37</v>
      </c>
      <c r="E1737" s="60" t="s">
        <v>22820</v>
      </c>
      <c r="F1737" s="69">
        <v>42389</v>
      </c>
      <c r="G1737" s="11" t="s">
        <v>22821</v>
      </c>
      <c r="H1737" s="8" t="s">
        <v>22822</v>
      </c>
      <c r="I1737" s="11" t="s">
        <v>73</v>
      </c>
      <c r="J1737" s="17" t="s">
        <v>22823</v>
      </c>
      <c r="K1737" s="8" t="s">
        <v>22824</v>
      </c>
      <c r="L1737" s="8" t="s">
        <v>22825</v>
      </c>
      <c r="M1737" s="8" t="s">
        <v>27</v>
      </c>
      <c r="N1737" s="8" t="s">
        <v>22826</v>
      </c>
      <c r="O1737" s="8" t="s">
        <v>400</v>
      </c>
      <c r="P1737" s="11" t="s">
        <v>401</v>
      </c>
      <c r="Q1737" s="14" t="s">
        <v>22827</v>
      </c>
      <c r="R1737" s="8" t="s">
        <v>100</v>
      </c>
      <c r="S1737" s="11" t="s">
        <v>28</v>
      </c>
      <c r="T1737" s="68" t="s">
        <v>29493</v>
      </c>
      <c r="U1737" s="68" t="s">
        <v>29436</v>
      </c>
      <c r="V1737" s="68" t="s">
        <v>21212</v>
      </c>
      <c r="W1737" s="68" t="s">
        <v>100</v>
      </c>
      <c r="X1737" s="68">
        <v>1202</v>
      </c>
      <c r="AJ1737" s="44"/>
      <c r="AK1737" s="44"/>
      <c r="AL1737" s="44"/>
      <c r="AM1737" s="44"/>
      <c r="AN1737" s="44"/>
      <c r="AO1737" s="44"/>
      <c r="AP1737" s="44"/>
      <c r="AQ1737" s="44"/>
      <c r="AR1737" s="44"/>
      <c r="AS1737" s="44"/>
      <c r="AT1737" s="44"/>
      <c r="AU1737" s="44"/>
      <c r="AV1737" s="44"/>
      <c r="AX1737" s="1"/>
      <c r="AY1737" s="1"/>
      <c r="AZ1737" s="44"/>
      <c r="BB1737" s="44"/>
      <c r="BC1737" s="1"/>
      <c r="BD1737" s="1"/>
      <c r="BE1737" s="1"/>
      <c r="BF1737" s="1"/>
      <c r="BG1737" s="1"/>
      <c r="BH1737" s="1"/>
      <c r="BI1737" s="1"/>
      <c r="BJ1737" s="1"/>
      <c r="BK1737" s="44"/>
    </row>
    <row r="1738" spans="1:63" s="11" customFormat="1" ht="12" customHeight="1" x14ac:dyDescent="0.15">
      <c r="A1738" s="11" t="s">
        <v>22291</v>
      </c>
      <c r="B1738" s="68">
        <v>28</v>
      </c>
      <c r="C1738" s="11" t="s">
        <v>20</v>
      </c>
      <c r="D1738" s="11" t="s">
        <v>37</v>
      </c>
      <c r="F1738" s="69">
        <v>42388</v>
      </c>
      <c r="G1738" s="11" t="s">
        <v>22292</v>
      </c>
      <c r="H1738" s="8" t="s">
        <v>2998</v>
      </c>
      <c r="I1738" s="11" t="s">
        <v>173</v>
      </c>
      <c r="J1738" s="17" t="s">
        <v>22293</v>
      </c>
      <c r="K1738" s="8" t="s">
        <v>3000</v>
      </c>
      <c r="L1738" s="8" t="s">
        <v>3001</v>
      </c>
      <c r="M1738" s="8" t="s">
        <v>27</v>
      </c>
      <c r="N1738" s="8" t="s">
        <v>23106</v>
      </c>
      <c r="O1738" s="8" t="s">
        <v>400</v>
      </c>
      <c r="P1738" s="11" t="s">
        <v>401</v>
      </c>
      <c r="Q1738" s="14" t="s">
        <v>22294</v>
      </c>
      <c r="R1738" s="8" t="s">
        <v>100</v>
      </c>
      <c r="S1738" s="8" t="s">
        <v>28</v>
      </c>
      <c r="T1738" s="68" t="s">
        <v>27756</v>
      </c>
      <c r="U1738" s="68" t="s">
        <v>29438</v>
      </c>
      <c r="V1738" s="68" t="s">
        <v>29439</v>
      </c>
      <c r="W1738" s="68" t="s">
        <v>100</v>
      </c>
      <c r="X1738" s="68">
        <v>1190</v>
      </c>
      <c r="AJ1738" s="44"/>
      <c r="AK1738" s="44"/>
      <c r="AL1738" s="44"/>
      <c r="AM1738" s="44"/>
      <c r="AN1738" s="44"/>
      <c r="AO1738" s="44"/>
      <c r="AP1738" s="44"/>
      <c r="AQ1738" s="44"/>
      <c r="AR1738" s="44"/>
      <c r="AS1738" s="44"/>
      <c r="AT1738" s="44"/>
      <c r="AU1738" s="44"/>
      <c r="AV1738" s="44"/>
      <c r="AW1738" s="44"/>
      <c r="AX1738" s="1"/>
      <c r="AY1738" s="1"/>
      <c r="AZ1738" s="44"/>
      <c r="BB1738" s="44"/>
      <c r="BC1738" s="1"/>
      <c r="BD1738" s="1"/>
      <c r="BE1738" s="1"/>
      <c r="BF1738" s="1"/>
      <c r="BG1738" s="1"/>
      <c r="BH1738" s="1"/>
      <c r="BI1738" s="1"/>
      <c r="BJ1738" s="1"/>
      <c r="BK1738" s="44"/>
    </row>
    <row r="1739" spans="1:63" s="11" customFormat="1" ht="12" customHeight="1" x14ac:dyDescent="0.15">
      <c r="A1739" s="11" t="s">
        <v>22376</v>
      </c>
      <c r="B1739" s="68">
        <v>36</v>
      </c>
      <c r="C1739" s="11" t="s">
        <v>20</v>
      </c>
      <c r="D1739" s="11" t="s">
        <v>37</v>
      </c>
      <c r="E1739" s="60" t="s">
        <v>22377</v>
      </c>
      <c r="F1739" s="69">
        <v>42388</v>
      </c>
      <c r="G1739" s="11" t="s">
        <v>22378</v>
      </c>
      <c r="H1739" s="8" t="s">
        <v>285</v>
      </c>
      <c r="I1739" s="11" t="s">
        <v>73</v>
      </c>
      <c r="J1739" s="17" t="s">
        <v>7620</v>
      </c>
      <c r="K1739" s="8" t="s">
        <v>285</v>
      </c>
      <c r="L1739" s="8" t="s">
        <v>22379</v>
      </c>
      <c r="M1739" s="8" t="s">
        <v>27</v>
      </c>
      <c r="N1739" s="8" t="s">
        <v>22380</v>
      </c>
      <c r="O1739" s="8" t="s">
        <v>400</v>
      </c>
      <c r="P1739" s="11" t="s">
        <v>401</v>
      </c>
      <c r="Q1739" s="14" t="s">
        <v>22381</v>
      </c>
      <c r="R1739" s="8" t="s">
        <v>100</v>
      </c>
      <c r="S1739" s="8" t="s">
        <v>28</v>
      </c>
      <c r="T1739" s="68" t="s">
        <v>27756</v>
      </c>
      <c r="U1739" s="68" t="s">
        <v>29438</v>
      </c>
      <c r="V1739" s="68" t="s">
        <v>29437</v>
      </c>
      <c r="W1739" s="68" t="s">
        <v>100</v>
      </c>
      <c r="X1739" s="68">
        <v>1185</v>
      </c>
      <c r="AJ1739" s="44"/>
      <c r="AK1739" s="44"/>
      <c r="AL1739" s="44"/>
      <c r="AM1739" s="44"/>
      <c r="AN1739" s="44"/>
      <c r="AO1739" s="44"/>
      <c r="AP1739" s="44"/>
      <c r="AQ1739" s="44"/>
      <c r="AR1739" s="44"/>
      <c r="AS1739" s="44"/>
      <c r="AT1739" s="44"/>
      <c r="AU1739" s="44"/>
      <c r="AV1739" s="44"/>
      <c r="AW1739" s="44"/>
      <c r="AX1739" s="1"/>
      <c r="AY1739" s="1"/>
      <c r="AZ1739" s="44"/>
      <c r="BA1739" s="44"/>
      <c r="BB1739" s="44"/>
      <c r="BC1739" s="1"/>
      <c r="BD1739" s="1"/>
      <c r="BE1739" s="1"/>
      <c r="BF1739" s="1"/>
      <c r="BG1739" s="1"/>
      <c r="BH1739" s="1"/>
      <c r="BI1739" s="1"/>
      <c r="BJ1739" s="1"/>
      <c r="BK1739" s="44"/>
    </row>
    <row r="1740" spans="1:63" s="11" customFormat="1" ht="12" customHeight="1" x14ac:dyDescent="0.15">
      <c r="A1740" s="11" t="s">
        <v>22125</v>
      </c>
      <c r="B1740" s="68">
        <v>55</v>
      </c>
      <c r="C1740" s="11" t="s">
        <v>20</v>
      </c>
      <c r="D1740" s="11" t="s">
        <v>37</v>
      </c>
      <c r="F1740" s="69">
        <v>42388</v>
      </c>
      <c r="G1740" s="11" t="s">
        <v>22126</v>
      </c>
      <c r="H1740" s="8" t="s">
        <v>6435</v>
      </c>
      <c r="I1740" s="11" t="s">
        <v>366</v>
      </c>
      <c r="J1740" s="17" t="s">
        <v>22127</v>
      </c>
      <c r="K1740" s="8" t="s">
        <v>6437</v>
      </c>
      <c r="L1740" s="8" t="s">
        <v>22128</v>
      </c>
      <c r="M1740" s="8" t="s">
        <v>27</v>
      </c>
      <c r="N1740" s="8" t="s">
        <v>22129</v>
      </c>
      <c r="O1740" s="8" t="s">
        <v>400</v>
      </c>
      <c r="P1740" s="11" t="s">
        <v>401</v>
      </c>
      <c r="Q1740" s="14" t="s">
        <v>22130</v>
      </c>
      <c r="R1740" s="8" t="s">
        <v>555</v>
      </c>
      <c r="S1740" s="8" t="s">
        <v>28</v>
      </c>
      <c r="T1740" s="68" t="s">
        <v>29493</v>
      </c>
      <c r="U1740" s="68" t="s">
        <v>29436</v>
      </c>
      <c r="V1740" s="68" t="s">
        <v>29439</v>
      </c>
      <c r="W1740" s="68" t="s">
        <v>100</v>
      </c>
      <c r="X1740" s="68">
        <v>1187</v>
      </c>
      <c r="AJ1740" s="44"/>
      <c r="AK1740" s="44"/>
      <c r="AL1740" s="44"/>
      <c r="AM1740" s="44"/>
      <c r="AN1740" s="44"/>
      <c r="AO1740" s="44"/>
      <c r="AP1740" s="44"/>
      <c r="AQ1740" s="44"/>
      <c r="AR1740" s="44"/>
      <c r="AS1740" s="44"/>
      <c r="AT1740" s="44"/>
      <c r="AU1740" s="44"/>
      <c r="AV1740" s="44"/>
      <c r="AW1740" s="1"/>
      <c r="AX1740" s="1"/>
      <c r="AY1740" s="1"/>
      <c r="AZ1740" s="44"/>
      <c r="BB1740" s="44"/>
      <c r="BC1740" s="1"/>
      <c r="BD1740" s="1"/>
      <c r="BE1740" s="1"/>
      <c r="BF1740" s="1"/>
      <c r="BG1740" s="1"/>
      <c r="BH1740" s="1"/>
      <c r="BI1740" s="1"/>
      <c r="BJ1740" s="1"/>
      <c r="BK1740" s="44"/>
    </row>
    <row r="1741" spans="1:63" s="11" customFormat="1" ht="12" customHeight="1" x14ac:dyDescent="0.15">
      <c r="A1741" s="11" t="s">
        <v>21766</v>
      </c>
      <c r="B1741" s="11">
        <v>26</v>
      </c>
      <c r="C1741" s="11" t="s">
        <v>20</v>
      </c>
      <c r="D1741" s="11" t="s">
        <v>48</v>
      </c>
      <c r="F1741" s="72">
        <v>42388</v>
      </c>
      <c r="G1741" s="11" t="s">
        <v>21767</v>
      </c>
      <c r="H1741" s="8" t="s">
        <v>1760</v>
      </c>
      <c r="I1741" s="11" t="s">
        <v>45</v>
      </c>
      <c r="J1741" s="17" t="s">
        <v>21768</v>
      </c>
      <c r="K1741" s="8" t="s">
        <v>1762</v>
      </c>
      <c r="L1741" s="8" t="s">
        <v>1763</v>
      </c>
      <c r="M1741" s="8" t="s">
        <v>391</v>
      </c>
      <c r="N1741" s="8" t="s">
        <v>21769</v>
      </c>
      <c r="O1741" s="8" t="s">
        <v>400</v>
      </c>
      <c r="P1741" s="11" t="s">
        <v>401</v>
      </c>
      <c r="Q1741" s="14" t="s">
        <v>21770</v>
      </c>
      <c r="R1741" s="8" t="s">
        <v>555</v>
      </c>
      <c r="S1741" s="8" t="s">
        <v>18</v>
      </c>
      <c r="AJ1741" s="44"/>
      <c r="AK1741" s="44"/>
      <c r="AL1741" s="44"/>
      <c r="AM1741" s="44"/>
      <c r="AN1741" s="44"/>
      <c r="AO1741" s="44"/>
      <c r="AP1741" s="44"/>
      <c r="AQ1741" s="44"/>
      <c r="AR1741" s="44"/>
      <c r="AS1741" s="44"/>
      <c r="AT1741" s="44"/>
      <c r="AU1741" s="1"/>
      <c r="AV1741" s="1"/>
      <c r="AX1741" s="1"/>
      <c r="AY1741" s="1"/>
      <c r="AZ1741" s="1"/>
      <c r="BC1741" s="1"/>
      <c r="BD1741" s="1"/>
      <c r="BE1741" s="1"/>
      <c r="BF1741" s="1"/>
      <c r="BG1741" s="1"/>
      <c r="BH1741" s="1"/>
      <c r="BI1741" s="1"/>
      <c r="BJ1741" s="1"/>
      <c r="BK1741" s="1"/>
    </row>
    <row r="1742" spans="1:63" s="11" customFormat="1" ht="12" customHeight="1" x14ac:dyDescent="0.15">
      <c r="A1742" s="11" t="s">
        <v>22505</v>
      </c>
      <c r="B1742" s="68">
        <v>27</v>
      </c>
      <c r="C1742" s="11" t="s">
        <v>20</v>
      </c>
      <c r="D1742" s="11" t="s">
        <v>37</v>
      </c>
      <c r="E1742" s="60" t="s">
        <v>22506</v>
      </c>
      <c r="F1742" s="69">
        <v>42387</v>
      </c>
      <c r="G1742" s="11" t="s">
        <v>22507</v>
      </c>
      <c r="H1742" s="8" t="s">
        <v>2020</v>
      </c>
      <c r="I1742" s="11" t="s">
        <v>117</v>
      </c>
      <c r="J1742" s="17" t="s">
        <v>2021</v>
      </c>
      <c r="K1742" s="8" t="s">
        <v>433</v>
      </c>
      <c r="L1742" s="8" t="s">
        <v>2022</v>
      </c>
      <c r="M1742" s="8" t="s">
        <v>27</v>
      </c>
      <c r="N1742" s="8" t="s">
        <v>22508</v>
      </c>
      <c r="O1742" s="8" t="s">
        <v>400</v>
      </c>
      <c r="P1742" s="11" t="s">
        <v>401</v>
      </c>
      <c r="Q1742" s="14" t="s">
        <v>22509</v>
      </c>
      <c r="R1742" s="8" t="s">
        <v>100</v>
      </c>
      <c r="S1742" s="8" t="s">
        <v>28</v>
      </c>
      <c r="T1742" s="68" t="s">
        <v>29493</v>
      </c>
      <c r="U1742" s="68" t="s">
        <v>29436</v>
      </c>
      <c r="V1742" s="68" t="s">
        <v>29440</v>
      </c>
      <c r="W1742" s="68" t="s">
        <v>100</v>
      </c>
      <c r="X1742" s="68">
        <v>1184</v>
      </c>
      <c r="AU1742" s="44"/>
      <c r="AV1742" s="44"/>
      <c r="AW1742" s="44"/>
      <c r="AX1742" s="1"/>
      <c r="AY1742" s="1"/>
      <c r="AZ1742" s="44"/>
      <c r="BA1742" s="44"/>
      <c r="BB1742" s="44"/>
      <c r="BC1742" s="1"/>
      <c r="BD1742" s="1"/>
      <c r="BE1742" s="1"/>
      <c r="BF1742" s="1"/>
      <c r="BG1742" s="1"/>
      <c r="BH1742" s="1"/>
      <c r="BI1742" s="1"/>
      <c r="BJ1742" s="1"/>
      <c r="BK1742" s="44"/>
    </row>
    <row r="1743" spans="1:63" s="44" customFormat="1" ht="12" customHeight="1" x14ac:dyDescent="0.15">
      <c r="A1743" s="11" t="s">
        <v>22628</v>
      </c>
      <c r="B1743" s="68">
        <v>28</v>
      </c>
      <c r="C1743" s="11" t="s">
        <v>20</v>
      </c>
      <c r="D1743" s="11" t="s">
        <v>37</v>
      </c>
      <c r="E1743" s="60" t="s">
        <v>22629</v>
      </c>
      <c r="F1743" s="69">
        <v>42387</v>
      </c>
      <c r="G1743" s="11" t="s">
        <v>22630</v>
      </c>
      <c r="H1743" s="8" t="s">
        <v>1060</v>
      </c>
      <c r="I1743" s="11" t="s">
        <v>62</v>
      </c>
      <c r="J1743" s="17" t="s">
        <v>4473</v>
      </c>
      <c r="K1743" s="8" t="s">
        <v>1061</v>
      </c>
      <c r="L1743" s="8" t="s">
        <v>1062</v>
      </c>
      <c r="M1743" s="8" t="s">
        <v>27</v>
      </c>
      <c r="N1743" s="8" t="s">
        <v>22631</v>
      </c>
      <c r="O1743" s="8" t="s">
        <v>400</v>
      </c>
      <c r="P1743" s="11" t="s">
        <v>401</v>
      </c>
      <c r="Q1743" s="14" t="s">
        <v>22632</v>
      </c>
      <c r="R1743" s="8" t="s">
        <v>29</v>
      </c>
      <c r="S1743" s="8" t="s">
        <v>18</v>
      </c>
      <c r="T1743" s="68" t="s">
        <v>29612</v>
      </c>
      <c r="U1743" s="68" t="s">
        <v>29436</v>
      </c>
      <c r="V1743" s="68" t="s">
        <v>29439</v>
      </c>
      <c r="W1743" s="68" t="s">
        <v>100</v>
      </c>
      <c r="X1743" s="68">
        <v>1182</v>
      </c>
      <c r="Y1743" s="11"/>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X1743" s="1"/>
      <c r="AY1743" s="1"/>
      <c r="BA1743" s="1"/>
      <c r="BB1743" s="1"/>
      <c r="BC1743" s="1"/>
      <c r="BD1743" s="1"/>
      <c r="BE1743" s="1"/>
      <c r="BF1743" s="1"/>
      <c r="BG1743" s="1"/>
      <c r="BH1743" s="1"/>
      <c r="BI1743" s="1"/>
      <c r="BJ1743" s="1"/>
      <c r="BK1743" s="1"/>
    </row>
    <row r="1744" spans="1:63" s="44" customFormat="1" ht="12" customHeight="1" x14ac:dyDescent="0.15">
      <c r="A1744" s="11" t="s">
        <v>22243</v>
      </c>
      <c r="B1744" s="68">
        <v>39</v>
      </c>
      <c r="C1744" s="11" t="s">
        <v>20</v>
      </c>
      <c r="D1744" s="11" t="s">
        <v>37</v>
      </c>
      <c r="E1744" s="11"/>
      <c r="F1744" s="69">
        <v>42387</v>
      </c>
      <c r="G1744" s="11" t="s">
        <v>22244</v>
      </c>
      <c r="H1744" s="8" t="s">
        <v>632</v>
      </c>
      <c r="I1744" s="11" t="s">
        <v>123</v>
      </c>
      <c r="J1744" s="17" t="s">
        <v>10573</v>
      </c>
      <c r="K1744" s="8" t="s">
        <v>633</v>
      </c>
      <c r="L1744" s="8" t="s">
        <v>634</v>
      </c>
      <c r="M1744" s="8" t="s">
        <v>27</v>
      </c>
      <c r="N1744" s="8" t="s">
        <v>23121</v>
      </c>
      <c r="O1744" s="8" t="s">
        <v>400</v>
      </c>
      <c r="P1744" s="11" t="s">
        <v>401</v>
      </c>
      <c r="Q1744" s="14" t="s">
        <v>22245</v>
      </c>
      <c r="R1744" s="8" t="s">
        <v>555</v>
      </c>
      <c r="S1744" s="8" t="s">
        <v>28</v>
      </c>
      <c r="T1744" s="68" t="s">
        <v>27756</v>
      </c>
      <c r="U1744" s="68" t="s">
        <v>29438</v>
      </c>
      <c r="V1744" s="68" t="s">
        <v>29439</v>
      </c>
      <c r="W1744" s="68" t="s">
        <v>100</v>
      </c>
      <c r="X1744" s="68">
        <v>1186</v>
      </c>
      <c r="Y1744" s="11"/>
      <c r="Z1744" s="11"/>
      <c r="AA1744" s="11"/>
      <c r="AB1744" s="11"/>
      <c r="AC1744" s="11"/>
      <c r="AD1744" s="11"/>
      <c r="AE1744" s="11"/>
      <c r="AF1744" s="11"/>
      <c r="AG1744" s="11"/>
      <c r="AH1744" s="11"/>
      <c r="AI1744" s="11"/>
      <c r="AJ1744" s="11"/>
      <c r="AK1744" s="11"/>
      <c r="AL1744" s="11"/>
      <c r="AM1744" s="11"/>
      <c r="AN1744" s="11"/>
      <c r="AO1744" s="11"/>
      <c r="AP1744" s="11"/>
      <c r="AQ1744" s="11"/>
      <c r="AR1744" s="11"/>
      <c r="AS1744" s="11"/>
      <c r="AT1744" s="11"/>
      <c r="AX1744" s="1"/>
      <c r="AY1744" s="1"/>
      <c r="BA1744" s="11"/>
      <c r="BC1744" s="1"/>
      <c r="BD1744" s="1"/>
      <c r="BE1744" s="1"/>
      <c r="BF1744" s="1"/>
      <c r="BG1744" s="1"/>
      <c r="BH1744" s="1"/>
      <c r="BI1744" s="1"/>
      <c r="BJ1744" s="1"/>
    </row>
    <row r="1745" spans="1:63" s="11" customFormat="1" ht="12" customHeight="1" x14ac:dyDescent="0.15">
      <c r="A1745" s="11" t="s">
        <v>22002</v>
      </c>
      <c r="B1745" s="68">
        <v>33</v>
      </c>
      <c r="C1745" s="11" t="s">
        <v>20</v>
      </c>
      <c r="D1745" s="11" t="s">
        <v>37</v>
      </c>
      <c r="F1745" s="69">
        <v>42387</v>
      </c>
      <c r="G1745" s="11" t="s">
        <v>22003</v>
      </c>
      <c r="H1745" s="8" t="s">
        <v>561</v>
      </c>
      <c r="I1745" s="11" t="s">
        <v>123</v>
      </c>
      <c r="J1745" s="17" t="s">
        <v>6325</v>
      </c>
      <c r="K1745" s="8" t="s">
        <v>562</v>
      </c>
      <c r="L1745" s="8" t="s">
        <v>563</v>
      </c>
      <c r="M1745" s="8" t="s">
        <v>27</v>
      </c>
      <c r="N1745" s="8" t="s">
        <v>23120</v>
      </c>
      <c r="O1745" s="8" t="s">
        <v>400</v>
      </c>
      <c r="P1745" s="11" t="s">
        <v>401</v>
      </c>
      <c r="Q1745" s="14" t="s">
        <v>22004</v>
      </c>
      <c r="R1745" s="8" t="s">
        <v>555</v>
      </c>
      <c r="S1745" s="8" t="s">
        <v>28</v>
      </c>
      <c r="T1745" s="68" t="s">
        <v>27756</v>
      </c>
      <c r="U1745" s="68" t="s">
        <v>29438</v>
      </c>
      <c r="V1745" s="68" t="s">
        <v>29439</v>
      </c>
      <c r="W1745" s="68" t="s">
        <v>100</v>
      </c>
      <c r="X1745" s="68">
        <v>1178</v>
      </c>
      <c r="AU1745" s="44"/>
      <c r="AV1745" s="44"/>
      <c r="AX1745" s="1"/>
      <c r="AY1745" s="1"/>
      <c r="AZ1745" s="44"/>
      <c r="BB1745" s="44"/>
      <c r="BC1745" s="1"/>
      <c r="BD1745" s="1"/>
      <c r="BE1745" s="1"/>
      <c r="BF1745" s="1"/>
      <c r="BG1745" s="1"/>
      <c r="BH1745" s="1"/>
      <c r="BI1745" s="1"/>
      <c r="BJ1745" s="1"/>
      <c r="BK1745" s="44"/>
    </row>
    <row r="1746" spans="1:63" s="44" customFormat="1" ht="12" customHeight="1" x14ac:dyDescent="0.15">
      <c r="A1746" s="11" t="s">
        <v>22559</v>
      </c>
      <c r="B1746" s="68">
        <v>29</v>
      </c>
      <c r="C1746" s="11" t="s">
        <v>20</v>
      </c>
      <c r="D1746" s="11" t="s">
        <v>37</v>
      </c>
      <c r="E1746" s="60" t="s">
        <v>22560</v>
      </c>
      <c r="F1746" s="69">
        <v>42387</v>
      </c>
      <c r="G1746" s="11" t="s">
        <v>22561</v>
      </c>
      <c r="H1746" s="8" t="s">
        <v>13544</v>
      </c>
      <c r="I1746" s="11" t="s">
        <v>45</v>
      </c>
      <c r="J1746" s="17" t="s">
        <v>13545</v>
      </c>
      <c r="K1746" s="8" t="s">
        <v>602</v>
      </c>
      <c r="L1746" s="8" t="s">
        <v>13546</v>
      </c>
      <c r="M1746" s="8" t="s">
        <v>27</v>
      </c>
      <c r="N1746" s="8" t="s">
        <v>22562</v>
      </c>
      <c r="O1746" s="8" t="s">
        <v>400</v>
      </c>
      <c r="P1746" s="11" t="s">
        <v>401</v>
      </c>
      <c r="Q1746" s="14" t="s">
        <v>22563</v>
      </c>
      <c r="R1746" s="8" t="s">
        <v>555</v>
      </c>
      <c r="S1746" s="1" t="s">
        <v>35</v>
      </c>
      <c r="T1746" s="68" t="s">
        <v>29474</v>
      </c>
      <c r="U1746" s="68" t="s">
        <v>29436</v>
      </c>
      <c r="V1746" s="68" t="s">
        <v>29439</v>
      </c>
      <c r="W1746" s="68" t="s">
        <v>555</v>
      </c>
      <c r="X1746" s="68">
        <v>1189</v>
      </c>
      <c r="Y1746" s="11"/>
      <c r="Z1746" s="11"/>
      <c r="AA1746" s="11"/>
      <c r="AB1746" s="11"/>
      <c r="AC1746" s="11"/>
      <c r="AD1746" s="11"/>
      <c r="AE1746" s="11"/>
      <c r="AF1746" s="11"/>
      <c r="AG1746" s="11"/>
      <c r="AH1746" s="11"/>
      <c r="AI1746" s="11"/>
      <c r="AJ1746" s="11"/>
      <c r="AK1746" s="11"/>
      <c r="AL1746" s="11"/>
      <c r="AM1746" s="11"/>
      <c r="AN1746" s="11"/>
      <c r="AO1746" s="11"/>
      <c r="AP1746" s="11"/>
      <c r="AQ1746" s="11"/>
      <c r="AR1746" s="11"/>
      <c r="AS1746" s="11"/>
      <c r="AT1746" s="11"/>
      <c r="AX1746" s="1"/>
      <c r="AY1746" s="1"/>
      <c r="BA1746" s="11"/>
      <c r="BC1746" s="1"/>
      <c r="BD1746" s="1"/>
      <c r="BE1746" s="1"/>
      <c r="BF1746" s="1"/>
      <c r="BG1746" s="1"/>
      <c r="BH1746" s="1"/>
      <c r="BI1746" s="1"/>
      <c r="BJ1746" s="1"/>
      <c r="BK1746" s="1"/>
    </row>
    <row r="1747" spans="1:63" s="11" customFormat="1" ht="12" customHeight="1" x14ac:dyDescent="0.15">
      <c r="A1747" s="11" t="s">
        <v>21398</v>
      </c>
      <c r="B1747" s="68">
        <v>52</v>
      </c>
      <c r="C1747" s="11" t="s">
        <v>20</v>
      </c>
      <c r="D1747" s="11" t="s">
        <v>85</v>
      </c>
      <c r="E1747" s="60" t="s">
        <v>21399</v>
      </c>
      <c r="F1747" s="69">
        <v>42386</v>
      </c>
      <c r="G1747" s="11" t="s">
        <v>21400</v>
      </c>
      <c r="H1747" s="8" t="s">
        <v>21401</v>
      </c>
      <c r="I1747" s="11" t="s">
        <v>431</v>
      </c>
      <c r="J1747" s="47" t="s">
        <v>4515</v>
      </c>
      <c r="K1747" s="8" t="s">
        <v>21402</v>
      </c>
      <c r="L1747" s="8" t="s">
        <v>4516</v>
      </c>
      <c r="M1747" s="8" t="s">
        <v>27</v>
      </c>
      <c r="N1747" s="8" t="s">
        <v>21403</v>
      </c>
      <c r="O1747" s="8" t="s">
        <v>400</v>
      </c>
      <c r="P1747" s="11" t="s">
        <v>401</v>
      </c>
      <c r="Q1747" s="14" t="s">
        <v>21404</v>
      </c>
      <c r="R1747" s="8" t="s">
        <v>100</v>
      </c>
      <c r="S1747" s="8" t="s">
        <v>28</v>
      </c>
      <c r="T1747" s="68" t="s">
        <v>27756</v>
      </c>
      <c r="U1747" s="68" t="s">
        <v>29438</v>
      </c>
      <c r="V1747" s="68" t="s">
        <v>29439</v>
      </c>
      <c r="W1747" s="68" t="s">
        <v>100</v>
      </c>
      <c r="X1747" s="68">
        <v>1170</v>
      </c>
      <c r="AH1747" s="44"/>
      <c r="AI1747" s="44"/>
      <c r="AW1747" s="1"/>
      <c r="AX1747" s="44"/>
      <c r="AY1747" s="44"/>
      <c r="AZ1747" s="44"/>
      <c r="BA1747" s="44"/>
      <c r="BB1747" s="44"/>
      <c r="BK1747" s="44"/>
    </row>
    <row r="1748" spans="1:63" s="44" customFormat="1" ht="12" customHeight="1" x14ac:dyDescent="0.2">
      <c r="A1748" s="11" t="s">
        <v>21660</v>
      </c>
      <c r="B1748" s="68">
        <v>24</v>
      </c>
      <c r="C1748" s="11" t="s">
        <v>20</v>
      </c>
      <c r="D1748" s="11" t="s">
        <v>48</v>
      </c>
      <c r="E1748" s="11"/>
      <c r="F1748" s="69">
        <v>42386</v>
      </c>
      <c r="G1748" s="11" t="s">
        <v>21661</v>
      </c>
      <c r="H1748" s="8" t="s">
        <v>98</v>
      </c>
      <c r="I1748" s="11" t="s">
        <v>45</v>
      </c>
      <c r="J1748" s="17" t="s">
        <v>21662</v>
      </c>
      <c r="K1748" s="8" t="s">
        <v>98</v>
      </c>
      <c r="L1748" s="8" t="s">
        <v>99</v>
      </c>
      <c r="M1748" s="68" t="s">
        <v>5411</v>
      </c>
      <c r="N1748" s="8" t="s">
        <v>21663</v>
      </c>
      <c r="O1748" s="8" t="s">
        <v>400</v>
      </c>
      <c r="P1748" s="11" t="s">
        <v>401</v>
      </c>
      <c r="Q1748" s="14" t="s">
        <v>21664</v>
      </c>
      <c r="R1748" s="8" t="s">
        <v>100</v>
      </c>
      <c r="S1748" s="8" t="s">
        <v>28</v>
      </c>
      <c r="T1748" s="68" t="s">
        <v>29493</v>
      </c>
      <c r="U1748" s="68" t="s">
        <v>29436</v>
      </c>
      <c r="V1748" s="68" t="s">
        <v>29439</v>
      </c>
      <c r="W1748" s="68" t="s">
        <v>100</v>
      </c>
      <c r="X1748" s="68">
        <v>1171</v>
      </c>
      <c r="Y1748" s="11"/>
      <c r="Z1748" s="11"/>
      <c r="AA1748" s="11"/>
      <c r="AB1748" s="11"/>
      <c r="AC1748" s="11"/>
      <c r="AD1748" s="11"/>
      <c r="AE1748" s="11"/>
      <c r="AF1748" s="11"/>
      <c r="AG1748" s="11"/>
      <c r="AH1748" s="11"/>
      <c r="AI1748" s="11"/>
      <c r="AW1748" s="11"/>
      <c r="AX1748" s="1"/>
      <c r="AY1748" s="1"/>
      <c r="BB1748" s="70"/>
      <c r="BC1748" s="1"/>
      <c r="BD1748" s="1"/>
      <c r="BE1748" s="1"/>
      <c r="BF1748" s="1"/>
      <c r="BG1748" s="1"/>
      <c r="BH1748" s="1"/>
      <c r="BI1748" s="1"/>
      <c r="BJ1748" s="1"/>
      <c r="BK1748" s="1"/>
    </row>
    <row r="1749" spans="1:63" s="44" customFormat="1" ht="12" customHeight="1" x14ac:dyDescent="0.15">
      <c r="A1749" s="11" t="s">
        <v>22462</v>
      </c>
      <c r="B1749" s="11">
        <v>47</v>
      </c>
      <c r="C1749" s="11" t="s">
        <v>20</v>
      </c>
      <c r="D1749" s="11" t="s">
        <v>37</v>
      </c>
      <c r="E1749" s="60" t="s">
        <v>22463</v>
      </c>
      <c r="F1749" s="72">
        <v>42386</v>
      </c>
      <c r="G1749" s="11" t="s">
        <v>22464</v>
      </c>
      <c r="H1749" s="8" t="s">
        <v>651</v>
      </c>
      <c r="I1749" s="11" t="s">
        <v>62</v>
      </c>
      <c r="J1749" s="17" t="s">
        <v>18177</v>
      </c>
      <c r="K1749" s="8" t="s">
        <v>652</v>
      </c>
      <c r="L1749" s="8" t="s">
        <v>16915</v>
      </c>
      <c r="M1749" s="8" t="s">
        <v>27</v>
      </c>
      <c r="N1749" s="8" t="s">
        <v>22465</v>
      </c>
      <c r="O1749" s="8" t="s">
        <v>400</v>
      </c>
      <c r="P1749" s="11" t="s">
        <v>401</v>
      </c>
      <c r="Q1749" s="14" t="s">
        <v>22466</v>
      </c>
      <c r="R1749" s="8" t="s">
        <v>100</v>
      </c>
      <c r="S1749" s="8" t="s">
        <v>28</v>
      </c>
      <c r="T1749" s="68"/>
      <c r="U1749" s="68"/>
      <c r="V1749" s="68"/>
      <c r="W1749" s="68"/>
      <c r="X1749" s="68"/>
      <c r="Y1749" s="11"/>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W1749" s="1"/>
      <c r="AX1749" s="1"/>
      <c r="AY1749" s="1"/>
      <c r="AZ1749" s="1"/>
      <c r="BA1749" s="1"/>
      <c r="BB1749" s="1"/>
      <c r="BC1749" s="1"/>
      <c r="BD1749" s="1"/>
      <c r="BE1749" s="1"/>
      <c r="BF1749" s="1"/>
      <c r="BG1749" s="1"/>
      <c r="BH1749" s="1"/>
      <c r="BI1749" s="1"/>
      <c r="BJ1749" s="1"/>
    </row>
    <row r="1750" spans="1:63" s="44" customFormat="1" ht="12" customHeight="1" x14ac:dyDescent="0.15">
      <c r="A1750" s="11" t="s">
        <v>22412</v>
      </c>
      <c r="B1750" s="68">
        <v>31</v>
      </c>
      <c r="C1750" s="11" t="s">
        <v>20</v>
      </c>
      <c r="D1750" s="11" t="s">
        <v>37</v>
      </c>
      <c r="E1750" s="60" t="s">
        <v>22413</v>
      </c>
      <c r="F1750" s="69">
        <v>42386</v>
      </c>
      <c r="G1750" s="11" t="s">
        <v>22414</v>
      </c>
      <c r="H1750" s="8" t="s">
        <v>22415</v>
      </c>
      <c r="I1750" s="11" t="s">
        <v>240</v>
      </c>
      <c r="J1750" s="17" t="s">
        <v>22416</v>
      </c>
      <c r="K1750" s="8" t="s">
        <v>611</v>
      </c>
      <c r="L1750" s="8" t="s">
        <v>6475</v>
      </c>
      <c r="M1750" s="8" t="s">
        <v>27</v>
      </c>
      <c r="N1750" s="8" t="s">
        <v>22417</v>
      </c>
      <c r="O1750" s="8" t="s">
        <v>400</v>
      </c>
      <c r="P1750" s="11" t="s">
        <v>401</v>
      </c>
      <c r="Q1750" s="14" t="s">
        <v>22418</v>
      </c>
      <c r="R1750" s="8" t="s">
        <v>100</v>
      </c>
      <c r="S1750" s="8" t="s">
        <v>28</v>
      </c>
      <c r="T1750" s="68" t="s">
        <v>27756</v>
      </c>
      <c r="U1750" s="68" t="s">
        <v>29438</v>
      </c>
      <c r="V1750" s="68" t="s">
        <v>29440</v>
      </c>
      <c r="W1750" s="68" t="s">
        <v>555</v>
      </c>
      <c r="X1750" s="68">
        <v>1175</v>
      </c>
      <c r="Y1750" s="11"/>
      <c r="Z1750" s="11"/>
      <c r="AA1750" s="11"/>
      <c r="AB1750" s="11"/>
      <c r="AC1750" s="11"/>
      <c r="AD1750" s="11"/>
      <c r="AE1750" s="11"/>
      <c r="AF1750" s="11"/>
      <c r="AG1750" s="11"/>
      <c r="AH1750" s="11"/>
      <c r="AI1750" s="11"/>
      <c r="AJ1750" s="11"/>
      <c r="AK1750" s="11"/>
      <c r="AL1750" s="11"/>
      <c r="AM1750" s="11"/>
      <c r="AN1750" s="11"/>
      <c r="AO1750" s="11"/>
      <c r="AP1750" s="11"/>
      <c r="AQ1750" s="11"/>
      <c r="AR1750" s="11"/>
      <c r="AS1750" s="11"/>
      <c r="AT1750" s="11"/>
      <c r="AU1750" s="11"/>
      <c r="AV1750" s="11"/>
      <c r="AW1750" s="11"/>
      <c r="AX1750" s="1"/>
      <c r="AY1750" s="1"/>
      <c r="BC1750" s="1"/>
      <c r="BD1750" s="1"/>
      <c r="BE1750" s="1"/>
      <c r="BF1750" s="1"/>
      <c r="BG1750" s="1"/>
      <c r="BH1750" s="1"/>
      <c r="BI1750" s="1"/>
      <c r="BJ1750" s="1"/>
    </row>
    <row r="1751" spans="1:63" s="44" customFormat="1" ht="12" customHeight="1" x14ac:dyDescent="0.2">
      <c r="A1751" s="11" t="s">
        <v>22212</v>
      </c>
      <c r="B1751" s="68">
        <v>38</v>
      </c>
      <c r="C1751" s="11" t="s">
        <v>20</v>
      </c>
      <c r="D1751" s="11" t="s">
        <v>37</v>
      </c>
      <c r="E1751" s="60" t="s">
        <v>22213</v>
      </c>
      <c r="F1751" s="69">
        <v>42386</v>
      </c>
      <c r="G1751" s="11" t="s">
        <v>22214</v>
      </c>
      <c r="H1751" s="8" t="s">
        <v>22215</v>
      </c>
      <c r="I1751" s="11" t="s">
        <v>94</v>
      </c>
      <c r="J1751" s="17" t="s">
        <v>22216</v>
      </c>
      <c r="K1751" s="8" t="s">
        <v>12740</v>
      </c>
      <c r="L1751" s="8" t="s">
        <v>22217</v>
      </c>
      <c r="M1751" s="68" t="s">
        <v>5411</v>
      </c>
      <c r="N1751" s="8" t="s">
        <v>22218</v>
      </c>
      <c r="O1751" s="8" t="s">
        <v>400</v>
      </c>
      <c r="P1751" s="11" t="s">
        <v>401</v>
      </c>
      <c r="Q1751" s="14" t="s">
        <v>22219</v>
      </c>
      <c r="R1751" s="8" t="s">
        <v>100</v>
      </c>
      <c r="S1751" s="8" t="s">
        <v>28</v>
      </c>
      <c r="T1751" s="68" t="s">
        <v>27756</v>
      </c>
      <c r="U1751" s="68" t="s">
        <v>29436</v>
      </c>
      <c r="V1751" s="68" t="s">
        <v>29439</v>
      </c>
      <c r="W1751" s="68" t="s">
        <v>100</v>
      </c>
      <c r="X1751" s="68">
        <v>1174</v>
      </c>
      <c r="Y1751" s="11"/>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X1751" s="1"/>
      <c r="AY1751" s="1"/>
      <c r="BB1751" s="70"/>
      <c r="BC1751" s="1"/>
      <c r="BD1751" s="1"/>
      <c r="BE1751" s="1"/>
      <c r="BF1751" s="1"/>
      <c r="BG1751" s="1"/>
      <c r="BH1751" s="1"/>
      <c r="BI1751" s="1"/>
      <c r="BJ1751" s="1"/>
      <c r="BK1751" s="1"/>
    </row>
    <row r="1752" spans="1:63" s="44" customFormat="1" ht="12" customHeight="1" x14ac:dyDescent="0.15">
      <c r="A1752" s="11" t="s">
        <v>22574</v>
      </c>
      <c r="B1752" s="68">
        <v>26</v>
      </c>
      <c r="C1752" s="11" t="s">
        <v>20</v>
      </c>
      <c r="D1752" s="11" t="s">
        <v>37</v>
      </c>
      <c r="E1752" s="60" t="s">
        <v>22575</v>
      </c>
      <c r="F1752" s="69">
        <v>42386</v>
      </c>
      <c r="G1752" s="11" t="s">
        <v>22576</v>
      </c>
      <c r="H1752" s="8" t="s">
        <v>1428</v>
      </c>
      <c r="I1752" s="11" t="s">
        <v>123</v>
      </c>
      <c r="J1752" s="17" t="s">
        <v>22577</v>
      </c>
      <c r="K1752" s="8" t="s">
        <v>633</v>
      </c>
      <c r="L1752" s="8" t="s">
        <v>1429</v>
      </c>
      <c r="M1752" s="8" t="s">
        <v>27</v>
      </c>
      <c r="N1752" s="8" t="s">
        <v>23135</v>
      </c>
      <c r="O1752" s="8" t="s">
        <v>21481</v>
      </c>
      <c r="P1752" s="11" t="s">
        <v>1159</v>
      </c>
      <c r="Q1752" s="14" t="s">
        <v>22578</v>
      </c>
      <c r="R1752" s="8" t="s">
        <v>100</v>
      </c>
      <c r="S1752" s="8" t="s">
        <v>18</v>
      </c>
      <c r="T1752" s="68" t="s">
        <v>28345</v>
      </c>
      <c r="U1752" s="68" t="s">
        <v>29436</v>
      </c>
      <c r="V1752" s="68" t="s">
        <v>29439</v>
      </c>
      <c r="W1752" s="68" t="s">
        <v>555</v>
      </c>
      <c r="X1752" s="68">
        <v>1188</v>
      </c>
      <c r="Y1752" s="11"/>
      <c r="Z1752" s="11"/>
      <c r="AA1752" s="11"/>
      <c r="AB1752" s="11"/>
      <c r="AC1752" s="11"/>
      <c r="AD1752" s="11"/>
      <c r="AE1752" s="11"/>
      <c r="AF1752" s="11"/>
      <c r="AG1752" s="11"/>
      <c r="AH1752" s="11"/>
      <c r="AI1752" s="11"/>
      <c r="AJ1752" s="11"/>
      <c r="AK1752" s="11"/>
      <c r="AL1752" s="11"/>
      <c r="AM1752" s="11"/>
      <c r="AN1752" s="11"/>
      <c r="AO1752" s="11"/>
      <c r="AP1752" s="11"/>
      <c r="AQ1752" s="11"/>
      <c r="AR1752" s="11"/>
      <c r="AS1752" s="11"/>
      <c r="AT1752" s="11"/>
      <c r="AX1752" s="1"/>
      <c r="AY1752" s="1"/>
      <c r="BC1752" s="1"/>
      <c r="BD1752" s="1"/>
      <c r="BE1752" s="1"/>
      <c r="BF1752" s="1"/>
      <c r="BG1752" s="1"/>
      <c r="BH1752" s="1"/>
      <c r="BI1752" s="1"/>
      <c r="BJ1752" s="1"/>
      <c r="BK1752" s="1"/>
    </row>
    <row r="1753" spans="1:63" s="44" customFormat="1" ht="12" customHeight="1" x14ac:dyDescent="0.2">
      <c r="A1753" s="11" t="s">
        <v>21330</v>
      </c>
      <c r="B1753" s="68">
        <v>19</v>
      </c>
      <c r="C1753" s="11" t="s">
        <v>20</v>
      </c>
      <c r="D1753" s="11" t="s">
        <v>85</v>
      </c>
      <c r="E1753" s="60" t="s">
        <v>21331</v>
      </c>
      <c r="F1753" s="69">
        <v>42385</v>
      </c>
      <c r="G1753" s="11" t="s">
        <v>21332</v>
      </c>
      <c r="H1753" s="8" t="s">
        <v>21333</v>
      </c>
      <c r="I1753" s="11" t="s">
        <v>62</v>
      </c>
      <c r="J1753" s="47" t="s">
        <v>21334</v>
      </c>
      <c r="K1753" s="8" t="s">
        <v>5318</v>
      </c>
      <c r="L1753" s="8" t="s">
        <v>63</v>
      </c>
      <c r="M1753" s="8" t="s">
        <v>27</v>
      </c>
      <c r="N1753" s="8" t="s">
        <v>21335</v>
      </c>
      <c r="O1753" s="8" t="s">
        <v>400</v>
      </c>
      <c r="P1753" s="11" t="s">
        <v>401</v>
      </c>
      <c r="Q1753" s="14" t="s">
        <v>21336</v>
      </c>
      <c r="R1753" s="8" t="s">
        <v>100</v>
      </c>
      <c r="S1753" s="8" t="s">
        <v>28</v>
      </c>
      <c r="T1753" s="68" t="s">
        <v>27756</v>
      </c>
      <c r="U1753" s="68" t="s">
        <v>29438</v>
      </c>
      <c r="V1753" s="68" t="s">
        <v>29440</v>
      </c>
      <c r="W1753" s="68" t="s">
        <v>100</v>
      </c>
      <c r="X1753" s="68">
        <v>1181</v>
      </c>
      <c r="Y1753" s="11"/>
      <c r="Z1753" s="11"/>
      <c r="AA1753" s="11"/>
      <c r="AB1753" s="11"/>
      <c r="AC1753" s="11"/>
      <c r="AD1753" s="11"/>
      <c r="AE1753" s="11"/>
      <c r="AF1753" s="11"/>
      <c r="AG1753" s="11"/>
      <c r="AU1753" s="11"/>
      <c r="AV1753" s="11"/>
      <c r="AW1753" s="70"/>
      <c r="AX1753" s="70"/>
      <c r="AY1753" s="70"/>
      <c r="BC1753" s="11"/>
      <c r="BD1753" s="11"/>
      <c r="BE1753" s="11"/>
      <c r="BF1753" s="11"/>
      <c r="BG1753" s="11"/>
      <c r="BH1753" s="11"/>
      <c r="BI1753" s="11"/>
      <c r="BJ1753" s="11"/>
    </row>
    <row r="1754" spans="1:63" s="44" customFormat="1" ht="12" customHeight="1" x14ac:dyDescent="0.15">
      <c r="A1754" s="11" t="s">
        <v>22372</v>
      </c>
      <c r="B1754" s="68">
        <v>27</v>
      </c>
      <c r="C1754" s="11" t="s">
        <v>20</v>
      </c>
      <c r="D1754" s="11" t="s">
        <v>37</v>
      </c>
      <c r="E1754" s="11"/>
      <c r="F1754" s="69">
        <v>42385</v>
      </c>
      <c r="G1754" s="11" t="s">
        <v>22373</v>
      </c>
      <c r="H1754" s="8" t="s">
        <v>575</v>
      </c>
      <c r="I1754" s="11" t="s">
        <v>73</v>
      </c>
      <c r="J1754" s="17" t="s">
        <v>1580</v>
      </c>
      <c r="K1754" s="8" t="s">
        <v>576</v>
      </c>
      <c r="L1754" s="8" t="s">
        <v>577</v>
      </c>
      <c r="M1754" s="8" t="s">
        <v>27</v>
      </c>
      <c r="N1754" s="8" t="s">
        <v>22374</v>
      </c>
      <c r="O1754" s="8" t="s">
        <v>400</v>
      </c>
      <c r="P1754" s="11" t="s">
        <v>401</v>
      </c>
      <c r="Q1754" s="14" t="s">
        <v>22375</v>
      </c>
      <c r="R1754" s="8" t="s">
        <v>100</v>
      </c>
      <c r="S1754" s="8" t="s">
        <v>28</v>
      </c>
      <c r="T1754" s="68" t="s">
        <v>27756</v>
      </c>
      <c r="U1754" s="68" t="s">
        <v>29438</v>
      </c>
      <c r="V1754" s="68" t="s">
        <v>29440</v>
      </c>
      <c r="W1754" s="68" t="s">
        <v>100</v>
      </c>
      <c r="X1754" s="68">
        <v>1173</v>
      </c>
      <c r="Y1754" s="11"/>
      <c r="Z1754" s="11"/>
      <c r="AA1754" s="11"/>
      <c r="AB1754" s="11"/>
      <c r="AC1754" s="11"/>
      <c r="AD1754" s="11"/>
      <c r="AE1754" s="11"/>
      <c r="AF1754" s="11"/>
      <c r="AG1754" s="11"/>
      <c r="AH1754" s="11"/>
      <c r="AI1754" s="11"/>
      <c r="AJ1754" s="11"/>
      <c r="AK1754" s="11"/>
      <c r="AL1754" s="11"/>
      <c r="AM1754" s="11"/>
      <c r="AN1754" s="11"/>
      <c r="AO1754" s="11"/>
      <c r="AP1754" s="11"/>
      <c r="AQ1754" s="11"/>
      <c r="AR1754" s="11"/>
      <c r="AS1754" s="11"/>
      <c r="AT1754" s="11"/>
      <c r="AU1754" s="11"/>
      <c r="AV1754" s="11"/>
      <c r="AX1754" s="1"/>
      <c r="AY1754" s="1"/>
      <c r="BA1754" s="11"/>
      <c r="BC1754" s="1"/>
      <c r="BD1754" s="1"/>
      <c r="BE1754" s="1"/>
      <c r="BF1754" s="1"/>
      <c r="BG1754" s="1"/>
      <c r="BH1754" s="1"/>
      <c r="BI1754" s="1"/>
      <c r="BJ1754" s="1"/>
    </row>
    <row r="1755" spans="1:63" s="44" customFormat="1" ht="12" customHeight="1" x14ac:dyDescent="0.15">
      <c r="A1755" s="11" t="s">
        <v>21702</v>
      </c>
      <c r="B1755" s="68">
        <v>34</v>
      </c>
      <c r="C1755" s="11" t="s">
        <v>20</v>
      </c>
      <c r="D1755" s="11" t="s">
        <v>48</v>
      </c>
      <c r="E1755" s="11"/>
      <c r="F1755" s="69">
        <v>42385</v>
      </c>
      <c r="G1755" s="11" t="s">
        <v>21703</v>
      </c>
      <c r="H1755" s="8" t="s">
        <v>98</v>
      </c>
      <c r="I1755" s="11" t="s">
        <v>45</v>
      </c>
      <c r="J1755" s="17" t="s">
        <v>10914</v>
      </c>
      <c r="K1755" s="8" t="s">
        <v>98</v>
      </c>
      <c r="L1755" s="8" t="s">
        <v>99</v>
      </c>
      <c r="M1755" s="8" t="s">
        <v>27</v>
      </c>
      <c r="N1755" s="8" t="s">
        <v>21704</v>
      </c>
      <c r="O1755" s="8" t="s">
        <v>400</v>
      </c>
      <c r="P1755" s="11" t="s">
        <v>401</v>
      </c>
      <c r="Q1755" s="14" t="s">
        <v>21705</v>
      </c>
      <c r="R1755" s="8" t="s">
        <v>100</v>
      </c>
      <c r="S1755" s="8" t="s">
        <v>18</v>
      </c>
      <c r="T1755" s="68" t="s">
        <v>29612</v>
      </c>
      <c r="U1755" s="68" t="s">
        <v>29436</v>
      </c>
      <c r="V1755" s="68" t="s">
        <v>29440</v>
      </c>
      <c r="W1755" s="68" t="s">
        <v>100</v>
      </c>
      <c r="X1755" s="68">
        <v>1172</v>
      </c>
      <c r="Y1755" s="11"/>
      <c r="Z1755" s="11"/>
      <c r="AA1755" s="11"/>
      <c r="AB1755" s="11"/>
      <c r="AC1755" s="11"/>
      <c r="AD1755" s="11"/>
      <c r="AE1755" s="11"/>
      <c r="AF1755" s="11"/>
      <c r="AG1755" s="11"/>
      <c r="AH1755" s="11"/>
      <c r="AI1755" s="11"/>
      <c r="AU1755" s="11"/>
      <c r="AV1755" s="11"/>
      <c r="AW1755" s="11"/>
      <c r="AX1755" s="1"/>
      <c r="AY1755" s="1"/>
      <c r="BC1755" s="1"/>
      <c r="BD1755" s="1"/>
      <c r="BE1755" s="1"/>
      <c r="BF1755" s="1"/>
      <c r="BG1755" s="1"/>
      <c r="BH1755" s="1"/>
      <c r="BI1755" s="1"/>
      <c r="BJ1755" s="1"/>
      <c r="BK1755" s="1"/>
    </row>
    <row r="1756" spans="1:63" s="44" customFormat="1" ht="12" customHeight="1" x14ac:dyDescent="0.15">
      <c r="A1756" s="11" t="s">
        <v>22579</v>
      </c>
      <c r="B1756" s="68">
        <v>25</v>
      </c>
      <c r="C1756" s="11" t="s">
        <v>114</v>
      </c>
      <c r="D1756" s="11" t="s">
        <v>37</v>
      </c>
      <c r="E1756" s="60" t="s">
        <v>22580</v>
      </c>
      <c r="F1756" s="69">
        <v>42385</v>
      </c>
      <c r="G1756" s="11" t="s">
        <v>22581</v>
      </c>
      <c r="H1756" s="8" t="s">
        <v>22582</v>
      </c>
      <c r="I1756" s="11" t="s">
        <v>45</v>
      </c>
      <c r="J1756" s="17" t="s">
        <v>22583</v>
      </c>
      <c r="K1756" s="8" t="s">
        <v>156</v>
      </c>
      <c r="L1756" s="8" t="s">
        <v>22584</v>
      </c>
      <c r="M1756" s="8" t="s">
        <v>27</v>
      </c>
      <c r="N1756" s="8" t="s">
        <v>22585</v>
      </c>
      <c r="O1756" s="8" t="s">
        <v>400</v>
      </c>
      <c r="P1756" s="11" t="s">
        <v>401</v>
      </c>
      <c r="Q1756" s="14" t="s">
        <v>22586</v>
      </c>
      <c r="R1756" s="8" t="s">
        <v>100</v>
      </c>
      <c r="S1756" s="8" t="s">
        <v>18</v>
      </c>
      <c r="T1756" s="68" t="s">
        <v>28345</v>
      </c>
      <c r="U1756" s="68" t="s">
        <v>29436</v>
      </c>
      <c r="V1756" s="68" t="s">
        <v>29437</v>
      </c>
      <c r="W1756" s="68" t="s">
        <v>100</v>
      </c>
      <c r="X1756" s="68">
        <v>1177</v>
      </c>
      <c r="Y1756" s="11"/>
      <c r="Z1756" s="11"/>
      <c r="AA1756" s="11"/>
      <c r="AB1756" s="11"/>
      <c r="AC1756" s="11"/>
      <c r="AD1756" s="11"/>
      <c r="AE1756" s="11"/>
      <c r="AF1756" s="11"/>
      <c r="AG1756" s="11"/>
      <c r="AH1756" s="11"/>
      <c r="AI1756" s="11"/>
      <c r="AJ1756" s="11"/>
      <c r="AK1756" s="11"/>
      <c r="AL1756" s="11"/>
      <c r="AM1756" s="11"/>
      <c r="AN1756" s="11"/>
      <c r="AO1756" s="11"/>
      <c r="AP1756" s="11"/>
      <c r="AQ1756" s="11"/>
      <c r="AR1756" s="11"/>
      <c r="AS1756" s="11"/>
      <c r="AT1756" s="11"/>
      <c r="AU1756" s="11"/>
      <c r="AV1756" s="11"/>
      <c r="AW1756" s="11"/>
      <c r="AX1756" s="1"/>
      <c r="AY1756" s="1"/>
      <c r="BC1756" s="1"/>
      <c r="BD1756" s="1"/>
      <c r="BE1756" s="1"/>
      <c r="BF1756" s="1"/>
      <c r="BG1756" s="1"/>
      <c r="BH1756" s="1"/>
      <c r="BI1756" s="1"/>
      <c r="BJ1756" s="1"/>
      <c r="BK1756" s="1"/>
    </row>
    <row r="1757" spans="1:63" s="44" customFormat="1" ht="12" customHeight="1" x14ac:dyDescent="0.15">
      <c r="A1757" s="11" t="s">
        <v>22651</v>
      </c>
      <c r="B1757" s="68">
        <v>44</v>
      </c>
      <c r="C1757" s="11" t="s">
        <v>20</v>
      </c>
      <c r="D1757" s="11" t="s">
        <v>37</v>
      </c>
      <c r="E1757" s="60" t="s">
        <v>22652</v>
      </c>
      <c r="F1757" s="69">
        <v>42385</v>
      </c>
      <c r="G1757" s="11" t="s">
        <v>22653</v>
      </c>
      <c r="H1757" s="8" t="s">
        <v>325</v>
      </c>
      <c r="I1757" s="11" t="s">
        <v>117</v>
      </c>
      <c r="J1757" s="17" t="s">
        <v>5914</v>
      </c>
      <c r="K1757" s="8" t="s">
        <v>118</v>
      </c>
      <c r="L1757" s="8" t="s">
        <v>1381</v>
      </c>
      <c r="M1757" s="8" t="s">
        <v>27</v>
      </c>
      <c r="N1757" s="8" t="s">
        <v>23113</v>
      </c>
      <c r="O1757" s="8" t="s">
        <v>400</v>
      </c>
      <c r="P1757" s="11" t="s">
        <v>401</v>
      </c>
      <c r="Q1757" s="14" t="s">
        <v>22654</v>
      </c>
      <c r="R1757" s="8" t="s">
        <v>100</v>
      </c>
      <c r="S1757" s="8" t="s">
        <v>18</v>
      </c>
      <c r="T1757" s="68" t="s">
        <v>29612</v>
      </c>
      <c r="U1757" s="68" t="s">
        <v>29436</v>
      </c>
      <c r="V1757" s="68" t="s">
        <v>29439</v>
      </c>
      <c r="W1757" s="68" t="s">
        <v>100</v>
      </c>
      <c r="X1757" s="68">
        <v>1176</v>
      </c>
      <c r="Y1757" s="11"/>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
      <c r="AX1757" s="1"/>
      <c r="AY1757" s="1"/>
      <c r="BA1757" s="11"/>
      <c r="BC1757" s="1"/>
      <c r="BD1757" s="1"/>
      <c r="BE1757" s="1"/>
      <c r="BF1757" s="1"/>
      <c r="BG1757" s="1"/>
      <c r="BH1757" s="1"/>
      <c r="BI1757" s="1"/>
      <c r="BJ1757" s="1"/>
      <c r="BK1757" s="1"/>
    </row>
    <row r="1758" spans="1:63" s="44" customFormat="1" ht="12" customHeight="1" x14ac:dyDescent="0.15">
      <c r="A1758" s="11" t="s">
        <v>22193</v>
      </c>
      <c r="B1758" s="68">
        <v>55</v>
      </c>
      <c r="C1758" s="11" t="s">
        <v>20</v>
      </c>
      <c r="D1758" s="11" t="s">
        <v>37</v>
      </c>
      <c r="E1758" s="11"/>
      <c r="F1758" s="69">
        <v>42385</v>
      </c>
      <c r="G1758" s="11"/>
      <c r="H1758" s="8" t="s">
        <v>22194</v>
      </c>
      <c r="I1758" s="11" t="s">
        <v>150</v>
      </c>
      <c r="J1758" s="17" t="s">
        <v>22195</v>
      </c>
      <c r="K1758" s="8" t="s">
        <v>22196</v>
      </c>
      <c r="L1758" s="8" t="s">
        <v>152</v>
      </c>
      <c r="M1758" s="8" t="s">
        <v>27</v>
      </c>
      <c r="N1758" s="8" t="s">
        <v>22197</v>
      </c>
      <c r="O1758" s="8" t="s">
        <v>400</v>
      </c>
      <c r="P1758" s="11" t="s">
        <v>401</v>
      </c>
      <c r="Q1758" s="14" t="s">
        <v>22198</v>
      </c>
      <c r="R1758" s="8" t="s">
        <v>100</v>
      </c>
      <c r="S1758" s="8" t="s">
        <v>379</v>
      </c>
      <c r="T1758" s="68" t="s">
        <v>379</v>
      </c>
      <c r="U1758" s="68" t="s">
        <v>29436</v>
      </c>
      <c r="V1758" s="68" t="s">
        <v>29437</v>
      </c>
      <c r="W1758" s="68" t="s">
        <v>100</v>
      </c>
      <c r="X1758" s="68">
        <v>1179</v>
      </c>
      <c r="AD1758" s="11"/>
      <c r="AE1758" s="11"/>
      <c r="AF1758" s="11"/>
      <c r="AG1758" s="11"/>
      <c r="AH1758" s="11"/>
      <c r="AI1758" s="11"/>
      <c r="AU1758" s="11"/>
      <c r="AV1758" s="11"/>
      <c r="AW1758" s="1"/>
      <c r="AX1758" s="1"/>
      <c r="AY1758" s="1"/>
      <c r="BA1758" s="11"/>
      <c r="BC1758" s="1"/>
      <c r="BD1758" s="1"/>
      <c r="BE1758" s="1"/>
      <c r="BF1758" s="1"/>
      <c r="BG1758" s="1"/>
      <c r="BH1758" s="1"/>
      <c r="BI1758" s="1"/>
      <c r="BJ1758" s="1"/>
    </row>
    <row r="1759" spans="1:63" s="44" customFormat="1" ht="12" customHeight="1" x14ac:dyDescent="0.15">
      <c r="A1759" s="11" t="s">
        <v>21386</v>
      </c>
      <c r="B1759" s="68">
        <v>24</v>
      </c>
      <c r="C1759" s="11" t="s">
        <v>20</v>
      </c>
      <c r="D1759" s="11" t="s">
        <v>85</v>
      </c>
      <c r="E1759" s="60" t="s">
        <v>21387</v>
      </c>
      <c r="F1759" s="69">
        <v>42384</v>
      </c>
      <c r="G1759" s="11" t="s">
        <v>21388</v>
      </c>
      <c r="H1759" s="8" t="s">
        <v>14512</v>
      </c>
      <c r="I1759" s="11" t="s">
        <v>57</v>
      </c>
      <c r="J1759" s="47" t="s">
        <v>21389</v>
      </c>
      <c r="K1759" s="8" t="s">
        <v>601</v>
      </c>
      <c r="L1759" s="8" t="s">
        <v>405</v>
      </c>
      <c r="M1759" s="8" t="s">
        <v>27</v>
      </c>
      <c r="N1759" s="8" t="s">
        <v>21390</v>
      </c>
      <c r="O1759" s="8" t="s">
        <v>400</v>
      </c>
      <c r="P1759" s="11" t="s">
        <v>401</v>
      </c>
      <c r="Q1759" s="14" t="s">
        <v>21391</v>
      </c>
      <c r="R1759" s="8" t="s">
        <v>100</v>
      </c>
      <c r="S1759" s="8" t="s">
        <v>28</v>
      </c>
      <c r="T1759" s="68" t="s">
        <v>27756</v>
      </c>
      <c r="U1759" s="68" t="s">
        <v>29438</v>
      </c>
      <c r="V1759" s="68" t="s">
        <v>29439</v>
      </c>
      <c r="W1759" s="68" t="s">
        <v>100</v>
      </c>
      <c r="X1759" s="68">
        <v>1196</v>
      </c>
      <c r="Y1759" s="11"/>
      <c r="Z1759" s="11"/>
      <c r="AA1759" s="11"/>
      <c r="AB1759" s="11"/>
      <c r="AC1759" s="11"/>
      <c r="AD1759" s="11"/>
      <c r="AE1759" s="11"/>
      <c r="AF1759" s="11"/>
      <c r="AG1759" s="11"/>
      <c r="AU1759" s="11"/>
      <c r="AV1759" s="11"/>
      <c r="AW1759" s="11"/>
      <c r="BA1759" s="11"/>
      <c r="BC1759" s="11"/>
      <c r="BD1759" s="11"/>
      <c r="BE1759" s="11"/>
      <c r="BF1759" s="11"/>
      <c r="BG1759" s="11"/>
      <c r="BH1759" s="11"/>
      <c r="BI1759" s="11"/>
      <c r="BJ1759" s="11"/>
    </row>
    <row r="1760" spans="1:63" s="44" customFormat="1" ht="12" customHeight="1" x14ac:dyDescent="0.15">
      <c r="A1760" s="11" t="s">
        <v>22776</v>
      </c>
      <c r="B1760" s="68">
        <v>26</v>
      </c>
      <c r="C1760" s="11" t="s">
        <v>20</v>
      </c>
      <c r="D1760" s="11" t="s">
        <v>37</v>
      </c>
      <c r="E1760" s="11" t="s">
        <v>26266</v>
      </c>
      <c r="F1760" s="69">
        <v>42384</v>
      </c>
      <c r="G1760" s="11" t="s">
        <v>22777</v>
      </c>
      <c r="H1760" s="8" t="s">
        <v>22778</v>
      </c>
      <c r="I1760" s="11" t="s">
        <v>150</v>
      </c>
      <c r="J1760" s="17" t="s">
        <v>22779</v>
      </c>
      <c r="K1760" s="8" t="s">
        <v>16013</v>
      </c>
      <c r="L1760" s="8" t="s">
        <v>22780</v>
      </c>
      <c r="M1760" s="8" t="s">
        <v>27</v>
      </c>
      <c r="N1760" s="8" t="s">
        <v>22781</v>
      </c>
      <c r="O1760" s="8" t="s">
        <v>400</v>
      </c>
      <c r="P1760" s="11" t="s">
        <v>401</v>
      </c>
      <c r="Q1760" s="14" t="s">
        <v>22782</v>
      </c>
      <c r="R1760" s="8" t="s">
        <v>100</v>
      </c>
      <c r="S1760" s="8" t="s">
        <v>28</v>
      </c>
      <c r="T1760" s="68" t="s">
        <v>27756</v>
      </c>
      <c r="U1760" s="68" t="s">
        <v>29438</v>
      </c>
      <c r="V1760" s="68" t="s">
        <v>29439</v>
      </c>
      <c r="W1760" s="68" t="s">
        <v>100</v>
      </c>
      <c r="X1760" s="68">
        <v>1180</v>
      </c>
      <c r="Y1760" s="11"/>
      <c r="Z1760" s="11"/>
      <c r="AA1760" s="11"/>
      <c r="AB1760" s="11"/>
      <c r="AC1760" s="11"/>
      <c r="AD1760" s="11"/>
      <c r="AE1760" s="11"/>
      <c r="AF1760" s="11"/>
      <c r="AG1760" s="11"/>
      <c r="AH1760" s="11"/>
      <c r="AI1760" s="11"/>
      <c r="AU1760" s="11"/>
      <c r="AV1760" s="11"/>
      <c r="AX1760" s="1"/>
      <c r="AY1760" s="1"/>
      <c r="BA1760" s="11"/>
      <c r="BC1760" s="1"/>
      <c r="BD1760" s="1"/>
      <c r="BE1760" s="1"/>
      <c r="BF1760" s="1"/>
      <c r="BG1760" s="1"/>
      <c r="BH1760" s="1"/>
      <c r="BI1760" s="1"/>
      <c r="BJ1760" s="1"/>
    </row>
    <row r="1761" spans="1:63" s="44" customFormat="1" ht="12" customHeight="1" x14ac:dyDescent="0.15">
      <c r="A1761" s="11" t="s">
        <v>21710</v>
      </c>
      <c r="B1761" s="68">
        <v>39</v>
      </c>
      <c r="C1761" s="11" t="s">
        <v>20</v>
      </c>
      <c r="D1761" s="11" t="s">
        <v>48</v>
      </c>
      <c r="E1761" s="11"/>
      <c r="F1761" s="69">
        <v>42383</v>
      </c>
      <c r="G1761" s="11" t="s">
        <v>21711</v>
      </c>
      <c r="H1761" s="8" t="s">
        <v>11813</v>
      </c>
      <c r="I1761" s="11" t="s">
        <v>45</v>
      </c>
      <c r="J1761" s="17" t="s">
        <v>11814</v>
      </c>
      <c r="K1761" s="8" t="s">
        <v>98</v>
      </c>
      <c r="L1761" s="11" t="s">
        <v>414</v>
      </c>
      <c r="M1761" s="8" t="s">
        <v>27</v>
      </c>
      <c r="N1761" s="8" t="s">
        <v>23137</v>
      </c>
      <c r="O1761" s="8" t="s">
        <v>400</v>
      </c>
      <c r="P1761" s="11" t="s">
        <v>401</v>
      </c>
      <c r="Q1761" s="14" t="s">
        <v>21712</v>
      </c>
      <c r="R1761" s="8" t="s">
        <v>100</v>
      </c>
      <c r="S1761" s="8" t="s">
        <v>28</v>
      </c>
      <c r="T1761" s="68" t="s">
        <v>29493</v>
      </c>
      <c r="U1761" s="68" t="s">
        <v>29436</v>
      </c>
      <c r="V1761" s="68" t="s">
        <v>29439</v>
      </c>
      <c r="W1761" s="68" t="s">
        <v>100</v>
      </c>
      <c r="X1761" s="68">
        <v>1169</v>
      </c>
      <c r="Y1761" s="11"/>
      <c r="Z1761" s="11"/>
      <c r="AA1761" s="11"/>
      <c r="AB1761" s="11"/>
      <c r="AC1761" s="11"/>
      <c r="AD1761" s="11"/>
      <c r="AE1761" s="11"/>
      <c r="AF1761" s="11"/>
      <c r="AG1761" s="11"/>
      <c r="AH1761" s="11"/>
      <c r="AI1761" s="11"/>
      <c r="AX1761" s="1"/>
      <c r="AY1761" s="1"/>
      <c r="BA1761" s="11"/>
      <c r="BC1761" s="1"/>
      <c r="BD1761" s="1"/>
      <c r="BE1761" s="1"/>
      <c r="BF1761" s="1"/>
      <c r="BG1761" s="1"/>
      <c r="BH1761" s="1"/>
      <c r="BI1761" s="1"/>
      <c r="BJ1761" s="1"/>
    </row>
    <row r="1762" spans="1:63" s="44" customFormat="1" ht="12" customHeight="1" x14ac:dyDescent="0.15">
      <c r="A1762" s="11" t="s">
        <v>22798</v>
      </c>
      <c r="B1762" s="11">
        <v>31</v>
      </c>
      <c r="C1762" s="11" t="s">
        <v>20</v>
      </c>
      <c r="D1762" s="11" t="s">
        <v>37</v>
      </c>
      <c r="E1762" s="11" t="s">
        <v>26265</v>
      </c>
      <c r="F1762" s="72">
        <v>42383</v>
      </c>
      <c r="G1762" s="11" t="s">
        <v>22799</v>
      </c>
      <c r="H1762" s="8" t="s">
        <v>4144</v>
      </c>
      <c r="I1762" s="11" t="s">
        <v>94</v>
      </c>
      <c r="J1762" s="17" t="s">
        <v>22800</v>
      </c>
      <c r="K1762" s="8" t="s">
        <v>1778</v>
      </c>
      <c r="L1762" s="8" t="s">
        <v>4169</v>
      </c>
      <c r="M1762" s="8" t="s">
        <v>379</v>
      </c>
      <c r="N1762" s="8" t="s">
        <v>22801</v>
      </c>
      <c r="O1762" s="8" t="s">
        <v>400</v>
      </c>
      <c r="P1762" s="11" t="s">
        <v>401</v>
      </c>
      <c r="Q1762" s="14" t="s">
        <v>22802</v>
      </c>
      <c r="R1762" s="8" t="s">
        <v>100</v>
      </c>
      <c r="S1762" s="8" t="s">
        <v>379</v>
      </c>
      <c r="T1762" s="11"/>
      <c r="U1762" s="11"/>
      <c r="V1762" s="11"/>
      <c r="W1762" s="11"/>
      <c r="X1762" s="11"/>
      <c r="Y1762" s="11"/>
      <c r="Z1762" s="11"/>
      <c r="AA1762" s="11"/>
      <c r="AB1762" s="11"/>
      <c r="AC1762" s="11"/>
      <c r="AD1762" s="11"/>
      <c r="AE1762" s="11"/>
      <c r="AF1762" s="11"/>
      <c r="AG1762" s="11"/>
      <c r="AH1762" s="11"/>
      <c r="AI1762" s="11"/>
      <c r="AX1762" s="1"/>
      <c r="AY1762" s="1"/>
      <c r="AZ1762" s="1"/>
      <c r="BA1762" s="1"/>
      <c r="BB1762" s="1"/>
      <c r="BC1762" s="1"/>
      <c r="BD1762" s="1"/>
      <c r="BE1762" s="1"/>
      <c r="BF1762" s="1"/>
      <c r="BG1762" s="1"/>
      <c r="BH1762" s="1"/>
      <c r="BI1762" s="1"/>
      <c r="BJ1762" s="1"/>
      <c r="BK1762" s="1"/>
    </row>
    <row r="1763" spans="1:63" s="44" customFormat="1" ht="12" customHeight="1" x14ac:dyDescent="0.15">
      <c r="A1763" s="11" t="s">
        <v>22026</v>
      </c>
      <c r="B1763" s="68">
        <v>40</v>
      </c>
      <c r="C1763" s="11" t="s">
        <v>20</v>
      </c>
      <c r="D1763" s="11" t="s">
        <v>37</v>
      </c>
      <c r="E1763" s="11"/>
      <c r="F1763" s="69">
        <v>42383</v>
      </c>
      <c r="G1763" s="11" t="s">
        <v>22027</v>
      </c>
      <c r="H1763" s="8" t="s">
        <v>72</v>
      </c>
      <c r="I1763" s="11" t="s">
        <v>44</v>
      </c>
      <c r="J1763" s="17" t="s">
        <v>22028</v>
      </c>
      <c r="K1763" s="8" t="s">
        <v>2583</v>
      </c>
      <c r="L1763" s="8" t="s">
        <v>22029</v>
      </c>
      <c r="M1763" s="8" t="s">
        <v>27</v>
      </c>
      <c r="N1763" s="8" t="s">
        <v>22030</v>
      </c>
      <c r="O1763" s="8" t="s">
        <v>400</v>
      </c>
      <c r="P1763" s="11" t="s">
        <v>401</v>
      </c>
      <c r="Q1763" s="14" t="s">
        <v>22031</v>
      </c>
      <c r="R1763" s="8" t="s">
        <v>555</v>
      </c>
      <c r="S1763" s="8" t="s">
        <v>28</v>
      </c>
      <c r="T1763" s="68" t="s">
        <v>27756</v>
      </c>
      <c r="U1763" s="68" t="s">
        <v>29438</v>
      </c>
      <c r="V1763" s="68" t="s">
        <v>29439</v>
      </c>
      <c r="W1763" s="68" t="s">
        <v>100</v>
      </c>
      <c r="X1763" s="68">
        <v>1168</v>
      </c>
      <c r="Y1763" s="11"/>
      <c r="Z1763" s="11"/>
      <c r="AA1763" s="11"/>
      <c r="AB1763" s="11"/>
      <c r="AC1763" s="11"/>
      <c r="AD1763" s="11"/>
      <c r="AE1763" s="11"/>
      <c r="AF1763" s="11"/>
      <c r="AG1763" s="11"/>
      <c r="AH1763" s="11"/>
      <c r="AI1763" s="11"/>
      <c r="AU1763" s="11"/>
      <c r="AV1763" s="11"/>
      <c r="AX1763" s="1"/>
      <c r="AY1763" s="1"/>
      <c r="BA1763" s="11"/>
      <c r="BC1763" s="1"/>
      <c r="BD1763" s="1"/>
      <c r="BE1763" s="1"/>
      <c r="BF1763" s="1"/>
      <c r="BG1763" s="1"/>
      <c r="BH1763" s="1"/>
      <c r="BI1763" s="1"/>
      <c r="BJ1763" s="1"/>
      <c r="BK1763" s="11"/>
    </row>
    <row r="1764" spans="1:63" s="44" customFormat="1" ht="12" customHeight="1" x14ac:dyDescent="0.15">
      <c r="A1764" s="11" t="s">
        <v>22089</v>
      </c>
      <c r="B1764" s="68">
        <v>29</v>
      </c>
      <c r="C1764" s="11" t="s">
        <v>20</v>
      </c>
      <c r="D1764" s="11" t="s">
        <v>37</v>
      </c>
      <c r="E1764" s="11"/>
      <c r="F1764" s="69">
        <v>42382</v>
      </c>
      <c r="G1764" s="11" t="s">
        <v>22090</v>
      </c>
      <c r="H1764" s="8" t="s">
        <v>5501</v>
      </c>
      <c r="I1764" s="11" t="s">
        <v>319</v>
      </c>
      <c r="J1764" s="17" t="s">
        <v>22091</v>
      </c>
      <c r="K1764" s="8" t="s">
        <v>5502</v>
      </c>
      <c r="L1764" s="8" t="s">
        <v>22092</v>
      </c>
      <c r="M1764" s="8" t="s">
        <v>27</v>
      </c>
      <c r="N1764" s="8" t="s">
        <v>23145</v>
      </c>
      <c r="O1764" s="8" t="s">
        <v>400</v>
      </c>
      <c r="P1764" s="11" t="s">
        <v>401</v>
      </c>
      <c r="Q1764" s="14" t="s">
        <v>22093</v>
      </c>
      <c r="R1764" s="8" t="s">
        <v>100</v>
      </c>
      <c r="S1764" s="8" t="s">
        <v>28</v>
      </c>
      <c r="T1764" s="68" t="s">
        <v>27756</v>
      </c>
      <c r="U1764" s="68" t="s">
        <v>29436</v>
      </c>
      <c r="V1764" s="68" t="s">
        <v>29440</v>
      </c>
      <c r="W1764" s="68" t="s">
        <v>555</v>
      </c>
      <c r="X1764" s="68">
        <v>1183</v>
      </c>
      <c r="Y1764" s="11"/>
      <c r="Z1764" s="11"/>
      <c r="AA1764" s="11"/>
      <c r="AB1764" s="11"/>
      <c r="AC1764" s="11"/>
      <c r="AD1764" s="11"/>
      <c r="AE1764" s="11"/>
      <c r="AF1764" s="11"/>
      <c r="AG1764" s="11"/>
      <c r="AH1764" s="11"/>
      <c r="AI1764" s="11"/>
      <c r="AU1764" s="11"/>
      <c r="AV1764" s="11"/>
      <c r="AX1764" s="1"/>
      <c r="AY1764" s="1"/>
      <c r="AZ1764" s="1"/>
      <c r="BC1764" s="1"/>
      <c r="BD1764" s="1"/>
      <c r="BE1764" s="1"/>
      <c r="BF1764" s="1"/>
      <c r="BG1764" s="1"/>
      <c r="BH1764" s="1"/>
      <c r="BI1764" s="1"/>
      <c r="BJ1764" s="1"/>
    </row>
    <row r="1765" spans="1:63" s="44" customFormat="1" ht="12" customHeight="1" x14ac:dyDescent="0.15">
      <c r="A1765" s="11" t="s">
        <v>22099</v>
      </c>
      <c r="B1765" s="68">
        <v>60</v>
      </c>
      <c r="C1765" s="11" t="s">
        <v>20</v>
      </c>
      <c r="D1765" s="11" t="s">
        <v>37</v>
      </c>
      <c r="E1765" s="11"/>
      <c r="F1765" s="69">
        <v>42382</v>
      </c>
      <c r="G1765" s="11" t="s">
        <v>22100</v>
      </c>
      <c r="H1765" s="8" t="s">
        <v>22101</v>
      </c>
      <c r="I1765" s="11" t="s">
        <v>303</v>
      </c>
      <c r="J1765" s="17" t="s">
        <v>22102</v>
      </c>
      <c r="K1765" s="8" t="s">
        <v>22103</v>
      </c>
      <c r="L1765" s="8" t="s">
        <v>22104</v>
      </c>
      <c r="M1765" s="8" t="s">
        <v>27</v>
      </c>
      <c r="N1765" s="8" t="s">
        <v>23131</v>
      </c>
      <c r="O1765" s="8" t="s">
        <v>400</v>
      </c>
      <c r="P1765" s="11" t="s">
        <v>401</v>
      </c>
      <c r="Q1765" s="14" t="s">
        <v>22105</v>
      </c>
      <c r="R1765" s="8" t="s">
        <v>555</v>
      </c>
      <c r="S1765" s="8" t="s">
        <v>28</v>
      </c>
      <c r="T1765" s="68" t="s">
        <v>27756</v>
      </c>
      <c r="U1765" s="68" t="s">
        <v>29438</v>
      </c>
      <c r="V1765" s="68" t="s">
        <v>29439</v>
      </c>
      <c r="W1765" s="68" t="s">
        <v>100</v>
      </c>
      <c r="X1765" s="68">
        <v>1197</v>
      </c>
      <c r="Y1765" s="11"/>
      <c r="Z1765" s="11"/>
      <c r="AA1765" s="11"/>
      <c r="AB1765" s="11"/>
      <c r="AC1765" s="11"/>
      <c r="AD1765" s="11"/>
      <c r="AE1765" s="11"/>
      <c r="AF1765" s="11"/>
      <c r="AG1765" s="11"/>
      <c r="AH1765" s="11"/>
      <c r="AI1765" s="11"/>
      <c r="AU1765" s="11"/>
      <c r="AV1765" s="11"/>
      <c r="AW1765" s="1"/>
      <c r="AX1765" s="1"/>
      <c r="AY1765" s="1"/>
      <c r="AZ1765" s="1"/>
      <c r="BA1765" s="11"/>
      <c r="BC1765" s="1"/>
      <c r="BD1765" s="1"/>
      <c r="BE1765" s="1"/>
      <c r="BF1765" s="1"/>
      <c r="BG1765" s="1"/>
      <c r="BH1765" s="1"/>
      <c r="BI1765" s="1"/>
      <c r="BJ1765" s="1"/>
    </row>
    <row r="1766" spans="1:63" s="44" customFormat="1" ht="12" customHeight="1" x14ac:dyDescent="0.2">
      <c r="A1766" s="11" t="s">
        <v>21914</v>
      </c>
      <c r="B1766" s="68">
        <v>49</v>
      </c>
      <c r="C1766" s="11" t="s">
        <v>20</v>
      </c>
      <c r="D1766" s="11" t="s">
        <v>139</v>
      </c>
      <c r="E1766" s="11"/>
      <c r="F1766" s="69">
        <v>42381</v>
      </c>
      <c r="G1766" s="11" t="s">
        <v>21915</v>
      </c>
      <c r="H1766" s="8" t="s">
        <v>4417</v>
      </c>
      <c r="I1766" s="11" t="s">
        <v>330</v>
      </c>
      <c r="J1766" s="17" t="s">
        <v>21916</v>
      </c>
      <c r="K1766" s="8" t="s">
        <v>4417</v>
      </c>
      <c r="L1766" s="8" t="s">
        <v>4419</v>
      </c>
      <c r="M1766" s="8" t="s">
        <v>27</v>
      </c>
      <c r="N1766" s="8" t="s">
        <v>23132</v>
      </c>
      <c r="O1766" s="8" t="s">
        <v>400</v>
      </c>
      <c r="P1766" s="11" t="s">
        <v>401</v>
      </c>
      <c r="Q1766" s="14" t="s">
        <v>21917</v>
      </c>
      <c r="R1766" s="68" t="s">
        <v>555</v>
      </c>
      <c r="S1766" s="8" t="s">
        <v>28</v>
      </c>
      <c r="T1766" s="68" t="s">
        <v>29493</v>
      </c>
      <c r="U1766" s="68" t="s">
        <v>29436</v>
      </c>
      <c r="V1766" s="68" t="s">
        <v>29439</v>
      </c>
      <c r="W1766" s="68" t="s">
        <v>100</v>
      </c>
      <c r="X1766" s="68">
        <v>1166</v>
      </c>
      <c r="Y1766" s="11"/>
      <c r="Z1766" s="11"/>
      <c r="AA1766" s="11"/>
      <c r="AB1766" s="11"/>
      <c r="AC1766" s="11"/>
      <c r="AD1766" s="11"/>
      <c r="AE1766" s="11"/>
      <c r="AF1766" s="11"/>
      <c r="AG1766" s="11"/>
      <c r="AH1766" s="11"/>
      <c r="AI1766" s="11"/>
      <c r="AJ1766" s="11"/>
      <c r="AK1766" s="11"/>
      <c r="AL1766" s="11"/>
      <c r="AM1766" s="11"/>
      <c r="AN1766" s="11"/>
      <c r="AO1766" s="11"/>
      <c r="AP1766" s="11"/>
      <c r="AQ1766" s="11"/>
      <c r="AR1766" s="11"/>
      <c r="AS1766" s="11"/>
      <c r="AT1766" s="11"/>
      <c r="AW1766" s="1"/>
      <c r="AX1766" s="1"/>
      <c r="AY1766" s="1"/>
      <c r="AZ1766" s="1"/>
      <c r="BA1766" s="70"/>
      <c r="BC1766" s="1"/>
      <c r="BD1766" s="1"/>
      <c r="BE1766" s="1"/>
      <c r="BF1766" s="1"/>
      <c r="BG1766" s="1"/>
      <c r="BH1766" s="1"/>
      <c r="BI1766" s="1"/>
      <c r="BJ1766" s="1"/>
    </row>
    <row r="1767" spans="1:63" s="11" customFormat="1" ht="12" customHeight="1" x14ac:dyDescent="0.15">
      <c r="A1767" s="11" t="s">
        <v>22427</v>
      </c>
      <c r="B1767" s="68">
        <v>58</v>
      </c>
      <c r="C1767" s="11" t="s">
        <v>20</v>
      </c>
      <c r="D1767" s="11" t="s">
        <v>37</v>
      </c>
      <c r="E1767" s="60" t="s">
        <v>22428</v>
      </c>
      <c r="F1767" s="69">
        <v>42381</v>
      </c>
      <c r="G1767" s="11" t="s">
        <v>22429</v>
      </c>
      <c r="H1767" s="8" t="s">
        <v>3317</v>
      </c>
      <c r="I1767" s="11" t="s">
        <v>244</v>
      </c>
      <c r="J1767" s="17" t="s">
        <v>22430</v>
      </c>
      <c r="K1767" s="8" t="s">
        <v>16595</v>
      </c>
      <c r="L1767" s="8" t="s">
        <v>5050</v>
      </c>
      <c r="M1767" s="8" t="s">
        <v>27</v>
      </c>
      <c r="N1767" s="8" t="s">
        <v>22431</v>
      </c>
      <c r="O1767" s="8" t="s">
        <v>400</v>
      </c>
      <c r="P1767" s="11" t="s">
        <v>401</v>
      </c>
      <c r="Q1767" s="14" t="s">
        <v>22432</v>
      </c>
      <c r="R1767" s="8" t="s">
        <v>555</v>
      </c>
      <c r="S1767" s="8" t="s">
        <v>28</v>
      </c>
      <c r="T1767" s="68" t="s">
        <v>27756</v>
      </c>
      <c r="U1767" s="68" t="s">
        <v>29438</v>
      </c>
      <c r="V1767" s="68" t="s">
        <v>29439</v>
      </c>
      <c r="W1767" s="68" t="s">
        <v>100</v>
      </c>
      <c r="X1767" s="68">
        <v>1167</v>
      </c>
      <c r="AU1767" s="44"/>
      <c r="AV1767" s="44"/>
      <c r="AW1767" s="1"/>
      <c r="AX1767" s="1"/>
      <c r="AY1767" s="1"/>
      <c r="AZ1767" s="1"/>
      <c r="BB1767" s="44"/>
      <c r="BC1767" s="1"/>
      <c r="BD1767" s="1"/>
      <c r="BE1767" s="1"/>
      <c r="BF1767" s="1"/>
      <c r="BG1767" s="1"/>
      <c r="BH1767" s="1"/>
      <c r="BI1767" s="1"/>
      <c r="BJ1767" s="1"/>
      <c r="BK1767" s="44"/>
    </row>
    <row r="1768" spans="1:63" s="11" customFormat="1" ht="12" customHeight="1" x14ac:dyDescent="0.15">
      <c r="A1768" s="11" t="s">
        <v>22261</v>
      </c>
      <c r="B1768" s="68">
        <v>32</v>
      </c>
      <c r="C1768" s="11" t="s">
        <v>20</v>
      </c>
      <c r="D1768" s="11" t="s">
        <v>37</v>
      </c>
      <c r="E1768" s="60" t="s">
        <v>22262</v>
      </c>
      <c r="F1768" s="69">
        <v>42380</v>
      </c>
      <c r="G1768" s="11" t="s">
        <v>22263</v>
      </c>
      <c r="H1768" s="8" t="s">
        <v>1298</v>
      </c>
      <c r="I1768" s="11" t="s">
        <v>209</v>
      </c>
      <c r="J1768" s="17" t="s">
        <v>8808</v>
      </c>
      <c r="K1768" s="8" t="s">
        <v>1298</v>
      </c>
      <c r="L1768" s="8" t="s">
        <v>1299</v>
      </c>
      <c r="M1768" s="8" t="s">
        <v>27</v>
      </c>
      <c r="N1768" s="8" t="s">
        <v>22264</v>
      </c>
      <c r="O1768" s="8" t="s">
        <v>400</v>
      </c>
      <c r="P1768" s="11" t="s">
        <v>401</v>
      </c>
      <c r="Q1768" s="14" t="s">
        <v>22265</v>
      </c>
      <c r="R1768" s="8" t="s">
        <v>100</v>
      </c>
      <c r="S1768" s="8" t="s">
        <v>28</v>
      </c>
      <c r="T1768" s="68" t="s">
        <v>27756</v>
      </c>
      <c r="U1768" s="68" t="s">
        <v>29436</v>
      </c>
      <c r="V1768" s="68" t="s">
        <v>29439</v>
      </c>
      <c r="W1768" s="68" t="s">
        <v>100</v>
      </c>
      <c r="X1768" s="68">
        <v>1164</v>
      </c>
      <c r="AU1768" s="44"/>
      <c r="AV1768" s="44"/>
      <c r="AX1768" s="1"/>
      <c r="AY1768" s="1"/>
      <c r="AZ1768" s="1"/>
      <c r="BB1768" s="44"/>
      <c r="BC1768" s="1"/>
      <c r="BD1768" s="1"/>
      <c r="BE1768" s="1"/>
      <c r="BF1768" s="1"/>
      <c r="BG1768" s="1"/>
      <c r="BH1768" s="1"/>
      <c r="BI1768" s="1"/>
      <c r="BJ1768" s="1"/>
      <c r="BK1768" s="44"/>
    </row>
    <row r="1769" spans="1:63" s="11" customFormat="1" ht="12" customHeight="1" x14ac:dyDescent="0.2">
      <c r="A1769" s="11" t="s">
        <v>22605</v>
      </c>
      <c r="B1769" s="68">
        <v>12</v>
      </c>
      <c r="C1769" s="11" t="s">
        <v>114</v>
      </c>
      <c r="D1769" s="11" t="s">
        <v>37</v>
      </c>
      <c r="E1769" s="60" t="s">
        <v>22606</v>
      </c>
      <c r="F1769" s="69">
        <v>42380</v>
      </c>
      <c r="G1769" s="11" t="s">
        <v>22607</v>
      </c>
      <c r="H1769" s="8" t="s">
        <v>22608</v>
      </c>
      <c r="I1769" s="11" t="s">
        <v>404</v>
      </c>
      <c r="J1769" s="17" t="s">
        <v>22609</v>
      </c>
      <c r="K1769" s="8" t="s">
        <v>2502</v>
      </c>
      <c r="L1769" s="8" t="s">
        <v>22610</v>
      </c>
      <c r="M1769" s="8" t="s">
        <v>27</v>
      </c>
      <c r="N1769" s="8" t="s">
        <v>22611</v>
      </c>
      <c r="O1769" s="8" t="s">
        <v>400</v>
      </c>
      <c r="P1769" s="11" t="s">
        <v>401</v>
      </c>
      <c r="Q1769" s="14" t="s">
        <v>22612</v>
      </c>
      <c r="R1769" s="8" t="s">
        <v>100</v>
      </c>
      <c r="S1769" s="8" t="s">
        <v>18</v>
      </c>
      <c r="T1769" s="68" t="s">
        <v>28345</v>
      </c>
      <c r="U1769" s="68" t="s">
        <v>29436</v>
      </c>
      <c r="V1769" s="68" t="s">
        <v>29439</v>
      </c>
      <c r="W1769" s="68" t="s">
        <v>100</v>
      </c>
      <c r="X1769" s="68">
        <v>1165</v>
      </c>
      <c r="AU1769" s="44"/>
      <c r="AV1769" s="44"/>
      <c r="AW1769" s="70"/>
      <c r="AX1769" s="1"/>
      <c r="AY1769" s="1"/>
      <c r="AZ1769" s="1"/>
      <c r="BA1769" s="44"/>
      <c r="BB1769" s="44"/>
      <c r="BC1769" s="1"/>
      <c r="BD1769" s="1"/>
      <c r="BE1769" s="1"/>
      <c r="BF1769" s="1"/>
      <c r="BG1769" s="1"/>
      <c r="BH1769" s="1"/>
      <c r="BI1769" s="1"/>
      <c r="BJ1769" s="1"/>
      <c r="BK1769" s="1"/>
    </row>
    <row r="1770" spans="1:63" s="11" customFormat="1" ht="12" customHeight="1" x14ac:dyDescent="0.15">
      <c r="A1770" s="11" t="s">
        <v>26281</v>
      </c>
      <c r="B1770" s="68">
        <v>56</v>
      </c>
      <c r="C1770" s="11" t="s">
        <v>20</v>
      </c>
      <c r="D1770" s="11" t="s">
        <v>37</v>
      </c>
      <c r="E1770" s="11" t="s">
        <v>26282</v>
      </c>
      <c r="F1770" s="69">
        <v>42380</v>
      </c>
      <c r="G1770" s="11" t="s">
        <v>21943</v>
      </c>
      <c r="H1770" s="8" t="s">
        <v>7913</v>
      </c>
      <c r="I1770" s="11" t="s">
        <v>45</v>
      </c>
      <c r="J1770" s="17" t="s">
        <v>21944</v>
      </c>
      <c r="K1770" s="8" t="s">
        <v>98</v>
      </c>
      <c r="L1770" s="8" t="s">
        <v>17091</v>
      </c>
      <c r="M1770" s="8" t="s">
        <v>27</v>
      </c>
      <c r="N1770" s="8" t="s">
        <v>23103</v>
      </c>
      <c r="O1770" s="8" t="s">
        <v>400</v>
      </c>
      <c r="P1770" s="11" t="s">
        <v>401</v>
      </c>
      <c r="Q1770" s="14" t="s">
        <v>21945</v>
      </c>
      <c r="R1770" s="8" t="s">
        <v>100</v>
      </c>
      <c r="S1770" s="68" t="s">
        <v>379</v>
      </c>
      <c r="T1770" s="68" t="s">
        <v>379</v>
      </c>
      <c r="U1770" s="68" t="s">
        <v>29438</v>
      </c>
      <c r="V1770" s="68" t="s">
        <v>29437</v>
      </c>
      <c r="W1770" s="68" t="s">
        <v>100</v>
      </c>
      <c r="X1770" s="68">
        <v>1162</v>
      </c>
      <c r="AU1770" s="44"/>
      <c r="AV1770" s="44"/>
      <c r="AW1770" s="1"/>
      <c r="AX1770" s="1"/>
      <c r="AY1770" s="1"/>
      <c r="AZ1770" s="1"/>
      <c r="BA1770" s="44"/>
      <c r="BB1770" s="44"/>
      <c r="BC1770" s="1"/>
      <c r="BD1770" s="1"/>
      <c r="BE1770" s="1"/>
      <c r="BF1770" s="1"/>
      <c r="BG1770" s="1"/>
      <c r="BH1770" s="1"/>
      <c r="BI1770" s="1"/>
      <c r="BJ1770" s="1"/>
      <c r="BK1770" s="44"/>
    </row>
    <row r="1771" spans="1:63" s="11" customFormat="1" ht="12" customHeight="1" x14ac:dyDescent="0.15">
      <c r="A1771" s="11" t="s">
        <v>22639</v>
      </c>
      <c r="B1771" s="68">
        <v>45</v>
      </c>
      <c r="C1771" s="11" t="s">
        <v>20</v>
      </c>
      <c r="D1771" s="11" t="s">
        <v>37</v>
      </c>
      <c r="E1771" s="60" t="s">
        <v>22640</v>
      </c>
      <c r="F1771" s="69">
        <v>42380</v>
      </c>
      <c r="G1771" s="11" t="s">
        <v>22641</v>
      </c>
      <c r="H1771" s="8" t="s">
        <v>547</v>
      </c>
      <c r="I1771" s="11" t="s">
        <v>69</v>
      </c>
      <c r="J1771" s="17" t="s">
        <v>22642</v>
      </c>
      <c r="K1771" s="8" t="s">
        <v>548</v>
      </c>
      <c r="L1771" s="8" t="s">
        <v>549</v>
      </c>
      <c r="M1771" s="8" t="s">
        <v>27</v>
      </c>
      <c r="N1771" s="8" t="s">
        <v>22643</v>
      </c>
      <c r="O1771" s="8" t="s">
        <v>400</v>
      </c>
      <c r="P1771" s="11" t="s">
        <v>401</v>
      </c>
      <c r="Q1771" s="14" t="s">
        <v>22644</v>
      </c>
      <c r="R1771" s="8" t="s">
        <v>555</v>
      </c>
      <c r="S1771" s="8" t="s">
        <v>18</v>
      </c>
      <c r="T1771" s="68" t="s">
        <v>29612</v>
      </c>
      <c r="U1771" s="68" t="s">
        <v>29438</v>
      </c>
      <c r="V1771" s="68" t="s">
        <v>29440</v>
      </c>
      <c r="W1771" s="68" t="s">
        <v>100</v>
      </c>
      <c r="X1771" s="68">
        <v>1163</v>
      </c>
      <c r="AU1771" s="44"/>
      <c r="AV1771" s="44"/>
      <c r="AW1771" s="1"/>
      <c r="AX1771" s="1"/>
      <c r="AY1771" s="1"/>
      <c r="AZ1771" s="1"/>
      <c r="BB1771" s="44"/>
      <c r="BC1771" s="1"/>
      <c r="BD1771" s="1"/>
      <c r="BE1771" s="1"/>
      <c r="BF1771" s="1"/>
      <c r="BG1771" s="1"/>
      <c r="BH1771" s="1"/>
      <c r="BI1771" s="1"/>
      <c r="BJ1771" s="1"/>
      <c r="BK1771" s="1"/>
    </row>
    <row r="1772" spans="1:63" s="11" customFormat="1" ht="12" customHeight="1" x14ac:dyDescent="0.15">
      <c r="A1772" s="11" t="s">
        <v>23227</v>
      </c>
      <c r="B1772" s="11">
        <v>16</v>
      </c>
      <c r="C1772" s="11" t="s">
        <v>114</v>
      </c>
      <c r="D1772" s="11" t="s">
        <v>85</v>
      </c>
      <c r="E1772" s="60" t="s">
        <v>23228</v>
      </c>
      <c r="F1772" s="72">
        <v>42379</v>
      </c>
      <c r="G1772" s="11" t="s">
        <v>23232</v>
      </c>
      <c r="H1772" s="8" t="s">
        <v>1405</v>
      </c>
      <c r="I1772" s="11" t="s">
        <v>315</v>
      </c>
      <c r="J1772" s="47">
        <v>42701</v>
      </c>
      <c r="K1772" s="8" t="s">
        <v>1406</v>
      </c>
      <c r="L1772" s="8" t="s">
        <v>23229</v>
      </c>
      <c r="M1772" s="8" t="s">
        <v>2291</v>
      </c>
      <c r="N1772" s="8" t="s">
        <v>23230</v>
      </c>
      <c r="O1772" s="8" t="s">
        <v>400</v>
      </c>
      <c r="P1772" s="11" t="s">
        <v>401</v>
      </c>
      <c r="Q1772" s="14" t="s">
        <v>23231</v>
      </c>
      <c r="R1772" s="8" t="s">
        <v>100</v>
      </c>
      <c r="S1772" s="8" t="s">
        <v>18</v>
      </c>
      <c r="AH1772" s="44"/>
      <c r="AI1772" s="44"/>
      <c r="AJ1772" s="44"/>
      <c r="AK1772" s="44"/>
      <c r="AL1772" s="44"/>
      <c r="AM1772" s="44"/>
      <c r="AN1772" s="44"/>
      <c r="AO1772" s="44"/>
      <c r="AP1772" s="44"/>
      <c r="AQ1772" s="44"/>
      <c r="AR1772" s="44"/>
      <c r="AS1772" s="44"/>
      <c r="AT1772" s="44"/>
      <c r="AU1772" s="1"/>
      <c r="AV1772" s="1"/>
      <c r="AW1772" s="1"/>
      <c r="AZ1772" s="1"/>
      <c r="BA1772" s="1"/>
      <c r="BB1772" s="1"/>
      <c r="BK1772" s="1"/>
    </row>
    <row r="1773" spans="1:63" s="44" customFormat="1" ht="12" customHeight="1" x14ac:dyDescent="0.15">
      <c r="A1773" s="11" t="s">
        <v>22143</v>
      </c>
      <c r="B1773" s="68">
        <v>37</v>
      </c>
      <c r="C1773" s="11" t="s">
        <v>20</v>
      </c>
      <c r="D1773" s="11" t="s">
        <v>37</v>
      </c>
      <c r="E1773" s="11"/>
      <c r="F1773" s="69">
        <v>42379</v>
      </c>
      <c r="G1773" s="11" t="s">
        <v>22144</v>
      </c>
      <c r="H1773" s="8" t="s">
        <v>16756</v>
      </c>
      <c r="I1773" s="11" t="s">
        <v>303</v>
      </c>
      <c r="J1773" s="17" t="s">
        <v>16757</v>
      </c>
      <c r="K1773" s="8" t="s">
        <v>1908</v>
      </c>
      <c r="L1773" s="8" t="s">
        <v>22145</v>
      </c>
      <c r="M1773" s="8" t="s">
        <v>27</v>
      </c>
      <c r="N1773" s="8" t="s">
        <v>22146</v>
      </c>
      <c r="O1773" s="8" t="s">
        <v>400</v>
      </c>
      <c r="P1773" s="11" t="s">
        <v>401</v>
      </c>
      <c r="Q1773" s="14" t="s">
        <v>22147</v>
      </c>
      <c r="R1773" s="8" t="s">
        <v>555</v>
      </c>
      <c r="S1773" s="8" t="s">
        <v>28</v>
      </c>
      <c r="T1773" s="68" t="s">
        <v>29465</v>
      </c>
      <c r="U1773" s="68" t="s">
        <v>29436</v>
      </c>
      <c r="V1773" s="68" t="s">
        <v>29439</v>
      </c>
      <c r="W1773" s="68" t="s">
        <v>100</v>
      </c>
      <c r="X1773" s="68">
        <v>1156</v>
      </c>
      <c r="Y1773" s="11"/>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W1773" s="11"/>
      <c r="AX1773" s="1"/>
      <c r="AY1773" s="1"/>
      <c r="BA1773" s="11"/>
      <c r="BC1773" s="1"/>
      <c r="BD1773" s="1"/>
      <c r="BE1773" s="1"/>
      <c r="BF1773" s="1"/>
      <c r="BG1773" s="1"/>
      <c r="BH1773" s="1"/>
      <c r="BI1773" s="1"/>
      <c r="BJ1773" s="1"/>
    </row>
    <row r="1774" spans="1:63" s="44" customFormat="1" ht="12" customHeight="1" x14ac:dyDescent="0.15">
      <c r="A1774" s="11" t="s">
        <v>22162</v>
      </c>
      <c r="B1774" s="68">
        <v>45</v>
      </c>
      <c r="C1774" s="11" t="s">
        <v>114</v>
      </c>
      <c r="D1774" s="11" t="s">
        <v>37</v>
      </c>
      <c r="E1774" s="11"/>
      <c r="F1774" s="69">
        <v>42379</v>
      </c>
      <c r="G1774" s="11" t="s">
        <v>22163</v>
      </c>
      <c r="H1774" s="8" t="s">
        <v>22164</v>
      </c>
      <c r="I1774" s="11" t="s">
        <v>52</v>
      </c>
      <c r="J1774" s="3" t="s">
        <v>22165</v>
      </c>
      <c r="K1774" s="2" t="s">
        <v>694</v>
      </c>
      <c r="L1774" s="2" t="s">
        <v>695</v>
      </c>
      <c r="M1774" s="8" t="s">
        <v>27</v>
      </c>
      <c r="N1774" s="8" t="s">
        <v>22166</v>
      </c>
      <c r="O1774" s="8" t="s">
        <v>400</v>
      </c>
      <c r="P1774" s="11" t="s">
        <v>401</v>
      </c>
      <c r="Q1774" s="14" t="s">
        <v>22167</v>
      </c>
      <c r="R1774" s="8" t="s">
        <v>555</v>
      </c>
      <c r="S1774" s="8" t="s">
        <v>18</v>
      </c>
      <c r="T1774" s="68" t="s">
        <v>29612</v>
      </c>
      <c r="U1774" s="68" t="s">
        <v>29438</v>
      </c>
      <c r="V1774" s="68" t="s">
        <v>29439</v>
      </c>
      <c r="W1774" s="68" t="s">
        <v>100</v>
      </c>
      <c r="X1774" s="68">
        <v>1159</v>
      </c>
      <c r="Y1774" s="11"/>
      <c r="Z1774" s="11"/>
      <c r="AA1774" s="11"/>
      <c r="AB1774" s="11"/>
      <c r="AC1774" s="11"/>
      <c r="AD1774" s="11"/>
      <c r="AE1774" s="11"/>
      <c r="AF1774" s="11"/>
      <c r="AG1774" s="11"/>
      <c r="AH1774" s="11"/>
      <c r="AI1774" s="11"/>
      <c r="AW1774" s="1"/>
      <c r="AX1774" s="1"/>
      <c r="AY1774" s="1"/>
      <c r="BA1774" s="11"/>
      <c r="BC1774" s="1"/>
      <c r="BD1774" s="1"/>
      <c r="BE1774" s="1"/>
      <c r="BF1774" s="1"/>
      <c r="BG1774" s="1"/>
      <c r="BH1774" s="1"/>
      <c r="BI1774" s="1"/>
      <c r="BJ1774" s="1"/>
      <c r="BK1774" s="1"/>
    </row>
    <row r="1775" spans="1:63" s="44" customFormat="1" ht="12" customHeight="1" x14ac:dyDescent="0.15">
      <c r="A1775" s="11" t="s">
        <v>22017</v>
      </c>
      <c r="B1775" s="68">
        <v>50</v>
      </c>
      <c r="C1775" s="11" t="s">
        <v>20</v>
      </c>
      <c r="D1775" s="11" t="s">
        <v>37</v>
      </c>
      <c r="E1775" s="11"/>
      <c r="F1775" s="69">
        <v>42377</v>
      </c>
      <c r="G1775" s="11" t="s">
        <v>22018</v>
      </c>
      <c r="H1775" s="8" t="s">
        <v>16194</v>
      </c>
      <c r="I1775" s="11" t="s">
        <v>173</v>
      </c>
      <c r="J1775" s="17" t="s">
        <v>22019</v>
      </c>
      <c r="K1775" s="8" t="s">
        <v>1575</v>
      </c>
      <c r="L1775" s="8" t="s">
        <v>1118</v>
      </c>
      <c r="M1775" s="8" t="s">
        <v>27</v>
      </c>
      <c r="N1775" s="8" t="s">
        <v>22020</v>
      </c>
      <c r="O1775" s="8" t="s">
        <v>400</v>
      </c>
      <c r="P1775" s="11" t="s">
        <v>401</v>
      </c>
      <c r="Q1775" s="14" t="s">
        <v>22021</v>
      </c>
      <c r="R1775" s="8" t="s">
        <v>555</v>
      </c>
      <c r="S1775" s="8" t="s">
        <v>28</v>
      </c>
      <c r="T1775" s="68" t="s">
        <v>27756</v>
      </c>
      <c r="U1775" s="68" t="s">
        <v>29438</v>
      </c>
      <c r="V1775" s="68" t="s">
        <v>29439</v>
      </c>
      <c r="W1775" s="68" t="s">
        <v>100</v>
      </c>
      <c r="X1775" s="68">
        <v>1158</v>
      </c>
      <c r="Y1775" s="11"/>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W1775" s="1"/>
      <c r="AX1775" s="1"/>
      <c r="AY1775" s="1"/>
      <c r="BA1775" s="11"/>
      <c r="BC1775" s="1"/>
      <c r="BD1775" s="1"/>
      <c r="BE1775" s="1"/>
      <c r="BF1775" s="1"/>
      <c r="BG1775" s="1"/>
      <c r="BH1775" s="1"/>
      <c r="BI1775" s="1"/>
      <c r="BJ1775" s="1"/>
    </row>
    <row r="1776" spans="1:63" s="44" customFormat="1" ht="12" customHeight="1" x14ac:dyDescent="0.15">
      <c r="A1776" s="11" t="s">
        <v>22544</v>
      </c>
      <c r="B1776" s="68">
        <v>26</v>
      </c>
      <c r="C1776" s="11" t="s">
        <v>20</v>
      </c>
      <c r="D1776" s="11" t="s">
        <v>37</v>
      </c>
      <c r="E1776" s="11"/>
      <c r="F1776" s="69">
        <v>42377</v>
      </c>
      <c r="G1776" s="11" t="s">
        <v>22545</v>
      </c>
      <c r="H1776" s="8" t="s">
        <v>22546</v>
      </c>
      <c r="I1776" s="11" t="s">
        <v>438</v>
      </c>
      <c r="J1776" s="17" t="s">
        <v>22547</v>
      </c>
      <c r="K1776" s="8" t="s">
        <v>16032</v>
      </c>
      <c r="L1776" s="8" t="s">
        <v>22548</v>
      </c>
      <c r="M1776" s="8" t="s">
        <v>27</v>
      </c>
      <c r="N1776" s="8" t="s">
        <v>22549</v>
      </c>
      <c r="O1776" s="8" t="s">
        <v>400</v>
      </c>
      <c r="P1776" s="11" t="s">
        <v>401</v>
      </c>
      <c r="Q1776" s="14" t="s">
        <v>22550</v>
      </c>
      <c r="R1776" s="45" t="s">
        <v>555</v>
      </c>
      <c r="S1776" s="8" t="s">
        <v>28</v>
      </c>
      <c r="T1776" s="68" t="s">
        <v>29493</v>
      </c>
      <c r="U1776" s="68" t="s">
        <v>29436</v>
      </c>
      <c r="V1776" s="68" t="s">
        <v>29439</v>
      </c>
      <c r="W1776" s="68" t="s">
        <v>100</v>
      </c>
      <c r="X1776" s="68">
        <v>1157</v>
      </c>
      <c r="Y1776" s="11"/>
      <c r="Z1776" s="11"/>
      <c r="AA1776" s="11"/>
      <c r="AB1776" s="11"/>
      <c r="AC1776" s="11"/>
      <c r="AD1776" s="11"/>
      <c r="AE1776" s="11"/>
      <c r="AF1776" s="11"/>
      <c r="AG1776" s="11"/>
      <c r="AH1776" s="11"/>
      <c r="AI1776" s="11"/>
      <c r="AX1776" s="1"/>
      <c r="AY1776" s="1"/>
      <c r="BA1776" s="1"/>
      <c r="BB1776" s="1"/>
      <c r="BC1776" s="1"/>
      <c r="BD1776" s="1"/>
      <c r="BE1776" s="1"/>
      <c r="BF1776" s="1"/>
      <c r="BG1776" s="1"/>
      <c r="BH1776" s="1"/>
      <c r="BI1776" s="1"/>
      <c r="BJ1776" s="1"/>
    </row>
    <row r="1777" spans="1:63" s="44" customFormat="1" ht="12" customHeight="1" x14ac:dyDescent="0.15">
      <c r="A1777" s="11" t="s">
        <v>23515</v>
      </c>
      <c r="B1777" s="11">
        <v>29</v>
      </c>
      <c r="C1777" s="11" t="s">
        <v>20</v>
      </c>
      <c r="D1777" s="11" t="s">
        <v>85</v>
      </c>
      <c r="F1777" s="72">
        <v>42376</v>
      </c>
      <c r="G1777" s="11" t="s">
        <v>23611</v>
      </c>
      <c r="H1777" s="8" t="s">
        <v>23612</v>
      </c>
      <c r="I1777" s="11" t="s">
        <v>46</v>
      </c>
      <c r="J1777" s="44">
        <v>2324</v>
      </c>
      <c r="K1777" s="8" t="s">
        <v>528</v>
      </c>
      <c r="L1777" s="8" t="s">
        <v>13153</v>
      </c>
      <c r="M1777" s="8" t="s">
        <v>2291</v>
      </c>
      <c r="N1777" s="8" t="s">
        <v>23609</v>
      </c>
      <c r="O1777" s="8" t="s">
        <v>400</v>
      </c>
      <c r="P1777" s="11" t="s">
        <v>401</v>
      </c>
      <c r="Q1777" s="44" t="s">
        <v>23610</v>
      </c>
      <c r="R1777" s="8" t="s">
        <v>100</v>
      </c>
      <c r="S1777" s="8" t="s">
        <v>18</v>
      </c>
      <c r="AU1777" s="1"/>
      <c r="AV1777" s="1"/>
      <c r="AW1777" s="1"/>
      <c r="AX1777" s="11"/>
      <c r="AY1777" s="11"/>
      <c r="AZ1777" s="1"/>
      <c r="BA1777" s="1"/>
      <c r="BB1777" s="1"/>
      <c r="BC1777" s="11"/>
      <c r="BD1777" s="11"/>
      <c r="BE1777" s="11"/>
      <c r="BF1777" s="11"/>
      <c r="BG1777" s="11"/>
      <c r="BH1777" s="11"/>
      <c r="BI1777" s="11"/>
      <c r="BJ1777" s="11"/>
      <c r="BK1777" s="1"/>
    </row>
    <row r="1778" spans="1:63" s="44" customFormat="1" ht="12" customHeight="1" x14ac:dyDescent="0.15">
      <c r="A1778" s="11" t="s">
        <v>22295</v>
      </c>
      <c r="B1778" s="68">
        <v>34</v>
      </c>
      <c r="C1778" s="11" t="s">
        <v>20</v>
      </c>
      <c r="D1778" s="11" t="s">
        <v>37</v>
      </c>
      <c r="E1778" s="60" t="s">
        <v>22296</v>
      </c>
      <c r="F1778" s="69">
        <v>42375</v>
      </c>
      <c r="G1778" s="11"/>
      <c r="H1778" s="8" t="s">
        <v>2208</v>
      </c>
      <c r="I1778" s="11" t="s">
        <v>315</v>
      </c>
      <c r="J1778" s="17" t="s">
        <v>2209</v>
      </c>
      <c r="K1778" s="8" t="s">
        <v>2210</v>
      </c>
      <c r="L1778" s="8" t="s">
        <v>22297</v>
      </c>
      <c r="M1778" s="8" t="s">
        <v>27</v>
      </c>
      <c r="N1778" s="8" t="s">
        <v>22298</v>
      </c>
      <c r="O1778" s="8" t="s">
        <v>400</v>
      </c>
      <c r="P1778" s="11" t="s">
        <v>401</v>
      </c>
      <c r="Q1778" s="14" t="s">
        <v>22299</v>
      </c>
      <c r="R1778" s="8" t="s">
        <v>100</v>
      </c>
      <c r="S1778" s="8" t="s">
        <v>28</v>
      </c>
      <c r="T1778" s="68" t="s">
        <v>27756</v>
      </c>
      <c r="U1778" s="68" t="s">
        <v>29438</v>
      </c>
      <c r="V1778" s="68" t="s">
        <v>29439</v>
      </c>
      <c r="W1778" s="68" t="s">
        <v>100</v>
      </c>
      <c r="X1778" s="68">
        <v>1154</v>
      </c>
      <c r="Y1778" s="11"/>
      <c r="Z1778" s="11"/>
      <c r="AA1778" s="11"/>
      <c r="AB1778" s="11"/>
      <c r="AC1778" s="11"/>
      <c r="AD1778" s="11"/>
      <c r="AE1778" s="11"/>
      <c r="AF1778" s="11"/>
      <c r="AG1778" s="11"/>
      <c r="AH1778" s="11"/>
      <c r="AI1778" s="11"/>
      <c r="AU1778" s="11"/>
      <c r="AV1778" s="11"/>
      <c r="AW1778" s="11"/>
      <c r="AX1778" s="1"/>
      <c r="AY1778" s="1"/>
      <c r="BA1778" s="11"/>
      <c r="BC1778" s="1"/>
      <c r="BD1778" s="1"/>
      <c r="BE1778" s="1"/>
      <c r="BF1778" s="1"/>
      <c r="BG1778" s="1"/>
      <c r="BH1778" s="1"/>
      <c r="BI1778" s="1"/>
      <c r="BJ1778" s="1"/>
    </row>
    <row r="1779" spans="1:63" s="44" customFormat="1" ht="12" customHeight="1" x14ac:dyDescent="0.15">
      <c r="A1779" s="11" t="s">
        <v>21640</v>
      </c>
      <c r="B1779" s="68">
        <v>32</v>
      </c>
      <c r="C1779" s="11" t="s">
        <v>20</v>
      </c>
      <c r="D1779" s="11" t="s">
        <v>48</v>
      </c>
      <c r="E1779" s="60" t="s">
        <v>21641</v>
      </c>
      <c r="F1779" s="69">
        <v>42375</v>
      </c>
      <c r="G1779" s="11" t="s">
        <v>21642</v>
      </c>
      <c r="H1779" s="8" t="s">
        <v>21643</v>
      </c>
      <c r="I1779" s="11" t="s">
        <v>195</v>
      </c>
      <c r="J1779" s="17" t="s">
        <v>21644</v>
      </c>
      <c r="K1779" s="8" t="s">
        <v>2316</v>
      </c>
      <c r="L1779" s="8" t="s">
        <v>3085</v>
      </c>
      <c r="M1779" s="8" t="s">
        <v>27</v>
      </c>
      <c r="N1779" s="8" t="s">
        <v>21645</v>
      </c>
      <c r="O1779" s="8" t="s">
        <v>400</v>
      </c>
      <c r="P1779" s="11" t="s">
        <v>401</v>
      </c>
      <c r="Q1779" s="14" t="s">
        <v>21646</v>
      </c>
      <c r="R1779" s="8" t="s">
        <v>555</v>
      </c>
      <c r="S1779" s="8" t="s">
        <v>28</v>
      </c>
      <c r="T1779" s="68" t="s">
        <v>27756</v>
      </c>
      <c r="U1779" s="68" t="s">
        <v>29438</v>
      </c>
      <c r="V1779" s="68" t="s">
        <v>29439</v>
      </c>
      <c r="W1779" s="68" t="s">
        <v>100</v>
      </c>
      <c r="X1779" s="68">
        <v>1153</v>
      </c>
      <c r="Y1779" s="11"/>
      <c r="Z1779" s="11"/>
      <c r="AA1779" s="11"/>
      <c r="AB1779" s="11"/>
      <c r="AC1779" s="11"/>
      <c r="AD1779" s="11"/>
      <c r="AE1779" s="11"/>
      <c r="AF1779" s="11"/>
      <c r="AG1779" s="11"/>
      <c r="AH1779" s="11"/>
      <c r="AI1779" s="11"/>
      <c r="AU1779" s="11"/>
      <c r="AV1779" s="11"/>
      <c r="AW1779" s="11"/>
      <c r="AX1779" s="1"/>
      <c r="AY1779" s="1"/>
      <c r="BA1779" s="11"/>
      <c r="BC1779" s="1"/>
      <c r="BD1779" s="1"/>
      <c r="BE1779" s="1"/>
      <c r="BF1779" s="1"/>
      <c r="BG1779" s="1"/>
      <c r="BH1779" s="1"/>
      <c r="BI1779" s="1"/>
      <c r="BJ1779" s="1"/>
    </row>
    <row r="1780" spans="1:63" s="44" customFormat="1" ht="12" customHeight="1" x14ac:dyDescent="0.15">
      <c r="A1780" s="11" t="s">
        <v>22633</v>
      </c>
      <c r="B1780" s="68">
        <v>38</v>
      </c>
      <c r="C1780" s="11" t="s">
        <v>20</v>
      </c>
      <c r="D1780" s="11" t="s">
        <v>37</v>
      </c>
      <c r="E1780" s="60" t="s">
        <v>22634</v>
      </c>
      <c r="F1780" s="69">
        <v>42375</v>
      </c>
      <c r="G1780" s="11" t="s">
        <v>22635</v>
      </c>
      <c r="H1780" s="8" t="s">
        <v>3071</v>
      </c>
      <c r="I1780" s="11" t="s">
        <v>44</v>
      </c>
      <c r="J1780" s="17" t="s">
        <v>22636</v>
      </c>
      <c r="K1780" s="8" t="s">
        <v>1256</v>
      </c>
      <c r="L1780" s="8" t="s">
        <v>3072</v>
      </c>
      <c r="M1780" s="8" t="s">
        <v>27</v>
      </c>
      <c r="N1780" s="8" t="s">
        <v>22637</v>
      </c>
      <c r="O1780" s="8" t="s">
        <v>400</v>
      </c>
      <c r="P1780" s="11" t="s">
        <v>401</v>
      </c>
      <c r="Q1780" s="14" t="s">
        <v>22638</v>
      </c>
      <c r="R1780" s="8" t="s">
        <v>555</v>
      </c>
      <c r="S1780" s="8" t="s">
        <v>18</v>
      </c>
      <c r="T1780" s="68" t="s">
        <v>29612</v>
      </c>
      <c r="U1780" s="68" t="s">
        <v>29436</v>
      </c>
      <c r="V1780" s="68" t="s">
        <v>29440</v>
      </c>
      <c r="W1780" s="68" t="s">
        <v>100</v>
      </c>
      <c r="X1780" s="68">
        <v>1150</v>
      </c>
      <c r="Y1780" s="11"/>
      <c r="Z1780" s="11"/>
      <c r="AA1780" s="11"/>
      <c r="AB1780" s="11"/>
      <c r="AC1780" s="11"/>
      <c r="AD1780" s="11"/>
      <c r="AE1780" s="11"/>
      <c r="AF1780" s="11"/>
      <c r="AG1780" s="11"/>
      <c r="AH1780" s="11"/>
      <c r="AI1780" s="11"/>
      <c r="AU1780" s="11"/>
      <c r="AV1780" s="11"/>
      <c r="AX1780" s="1"/>
      <c r="AY1780" s="1"/>
      <c r="BA1780" s="11"/>
      <c r="BC1780" s="1"/>
      <c r="BD1780" s="1"/>
      <c r="BE1780" s="1"/>
      <c r="BF1780" s="1"/>
      <c r="BG1780" s="1"/>
      <c r="BH1780" s="1"/>
      <c r="BI1780" s="1"/>
      <c r="BJ1780" s="1"/>
      <c r="BK1780" s="1"/>
    </row>
    <row r="1781" spans="1:63" s="44" customFormat="1" ht="12" customHeight="1" x14ac:dyDescent="0.15">
      <c r="A1781" s="11" t="s">
        <v>21578</v>
      </c>
      <c r="B1781" s="68">
        <v>33</v>
      </c>
      <c r="C1781" s="11" t="s">
        <v>20</v>
      </c>
      <c r="D1781" s="11" t="s">
        <v>85</v>
      </c>
      <c r="E1781" s="11"/>
      <c r="F1781" s="69">
        <v>42374</v>
      </c>
      <c r="G1781" s="11" t="s">
        <v>21579</v>
      </c>
      <c r="H1781" s="8" t="s">
        <v>4191</v>
      </c>
      <c r="I1781" s="11" t="s">
        <v>366</v>
      </c>
      <c r="J1781" s="47" t="s">
        <v>21416</v>
      </c>
      <c r="K1781" s="8" t="s">
        <v>4193</v>
      </c>
      <c r="L1781" s="8" t="s">
        <v>4194</v>
      </c>
      <c r="M1781" s="8" t="s">
        <v>27</v>
      </c>
      <c r="N1781" s="8" t="s">
        <v>21580</v>
      </c>
      <c r="O1781" s="8" t="s">
        <v>400</v>
      </c>
      <c r="P1781" s="11" t="s">
        <v>401</v>
      </c>
      <c r="Q1781" s="14" t="s">
        <v>21581</v>
      </c>
      <c r="R1781" s="8" t="s">
        <v>100</v>
      </c>
      <c r="S1781" s="8" t="s">
        <v>28</v>
      </c>
      <c r="T1781" s="68" t="s">
        <v>27756</v>
      </c>
      <c r="U1781" s="68" t="s">
        <v>29438</v>
      </c>
      <c r="V1781" s="68" t="s">
        <v>29439</v>
      </c>
      <c r="W1781" s="68" t="s">
        <v>100</v>
      </c>
      <c r="X1781" s="68">
        <v>1147</v>
      </c>
      <c r="Y1781" s="11"/>
      <c r="Z1781" s="11"/>
      <c r="AA1781" s="11"/>
      <c r="AB1781" s="11"/>
      <c r="AC1781" s="11"/>
      <c r="AD1781" s="11"/>
      <c r="AE1781" s="11"/>
      <c r="AF1781" s="11"/>
      <c r="AG1781" s="11"/>
      <c r="AU1781" s="11"/>
      <c r="AV1781" s="11"/>
      <c r="AW1781" s="11"/>
      <c r="AX1781" s="11"/>
      <c r="AY1781" s="11"/>
      <c r="BC1781" s="11"/>
      <c r="BD1781" s="11"/>
      <c r="BE1781" s="11"/>
      <c r="BF1781" s="11"/>
      <c r="BG1781" s="11"/>
      <c r="BH1781" s="11"/>
      <c r="BI1781" s="11"/>
      <c r="BJ1781" s="11"/>
    </row>
    <row r="1782" spans="1:63" s="44" customFormat="1" ht="12" customHeight="1" x14ac:dyDescent="0.15">
      <c r="A1782" s="11" t="s">
        <v>22524</v>
      </c>
      <c r="B1782" s="68">
        <v>39</v>
      </c>
      <c r="C1782" s="11" t="s">
        <v>20</v>
      </c>
      <c r="D1782" s="11" t="s">
        <v>37</v>
      </c>
      <c r="E1782" s="60" t="s">
        <v>22525</v>
      </c>
      <c r="F1782" s="69">
        <v>42374</v>
      </c>
      <c r="G1782" s="11" t="s">
        <v>22526</v>
      </c>
      <c r="H1782" s="8" t="s">
        <v>10781</v>
      </c>
      <c r="I1782" s="11" t="s">
        <v>319</v>
      </c>
      <c r="J1782" s="17" t="s">
        <v>22527</v>
      </c>
      <c r="K1782" s="8" t="s">
        <v>118</v>
      </c>
      <c r="L1782" s="8" t="s">
        <v>5634</v>
      </c>
      <c r="M1782" s="8" t="s">
        <v>27</v>
      </c>
      <c r="N1782" s="8" t="s">
        <v>22528</v>
      </c>
      <c r="O1782" s="8" t="s">
        <v>400</v>
      </c>
      <c r="P1782" s="11" t="s">
        <v>401</v>
      </c>
      <c r="Q1782" s="14" t="s">
        <v>22529</v>
      </c>
      <c r="R1782" s="8" t="s">
        <v>100</v>
      </c>
      <c r="S1782" s="8" t="s">
        <v>28</v>
      </c>
      <c r="T1782" s="68" t="s">
        <v>29493</v>
      </c>
      <c r="U1782" s="68" t="s">
        <v>29436</v>
      </c>
      <c r="V1782" s="68" t="s">
        <v>29440</v>
      </c>
      <c r="W1782" s="68" t="s">
        <v>100</v>
      </c>
      <c r="X1782" s="68">
        <v>1146</v>
      </c>
      <c r="Y1782" s="11"/>
      <c r="Z1782" s="11"/>
      <c r="AA1782" s="11"/>
      <c r="AB1782" s="11"/>
      <c r="AC1782" s="11"/>
      <c r="AD1782" s="11"/>
      <c r="AE1782" s="11"/>
      <c r="AF1782" s="11"/>
      <c r="AG1782" s="11"/>
      <c r="AH1782" s="11"/>
      <c r="AI1782" s="11"/>
      <c r="AX1782" s="1"/>
      <c r="AY1782" s="1"/>
      <c r="BC1782" s="1"/>
      <c r="BD1782" s="1"/>
      <c r="BE1782" s="1"/>
      <c r="BF1782" s="1"/>
      <c r="BG1782" s="1"/>
      <c r="BH1782" s="1"/>
      <c r="BI1782" s="1"/>
      <c r="BJ1782" s="1"/>
    </row>
    <row r="1783" spans="1:63" s="44" customFormat="1" ht="12" customHeight="1" x14ac:dyDescent="0.15">
      <c r="A1783" s="11" t="s">
        <v>22789</v>
      </c>
      <c r="B1783" s="11">
        <v>51</v>
      </c>
      <c r="C1783" s="11" t="s">
        <v>20</v>
      </c>
      <c r="D1783" s="11" t="s">
        <v>37</v>
      </c>
      <c r="E1783" s="11" t="s">
        <v>26283</v>
      </c>
      <c r="F1783" s="72">
        <v>42374</v>
      </c>
      <c r="G1783" s="11" t="s">
        <v>24413</v>
      </c>
      <c r="H1783" s="8" t="s">
        <v>9014</v>
      </c>
      <c r="I1783" s="11" t="s">
        <v>73</v>
      </c>
      <c r="J1783" s="17" t="s">
        <v>7991</v>
      </c>
      <c r="K1783" s="8" t="s">
        <v>5282</v>
      </c>
      <c r="L1783" s="8" t="s">
        <v>22790</v>
      </c>
      <c r="M1783" s="8" t="s">
        <v>379</v>
      </c>
      <c r="N1783" s="8" t="s">
        <v>22791</v>
      </c>
      <c r="O1783" s="8" t="s">
        <v>400</v>
      </c>
      <c r="P1783" s="11" t="s">
        <v>401</v>
      </c>
      <c r="Q1783" s="14" t="s">
        <v>22792</v>
      </c>
      <c r="R1783" s="8" t="s">
        <v>100</v>
      </c>
      <c r="S1783" s="8" t="s">
        <v>18</v>
      </c>
      <c r="T1783" s="11"/>
      <c r="U1783" s="11"/>
      <c r="V1783" s="11"/>
      <c r="W1783" s="11"/>
      <c r="X1783" s="11"/>
      <c r="Y1783" s="11"/>
      <c r="Z1783" s="11"/>
      <c r="AA1783" s="11"/>
      <c r="AB1783" s="11"/>
      <c r="AC1783" s="11"/>
      <c r="AD1783" s="11"/>
      <c r="AE1783" s="11"/>
      <c r="AF1783" s="11"/>
      <c r="AG1783" s="11"/>
      <c r="AH1783" s="11"/>
      <c r="AI1783" s="11"/>
      <c r="AX1783" s="1"/>
      <c r="AY1783" s="1"/>
      <c r="AZ1783" s="1"/>
      <c r="BA1783" s="1"/>
      <c r="BB1783" s="1"/>
      <c r="BC1783" s="1"/>
      <c r="BD1783" s="1"/>
      <c r="BE1783" s="1"/>
      <c r="BF1783" s="1"/>
      <c r="BG1783" s="1"/>
      <c r="BH1783" s="1"/>
      <c r="BI1783" s="1"/>
      <c r="BJ1783" s="1"/>
      <c r="BK1783" s="1"/>
    </row>
    <row r="1784" spans="1:63" s="44" customFormat="1" ht="12" customHeight="1" x14ac:dyDescent="0.15">
      <c r="A1784" s="11" t="s">
        <v>21771</v>
      </c>
      <c r="B1784" s="68">
        <v>28</v>
      </c>
      <c r="C1784" s="11" t="s">
        <v>20</v>
      </c>
      <c r="D1784" s="11" t="s">
        <v>48</v>
      </c>
      <c r="E1784" s="11"/>
      <c r="F1784" s="69">
        <v>42374</v>
      </c>
      <c r="G1784" s="11" t="s">
        <v>21772</v>
      </c>
      <c r="H1784" s="8" t="s">
        <v>3202</v>
      </c>
      <c r="I1784" s="11" t="s">
        <v>45</v>
      </c>
      <c r="J1784" s="17" t="s">
        <v>21773</v>
      </c>
      <c r="K1784" s="8" t="s">
        <v>3204</v>
      </c>
      <c r="L1784" s="8" t="s">
        <v>3205</v>
      </c>
      <c r="M1784" s="8" t="s">
        <v>27</v>
      </c>
      <c r="N1784" s="8" t="s">
        <v>21774</v>
      </c>
      <c r="O1784" s="8" t="s">
        <v>400</v>
      </c>
      <c r="P1784" s="11" t="s">
        <v>401</v>
      </c>
      <c r="Q1784" s="14" t="s">
        <v>21775</v>
      </c>
      <c r="R1784" s="8" t="s">
        <v>29</v>
      </c>
      <c r="S1784" s="13" t="s">
        <v>28</v>
      </c>
      <c r="T1784" s="68" t="s">
        <v>29475</v>
      </c>
      <c r="U1784" s="68" t="s">
        <v>29436</v>
      </c>
      <c r="V1784" s="68" t="s">
        <v>29440</v>
      </c>
      <c r="W1784" s="68" t="s">
        <v>100</v>
      </c>
      <c r="X1784" s="68">
        <v>1149</v>
      </c>
      <c r="Y1784" s="11"/>
      <c r="Z1784" s="11"/>
      <c r="AA1784" s="11"/>
      <c r="AB1784" s="11"/>
      <c r="AC1784" s="11"/>
      <c r="AD1784" s="11"/>
      <c r="AE1784" s="11"/>
      <c r="AF1784" s="11"/>
      <c r="AG1784" s="11"/>
      <c r="AH1784" s="11"/>
      <c r="AI1784" s="11"/>
      <c r="AU1784" s="11"/>
      <c r="AV1784" s="11"/>
      <c r="AX1784" s="1"/>
      <c r="AY1784" s="1"/>
      <c r="BA1784" s="1"/>
      <c r="BB1784" s="1"/>
      <c r="BC1784" s="1"/>
      <c r="BD1784" s="1"/>
      <c r="BE1784" s="1"/>
      <c r="BF1784" s="1"/>
      <c r="BG1784" s="1"/>
      <c r="BH1784" s="1"/>
      <c r="BI1784" s="1"/>
      <c r="BJ1784" s="1"/>
    </row>
    <row r="1785" spans="1:63" s="44" customFormat="1" ht="12" customHeight="1" x14ac:dyDescent="0.15">
      <c r="A1785" s="11" t="s">
        <v>22152</v>
      </c>
      <c r="B1785" s="68">
        <v>29</v>
      </c>
      <c r="C1785" s="11" t="s">
        <v>20</v>
      </c>
      <c r="D1785" s="11" t="s">
        <v>37</v>
      </c>
      <c r="E1785" s="11"/>
      <c r="F1785" s="69">
        <v>42374</v>
      </c>
      <c r="G1785" s="11" t="s">
        <v>22153</v>
      </c>
      <c r="H1785" s="8" t="s">
        <v>22154</v>
      </c>
      <c r="I1785" s="11" t="s">
        <v>303</v>
      </c>
      <c r="J1785" s="17" t="s">
        <v>22155</v>
      </c>
      <c r="K1785" s="8" t="s">
        <v>7225</v>
      </c>
      <c r="L1785" s="8" t="s">
        <v>20522</v>
      </c>
      <c r="M1785" s="8" t="s">
        <v>27</v>
      </c>
      <c r="N1785" s="8" t="s">
        <v>23118</v>
      </c>
      <c r="O1785" s="8" t="s">
        <v>400</v>
      </c>
      <c r="P1785" s="11" t="s">
        <v>401</v>
      </c>
      <c r="Q1785" s="14" t="s">
        <v>22156</v>
      </c>
      <c r="R1785" s="8" t="s">
        <v>29</v>
      </c>
      <c r="S1785" s="8" t="s">
        <v>379</v>
      </c>
      <c r="T1785" s="68" t="s">
        <v>379</v>
      </c>
      <c r="U1785" s="68" t="s">
        <v>29438</v>
      </c>
      <c r="V1785" s="68" t="s">
        <v>29440</v>
      </c>
      <c r="W1785" s="68" t="s">
        <v>100</v>
      </c>
      <c r="X1785" s="68">
        <v>1145</v>
      </c>
      <c r="AD1785" s="11"/>
      <c r="AE1785" s="11"/>
      <c r="AF1785" s="11"/>
      <c r="AG1785" s="11"/>
      <c r="AH1785" s="11"/>
      <c r="AI1785" s="11"/>
      <c r="AU1785" s="11"/>
      <c r="AV1785" s="11"/>
      <c r="AX1785" s="1"/>
      <c r="AY1785" s="1"/>
      <c r="BA1785" s="1"/>
      <c r="BB1785" s="1"/>
      <c r="BC1785" s="1"/>
      <c r="BD1785" s="1"/>
      <c r="BE1785" s="1"/>
      <c r="BF1785" s="1"/>
      <c r="BG1785" s="1"/>
      <c r="BH1785" s="1"/>
      <c r="BI1785" s="1"/>
      <c r="BJ1785" s="1"/>
    </row>
    <row r="1786" spans="1:63" s="44" customFormat="1" ht="12" customHeight="1" x14ac:dyDescent="0.15">
      <c r="A1786" s="11" t="s">
        <v>22255</v>
      </c>
      <c r="B1786" s="68">
        <v>52</v>
      </c>
      <c r="C1786" s="11" t="s">
        <v>20</v>
      </c>
      <c r="D1786" s="11" t="s">
        <v>37</v>
      </c>
      <c r="E1786" s="60" t="s">
        <v>22256</v>
      </c>
      <c r="F1786" s="69">
        <v>42374</v>
      </c>
      <c r="G1786" s="11" t="s">
        <v>22257</v>
      </c>
      <c r="H1786" s="8" t="s">
        <v>7540</v>
      </c>
      <c r="I1786" s="11" t="s">
        <v>45</v>
      </c>
      <c r="J1786" s="17" t="s">
        <v>22258</v>
      </c>
      <c r="K1786" s="8" t="s">
        <v>7542</v>
      </c>
      <c r="L1786" s="8" t="s">
        <v>7543</v>
      </c>
      <c r="M1786" s="8" t="s">
        <v>27</v>
      </c>
      <c r="N1786" s="8" t="s">
        <v>22259</v>
      </c>
      <c r="O1786" s="8" t="s">
        <v>400</v>
      </c>
      <c r="P1786" s="11" t="s">
        <v>401</v>
      </c>
      <c r="Q1786" s="14" t="s">
        <v>22260</v>
      </c>
      <c r="R1786" s="8" t="s">
        <v>555</v>
      </c>
      <c r="S1786" s="8" t="s">
        <v>28</v>
      </c>
      <c r="T1786" s="68" t="s">
        <v>27756</v>
      </c>
      <c r="U1786" s="68" t="s">
        <v>29436</v>
      </c>
      <c r="V1786" s="68" t="s">
        <v>29439</v>
      </c>
      <c r="W1786" s="68" t="s">
        <v>100</v>
      </c>
      <c r="X1786" s="68">
        <v>1148</v>
      </c>
      <c r="Y1786" s="11"/>
      <c r="Z1786" s="11"/>
      <c r="AA1786" s="11"/>
      <c r="AB1786" s="11"/>
      <c r="AC1786" s="11"/>
      <c r="AD1786" s="11"/>
      <c r="AE1786" s="11"/>
      <c r="AF1786" s="11"/>
      <c r="AG1786" s="11"/>
      <c r="AH1786" s="11"/>
      <c r="AI1786" s="11"/>
      <c r="AU1786" s="11"/>
      <c r="AV1786" s="11"/>
      <c r="AW1786" s="1"/>
      <c r="AX1786" s="1"/>
      <c r="AY1786" s="1"/>
      <c r="BA1786" s="11"/>
      <c r="BC1786" s="1"/>
      <c r="BD1786" s="1"/>
      <c r="BE1786" s="1"/>
      <c r="BF1786" s="1"/>
      <c r="BG1786" s="1"/>
      <c r="BH1786" s="1"/>
      <c r="BI1786" s="1"/>
      <c r="BJ1786" s="1"/>
    </row>
    <row r="1787" spans="1:63" s="44" customFormat="1" ht="12" customHeight="1" x14ac:dyDescent="0.2">
      <c r="A1787" s="11" t="s">
        <v>22510</v>
      </c>
      <c r="B1787" s="68">
        <v>54</v>
      </c>
      <c r="C1787" s="11" t="s">
        <v>20</v>
      </c>
      <c r="D1787" s="11" t="s">
        <v>37</v>
      </c>
      <c r="E1787" s="60" t="s">
        <v>22511</v>
      </c>
      <c r="F1787" s="69">
        <v>42374</v>
      </c>
      <c r="G1787" s="11" t="s">
        <v>22512</v>
      </c>
      <c r="H1787" s="8" t="s">
        <v>16471</v>
      </c>
      <c r="I1787" s="11" t="s">
        <v>404</v>
      </c>
      <c r="J1787" s="17" t="s">
        <v>22513</v>
      </c>
      <c r="K1787" s="8" t="s">
        <v>906</v>
      </c>
      <c r="L1787" s="8" t="s">
        <v>16473</v>
      </c>
      <c r="M1787" s="68" t="s">
        <v>5411</v>
      </c>
      <c r="N1787" s="8" t="s">
        <v>22514</v>
      </c>
      <c r="O1787" s="8" t="s">
        <v>400</v>
      </c>
      <c r="P1787" s="11" t="s">
        <v>401</v>
      </c>
      <c r="Q1787" s="14" t="s">
        <v>22515</v>
      </c>
      <c r="R1787" s="8" t="s">
        <v>555</v>
      </c>
      <c r="S1787" s="8" t="s">
        <v>28</v>
      </c>
      <c r="T1787" s="68" t="s">
        <v>29493</v>
      </c>
      <c r="U1787" s="68" t="s">
        <v>29436</v>
      </c>
      <c r="V1787" s="68" t="s">
        <v>29439</v>
      </c>
      <c r="W1787" s="68" t="s">
        <v>100</v>
      </c>
      <c r="X1787" s="68">
        <v>1160</v>
      </c>
      <c r="Y1787" s="11"/>
      <c r="Z1787" s="11"/>
      <c r="AA1787" s="11"/>
      <c r="AB1787" s="11"/>
      <c r="AC1787" s="11"/>
      <c r="AD1787" s="11"/>
      <c r="AE1787" s="11"/>
      <c r="AF1787" s="11"/>
      <c r="AG1787" s="11"/>
      <c r="AH1787" s="11"/>
      <c r="AI1787" s="11"/>
      <c r="AW1787" s="1"/>
      <c r="AX1787" s="1"/>
      <c r="AY1787" s="1"/>
      <c r="BA1787" s="11"/>
      <c r="BB1787" s="70"/>
      <c r="BC1787" s="1"/>
      <c r="BD1787" s="1"/>
      <c r="BE1787" s="1"/>
      <c r="BF1787" s="1"/>
      <c r="BG1787" s="1"/>
      <c r="BH1787" s="1"/>
      <c r="BI1787" s="1"/>
      <c r="BJ1787" s="1"/>
      <c r="BK1787" s="1"/>
    </row>
    <row r="1788" spans="1:63" s="44" customFormat="1" ht="12" customHeight="1" x14ac:dyDescent="0.15">
      <c r="A1788" s="11" t="s">
        <v>21438</v>
      </c>
      <c r="B1788" s="68">
        <v>22</v>
      </c>
      <c r="C1788" s="11" t="s">
        <v>20</v>
      </c>
      <c r="D1788" s="11" t="s">
        <v>85</v>
      </c>
      <c r="E1788" s="60" t="s">
        <v>21439</v>
      </c>
      <c r="F1788" s="69">
        <v>42373</v>
      </c>
      <c r="G1788" s="11" t="s">
        <v>21440</v>
      </c>
      <c r="H1788" s="8" t="s">
        <v>1094</v>
      </c>
      <c r="I1788" s="11" t="s">
        <v>395</v>
      </c>
      <c r="J1788" s="47" t="s">
        <v>6206</v>
      </c>
      <c r="K1788" s="8" t="s">
        <v>1095</v>
      </c>
      <c r="L1788" s="8" t="s">
        <v>1096</v>
      </c>
      <c r="M1788" s="8" t="s">
        <v>27</v>
      </c>
      <c r="N1788" s="8" t="s">
        <v>21441</v>
      </c>
      <c r="O1788" s="8" t="s">
        <v>400</v>
      </c>
      <c r="P1788" s="11" t="s">
        <v>401</v>
      </c>
      <c r="Q1788" s="14" t="s">
        <v>21442</v>
      </c>
      <c r="R1788" s="8" t="s">
        <v>100</v>
      </c>
      <c r="S1788" s="8" t="s">
        <v>28</v>
      </c>
      <c r="T1788" s="68" t="s">
        <v>27756</v>
      </c>
      <c r="U1788" s="68" t="s">
        <v>29438</v>
      </c>
      <c r="V1788" s="68" t="s">
        <v>29440</v>
      </c>
      <c r="W1788" s="68" t="s">
        <v>555</v>
      </c>
      <c r="X1788" s="68">
        <v>1144</v>
      </c>
      <c r="Y1788" s="11"/>
      <c r="Z1788" s="11"/>
      <c r="AA1788" s="11"/>
      <c r="AB1788" s="11"/>
      <c r="AC1788" s="11"/>
      <c r="AD1788" s="11"/>
      <c r="AE1788" s="11"/>
      <c r="AF1788" s="11"/>
      <c r="AG1788" s="11"/>
      <c r="AU1788" s="11"/>
      <c r="AV1788" s="11"/>
    </row>
    <row r="1789" spans="1:63" s="44" customFormat="1" ht="12" customHeight="1" x14ac:dyDescent="0.15">
      <c r="A1789" s="11" t="s">
        <v>21541</v>
      </c>
      <c r="B1789" s="68">
        <v>27</v>
      </c>
      <c r="C1789" s="11" t="s">
        <v>20</v>
      </c>
      <c r="D1789" s="11" t="s">
        <v>85</v>
      </c>
      <c r="E1789" s="60" t="s">
        <v>21542</v>
      </c>
      <c r="F1789" s="69">
        <v>42373</v>
      </c>
      <c r="G1789" s="11" t="s">
        <v>21543</v>
      </c>
      <c r="H1789" s="8" t="s">
        <v>21544</v>
      </c>
      <c r="I1789" s="11" t="s">
        <v>25</v>
      </c>
      <c r="J1789" s="47" t="s">
        <v>21545</v>
      </c>
      <c r="K1789" s="8" t="s">
        <v>7740</v>
      </c>
      <c r="L1789" s="8" t="s">
        <v>21546</v>
      </c>
      <c r="M1789" s="8" t="s">
        <v>27</v>
      </c>
      <c r="N1789" s="8" t="s">
        <v>22973</v>
      </c>
      <c r="O1789" s="8" t="s">
        <v>400</v>
      </c>
      <c r="P1789" s="11" t="s">
        <v>401</v>
      </c>
      <c r="Q1789" s="14" t="s">
        <v>21547</v>
      </c>
      <c r="R1789" s="8" t="s">
        <v>100</v>
      </c>
      <c r="S1789" s="8" t="s">
        <v>35</v>
      </c>
      <c r="T1789" s="68" t="s">
        <v>29441</v>
      </c>
      <c r="U1789" s="68" t="s">
        <v>29441</v>
      </c>
      <c r="V1789" s="68" t="s">
        <v>29439</v>
      </c>
      <c r="W1789" s="68" t="s">
        <v>100</v>
      </c>
      <c r="X1789" s="68">
        <v>1142</v>
      </c>
      <c r="Y1789" s="11"/>
      <c r="Z1789" s="11"/>
      <c r="AA1789" s="11"/>
      <c r="AB1789" s="11"/>
      <c r="AC1789" s="11"/>
      <c r="AD1789" s="11"/>
      <c r="AE1789" s="11"/>
      <c r="AF1789" s="11"/>
      <c r="AG1789" s="11"/>
      <c r="AX1789" s="11"/>
      <c r="AY1789" s="11"/>
      <c r="BK1789" s="1"/>
    </row>
    <row r="1790" spans="1:63" s="44" customFormat="1" ht="12" customHeight="1" x14ac:dyDescent="0.15">
      <c r="A1790" s="11" t="s">
        <v>22774</v>
      </c>
      <c r="B1790" s="11">
        <v>50</v>
      </c>
      <c r="C1790" s="11" t="s">
        <v>20</v>
      </c>
      <c r="D1790" s="11" t="s">
        <v>48</v>
      </c>
      <c r="E1790" s="11"/>
      <c r="F1790" s="72">
        <v>42373</v>
      </c>
      <c r="G1790" s="11" t="s">
        <v>24414</v>
      </c>
      <c r="H1790" s="8" t="s">
        <v>3324</v>
      </c>
      <c r="I1790" s="11" t="s">
        <v>123</v>
      </c>
      <c r="J1790" s="17" t="s">
        <v>15830</v>
      </c>
      <c r="K1790" s="8" t="s">
        <v>633</v>
      </c>
      <c r="L1790" s="8" t="s">
        <v>3327</v>
      </c>
      <c r="M1790" s="8" t="s">
        <v>379</v>
      </c>
      <c r="N1790" s="8" t="s">
        <v>23526</v>
      </c>
      <c r="O1790" s="8" t="s">
        <v>400</v>
      </c>
      <c r="P1790" s="11" t="s">
        <v>401</v>
      </c>
      <c r="Q1790" s="14" t="s">
        <v>22775</v>
      </c>
      <c r="R1790" s="8" t="s">
        <v>100</v>
      </c>
      <c r="S1790" s="8" t="s">
        <v>379</v>
      </c>
      <c r="T1790" s="11"/>
      <c r="U1790" s="11"/>
      <c r="V1790" s="11"/>
      <c r="W1790" s="11"/>
      <c r="X1790" s="11"/>
      <c r="Y1790" s="11"/>
      <c r="Z1790" s="11"/>
      <c r="AA1790" s="11"/>
      <c r="AB1790" s="11"/>
      <c r="AC1790" s="11"/>
      <c r="AD1790" s="11"/>
      <c r="AE1790" s="11"/>
      <c r="AF1790" s="11"/>
      <c r="AG1790" s="11"/>
      <c r="AH1790" s="11"/>
      <c r="AI1790" s="11"/>
      <c r="AX1790" s="1"/>
      <c r="AY1790" s="1"/>
      <c r="AZ1790" s="1"/>
      <c r="BA1790" s="1"/>
      <c r="BB1790" s="1"/>
      <c r="BC1790" s="1"/>
      <c r="BD1790" s="1"/>
      <c r="BE1790" s="1"/>
      <c r="BF1790" s="1"/>
      <c r="BG1790" s="1"/>
      <c r="BH1790" s="1"/>
      <c r="BI1790" s="1"/>
      <c r="BJ1790" s="1"/>
      <c r="BK1790" s="1"/>
    </row>
    <row r="1791" spans="1:63" s="44" customFormat="1" ht="12" customHeight="1" x14ac:dyDescent="0.15">
      <c r="A1791" s="11" t="s">
        <v>21413</v>
      </c>
      <c r="B1791" s="68">
        <v>30</v>
      </c>
      <c r="C1791" s="11" t="s">
        <v>20</v>
      </c>
      <c r="D1791" s="11" t="s">
        <v>85</v>
      </c>
      <c r="E1791" s="60" t="s">
        <v>21414</v>
      </c>
      <c r="F1791" s="69">
        <v>42372</v>
      </c>
      <c r="G1791" s="11" t="s">
        <v>21415</v>
      </c>
      <c r="H1791" s="8" t="s">
        <v>4191</v>
      </c>
      <c r="I1791" s="11" t="s">
        <v>366</v>
      </c>
      <c r="J1791" s="47" t="s">
        <v>21416</v>
      </c>
      <c r="K1791" s="8" t="s">
        <v>4193</v>
      </c>
      <c r="L1791" s="8" t="s">
        <v>4194</v>
      </c>
      <c r="M1791" s="8" t="s">
        <v>27</v>
      </c>
      <c r="N1791" s="8" t="s">
        <v>21417</v>
      </c>
      <c r="O1791" s="8" t="s">
        <v>400</v>
      </c>
      <c r="P1791" s="11" t="s">
        <v>401</v>
      </c>
      <c r="Q1791" s="14" t="s">
        <v>21418</v>
      </c>
      <c r="R1791" s="8" t="s">
        <v>100</v>
      </c>
      <c r="S1791" s="8" t="s">
        <v>28</v>
      </c>
      <c r="T1791" s="68" t="s">
        <v>27756</v>
      </c>
      <c r="U1791" s="68" t="s">
        <v>29438</v>
      </c>
      <c r="V1791" s="68" t="s">
        <v>29439</v>
      </c>
      <c r="W1791" s="68" t="s">
        <v>100</v>
      </c>
      <c r="X1791" s="68">
        <v>1140</v>
      </c>
      <c r="Y1791" s="11"/>
      <c r="Z1791" s="11"/>
      <c r="AA1791" s="11"/>
      <c r="AB1791" s="11"/>
      <c r="AC1791" s="11"/>
      <c r="AD1791" s="11"/>
      <c r="AE1791" s="11"/>
      <c r="AF1791" s="11"/>
      <c r="AG1791" s="11"/>
      <c r="AW1791" s="11"/>
      <c r="AX1791" s="11"/>
      <c r="AY1791" s="11"/>
    </row>
    <row r="1792" spans="1:63" s="44" customFormat="1" ht="12" customHeight="1" x14ac:dyDescent="0.15">
      <c r="A1792" s="11" t="s">
        <v>22359</v>
      </c>
      <c r="B1792" s="68">
        <v>37</v>
      </c>
      <c r="C1792" s="11" t="s">
        <v>20</v>
      </c>
      <c r="D1792" s="11" t="s">
        <v>37</v>
      </c>
      <c r="E1792" s="60" t="s">
        <v>22360</v>
      </c>
      <c r="F1792" s="69">
        <v>42371</v>
      </c>
      <c r="G1792" s="11" t="s">
        <v>22361</v>
      </c>
      <c r="H1792" s="8" t="s">
        <v>13684</v>
      </c>
      <c r="I1792" s="11" t="s">
        <v>143</v>
      </c>
      <c r="J1792" s="17" t="s">
        <v>22362</v>
      </c>
      <c r="K1792" s="8" t="s">
        <v>13686</v>
      </c>
      <c r="L1792" s="8" t="s">
        <v>5634</v>
      </c>
      <c r="M1792" s="8" t="s">
        <v>27</v>
      </c>
      <c r="N1792" s="8" t="s">
        <v>22363</v>
      </c>
      <c r="O1792" s="8" t="s">
        <v>400</v>
      </c>
      <c r="P1792" s="11" t="s">
        <v>401</v>
      </c>
      <c r="Q1792" s="14" t="s">
        <v>22364</v>
      </c>
      <c r="R1792" s="8" t="s">
        <v>100</v>
      </c>
      <c r="S1792" s="8" t="s">
        <v>28</v>
      </c>
      <c r="T1792" s="68" t="s">
        <v>27756</v>
      </c>
      <c r="U1792" s="68" t="s">
        <v>29438</v>
      </c>
      <c r="V1792" s="68" t="s">
        <v>29439</v>
      </c>
      <c r="W1792" s="68" t="s">
        <v>100</v>
      </c>
      <c r="X1792" s="68">
        <v>1198</v>
      </c>
      <c r="Y1792" s="11"/>
      <c r="Z1792" s="11"/>
      <c r="AA1792" s="11"/>
      <c r="AB1792" s="11"/>
      <c r="AC1792" s="11"/>
      <c r="AD1792" s="11"/>
      <c r="AE1792" s="11"/>
      <c r="AF1792" s="11"/>
      <c r="AG1792" s="11"/>
      <c r="AH1792" s="11"/>
      <c r="AI1792" s="11"/>
      <c r="AW1792" s="11"/>
      <c r="AX1792" s="1"/>
      <c r="AY1792" s="1"/>
      <c r="BC1792" s="1"/>
      <c r="BD1792" s="1"/>
      <c r="BE1792" s="1"/>
      <c r="BF1792" s="1"/>
      <c r="BG1792" s="1"/>
      <c r="BH1792" s="1"/>
      <c r="BI1792" s="1"/>
      <c r="BJ1792" s="1"/>
    </row>
    <row r="1793" spans="1:63" s="44" customFormat="1" ht="12" customHeight="1" x14ac:dyDescent="0.15">
      <c r="A1793" s="11" t="s">
        <v>22094</v>
      </c>
      <c r="B1793" s="68">
        <v>54</v>
      </c>
      <c r="C1793" s="11" t="s">
        <v>20</v>
      </c>
      <c r="D1793" s="11" t="s">
        <v>37</v>
      </c>
      <c r="E1793" s="11"/>
      <c r="F1793" s="69">
        <v>42371</v>
      </c>
      <c r="G1793" s="11" t="s">
        <v>22095</v>
      </c>
      <c r="H1793" s="8" t="s">
        <v>8939</v>
      </c>
      <c r="I1793" s="11" t="s">
        <v>73</v>
      </c>
      <c r="J1793" s="17" t="s">
        <v>8940</v>
      </c>
      <c r="K1793" s="8" t="s">
        <v>8941</v>
      </c>
      <c r="L1793" s="8" t="s">
        <v>22096</v>
      </c>
      <c r="M1793" s="8" t="s">
        <v>27</v>
      </c>
      <c r="N1793" s="8" t="s">
        <v>22097</v>
      </c>
      <c r="O1793" s="8" t="s">
        <v>400</v>
      </c>
      <c r="P1793" s="11" t="s">
        <v>401</v>
      </c>
      <c r="Q1793" s="14" t="s">
        <v>22098</v>
      </c>
      <c r="R1793" s="8" t="s">
        <v>100</v>
      </c>
      <c r="S1793" s="8" t="s">
        <v>28</v>
      </c>
      <c r="T1793" s="68" t="s">
        <v>27756</v>
      </c>
      <c r="U1793" s="68" t="s">
        <v>29438</v>
      </c>
      <c r="V1793" s="68" t="s">
        <v>29437</v>
      </c>
      <c r="W1793" s="68" t="s">
        <v>100</v>
      </c>
      <c r="X1793" s="68">
        <v>1195</v>
      </c>
      <c r="Y1793" s="11"/>
      <c r="Z1793" s="11"/>
      <c r="AA1793" s="11"/>
      <c r="AB1793" s="11"/>
      <c r="AC1793" s="11"/>
      <c r="AD1793" s="11"/>
      <c r="AE1793" s="11"/>
      <c r="AF1793" s="11"/>
      <c r="AG1793" s="11"/>
      <c r="AH1793" s="11"/>
      <c r="AI1793" s="11"/>
      <c r="AW1793" s="1"/>
      <c r="AX1793" s="1"/>
      <c r="AY1793" s="1"/>
      <c r="BC1793" s="1"/>
      <c r="BD1793" s="1"/>
      <c r="BE1793" s="1"/>
      <c r="BF1793" s="1"/>
      <c r="BG1793" s="1"/>
      <c r="BH1793" s="1"/>
      <c r="BI1793" s="1"/>
      <c r="BJ1793" s="1"/>
    </row>
    <row r="1794" spans="1:63" s="44" customFormat="1" ht="12" customHeight="1" x14ac:dyDescent="0.2">
      <c r="A1794" s="11" t="s">
        <v>22119</v>
      </c>
      <c r="B1794" s="68">
        <v>37</v>
      </c>
      <c r="C1794" s="11" t="s">
        <v>20</v>
      </c>
      <c r="D1794" s="11" t="s">
        <v>37</v>
      </c>
      <c r="E1794" s="11"/>
      <c r="F1794" s="69">
        <v>42371</v>
      </c>
      <c r="G1794" s="11" t="s">
        <v>22120</v>
      </c>
      <c r="H1794" s="8" t="s">
        <v>4078</v>
      </c>
      <c r="I1794" s="11" t="s">
        <v>854</v>
      </c>
      <c r="J1794" s="17" t="s">
        <v>22121</v>
      </c>
      <c r="K1794" s="8" t="s">
        <v>22122</v>
      </c>
      <c r="L1794" s="8" t="s">
        <v>22123</v>
      </c>
      <c r="M1794" s="68" t="s">
        <v>5411</v>
      </c>
      <c r="N1794" s="8" t="s">
        <v>23154</v>
      </c>
      <c r="O1794" s="8" t="s">
        <v>400</v>
      </c>
      <c r="P1794" s="11" t="s">
        <v>401</v>
      </c>
      <c r="Q1794" s="14" t="s">
        <v>22124</v>
      </c>
      <c r="R1794" s="8" t="s">
        <v>29</v>
      </c>
      <c r="S1794" s="8" t="s">
        <v>28</v>
      </c>
      <c r="T1794" s="68" t="s">
        <v>29493</v>
      </c>
      <c r="U1794" s="68" t="s">
        <v>29436</v>
      </c>
      <c r="V1794" s="68" t="s">
        <v>29439</v>
      </c>
      <c r="W1794" s="68" t="s">
        <v>100</v>
      </c>
      <c r="X1794" s="68">
        <v>1138</v>
      </c>
      <c r="Y1794" s="11"/>
      <c r="Z1794" s="11"/>
      <c r="AA1794" s="11"/>
      <c r="AB1794" s="11"/>
      <c r="AC1794" s="11"/>
      <c r="AD1794" s="11"/>
      <c r="AE1794" s="11"/>
      <c r="AF1794" s="11"/>
      <c r="AG1794" s="11"/>
      <c r="AH1794" s="11"/>
      <c r="AI1794" s="11"/>
      <c r="AW1794" s="11"/>
      <c r="AX1794" s="1"/>
      <c r="AY1794" s="1"/>
      <c r="BA1794" s="1"/>
      <c r="BB1794" s="70"/>
      <c r="BC1794" s="1"/>
      <c r="BD1794" s="1"/>
      <c r="BE1794" s="1"/>
      <c r="BF1794" s="1"/>
      <c r="BG1794" s="1"/>
      <c r="BH1794" s="1"/>
      <c r="BI1794" s="1"/>
      <c r="BJ1794" s="1"/>
      <c r="BK1794" s="1"/>
    </row>
    <row r="1795" spans="1:63" s="44" customFormat="1" ht="12" customHeight="1" x14ac:dyDescent="0.15">
      <c r="A1795" s="11" t="s">
        <v>22447</v>
      </c>
      <c r="B1795" s="68">
        <v>30</v>
      </c>
      <c r="C1795" s="11" t="s">
        <v>20</v>
      </c>
      <c r="D1795" s="11" t="s">
        <v>37</v>
      </c>
      <c r="E1795" s="60" t="s">
        <v>22448</v>
      </c>
      <c r="F1795" s="69">
        <v>42370</v>
      </c>
      <c r="G1795" s="11" t="s">
        <v>22449</v>
      </c>
      <c r="H1795" s="8" t="s">
        <v>156</v>
      </c>
      <c r="I1795" s="11" t="s">
        <v>45</v>
      </c>
      <c r="J1795" s="17" t="s">
        <v>22450</v>
      </c>
      <c r="K1795" s="8" t="s">
        <v>156</v>
      </c>
      <c r="L1795" s="8" t="s">
        <v>157</v>
      </c>
      <c r="M1795" s="8" t="s">
        <v>27</v>
      </c>
      <c r="N1795" s="8" t="s">
        <v>23138</v>
      </c>
      <c r="O1795" s="8"/>
      <c r="P1795" s="11" t="s">
        <v>401</v>
      </c>
      <c r="Q1795" s="14" t="s">
        <v>22451</v>
      </c>
      <c r="R1795" s="8" t="s">
        <v>100</v>
      </c>
      <c r="S1795" s="8" t="s">
        <v>28</v>
      </c>
      <c r="T1795" s="68" t="s">
        <v>29493</v>
      </c>
      <c r="U1795" s="68" t="s">
        <v>29436</v>
      </c>
      <c r="V1795" s="68" t="s">
        <v>29439</v>
      </c>
      <c r="W1795" s="68" t="s">
        <v>555</v>
      </c>
      <c r="X1795" s="68">
        <v>1139</v>
      </c>
      <c r="Y1795" s="11"/>
      <c r="Z1795" s="11"/>
      <c r="AA1795" s="11"/>
      <c r="AB1795" s="11"/>
      <c r="AC1795" s="11"/>
      <c r="AD1795" s="11"/>
      <c r="AE1795" s="11"/>
      <c r="AF1795" s="11"/>
      <c r="AG1795" s="11"/>
      <c r="AH1795" s="11"/>
      <c r="AI1795" s="11"/>
      <c r="AW1795" s="11"/>
      <c r="AX1795" s="1"/>
      <c r="AY1795" s="1"/>
      <c r="BC1795" s="1"/>
      <c r="BD1795" s="1"/>
      <c r="BE1795" s="1"/>
      <c r="BF1795" s="1"/>
      <c r="BG1795" s="1"/>
      <c r="BH1795" s="1"/>
      <c r="BI1795" s="1"/>
      <c r="BJ1795" s="1"/>
    </row>
    <row r="1796" spans="1:63" s="44" customFormat="1" ht="12" customHeight="1" x14ac:dyDescent="0.15">
      <c r="A1796" s="44" t="s">
        <v>20970</v>
      </c>
      <c r="B1796" s="68">
        <v>23</v>
      </c>
      <c r="C1796" s="44" t="s">
        <v>20</v>
      </c>
      <c r="D1796" s="44" t="s">
        <v>85</v>
      </c>
      <c r="E1796" s="44" t="s">
        <v>20971</v>
      </c>
      <c r="F1796" s="69">
        <v>42369</v>
      </c>
      <c r="G1796" s="44" t="s">
        <v>20967</v>
      </c>
      <c r="H1796" s="44" t="s">
        <v>655</v>
      </c>
      <c r="I1796" s="44" t="s">
        <v>269</v>
      </c>
      <c r="J1796" s="17" t="s">
        <v>21251</v>
      </c>
      <c r="K1796" s="8" t="s">
        <v>570</v>
      </c>
      <c r="L1796" s="44" t="s">
        <v>571</v>
      </c>
      <c r="M1796" s="44" t="s">
        <v>27</v>
      </c>
      <c r="N1796" s="44" t="s">
        <v>20968</v>
      </c>
      <c r="P1796" s="16" t="s">
        <v>401</v>
      </c>
      <c r="Q1796" s="44" t="s">
        <v>20966</v>
      </c>
      <c r="R1796" s="1" t="s">
        <v>29</v>
      </c>
      <c r="S1796" s="44" t="s">
        <v>18</v>
      </c>
      <c r="T1796" s="68" t="s">
        <v>28345</v>
      </c>
      <c r="U1796" s="68" t="s">
        <v>29436</v>
      </c>
      <c r="V1796" s="68" t="s">
        <v>29439</v>
      </c>
      <c r="W1796" s="68" t="s">
        <v>555</v>
      </c>
      <c r="X1796" s="68">
        <v>1137</v>
      </c>
      <c r="Y1796" s="1"/>
      <c r="Z1796" s="1"/>
      <c r="AA1796" s="1"/>
      <c r="AB1796" s="1"/>
      <c r="AC1796" s="1"/>
      <c r="AD1796" s="1"/>
      <c r="AE1796" s="1"/>
      <c r="AF1796" s="1"/>
      <c r="AG1796" s="1"/>
      <c r="AH1796" s="1"/>
      <c r="AM1796" s="11"/>
      <c r="AN1796" s="11"/>
      <c r="AO1796" s="11"/>
      <c r="AP1796" s="11"/>
      <c r="AQ1796" s="11"/>
      <c r="AR1796" s="11"/>
      <c r="AS1796" s="11"/>
      <c r="AT1796" s="11"/>
      <c r="AW1796" s="11"/>
      <c r="BA1796" s="1"/>
      <c r="BB1796" s="1"/>
      <c r="BK1796" s="1"/>
    </row>
    <row r="1797" spans="1:63" s="44" customFormat="1" ht="12" customHeight="1" x14ac:dyDescent="0.15">
      <c r="A1797" s="44" t="s">
        <v>20954</v>
      </c>
      <c r="B1797" s="68">
        <v>55</v>
      </c>
      <c r="C1797" s="44" t="s">
        <v>20</v>
      </c>
      <c r="D1797" s="44" t="s">
        <v>48</v>
      </c>
      <c r="F1797" s="69">
        <v>42368</v>
      </c>
      <c r="G1797" s="44" t="s">
        <v>20957</v>
      </c>
      <c r="H1797" s="44" t="s">
        <v>200</v>
      </c>
      <c r="I1797" s="44" t="s">
        <v>45</v>
      </c>
      <c r="J1797" s="17" t="s">
        <v>21253</v>
      </c>
      <c r="K1797" s="8" t="s">
        <v>200</v>
      </c>
      <c r="L1797" s="44" t="s">
        <v>201</v>
      </c>
      <c r="M1797" s="44" t="s">
        <v>27</v>
      </c>
      <c r="N1797" s="44" t="s">
        <v>20956</v>
      </c>
      <c r="P1797" s="16" t="s">
        <v>401</v>
      </c>
      <c r="Q1797" s="44" t="s">
        <v>20955</v>
      </c>
      <c r="R1797" s="1" t="s">
        <v>29</v>
      </c>
      <c r="S1797" s="44" t="s">
        <v>28</v>
      </c>
      <c r="T1797" s="68" t="s">
        <v>29493</v>
      </c>
      <c r="U1797" s="68" t="s">
        <v>29438</v>
      </c>
      <c r="V1797" s="68" t="s">
        <v>29439</v>
      </c>
      <c r="W1797" s="68" t="s">
        <v>555</v>
      </c>
      <c r="X1797" s="68">
        <v>1135</v>
      </c>
      <c r="Y1797" s="1"/>
      <c r="Z1797" s="1"/>
      <c r="AA1797" s="1"/>
      <c r="AB1797" s="1"/>
      <c r="AC1797" s="1"/>
      <c r="AD1797" s="1"/>
      <c r="AE1797" s="1"/>
      <c r="AF1797" s="1"/>
      <c r="AG1797" s="1"/>
      <c r="AH1797" s="1"/>
      <c r="AM1797" s="11"/>
      <c r="AN1797" s="11"/>
      <c r="AO1797" s="11"/>
      <c r="AP1797" s="11"/>
      <c r="AQ1797" s="11"/>
      <c r="AR1797" s="11"/>
      <c r="AS1797" s="11"/>
      <c r="AT1797" s="11"/>
      <c r="AW1797" s="1"/>
      <c r="AX1797" s="1"/>
      <c r="AY1797" s="1"/>
      <c r="BA1797" s="1"/>
      <c r="BB1797" s="1"/>
      <c r="BC1797" s="1"/>
      <c r="BD1797" s="1"/>
      <c r="BE1797" s="1"/>
      <c r="BF1797" s="1"/>
      <c r="BG1797" s="1"/>
      <c r="BH1797" s="1"/>
      <c r="BI1797" s="1"/>
      <c r="BJ1797" s="1"/>
    </row>
    <row r="1798" spans="1:63" s="44" customFormat="1" ht="12" customHeight="1" x14ac:dyDescent="0.15">
      <c r="A1798" s="44" t="s">
        <v>20982</v>
      </c>
      <c r="B1798" s="68">
        <v>39</v>
      </c>
      <c r="C1798" s="44" t="s">
        <v>20</v>
      </c>
      <c r="D1798" s="44" t="s">
        <v>30</v>
      </c>
      <c r="F1798" s="69">
        <v>42368</v>
      </c>
      <c r="G1798" s="44" t="s">
        <v>21113</v>
      </c>
      <c r="H1798" s="44" t="s">
        <v>20965</v>
      </c>
      <c r="I1798" s="44" t="s">
        <v>1083</v>
      </c>
      <c r="J1798" s="17" t="s">
        <v>21252</v>
      </c>
      <c r="K1798" s="8" t="s">
        <v>9902</v>
      </c>
      <c r="L1798" s="44" t="s">
        <v>20964</v>
      </c>
      <c r="M1798" s="44" t="s">
        <v>27</v>
      </c>
      <c r="N1798" s="44" t="s">
        <v>20969</v>
      </c>
      <c r="O1798" s="1" t="s">
        <v>400</v>
      </c>
      <c r="P1798" s="16" t="s">
        <v>401</v>
      </c>
      <c r="Q1798" s="44" t="s">
        <v>20963</v>
      </c>
      <c r="R1798" s="1" t="s">
        <v>29</v>
      </c>
      <c r="S1798" s="11" t="s">
        <v>35</v>
      </c>
      <c r="T1798" s="68" t="s">
        <v>29441</v>
      </c>
      <c r="U1798" s="68" t="s">
        <v>29441</v>
      </c>
      <c r="V1798" s="68"/>
      <c r="W1798" s="68" t="s">
        <v>100</v>
      </c>
      <c r="X1798" s="68">
        <v>1136</v>
      </c>
      <c r="Y1798" s="1"/>
      <c r="Z1798" s="1"/>
      <c r="AA1798" s="1"/>
      <c r="AB1798" s="1"/>
      <c r="AC1798" s="1"/>
      <c r="AD1798" s="1"/>
      <c r="AE1798" s="1"/>
      <c r="AF1798" s="1"/>
      <c r="AG1798" s="1"/>
      <c r="AH1798" s="1"/>
      <c r="AM1798" s="11"/>
      <c r="AN1798" s="11"/>
      <c r="AO1798" s="11"/>
      <c r="AP1798" s="11"/>
      <c r="AQ1798" s="11"/>
      <c r="AR1798" s="11"/>
      <c r="AS1798" s="11"/>
      <c r="AT1798" s="11"/>
      <c r="AX1798" s="1"/>
      <c r="AY1798" s="1"/>
      <c r="BA1798" s="1"/>
      <c r="BB1798" s="1"/>
      <c r="BC1798" s="1"/>
      <c r="BD1798" s="1"/>
      <c r="BE1798" s="1"/>
      <c r="BF1798" s="1"/>
      <c r="BG1798" s="1"/>
      <c r="BH1798" s="1"/>
      <c r="BI1798" s="1"/>
      <c r="BJ1798" s="1"/>
      <c r="BK1798" s="1"/>
    </row>
    <row r="1799" spans="1:63" s="44" customFormat="1" ht="12" customHeight="1" x14ac:dyDescent="0.15">
      <c r="A1799" s="44" t="s">
        <v>20852</v>
      </c>
      <c r="B1799" s="68">
        <v>50</v>
      </c>
      <c r="C1799" s="44" t="s">
        <v>114</v>
      </c>
      <c r="D1799" s="44" t="s">
        <v>942</v>
      </c>
      <c r="E1799" s="44" t="s">
        <v>20904</v>
      </c>
      <c r="F1799" s="69">
        <v>42367</v>
      </c>
      <c r="G1799" s="44" t="s">
        <v>20853</v>
      </c>
      <c r="H1799" s="44" t="s">
        <v>20854</v>
      </c>
      <c r="I1799" s="44" t="s">
        <v>45</v>
      </c>
      <c r="J1799" s="17" t="s">
        <v>21254</v>
      </c>
      <c r="K1799" s="8" t="s">
        <v>1423</v>
      </c>
      <c r="L1799" s="44" t="s">
        <v>20855</v>
      </c>
      <c r="M1799" s="44" t="s">
        <v>27</v>
      </c>
      <c r="N1799" s="44" t="s">
        <v>20881</v>
      </c>
      <c r="P1799" s="16" t="s">
        <v>401</v>
      </c>
      <c r="Q1799" s="44" t="s">
        <v>20882</v>
      </c>
      <c r="R1799" s="68" t="s">
        <v>555</v>
      </c>
      <c r="S1799" s="44" t="s">
        <v>28</v>
      </c>
      <c r="T1799" s="68" t="s">
        <v>29493</v>
      </c>
      <c r="U1799" s="68" t="s">
        <v>29436</v>
      </c>
      <c r="V1799" s="68" t="s">
        <v>29439</v>
      </c>
      <c r="W1799" s="68" t="s">
        <v>100</v>
      </c>
      <c r="X1799" s="68">
        <v>1133</v>
      </c>
      <c r="Y1799" s="1"/>
      <c r="Z1799" s="1"/>
      <c r="AA1799" s="1"/>
      <c r="AB1799" s="1"/>
      <c r="AC1799" s="1"/>
      <c r="AD1799" s="1"/>
      <c r="AE1799" s="1"/>
      <c r="AF1799" s="1"/>
      <c r="AG1799" s="1"/>
      <c r="AH1799" s="1"/>
      <c r="AM1799" s="11"/>
      <c r="AN1799" s="11"/>
      <c r="AO1799" s="11"/>
      <c r="AP1799" s="11"/>
      <c r="AQ1799" s="11"/>
      <c r="AR1799" s="11"/>
      <c r="AS1799" s="11"/>
      <c r="AT1799" s="11"/>
      <c r="AW1799" s="1"/>
      <c r="AX1799" s="1"/>
      <c r="AY1799" s="1"/>
      <c r="BC1799" s="1"/>
      <c r="BD1799" s="1"/>
      <c r="BE1799" s="1"/>
      <c r="BF1799" s="1"/>
      <c r="BG1799" s="1"/>
      <c r="BH1799" s="1"/>
      <c r="BI1799" s="1"/>
      <c r="BJ1799" s="1"/>
    </row>
    <row r="1800" spans="1:63" s="44" customFormat="1" ht="12" customHeight="1" x14ac:dyDescent="0.15">
      <c r="A1800" s="44" t="s">
        <v>20950</v>
      </c>
      <c r="B1800" s="44">
        <v>44</v>
      </c>
      <c r="C1800" s="44" t="s">
        <v>20</v>
      </c>
      <c r="D1800" s="44" t="s">
        <v>37</v>
      </c>
      <c r="E1800" s="44" t="s">
        <v>20960</v>
      </c>
      <c r="F1800" s="72">
        <v>42367</v>
      </c>
      <c r="G1800" s="44" t="s">
        <v>20962</v>
      </c>
      <c r="H1800" s="44" t="s">
        <v>651</v>
      </c>
      <c r="I1800" s="44" t="s">
        <v>62</v>
      </c>
      <c r="J1800" s="17"/>
      <c r="K1800" s="8" t="s">
        <v>652</v>
      </c>
      <c r="L1800" s="11" t="s">
        <v>653</v>
      </c>
      <c r="M1800" s="44" t="s">
        <v>391</v>
      </c>
      <c r="N1800" s="44" t="s">
        <v>20961</v>
      </c>
      <c r="P1800" s="16" t="s">
        <v>401</v>
      </c>
      <c r="Q1800" s="44" t="s">
        <v>20951</v>
      </c>
      <c r="R1800" s="1" t="s">
        <v>29</v>
      </c>
      <c r="S1800" s="44" t="s">
        <v>18</v>
      </c>
      <c r="T1800" s="1"/>
      <c r="U1800" s="1"/>
      <c r="V1800" s="1"/>
      <c r="W1800" s="1"/>
      <c r="X1800" s="1"/>
      <c r="Y1800" s="1"/>
      <c r="Z1800" s="1"/>
      <c r="AA1800" s="1"/>
      <c r="AB1800" s="1"/>
      <c r="AC1800" s="1"/>
      <c r="AD1800" s="1"/>
      <c r="AE1800" s="1"/>
      <c r="AF1800" s="1"/>
      <c r="AG1800" s="1"/>
      <c r="AH1800" s="1"/>
      <c r="AM1800" s="11"/>
      <c r="AN1800" s="11"/>
      <c r="AO1800" s="11"/>
      <c r="AP1800" s="11"/>
      <c r="AQ1800" s="11"/>
      <c r="AR1800" s="11"/>
      <c r="AS1800" s="11"/>
      <c r="AT1800" s="11"/>
      <c r="AU1800" s="1"/>
      <c r="AV1800" s="1"/>
      <c r="AW1800" s="11"/>
      <c r="AX1800" s="1"/>
      <c r="AY1800" s="1"/>
      <c r="AZ1800" s="1"/>
      <c r="BA1800" s="1"/>
      <c r="BB1800" s="1"/>
      <c r="BC1800" s="1"/>
      <c r="BD1800" s="1"/>
      <c r="BE1800" s="1"/>
      <c r="BF1800" s="1"/>
      <c r="BG1800" s="1"/>
      <c r="BH1800" s="1"/>
      <c r="BI1800" s="1"/>
      <c r="BJ1800" s="1"/>
      <c r="BK1800" s="1"/>
    </row>
    <row r="1801" spans="1:63" s="44" customFormat="1" ht="12" customHeight="1" x14ac:dyDescent="0.2">
      <c r="A1801" s="44" t="s">
        <v>20952</v>
      </c>
      <c r="B1801" s="44">
        <v>33</v>
      </c>
      <c r="C1801" s="44" t="s">
        <v>20</v>
      </c>
      <c r="D1801" s="44" t="s">
        <v>21</v>
      </c>
      <c r="F1801" s="69">
        <v>42367</v>
      </c>
      <c r="G1801" s="44" t="s">
        <v>20959</v>
      </c>
      <c r="H1801" s="44" t="s">
        <v>13060</v>
      </c>
      <c r="I1801" s="44" t="s">
        <v>45</v>
      </c>
      <c r="J1801" s="17" t="s">
        <v>13061</v>
      </c>
      <c r="K1801" s="8" t="s">
        <v>98</v>
      </c>
      <c r="L1801" s="44" t="s">
        <v>99</v>
      </c>
      <c r="M1801" s="44" t="s">
        <v>27</v>
      </c>
      <c r="N1801" s="44" t="s">
        <v>20958</v>
      </c>
      <c r="O1801" s="1" t="s">
        <v>400</v>
      </c>
      <c r="P1801" s="16" t="s">
        <v>401</v>
      </c>
      <c r="Q1801" s="44" t="s">
        <v>20953</v>
      </c>
      <c r="R1801" s="1" t="s">
        <v>29</v>
      </c>
      <c r="S1801" s="44" t="s">
        <v>35</v>
      </c>
      <c r="T1801" s="68" t="s">
        <v>29442</v>
      </c>
      <c r="U1801" s="68" t="s">
        <v>29441</v>
      </c>
      <c r="V1801" s="68" t="s">
        <v>29439</v>
      </c>
      <c r="W1801" s="68" t="s">
        <v>100</v>
      </c>
      <c r="X1801" s="68">
        <v>1134</v>
      </c>
      <c r="Y1801" s="1"/>
      <c r="Z1801" s="1"/>
      <c r="AA1801" s="1"/>
      <c r="AB1801" s="1"/>
      <c r="AC1801" s="1"/>
      <c r="AD1801" s="1"/>
      <c r="AE1801" s="1"/>
      <c r="AF1801" s="1"/>
      <c r="AG1801" s="1"/>
      <c r="AH1801" s="1"/>
      <c r="AM1801" s="11"/>
      <c r="AN1801" s="11"/>
      <c r="AO1801" s="11"/>
      <c r="AP1801" s="11"/>
      <c r="AQ1801" s="11"/>
      <c r="AR1801" s="11"/>
      <c r="AS1801" s="11"/>
      <c r="AT1801" s="11"/>
      <c r="AW1801" s="1"/>
      <c r="AX1801" s="70"/>
      <c r="AY1801" s="70"/>
      <c r="BA1801" s="1"/>
      <c r="BB1801" s="1"/>
      <c r="BC1801" s="66"/>
      <c r="BD1801" s="66"/>
      <c r="BE1801" s="66"/>
      <c r="BF1801" s="66"/>
      <c r="BG1801" s="66"/>
      <c r="BH1801" s="66"/>
      <c r="BI1801" s="66"/>
      <c r="BJ1801" s="66"/>
      <c r="BK1801" s="1"/>
    </row>
    <row r="1802" spans="1:63" s="44" customFormat="1" ht="12" customHeight="1" x14ac:dyDescent="0.15">
      <c r="A1802" s="44" t="s">
        <v>20856</v>
      </c>
      <c r="B1802" s="68">
        <v>28</v>
      </c>
      <c r="C1802" s="44" t="s">
        <v>20</v>
      </c>
      <c r="D1802" s="44" t="s">
        <v>37</v>
      </c>
      <c r="E1802" s="44" t="s">
        <v>20936</v>
      </c>
      <c r="F1802" s="69">
        <v>42366</v>
      </c>
      <c r="G1802" s="44" t="s">
        <v>20857</v>
      </c>
      <c r="H1802" s="44" t="s">
        <v>1699</v>
      </c>
      <c r="I1802" s="44" t="s">
        <v>244</v>
      </c>
      <c r="J1802" s="17" t="s">
        <v>21255</v>
      </c>
      <c r="K1802" s="8" t="s">
        <v>21256</v>
      </c>
      <c r="L1802" s="44" t="s">
        <v>20858</v>
      </c>
      <c r="M1802" s="44" t="s">
        <v>27</v>
      </c>
      <c r="N1802" s="44" t="s">
        <v>20884</v>
      </c>
      <c r="P1802" s="16" t="s">
        <v>401</v>
      </c>
      <c r="Q1802" s="44" t="s">
        <v>20883</v>
      </c>
      <c r="R1802" s="1" t="s">
        <v>29</v>
      </c>
      <c r="S1802" s="44" t="s">
        <v>18</v>
      </c>
      <c r="T1802" s="68" t="s">
        <v>29612</v>
      </c>
      <c r="U1802" s="68" t="s">
        <v>29438</v>
      </c>
      <c r="V1802" s="68" t="s">
        <v>29439</v>
      </c>
      <c r="W1802" s="68" t="s">
        <v>555</v>
      </c>
      <c r="X1802" s="68">
        <v>1131</v>
      </c>
      <c r="Y1802" s="1"/>
      <c r="Z1802" s="1"/>
      <c r="AA1802" s="1"/>
      <c r="AB1802" s="1"/>
      <c r="AC1802" s="1"/>
      <c r="AD1802" s="1"/>
      <c r="AE1802" s="1"/>
      <c r="AF1802" s="1"/>
      <c r="AG1802" s="1"/>
      <c r="AH1802" s="1"/>
      <c r="AX1802" s="1"/>
      <c r="AY1802" s="1"/>
      <c r="BA1802" s="1"/>
      <c r="BB1802" s="1"/>
      <c r="BC1802" s="1"/>
      <c r="BD1802" s="1"/>
      <c r="BE1802" s="1"/>
      <c r="BF1802" s="1"/>
      <c r="BG1802" s="1"/>
      <c r="BH1802" s="1"/>
      <c r="BI1802" s="1"/>
      <c r="BJ1802" s="1"/>
      <c r="BK1802" s="1"/>
    </row>
    <row r="1803" spans="1:63" s="44" customFormat="1" ht="12" customHeight="1" x14ac:dyDescent="0.15">
      <c r="A1803" s="66" t="s">
        <v>29588</v>
      </c>
      <c r="B1803" s="66">
        <v>52</v>
      </c>
      <c r="C1803" s="66" t="s">
        <v>20</v>
      </c>
      <c r="D1803" s="66" t="s">
        <v>37</v>
      </c>
      <c r="E1803" s="66"/>
      <c r="F1803" s="67">
        <v>42365</v>
      </c>
      <c r="G1803" s="67"/>
      <c r="H1803" s="66" t="s">
        <v>1288</v>
      </c>
      <c r="I1803" s="66" t="s">
        <v>25</v>
      </c>
      <c r="J1803" s="66"/>
      <c r="K1803" s="66"/>
      <c r="L1803" s="66"/>
      <c r="M1803" s="66" t="s">
        <v>27</v>
      </c>
      <c r="N1803" s="66"/>
      <c r="O1803" s="1" t="s">
        <v>400</v>
      </c>
      <c r="P1803" s="66" t="s">
        <v>401</v>
      </c>
      <c r="Q1803" s="66" t="s">
        <v>30979</v>
      </c>
      <c r="R1803" s="66" t="s">
        <v>100</v>
      </c>
      <c r="S1803" s="66" t="s">
        <v>35</v>
      </c>
      <c r="T1803" s="68" t="s">
        <v>29441</v>
      </c>
      <c r="U1803" s="66" t="s">
        <v>29441</v>
      </c>
      <c r="V1803" s="66" t="s">
        <v>29439</v>
      </c>
      <c r="W1803" s="66" t="s">
        <v>100</v>
      </c>
      <c r="X1803" s="66">
        <v>1143</v>
      </c>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1"/>
      <c r="BD1803" s="1"/>
      <c r="BE1803" s="1"/>
      <c r="BF1803" s="1"/>
      <c r="BG1803" s="1"/>
      <c r="BH1803" s="1"/>
      <c r="BI1803" s="1"/>
      <c r="BJ1803" s="1"/>
      <c r="BK1803" s="1"/>
    </row>
    <row r="1804" spans="1:63" s="44" customFormat="1" ht="12" customHeight="1" x14ac:dyDescent="0.15">
      <c r="A1804" s="44" t="s">
        <v>20862</v>
      </c>
      <c r="B1804" s="68">
        <v>34</v>
      </c>
      <c r="C1804" s="44" t="s">
        <v>20</v>
      </c>
      <c r="D1804" s="44" t="s">
        <v>37</v>
      </c>
      <c r="F1804" s="69">
        <v>42365</v>
      </c>
      <c r="G1804" s="44" t="s">
        <v>20863</v>
      </c>
      <c r="H1804" s="44" t="s">
        <v>3905</v>
      </c>
      <c r="I1804" s="44" t="s">
        <v>123</v>
      </c>
      <c r="J1804" s="17" t="s">
        <v>11141</v>
      </c>
      <c r="K1804" s="8" t="s">
        <v>633</v>
      </c>
      <c r="L1804" s="44" t="s">
        <v>3907</v>
      </c>
      <c r="M1804" s="44" t="s">
        <v>27</v>
      </c>
      <c r="N1804" s="44" t="s">
        <v>20880</v>
      </c>
      <c r="P1804" s="16" t="s">
        <v>401</v>
      </c>
      <c r="Q1804" s="44" t="s">
        <v>20903</v>
      </c>
      <c r="R1804" s="68" t="s">
        <v>555</v>
      </c>
      <c r="S1804" s="44" t="s">
        <v>28</v>
      </c>
      <c r="T1804" s="68" t="s">
        <v>29493</v>
      </c>
      <c r="U1804" s="68" t="s">
        <v>29436</v>
      </c>
      <c r="V1804" s="68" t="s">
        <v>29439</v>
      </c>
      <c r="W1804" s="68" t="s">
        <v>555</v>
      </c>
      <c r="X1804" s="68">
        <v>1132</v>
      </c>
      <c r="Y1804" s="1"/>
      <c r="Z1804" s="1"/>
      <c r="AA1804" s="1"/>
      <c r="AB1804" s="1"/>
      <c r="AC1804" s="1"/>
      <c r="AD1804" s="1"/>
      <c r="AE1804" s="1"/>
      <c r="AF1804" s="1"/>
      <c r="AG1804" s="1"/>
      <c r="AH1804" s="1"/>
      <c r="AW1804" s="11"/>
      <c r="AX1804" s="1"/>
      <c r="AY1804" s="1"/>
      <c r="BC1804" s="1"/>
      <c r="BD1804" s="1"/>
      <c r="BE1804" s="1"/>
      <c r="BF1804" s="1"/>
      <c r="BG1804" s="1"/>
      <c r="BH1804" s="1"/>
      <c r="BI1804" s="1"/>
      <c r="BJ1804" s="1"/>
    </row>
    <row r="1805" spans="1:63" s="44" customFormat="1" ht="12" customHeight="1" x14ac:dyDescent="0.15">
      <c r="A1805" s="44" t="s">
        <v>20859</v>
      </c>
      <c r="B1805" s="68">
        <v>36</v>
      </c>
      <c r="C1805" s="44" t="s">
        <v>20</v>
      </c>
      <c r="D1805" s="44" t="s">
        <v>37</v>
      </c>
      <c r="F1805" s="69">
        <v>42365</v>
      </c>
      <c r="G1805" s="44" t="s">
        <v>20860</v>
      </c>
      <c r="H1805" s="44" t="s">
        <v>3933</v>
      </c>
      <c r="I1805" s="44" t="s">
        <v>669</v>
      </c>
      <c r="J1805" s="17" t="s">
        <v>3934</v>
      </c>
      <c r="K1805" s="8" t="s">
        <v>3935</v>
      </c>
      <c r="L1805" s="44" t="s">
        <v>20861</v>
      </c>
      <c r="M1805" s="44" t="s">
        <v>27</v>
      </c>
      <c r="N1805" s="44" t="s">
        <v>20893</v>
      </c>
      <c r="O1805" s="1" t="s">
        <v>400</v>
      </c>
      <c r="P1805" s="16" t="s">
        <v>401</v>
      </c>
      <c r="Q1805" s="44" t="s">
        <v>20892</v>
      </c>
      <c r="R1805" s="1" t="s">
        <v>29</v>
      </c>
      <c r="S1805" s="44" t="s">
        <v>35</v>
      </c>
      <c r="T1805" s="68" t="s">
        <v>29441</v>
      </c>
      <c r="U1805" s="68" t="s">
        <v>29441</v>
      </c>
      <c r="V1805" s="68" t="s">
        <v>29437</v>
      </c>
      <c r="W1805" s="68" t="s">
        <v>100</v>
      </c>
      <c r="X1805" s="68">
        <v>1128</v>
      </c>
      <c r="Y1805" s="1"/>
      <c r="Z1805" s="1"/>
      <c r="AA1805" s="1"/>
      <c r="AB1805" s="1"/>
      <c r="AC1805" s="1"/>
      <c r="AD1805" s="1"/>
      <c r="AE1805" s="1"/>
      <c r="AF1805" s="1"/>
      <c r="AG1805" s="1"/>
      <c r="AH1805" s="1"/>
      <c r="AX1805" s="1"/>
      <c r="AY1805" s="1"/>
      <c r="BA1805" s="1"/>
      <c r="BB1805" s="1"/>
      <c r="BC1805" s="1"/>
      <c r="BD1805" s="1"/>
      <c r="BE1805" s="1"/>
      <c r="BF1805" s="1"/>
      <c r="BG1805" s="1"/>
      <c r="BH1805" s="1"/>
      <c r="BI1805" s="1"/>
      <c r="BJ1805" s="1"/>
      <c r="BK1805" s="1"/>
    </row>
    <row r="1806" spans="1:63" s="44" customFormat="1" ht="12" customHeight="1" x14ac:dyDescent="0.2">
      <c r="A1806" s="44" t="s">
        <v>20769</v>
      </c>
      <c r="B1806" s="68">
        <v>19</v>
      </c>
      <c r="C1806" s="44" t="s">
        <v>20</v>
      </c>
      <c r="D1806" s="44" t="s">
        <v>85</v>
      </c>
      <c r="E1806" s="44" t="s">
        <v>20773</v>
      </c>
      <c r="F1806" s="69">
        <v>42364</v>
      </c>
      <c r="G1806" s="44" t="s">
        <v>20772</v>
      </c>
      <c r="H1806" s="44" t="s">
        <v>87</v>
      </c>
      <c r="I1806" s="44" t="s">
        <v>44</v>
      </c>
      <c r="J1806" s="17" t="s">
        <v>9923</v>
      </c>
      <c r="K1806" s="8" t="s">
        <v>88</v>
      </c>
      <c r="L1806" s="44" t="s">
        <v>89</v>
      </c>
      <c r="M1806" s="44" t="s">
        <v>27</v>
      </c>
      <c r="N1806" s="44" t="s">
        <v>20770</v>
      </c>
      <c r="P1806" s="16" t="s">
        <v>401</v>
      </c>
      <c r="Q1806" s="44" t="s">
        <v>20771</v>
      </c>
      <c r="R1806" s="68" t="s">
        <v>555</v>
      </c>
      <c r="S1806" s="44" t="s">
        <v>28</v>
      </c>
      <c r="T1806" s="68" t="s">
        <v>29446</v>
      </c>
      <c r="U1806" s="68" t="s">
        <v>29441</v>
      </c>
      <c r="V1806" s="68" t="s">
        <v>29439</v>
      </c>
      <c r="W1806" s="68" t="s">
        <v>100</v>
      </c>
      <c r="X1806" s="68">
        <v>1124</v>
      </c>
      <c r="Y1806" s="1"/>
      <c r="Z1806" s="1"/>
      <c r="AA1806" s="1"/>
      <c r="AB1806" s="1"/>
      <c r="AC1806" s="1"/>
      <c r="AD1806" s="1"/>
      <c r="AE1806" s="1"/>
      <c r="AF1806" s="1"/>
      <c r="AG1806" s="1"/>
      <c r="AH1806" s="1"/>
      <c r="AW1806" s="70"/>
      <c r="AX1806" s="70"/>
      <c r="AY1806" s="70"/>
    </row>
    <row r="1807" spans="1:63" s="44" customFormat="1" ht="12" customHeight="1" x14ac:dyDescent="0.15">
      <c r="A1807" s="44" t="s">
        <v>20864</v>
      </c>
      <c r="B1807" s="68">
        <v>41</v>
      </c>
      <c r="C1807" s="44" t="s">
        <v>20</v>
      </c>
      <c r="D1807" s="44" t="s">
        <v>37</v>
      </c>
      <c r="E1807" s="44" t="s">
        <v>20908</v>
      </c>
      <c r="F1807" s="69">
        <v>42364</v>
      </c>
      <c r="G1807" s="44" t="s">
        <v>20865</v>
      </c>
      <c r="H1807" s="44" t="s">
        <v>632</v>
      </c>
      <c r="I1807" s="44" t="s">
        <v>123</v>
      </c>
      <c r="J1807" s="17" t="s">
        <v>10573</v>
      </c>
      <c r="K1807" s="8" t="s">
        <v>633</v>
      </c>
      <c r="L1807" s="44" t="s">
        <v>634</v>
      </c>
      <c r="M1807" s="44" t="s">
        <v>27</v>
      </c>
      <c r="N1807" s="44" t="s">
        <v>20879</v>
      </c>
      <c r="O1807" s="1" t="s">
        <v>400</v>
      </c>
      <c r="P1807" s="16" t="s">
        <v>401</v>
      </c>
      <c r="Q1807" s="44" t="s">
        <v>20902</v>
      </c>
      <c r="R1807" s="68" t="s">
        <v>555</v>
      </c>
      <c r="S1807" s="11" t="s">
        <v>35</v>
      </c>
      <c r="T1807" s="68" t="s">
        <v>29462</v>
      </c>
      <c r="U1807" s="68" t="s">
        <v>29436</v>
      </c>
      <c r="V1807" s="68" t="s">
        <v>29439</v>
      </c>
      <c r="W1807" s="68" t="s">
        <v>100</v>
      </c>
      <c r="X1807" s="68">
        <v>1121</v>
      </c>
      <c r="Y1807" s="1"/>
      <c r="Z1807" s="1"/>
      <c r="AA1807" s="1"/>
      <c r="AB1807" s="1"/>
      <c r="AC1807" s="1"/>
      <c r="AD1807" s="1"/>
      <c r="AE1807" s="1"/>
      <c r="AF1807" s="1"/>
      <c r="AG1807" s="1"/>
      <c r="AH1807" s="1"/>
      <c r="AW1807" s="1"/>
      <c r="AX1807" s="1"/>
      <c r="AY1807" s="1"/>
      <c r="BC1807" s="1"/>
      <c r="BD1807" s="1"/>
      <c r="BE1807" s="1"/>
      <c r="BF1807" s="1"/>
      <c r="BG1807" s="1"/>
      <c r="BH1807" s="1"/>
      <c r="BI1807" s="1"/>
      <c r="BJ1807" s="1"/>
      <c r="BK1807" s="1"/>
    </row>
    <row r="1808" spans="1:63" s="44" customFormat="1" ht="12" customHeight="1" x14ac:dyDescent="0.15">
      <c r="A1808" s="44" t="s">
        <v>20774</v>
      </c>
      <c r="B1808" s="68">
        <v>55</v>
      </c>
      <c r="C1808" s="44" t="s">
        <v>114</v>
      </c>
      <c r="D1808" s="44" t="s">
        <v>85</v>
      </c>
      <c r="E1808" s="44" t="s">
        <v>20775</v>
      </c>
      <c r="F1808" s="69">
        <v>42364</v>
      </c>
      <c r="G1808" s="44" t="s">
        <v>20772</v>
      </c>
      <c r="H1808" s="44" t="s">
        <v>87</v>
      </c>
      <c r="I1808" s="44" t="s">
        <v>44</v>
      </c>
      <c r="J1808" s="17" t="s">
        <v>9923</v>
      </c>
      <c r="K1808" s="8" t="s">
        <v>88</v>
      </c>
      <c r="L1808" s="44" t="s">
        <v>89</v>
      </c>
      <c r="M1808" s="44" t="s">
        <v>27</v>
      </c>
      <c r="N1808" s="44" t="s">
        <v>20770</v>
      </c>
      <c r="P1808" s="16" t="s">
        <v>401</v>
      </c>
      <c r="Q1808" s="44" t="s">
        <v>20771</v>
      </c>
      <c r="R1808" s="1" t="s">
        <v>29</v>
      </c>
      <c r="S1808" s="44" t="s">
        <v>18</v>
      </c>
      <c r="T1808" s="68" t="s">
        <v>28345</v>
      </c>
      <c r="U1808" s="68" t="s">
        <v>29436</v>
      </c>
      <c r="V1808" s="68"/>
      <c r="W1808" s="68" t="s">
        <v>100</v>
      </c>
      <c r="X1808" s="68">
        <v>1123</v>
      </c>
      <c r="Y1808" s="1"/>
      <c r="Z1808" s="1"/>
      <c r="AA1808" s="1"/>
      <c r="AB1808" s="1"/>
      <c r="AC1808" s="1"/>
      <c r="AD1808" s="1"/>
      <c r="AE1808" s="1"/>
      <c r="AF1808" s="1"/>
      <c r="AG1808" s="1"/>
      <c r="AH1808" s="1"/>
      <c r="AW1808" s="1"/>
      <c r="BA1808" s="1"/>
      <c r="BB1808" s="1"/>
      <c r="BK1808" s="1"/>
    </row>
    <row r="1809" spans="1:63" s="44" customFormat="1" ht="12" customHeight="1" x14ac:dyDescent="0.15">
      <c r="A1809" s="8" t="s">
        <v>21245</v>
      </c>
      <c r="B1809" s="68">
        <v>38</v>
      </c>
      <c r="C1809" s="8" t="s">
        <v>20</v>
      </c>
      <c r="D1809" s="8" t="s">
        <v>48</v>
      </c>
      <c r="E1809" s="14" t="s">
        <v>21246</v>
      </c>
      <c r="F1809" s="69">
        <v>42364</v>
      </c>
      <c r="G1809" s="8" t="s">
        <v>21249</v>
      </c>
      <c r="H1809" s="8" t="s">
        <v>1660</v>
      </c>
      <c r="I1809" s="8" t="s">
        <v>790</v>
      </c>
      <c r="J1809" s="17" t="s">
        <v>1661</v>
      </c>
      <c r="K1809" s="8" t="s">
        <v>1662</v>
      </c>
      <c r="L1809" s="8" t="s">
        <v>21247</v>
      </c>
      <c r="M1809" s="8" t="s">
        <v>27</v>
      </c>
      <c r="N1809" s="8" t="s">
        <v>21248</v>
      </c>
      <c r="P1809" s="16" t="s">
        <v>401</v>
      </c>
      <c r="Q1809" s="44" t="s">
        <v>21250</v>
      </c>
      <c r="R1809" s="1" t="s">
        <v>29</v>
      </c>
      <c r="S1809" s="44" t="s">
        <v>28</v>
      </c>
      <c r="T1809" s="68" t="s">
        <v>27756</v>
      </c>
      <c r="U1809" s="68" t="s">
        <v>29438</v>
      </c>
      <c r="V1809" s="68" t="s">
        <v>29439</v>
      </c>
      <c r="W1809" s="68" t="s">
        <v>555</v>
      </c>
      <c r="X1809" s="68">
        <v>1151</v>
      </c>
      <c r="Y1809" s="1"/>
      <c r="Z1809" s="1"/>
      <c r="AA1809" s="1"/>
      <c r="AB1809" s="1"/>
      <c r="AC1809" s="1"/>
      <c r="AD1809" s="1"/>
      <c r="AE1809" s="1"/>
      <c r="AF1809" s="1"/>
      <c r="AG1809" s="1"/>
      <c r="AH1809" s="1"/>
      <c r="AX1809" s="1"/>
      <c r="AY1809" s="1"/>
      <c r="BA1809" s="1"/>
      <c r="BB1809" s="1"/>
      <c r="BC1809" s="1"/>
      <c r="BD1809" s="1"/>
      <c r="BE1809" s="1"/>
      <c r="BF1809" s="1"/>
      <c r="BG1809" s="1"/>
      <c r="BH1809" s="1"/>
      <c r="BI1809" s="1"/>
      <c r="BJ1809" s="1"/>
    </row>
    <row r="1810" spans="1:63" s="44" customFormat="1" ht="12" customHeight="1" x14ac:dyDescent="0.15">
      <c r="A1810" s="44" t="s">
        <v>20905</v>
      </c>
      <c r="B1810" s="68">
        <v>31</v>
      </c>
      <c r="C1810" s="44" t="s">
        <v>20</v>
      </c>
      <c r="D1810" s="44" t="s">
        <v>37</v>
      </c>
      <c r="F1810" s="69">
        <v>42363</v>
      </c>
      <c r="G1810" s="44" t="s">
        <v>20866</v>
      </c>
      <c r="H1810" s="44" t="s">
        <v>20867</v>
      </c>
      <c r="I1810" s="44" t="s">
        <v>45</v>
      </c>
      <c r="J1810" s="17" t="s">
        <v>21258</v>
      </c>
      <c r="K1810" s="8" t="s">
        <v>607</v>
      </c>
      <c r="L1810" s="44" t="s">
        <v>20868</v>
      </c>
      <c r="M1810" s="44" t="s">
        <v>27</v>
      </c>
      <c r="N1810" s="44" t="s">
        <v>20885</v>
      </c>
      <c r="P1810" s="16" t="s">
        <v>401</v>
      </c>
      <c r="Q1810" s="44" t="s">
        <v>20886</v>
      </c>
      <c r="R1810" s="68" t="s">
        <v>555</v>
      </c>
      <c r="S1810" s="44" t="s">
        <v>28</v>
      </c>
      <c r="T1810" s="68" t="s">
        <v>29493</v>
      </c>
      <c r="U1810" s="68" t="s">
        <v>29438</v>
      </c>
      <c r="V1810" s="68" t="s">
        <v>29439</v>
      </c>
      <c r="W1810" s="68" t="s">
        <v>100</v>
      </c>
      <c r="X1810" s="68">
        <v>1125</v>
      </c>
      <c r="Y1810" s="1"/>
      <c r="Z1810" s="1"/>
      <c r="AA1810" s="1"/>
      <c r="AB1810" s="1"/>
      <c r="AC1810" s="1"/>
      <c r="AD1810" s="1"/>
      <c r="AE1810" s="1"/>
      <c r="AF1810" s="1"/>
      <c r="AG1810" s="1"/>
      <c r="AH1810" s="1"/>
      <c r="AW1810" s="11"/>
      <c r="AX1810" s="1"/>
      <c r="AY1810" s="1"/>
      <c r="BC1810" s="1"/>
      <c r="BD1810" s="1"/>
      <c r="BE1810" s="1"/>
      <c r="BF1810" s="1"/>
      <c r="BG1810" s="1"/>
      <c r="BH1810" s="1"/>
      <c r="BI1810" s="1"/>
      <c r="BJ1810" s="1"/>
    </row>
    <row r="1811" spans="1:63" s="44" customFormat="1" ht="12" customHeight="1" x14ac:dyDescent="0.15">
      <c r="A1811" s="44" t="s">
        <v>11469</v>
      </c>
      <c r="B1811" s="68">
        <v>54</v>
      </c>
      <c r="C1811" s="44" t="s">
        <v>20</v>
      </c>
      <c r="D1811" s="44" t="s">
        <v>30</v>
      </c>
      <c r="F1811" s="69">
        <v>42362</v>
      </c>
      <c r="G1811" s="44" t="s">
        <v>20871</v>
      </c>
      <c r="H1811" s="44" t="s">
        <v>20872</v>
      </c>
      <c r="I1811" s="44" t="s">
        <v>25</v>
      </c>
      <c r="J1811" s="17" t="s">
        <v>21260</v>
      </c>
      <c r="K1811" s="8" t="s">
        <v>3743</v>
      </c>
      <c r="L1811" s="44" t="s">
        <v>190</v>
      </c>
      <c r="M1811" s="44" t="s">
        <v>27</v>
      </c>
      <c r="N1811" s="44" t="s">
        <v>20889</v>
      </c>
      <c r="P1811" s="16" t="s">
        <v>401</v>
      </c>
      <c r="Q1811" s="44" t="s">
        <v>20891</v>
      </c>
      <c r="R1811" s="68" t="s">
        <v>555</v>
      </c>
      <c r="S1811" s="44" t="s">
        <v>28</v>
      </c>
      <c r="T1811" s="68" t="s">
        <v>27756</v>
      </c>
      <c r="U1811" s="68" t="s">
        <v>29438</v>
      </c>
      <c r="V1811" s="68" t="s">
        <v>29439</v>
      </c>
      <c r="W1811" s="68" t="s">
        <v>100</v>
      </c>
      <c r="X1811" s="68">
        <v>1122</v>
      </c>
      <c r="Y1811" s="1"/>
      <c r="Z1811" s="1"/>
      <c r="AA1811" s="1"/>
      <c r="AB1811" s="1"/>
      <c r="AC1811" s="1"/>
      <c r="AD1811" s="1"/>
      <c r="AE1811" s="1"/>
      <c r="AF1811" s="1"/>
      <c r="AG1811" s="1"/>
      <c r="AH1811" s="1"/>
      <c r="AU1811" s="11"/>
      <c r="AV1811" s="11"/>
      <c r="AW1811" s="1"/>
      <c r="AX1811" s="1"/>
      <c r="AY1811" s="1"/>
      <c r="BC1811" s="1"/>
      <c r="BD1811" s="1"/>
      <c r="BE1811" s="1"/>
      <c r="BF1811" s="1"/>
      <c r="BG1811" s="1"/>
      <c r="BH1811" s="1"/>
      <c r="BI1811" s="1"/>
      <c r="BJ1811" s="1"/>
    </row>
    <row r="1812" spans="1:63" s="44" customFormat="1" ht="12" customHeight="1" x14ac:dyDescent="0.15">
      <c r="A1812" s="44" t="s">
        <v>20762</v>
      </c>
      <c r="B1812" s="68">
        <v>24</v>
      </c>
      <c r="C1812" s="44" t="s">
        <v>20</v>
      </c>
      <c r="D1812" s="44" t="s">
        <v>85</v>
      </c>
      <c r="E1812" s="44" t="s">
        <v>20763</v>
      </c>
      <c r="F1812" s="69">
        <v>42362</v>
      </c>
      <c r="G1812" s="44" t="s">
        <v>20768</v>
      </c>
      <c r="H1812" s="44" t="s">
        <v>20764</v>
      </c>
      <c r="I1812" s="44" t="s">
        <v>57</v>
      </c>
      <c r="J1812" s="17" t="s">
        <v>21257</v>
      </c>
      <c r="K1812" s="8" t="s">
        <v>5573</v>
      </c>
      <c r="L1812" s="44" t="s">
        <v>20767</v>
      </c>
      <c r="M1812" s="44" t="s">
        <v>27</v>
      </c>
      <c r="N1812" s="44" t="s">
        <v>20766</v>
      </c>
      <c r="P1812" s="16" t="s">
        <v>401</v>
      </c>
      <c r="Q1812" s="44" t="s">
        <v>20765</v>
      </c>
      <c r="R1812" s="1" t="s">
        <v>29</v>
      </c>
      <c r="S1812" s="44" t="s">
        <v>28</v>
      </c>
      <c r="T1812" s="68" t="s">
        <v>27756</v>
      </c>
      <c r="U1812" s="68" t="s">
        <v>29438</v>
      </c>
      <c r="V1812" s="68" t="s">
        <v>29439</v>
      </c>
      <c r="W1812" s="68" t="s">
        <v>100</v>
      </c>
      <c r="X1812" s="68">
        <v>1126</v>
      </c>
      <c r="Y1812" s="1"/>
      <c r="Z1812" s="1"/>
      <c r="AA1812" s="1"/>
      <c r="AB1812" s="1"/>
      <c r="AC1812" s="1"/>
      <c r="AD1812" s="1"/>
      <c r="AE1812" s="1"/>
      <c r="AF1812" s="1"/>
      <c r="AG1812" s="1"/>
      <c r="AH1812" s="1"/>
      <c r="AW1812" s="11"/>
      <c r="BA1812" s="1"/>
      <c r="BB1812" s="1"/>
    </row>
    <row r="1813" spans="1:63" s="44" customFormat="1" ht="12" customHeight="1" x14ac:dyDescent="0.2">
      <c r="A1813" s="44" t="s">
        <v>20757</v>
      </c>
      <c r="B1813" s="68">
        <v>18</v>
      </c>
      <c r="C1813" s="44" t="s">
        <v>20</v>
      </c>
      <c r="D1813" s="44" t="s">
        <v>85</v>
      </c>
      <c r="E1813" s="44" t="s">
        <v>20758</v>
      </c>
      <c r="F1813" s="69">
        <v>42362</v>
      </c>
      <c r="G1813" s="44" t="s">
        <v>20761</v>
      </c>
      <c r="H1813" s="44" t="s">
        <v>4191</v>
      </c>
      <c r="I1813" s="44" t="s">
        <v>366</v>
      </c>
      <c r="J1813" s="17" t="s">
        <v>21259</v>
      </c>
      <c r="K1813" s="8" t="s">
        <v>4193</v>
      </c>
      <c r="L1813" s="44" t="s">
        <v>4194</v>
      </c>
      <c r="M1813" s="44" t="s">
        <v>27</v>
      </c>
      <c r="N1813" s="44" t="s">
        <v>20760</v>
      </c>
      <c r="P1813" s="16" t="s">
        <v>401</v>
      </c>
      <c r="Q1813" s="44" t="s">
        <v>20759</v>
      </c>
      <c r="R1813" s="1" t="s">
        <v>29</v>
      </c>
      <c r="S1813" s="44" t="s">
        <v>28</v>
      </c>
      <c r="T1813" s="68" t="s">
        <v>27756</v>
      </c>
      <c r="U1813" s="68" t="s">
        <v>29438</v>
      </c>
      <c r="V1813" s="68" t="s">
        <v>29439</v>
      </c>
      <c r="W1813" s="68" t="s">
        <v>100</v>
      </c>
      <c r="X1813" s="68">
        <v>1129</v>
      </c>
      <c r="Y1813" s="1"/>
      <c r="Z1813" s="1"/>
      <c r="AA1813" s="1"/>
      <c r="AB1813" s="1"/>
      <c r="AC1813" s="1"/>
      <c r="AD1813" s="1"/>
      <c r="AE1813" s="1"/>
      <c r="AF1813" s="1"/>
      <c r="AG1813" s="1"/>
      <c r="AH1813" s="1"/>
      <c r="AU1813" s="11"/>
      <c r="AV1813" s="11"/>
      <c r="AW1813" s="70"/>
      <c r="AX1813" s="70"/>
      <c r="AY1813" s="70"/>
      <c r="BA1813" s="1"/>
      <c r="BB1813" s="1"/>
    </row>
    <row r="1814" spans="1:63" s="44" customFormat="1" ht="12" customHeight="1" x14ac:dyDescent="0.15">
      <c r="A1814" s="44" t="s">
        <v>20873</v>
      </c>
      <c r="B1814" s="68">
        <v>23</v>
      </c>
      <c r="C1814" s="44" t="s">
        <v>20</v>
      </c>
      <c r="D1814" s="44" t="s">
        <v>48</v>
      </c>
      <c r="E1814" s="44" t="s">
        <v>20877</v>
      </c>
      <c r="F1814" s="69">
        <v>42362</v>
      </c>
      <c r="G1814" s="44" t="s">
        <v>20874</v>
      </c>
      <c r="H1814" s="44" t="s">
        <v>20875</v>
      </c>
      <c r="I1814" s="44" t="s">
        <v>45</v>
      </c>
      <c r="J1814" s="17" t="s">
        <v>21262</v>
      </c>
      <c r="K1814" s="8" t="s">
        <v>1163</v>
      </c>
      <c r="L1814" s="44" t="s">
        <v>20876</v>
      </c>
      <c r="M1814" s="44" t="s">
        <v>27</v>
      </c>
      <c r="N1814" s="44" t="s">
        <v>20890</v>
      </c>
      <c r="P1814" s="16" t="s">
        <v>401</v>
      </c>
      <c r="Q1814" s="44" t="s">
        <v>20878</v>
      </c>
      <c r="R1814" s="1" t="s">
        <v>29</v>
      </c>
      <c r="S1814" s="44" t="s">
        <v>28</v>
      </c>
      <c r="T1814" s="68" t="s">
        <v>29493</v>
      </c>
      <c r="U1814" s="68" t="s">
        <v>29436</v>
      </c>
      <c r="V1814" s="68" t="s">
        <v>29439</v>
      </c>
      <c r="W1814" s="68" t="s">
        <v>100</v>
      </c>
      <c r="X1814" s="68">
        <v>1127</v>
      </c>
      <c r="Y1814" s="1"/>
      <c r="Z1814" s="1"/>
      <c r="AA1814" s="1"/>
      <c r="AB1814" s="1"/>
      <c r="AC1814" s="1"/>
      <c r="AD1814" s="1"/>
      <c r="AE1814" s="1"/>
      <c r="AF1814" s="1"/>
      <c r="AG1814" s="1"/>
      <c r="AH1814" s="1"/>
      <c r="AU1814" s="11"/>
      <c r="AV1814" s="11"/>
      <c r="AW1814" s="11"/>
      <c r="AX1814" s="1"/>
      <c r="AY1814" s="1"/>
      <c r="BA1814" s="1"/>
      <c r="BB1814" s="1"/>
      <c r="BC1814" s="1"/>
      <c r="BD1814" s="1"/>
      <c r="BE1814" s="1"/>
      <c r="BF1814" s="1"/>
      <c r="BG1814" s="1"/>
      <c r="BH1814" s="1"/>
      <c r="BI1814" s="1"/>
      <c r="BJ1814" s="1"/>
    </row>
    <row r="1815" spans="1:63" s="44" customFormat="1" ht="12" customHeight="1" x14ac:dyDescent="0.15">
      <c r="A1815" s="44" t="s">
        <v>20906</v>
      </c>
      <c r="B1815" s="68">
        <v>36</v>
      </c>
      <c r="C1815" s="44" t="s">
        <v>20</v>
      </c>
      <c r="D1815" s="44" t="s">
        <v>37</v>
      </c>
      <c r="E1815" s="44" t="s">
        <v>20907</v>
      </c>
      <c r="F1815" s="69">
        <v>42362</v>
      </c>
      <c r="G1815" s="44" t="s">
        <v>20869</v>
      </c>
      <c r="H1815" s="44" t="s">
        <v>20870</v>
      </c>
      <c r="I1815" s="44" t="s">
        <v>25</v>
      </c>
      <c r="J1815" s="17" t="s">
        <v>21261</v>
      </c>
      <c r="K1815" s="8" t="s">
        <v>1288</v>
      </c>
      <c r="L1815" s="44" t="s">
        <v>13285</v>
      </c>
      <c r="M1815" s="44" t="s">
        <v>27</v>
      </c>
      <c r="N1815" s="44" t="s">
        <v>20887</v>
      </c>
      <c r="O1815" s="44" t="s">
        <v>400</v>
      </c>
      <c r="P1815" s="16" t="s">
        <v>401</v>
      </c>
      <c r="Q1815" s="44" t="s">
        <v>20888</v>
      </c>
      <c r="R1815" s="1" t="s">
        <v>29</v>
      </c>
      <c r="S1815" s="68" t="s">
        <v>379</v>
      </c>
      <c r="T1815" s="68" t="s">
        <v>379</v>
      </c>
      <c r="U1815" s="68" t="s">
        <v>29436</v>
      </c>
      <c r="V1815" s="68" t="s">
        <v>29437</v>
      </c>
      <c r="W1815" s="68" t="s">
        <v>100</v>
      </c>
      <c r="X1815" s="68">
        <v>1120</v>
      </c>
      <c r="Y1815" s="1"/>
      <c r="Z1815" s="1"/>
      <c r="AA1815" s="1"/>
      <c r="AB1815" s="1"/>
      <c r="AC1815" s="1"/>
      <c r="AD1815" s="1"/>
      <c r="AE1815" s="1"/>
      <c r="AF1815" s="1"/>
      <c r="AG1815" s="1"/>
      <c r="AH1815" s="1"/>
      <c r="AU1815" s="11"/>
      <c r="AV1815" s="11"/>
      <c r="AX1815" s="1"/>
      <c r="AY1815" s="1"/>
      <c r="BA1815" s="1"/>
      <c r="BB1815" s="1"/>
      <c r="BC1815" s="1"/>
      <c r="BD1815" s="1"/>
      <c r="BE1815" s="1"/>
      <c r="BF1815" s="1"/>
      <c r="BG1815" s="1"/>
      <c r="BH1815" s="1"/>
      <c r="BI1815" s="1"/>
      <c r="BJ1815" s="1"/>
    </row>
    <row r="1816" spans="1:63" s="44" customFormat="1" ht="12" customHeight="1" x14ac:dyDescent="0.15">
      <c r="A1816" s="44" t="s">
        <v>20850</v>
      </c>
      <c r="B1816" s="68">
        <v>35</v>
      </c>
      <c r="C1816" s="44" t="s">
        <v>20</v>
      </c>
      <c r="D1816" s="44" t="s">
        <v>85</v>
      </c>
      <c r="E1816" s="44" t="s">
        <v>20702</v>
      </c>
      <c r="F1816" s="69">
        <v>42361</v>
      </c>
      <c r="G1816" s="44" t="s">
        <v>20708</v>
      </c>
      <c r="H1816" s="44" t="s">
        <v>5726</v>
      </c>
      <c r="I1816" s="44" t="s">
        <v>57</v>
      </c>
      <c r="J1816" s="17" t="s">
        <v>19997</v>
      </c>
      <c r="K1816" s="8" t="s">
        <v>1128</v>
      </c>
      <c r="L1816" s="44" t="s">
        <v>5728</v>
      </c>
      <c r="M1816" s="44" t="s">
        <v>27</v>
      </c>
      <c r="N1816" s="44" t="s">
        <v>20706</v>
      </c>
      <c r="P1816" s="16" t="s">
        <v>401</v>
      </c>
      <c r="Q1816" s="44" t="s">
        <v>20707</v>
      </c>
      <c r="R1816" s="44" t="s">
        <v>555</v>
      </c>
      <c r="S1816" s="44" t="s">
        <v>18</v>
      </c>
      <c r="T1816" s="68" t="s">
        <v>28345</v>
      </c>
      <c r="U1816" s="68" t="s">
        <v>29436</v>
      </c>
      <c r="V1816" s="68" t="s">
        <v>29439</v>
      </c>
      <c r="W1816" s="68" t="s">
        <v>100</v>
      </c>
      <c r="X1816" s="68">
        <v>1118</v>
      </c>
      <c r="Y1816" s="1"/>
      <c r="Z1816" s="1"/>
      <c r="AA1816" s="1"/>
      <c r="AB1816" s="1"/>
      <c r="AC1816" s="1"/>
      <c r="AD1816" s="1"/>
      <c r="AE1816" s="1"/>
      <c r="AF1816" s="1"/>
      <c r="AG1816" s="1"/>
      <c r="AH1816" s="1"/>
      <c r="AU1816" s="11"/>
      <c r="AV1816" s="11"/>
      <c r="AW1816" s="11"/>
      <c r="AX1816" s="11"/>
      <c r="AY1816" s="11"/>
      <c r="BA1816" s="11"/>
      <c r="BK1816" s="1"/>
    </row>
    <row r="1817" spans="1:63" s="44" customFormat="1" ht="12" customHeight="1" x14ac:dyDescent="0.2">
      <c r="A1817" s="44" t="s">
        <v>20721</v>
      </c>
      <c r="B1817" s="68">
        <v>19</v>
      </c>
      <c r="C1817" s="44" t="s">
        <v>20</v>
      </c>
      <c r="D1817" s="44" t="s">
        <v>48</v>
      </c>
      <c r="E1817" s="44" t="s">
        <v>20731</v>
      </c>
      <c r="F1817" s="69">
        <v>42360</v>
      </c>
      <c r="G1817" s="44" t="s">
        <v>20726</v>
      </c>
      <c r="H1817" s="44" t="s">
        <v>922</v>
      </c>
      <c r="I1817" s="44" t="s">
        <v>195</v>
      </c>
      <c r="J1817" s="17" t="s">
        <v>21263</v>
      </c>
      <c r="K1817" s="8" t="s">
        <v>467</v>
      </c>
      <c r="L1817" s="44" t="s">
        <v>4961</v>
      </c>
      <c r="M1817" s="44" t="s">
        <v>27</v>
      </c>
      <c r="N1817" s="44" t="s">
        <v>20894</v>
      </c>
      <c r="P1817" s="16" t="s">
        <v>401</v>
      </c>
      <c r="Q1817" s="44" t="s">
        <v>20895</v>
      </c>
      <c r="R1817" s="1" t="s">
        <v>29</v>
      </c>
      <c r="S1817" s="44" t="s">
        <v>28</v>
      </c>
      <c r="T1817" s="68" t="s">
        <v>27756</v>
      </c>
      <c r="U1817" s="68" t="s">
        <v>29441</v>
      </c>
      <c r="V1817" s="68" t="s">
        <v>29440</v>
      </c>
      <c r="W1817" s="68" t="s">
        <v>555</v>
      </c>
      <c r="X1817" s="68">
        <v>1117</v>
      </c>
      <c r="Y1817" s="1"/>
      <c r="Z1817" s="1"/>
      <c r="AA1817" s="1"/>
      <c r="AB1817" s="1"/>
      <c r="AC1817" s="1"/>
      <c r="AD1817" s="1"/>
      <c r="AE1817" s="1"/>
      <c r="AF1817" s="1"/>
      <c r="AG1817" s="1"/>
      <c r="AH1817" s="1"/>
      <c r="AW1817" s="70"/>
      <c r="AX1817" s="1"/>
      <c r="AY1817" s="1"/>
      <c r="BA1817" s="1"/>
      <c r="BB1817" s="1"/>
      <c r="BC1817" s="1"/>
      <c r="BD1817" s="1"/>
      <c r="BE1817" s="1"/>
      <c r="BF1817" s="1"/>
      <c r="BG1817" s="1"/>
      <c r="BH1817" s="1"/>
      <c r="BI1817" s="1"/>
      <c r="BJ1817" s="1"/>
    </row>
    <row r="1818" spans="1:63" s="44" customFormat="1" ht="12" customHeight="1" x14ac:dyDescent="0.15">
      <c r="A1818" s="44" t="s">
        <v>20720</v>
      </c>
      <c r="B1818" s="68">
        <v>61</v>
      </c>
      <c r="C1818" s="44" t="s">
        <v>20</v>
      </c>
      <c r="D1818" s="44" t="s">
        <v>37</v>
      </c>
      <c r="F1818" s="69">
        <v>42360</v>
      </c>
      <c r="G1818" s="44" t="s">
        <v>20724</v>
      </c>
      <c r="H1818" s="44" t="s">
        <v>6723</v>
      </c>
      <c r="I1818" s="44" t="s">
        <v>315</v>
      </c>
      <c r="J1818" s="17" t="s">
        <v>21264</v>
      </c>
      <c r="K1818" s="8" t="s">
        <v>866</v>
      </c>
      <c r="L1818" s="44" t="s">
        <v>20725</v>
      </c>
      <c r="M1818" s="44" t="s">
        <v>27</v>
      </c>
      <c r="N1818" s="44" t="s">
        <v>20896</v>
      </c>
      <c r="P1818" s="16" t="s">
        <v>401</v>
      </c>
      <c r="Q1818" s="44" t="s">
        <v>20897</v>
      </c>
      <c r="R1818" s="1" t="s">
        <v>29</v>
      </c>
      <c r="S1818" s="44" t="s">
        <v>28</v>
      </c>
      <c r="T1818" s="68" t="s">
        <v>27756</v>
      </c>
      <c r="U1818" s="68" t="s">
        <v>29438</v>
      </c>
      <c r="V1818" s="68" t="s">
        <v>29439</v>
      </c>
      <c r="W1818" s="68" t="s">
        <v>555</v>
      </c>
      <c r="X1818" s="68">
        <v>1114</v>
      </c>
      <c r="Y1818" s="1"/>
      <c r="Z1818" s="1"/>
      <c r="AA1818" s="1"/>
      <c r="AB1818" s="1"/>
      <c r="AC1818" s="1"/>
      <c r="AD1818" s="1"/>
      <c r="AE1818" s="1"/>
      <c r="AF1818" s="1"/>
      <c r="AG1818" s="1"/>
      <c r="AH1818" s="1"/>
      <c r="AW1818" s="1"/>
      <c r="AX1818" s="1"/>
      <c r="AY1818" s="1"/>
      <c r="BA1818" s="1"/>
      <c r="BB1818" s="1"/>
      <c r="BC1818" s="1"/>
      <c r="BD1818" s="1"/>
      <c r="BE1818" s="1"/>
      <c r="BF1818" s="1"/>
      <c r="BG1818" s="1"/>
      <c r="BH1818" s="1"/>
      <c r="BI1818" s="1"/>
      <c r="BJ1818" s="1"/>
    </row>
    <row r="1819" spans="1:63" s="44" customFormat="1" ht="12" customHeight="1" x14ac:dyDescent="0.15">
      <c r="A1819" s="44" t="s">
        <v>20722</v>
      </c>
      <c r="B1819" s="68">
        <v>56</v>
      </c>
      <c r="C1819" s="44" t="s">
        <v>20</v>
      </c>
      <c r="D1819" s="44" t="s">
        <v>37</v>
      </c>
      <c r="E1819" s="44" t="s">
        <v>20729</v>
      </c>
      <c r="F1819" s="69">
        <v>42360</v>
      </c>
      <c r="G1819" s="44" t="s">
        <v>20727</v>
      </c>
      <c r="H1819" s="44" t="s">
        <v>5094</v>
      </c>
      <c r="I1819" s="44" t="s">
        <v>10695</v>
      </c>
      <c r="J1819" s="17" t="s">
        <v>21265</v>
      </c>
      <c r="K1819" s="8" t="s">
        <v>13160</v>
      </c>
      <c r="L1819" s="44" t="s">
        <v>20728</v>
      </c>
      <c r="M1819" s="44" t="s">
        <v>27</v>
      </c>
      <c r="N1819" s="44" t="s">
        <v>20898</v>
      </c>
      <c r="P1819" s="16" t="s">
        <v>401</v>
      </c>
      <c r="Q1819" s="44" t="s">
        <v>20899</v>
      </c>
      <c r="R1819" s="1" t="s">
        <v>29</v>
      </c>
      <c r="S1819" s="44" t="s">
        <v>28</v>
      </c>
      <c r="T1819" s="68" t="s">
        <v>27756</v>
      </c>
      <c r="U1819" s="68" t="s">
        <v>29438</v>
      </c>
      <c r="V1819" s="68" t="s">
        <v>29439</v>
      </c>
      <c r="W1819" s="68" t="s">
        <v>555</v>
      </c>
      <c r="X1819" s="68">
        <v>1115</v>
      </c>
      <c r="Y1819" s="1"/>
      <c r="Z1819" s="1"/>
      <c r="AA1819" s="1"/>
      <c r="AB1819" s="1"/>
      <c r="AC1819" s="1"/>
      <c r="AD1819" s="1"/>
      <c r="AE1819" s="1"/>
      <c r="AF1819" s="1"/>
      <c r="AG1819" s="1"/>
      <c r="AH1819" s="1"/>
      <c r="AW1819" s="1"/>
      <c r="AX1819" s="1"/>
      <c r="AY1819" s="1"/>
      <c r="BA1819" s="1"/>
      <c r="BB1819" s="1"/>
      <c r="BC1819" s="1"/>
      <c r="BD1819" s="1"/>
      <c r="BE1819" s="1"/>
      <c r="BF1819" s="1"/>
      <c r="BG1819" s="1"/>
      <c r="BH1819" s="1"/>
      <c r="BI1819" s="1"/>
      <c r="BJ1819" s="1"/>
    </row>
    <row r="1820" spans="1:63" s="44" customFormat="1" ht="12" customHeight="1" x14ac:dyDescent="0.15">
      <c r="A1820" s="44" t="s">
        <v>20719</v>
      </c>
      <c r="B1820" s="68">
        <v>29</v>
      </c>
      <c r="C1820" s="44" t="s">
        <v>20</v>
      </c>
      <c r="D1820" s="44" t="s">
        <v>37</v>
      </c>
      <c r="E1820" s="44" t="s">
        <v>20730</v>
      </c>
      <c r="F1820" s="69">
        <v>42360</v>
      </c>
      <c r="G1820" s="44" t="s">
        <v>20723</v>
      </c>
      <c r="H1820" s="44" t="s">
        <v>10020</v>
      </c>
      <c r="I1820" s="44" t="s">
        <v>62</v>
      </c>
      <c r="J1820" s="17" t="s">
        <v>9731</v>
      </c>
      <c r="K1820" s="8" t="s">
        <v>9732</v>
      </c>
      <c r="L1820" s="44" t="s">
        <v>9733</v>
      </c>
      <c r="M1820" s="44" t="s">
        <v>27</v>
      </c>
      <c r="N1820" s="44" t="s">
        <v>20900</v>
      </c>
      <c r="O1820" s="1" t="s">
        <v>400</v>
      </c>
      <c r="P1820" s="16" t="s">
        <v>401</v>
      </c>
      <c r="Q1820" s="44" t="s">
        <v>20901</v>
      </c>
      <c r="R1820" s="1" t="s">
        <v>29</v>
      </c>
      <c r="S1820" s="11" t="s">
        <v>35</v>
      </c>
      <c r="T1820" s="68" t="s">
        <v>29441</v>
      </c>
      <c r="U1820" s="68" t="s">
        <v>29441</v>
      </c>
      <c r="V1820" s="68" t="s">
        <v>29437</v>
      </c>
      <c r="W1820" s="68" t="s">
        <v>100</v>
      </c>
      <c r="X1820" s="68">
        <v>1116</v>
      </c>
      <c r="Y1820" s="1"/>
      <c r="Z1820" s="1"/>
      <c r="AA1820" s="1"/>
      <c r="AB1820" s="1"/>
      <c r="AC1820" s="1"/>
      <c r="AD1820" s="1"/>
      <c r="AE1820" s="1"/>
      <c r="AF1820" s="1"/>
      <c r="AG1820" s="1"/>
      <c r="AH1820" s="1"/>
      <c r="AU1820" s="11"/>
      <c r="AV1820" s="11"/>
      <c r="AX1820" s="1"/>
      <c r="AY1820" s="1"/>
      <c r="BA1820" s="1"/>
      <c r="BB1820" s="1"/>
      <c r="BC1820" s="1"/>
      <c r="BD1820" s="1"/>
      <c r="BE1820" s="1"/>
      <c r="BF1820" s="1"/>
      <c r="BG1820" s="1"/>
      <c r="BH1820" s="1"/>
      <c r="BI1820" s="1"/>
      <c r="BJ1820" s="1"/>
      <c r="BK1820" s="1"/>
    </row>
    <row r="1821" spans="1:63" s="44" customFormat="1" ht="12" customHeight="1" x14ac:dyDescent="0.15">
      <c r="A1821" s="44" t="s">
        <v>20974</v>
      </c>
      <c r="B1821" s="44">
        <v>32</v>
      </c>
      <c r="C1821" s="44" t="s">
        <v>20</v>
      </c>
      <c r="D1821" s="44" t="s">
        <v>85</v>
      </c>
      <c r="E1821" s="44" t="s">
        <v>20684</v>
      </c>
      <c r="F1821" s="69">
        <v>42359</v>
      </c>
      <c r="G1821" s="44" t="s">
        <v>20607</v>
      </c>
      <c r="H1821" s="44" t="s">
        <v>20608</v>
      </c>
      <c r="I1821" s="44" t="s">
        <v>25</v>
      </c>
      <c r="J1821" s="17" t="s">
        <v>21269</v>
      </c>
      <c r="K1821" s="8" t="s">
        <v>21270</v>
      </c>
      <c r="L1821" s="44" t="s">
        <v>12315</v>
      </c>
      <c r="M1821" s="44" t="s">
        <v>27</v>
      </c>
      <c r="N1821" s="44" t="s">
        <v>31038</v>
      </c>
      <c r="P1821" s="16" t="s">
        <v>401</v>
      </c>
      <c r="Q1821" s="44" t="s">
        <v>20667</v>
      </c>
      <c r="R1821" s="68" t="s">
        <v>555</v>
      </c>
      <c r="S1821" s="13" t="s">
        <v>18</v>
      </c>
      <c r="T1821" s="68" t="s">
        <v>28345</v>
      </c>
      <c r="U1821" s="68" t="s">
        <v>29436</v>
      </c>
      <c r="V1821" s="68" t="s">
        <v>29439</v>
      </c>
      <c r="W1821" s="68" t="s">
        <v>100</v>
      </c>
      <c r="X1821" s="68">
        <v>1110</v>
      </c>
      <c r="Y1821" s="1"/>
      <c r="Z1821" s="1"/>
      <c r="AA1821" s="1"/>
      <c r="AB1821" s="1"/>
      <c r="AC1821" s="1"/>
      <c r="AD1821" s="1"/>
      <c r="AE1821" s="1"/>
      <c r="AF1821" s="1"/>
      <c r="AG1821" s="1"/>
      <c r="AH1821" s="1"/>
      <c r="AW1821" s="1"/>
      <c r="AZ1821" s="11"/>
      <c r="BK1821" s="1"/>
    </row>
    <row r="1822" spans="1:63" s="44" customFormat="1" ht="12" customHeight="1" x14ac:dyDescent="0.15">
      <c r="A1822" s="44" t="s">
        <v>20685</v>
      </c>
      <c r="B1822" s="68">
        <v>21</v>
      </c>
      <c r="C1822" s="44" t="s">
        <v>20</v>
      </c>
      <c r="D1822" s="44" t="s">
        <v>37</v>
      </c>
      <c r="E1822" s="44" t="s">
        <v>20690</v>
      </c>
      <c r="F1822" s="69">
        <v>42359</v>
      </c>
      <c r="G1822" s="44" t="s">
        <v>20686</v>
      </c>
      <c r="H1822" s="44" t="s">
        <v>20687</v>
      </c>
      <c r="I1822" s="44" t="s">
        <v>404</v>
      </c>
      <c r="J1822" s="17" t="s">
        <v>21268</v>
      </c>
      <c r="K1822" s="8" t="s">
        <v>1128</v>
      </c>
      <c r="L1822" s="44" t="s">
        <v>511</v>
      </c>
      <c r="M1822" s="44" t="s">
        <v>27</v>
      </c>
      <c r="N1822" s="44" t="s">
        <v>20688</v>
      </c>
      <c r="P1822" s="16" t="s">
        <v>401</v>
      </c>
      <c r="Q1822" s="44" t="s">
        <v>20689</v>
      </c>
      <c r="R1822" s="68" t="s">
        <v>555</v>
      </c>
      <c r="S1822" s="44" t="s">
        <v>28</v>
      </c>
      <c r="T1822" s="68" t="s">
        <v>27756</v>
      </c>
      <c r="U1822" s="68" t="s">
        <v>29438</v>
      </c>
      <c r="V1822" s="68" t="s">
        <v>29439</v>
      </c>
      <c r="W1822" s="68" t="s">
        <v>100</v>
      </c>
      <c r="X1822" s="68">
        <v>1111</v>
      </c>
      <c r="Y1822" s="1"/>
      <c r="Z1822" s="1"/>
      <c r="AA1822" s="1"/>
      <c r="AB1822" s="1"/>
      <c r="AC1822" s="1"/>
      <c r="AD1822" s="1"/>
      <c r="AE1822" s="1"/>
      <c r="AF1822" s="1"/>
      <c r="AG1822" s="1"/>
      <c r="AH1822" s="1"/>
      <c r="AX1822" s="1"/>
      <c r="AY1822" s="1"/>
      <c r="AZ1822" s="11"/>
      <c r="BC1822" s="1"/>
      <c r="BD1822" s="1"/>
      <c r="BE1822" s="1"/>
      <c r="BF1822" s="1"/>
      <c r="BG1822" s="1"/>
      <c r="BH1822" s="1"/>
      <c r="BI1822" s="1"/>
      <c r="BJ1822" s="1"/>
    </row>
    <row r="1823" spans="1:63" s="44" customFormat="1" ht="12" customHeight="1" x14ac:dyDescent="0.15">
      <c r="A1823" s="44" t="s">
        <v>20733</v>
      </c>
      <c r="B1823" s="68">
        <v>25</v>
      </c>
      <c r="C1823" s="44" t="s">
        <v>20</v>
      </c>
      <c r="D1823" s="44" t="s">
        <v>85</v>
      </c>
      <c r="E1823" s="44" t="s">
        <v>20732</v>
      </c>
      <c r="F1823" s="69">
        <v>42359</v>
      </c>
      <c r="G1823" s="44" t="s">
        <v>20611</v>
      </c>
      <c r="H1823" s="44" t="s">
        <v>1298</v>
      </c>
      <c r="I1823" s="44" t="s">
        <v>209</v>
      </c>
      <c r="J1823" s="17" t="s">
        <v>14075</v>
      </c>
      <c r="K1823" s="8" t="s">
        <v>1298</v>
      </c>
      <c r="L1823" s="44" t="s">
        <v>3826</v>
      </c>
      <c r="M1823" s="44" t="s">
        <v>27</v>
      </c>
      <c r="N1823" s="44" t="s">
        <v>20663</v>
      </c>
      <c r="P1823" s="16" t="s">
        <v>401</v>
      </c>
      <c r="Q1823" s="44" t="s">
        <v>20664</v>
      </c>
      <c r="R1823" s="1" t="s">
        <v>29</v>
      </c>
      <c r="S1823" s="44" t="s">
        <v>28</v>
      </c>
      <c r="T1823" s="68" t="s">
        <v>27756</v>
      </c>
      <c r="U1823" s="68" t="s">
        <v>29438</v>
      </c>
      <c r="V1823" s="68" t="s">
        <v>29439</v>
      </c>
      <c r="W1823" s="68" t="s">
        <v>100</v>
      </c>
      <c r="X1823" s="68">
        <v>1113</v>
      </c>
      <c r="Y1823" s="1"/>
      <c r="Z1823" s="1"/>
      <c r="AA1823" s="1"/>
      <c r="AB1823" s="1"/>
      <c r="AC1823" s="1"/>
      <c r="AD1823" s="1"/>
      <c r="AE1823" s="1"/>
      <c r="AF1823" s="1"/>
      <c r="AG1823" s="1"/>
      <c r="AH1823" s="1"/>
      <c r="AW1823" s="11"/>
      <c r="AZ1823" s="11"/>
      <c r="BA1823" s="1"/>
      <c r="BB1823" s="1"/>
    </row>
    <row r="1824" spans="1:63" s="44" customFormat="1" ht="12" customHeight="1" x14ac:dyDescent="0.15">
      <c r="A1824" s="44" t="s">
        <v>20683</v>
      </c>
      <c r="B1824" s="68">
        <v>48</v>
      </c>
      <c r="C1824" s="44" t="s">
        <v>20</v>
      </c>
      <c r="D1824" s="44" t="s">
        <v>85</v>
      </c>
      <c r="E1824" s="44" t="s">
        <v>20701</v>
      </c>
      <c r="F1824" s="69">
        <v>42359</v>
      </c>
      <c r="G1824" s="44" t="s">
        <v>20609</v>
      </c>
      <c r="H1824" s="44" t="s">
        <v>20610</v>
      </c>
      <c r="I1824" s="44" t="s">
        <v>173</v>
      </c>
      <c r="J1824" s="17" t="s">
        <v>21266</v>
      </c>
      <c r="K1824" s="8" t="s">
        <v>938</v>
      </c>
      <c r="L1824" s="44" t="s">
        <v>1629</v>
      </c>
      <c r="M1824" s="44" t="s">
        <v>27</v>
      </c>
      <c r="N1824" s="44" t="s">
        <v>20665</v>
      </c>
      <c r="P1824" s="16" t="s">
        <v>401</v>
      </c>
      <c r="Q1824" s="44" t="s">
        <v>20666</v>
      </c>
      <c r="R1824" s="1" t="s">
        <v>29</v>
      </c>
      <c r="S1824" s="44" t="s">
        <v>28</v>
      </c>
      <c r="T1824" s="68" t="s">
        <v>27756</v>
      </c>
      <c r="U1824" s="68" t="s">
        <v>29438</v>
      </c>
      <c r="V1824" s="68" t="s">
        <v>29439</v>
      </c>
      <c r="W1824" s="68" t="s">
        <v>100</v>
      </c>
      <c r="X1824" s="68">
        <v>1109</v>
      </c>
      <c r="Y1824" s="1"/>
      <c r="Z1824" s="1"/>
      <c r="AA1824" s="1"/>
      <c r="AB1824" s="1"/>
      <c r="AC1824" s="1"/>
      <c r="AD1824" s="1"/>
      <c r="AE1824" s="1"/>
      <c r="AF1824" s="1"/>
      <c r="AG1824" s="1"/>
      <c r="AH1824" s="1"/>
      <c r="AW1824" s="1"/>
      <c r="AZ1824" s="11"/>
      <c r="BA1824" s="1"/>
      <c r="BB1824" s="1"/>
    </row>
    <row r="1825" spans="1:63" s="44" customFormat="1" ht="12" customHeight="1" x14ac:dyDescent="0.15">
      <c r="A1825" s="44" t="s">
        <v>20692</v>
      </c>
      <c r="B1825" s="68">
        <v>34</v>
      </c>
      <c r="C1825" s="44" t="s">
        <v>20</v>
      </c>
      <c r="D1825" s="44" t="s">
        <v>48</v>
      </c>
      <c r="F1825" s="69">
        <v>42359</v>
      </c>
      <c r="G1825" s="44" t="s">
        <v>20604</v>
      </c>
      <c r="H1825" s="44" t="s">
        <v>782</v>
      </c>
      <c r="I1825" s="44" t="s">
        <v>45</v>
      </c>
      <c r="J1825" s="17" t="s">
        <v>21267</v>
      </c>
      <c r="K1825" s="8" t="s">
        <v>783</v>
      </c>
      <c r="L1825" s="44" t="s">
        <v>20509</v>
      </c>
      <c r="M1825" s="44" t="s">
        <v>27</v>
      </c>
      <c r="N1825" s="44" t="s">
        <v>20661</v>
      </c>
      <c r="P1825" s="16" t="s">
        <v>401</v>
      </c>
      <c r="Q1825" s="44" t="s">
        <v>20662</v>
      </c>
      <c r="R1825" s="1" t="s">
        <v>29</v>
      </c>
      <c r="S1825" s="44" t="s">
        <v>28</v>
      </c>
      <c r="T1825" s="68" t="s">
        <v>27756</v>
      </c>
      <c r="U1825" s="68" t="s">
        <v>29438</v>
      </c>
      <c r="V1825" s="68" t="s">
        <v>29439</v>
      </c>
      <c r="W1825" s="68" t="s">
        <v>100</v>
      </c>
      <c r="X1825" s="68">
        <v>1108</v>
      </c>
      <c r="Y1825" s="1"/>
      <c r="Z1825" s="1"/>
      <c r="AA1825" s="1"/>
      <c r="AB1825" s="1"/>
      <c r="AC1825" s="1"/>
      <c r="AD1825" s="1"/>
      <c r="AE1825" s="1"/>
      <c r="AF1825" s="1"/>
      <c r="AG1825" s="1"/>
      <c r="AH1825" s="1"/>
      <c r="AW1825" s="11"/>
      <c r="AX1825" s="1"/>
      <c r="AY1825" s="1"/>
      <c r="AZ1825" s="11"/>
      <c r="BA1825" s="1"/>
      <c r="BB1825" s="1"/>
      <c r="BC1825" s="1"/>
      <c r="BD1825" s="1"/>
      <c r="BE1825" s="1"/>
      <c r="BF1825" s="1"/>
      <c r="BG1825" s="1"/>
      <c r="BH1825" s="1"/>
      <c r="BI1825" s="1"/>
      <c r="BJ1825" s="1"/>
    </row>
    <row r="1826" spans="1:63" s="44" customFormat="1" ht="12" customHeight="1" x14ac:dyDescent="0.15">
      <c r="A1826" s="44" t="s">
        <v>20714</v>
      </c>
      <c r="B1826" s="68">
        <v>30</v>
      </c>
      <c r="C1826" s="44" t="s">
        <v>20</v>
      </c>
      <c r="D1826" s="44" t="s">
        <v>37</v>
      </c>
      <c r="E1826" s="1" t="s">
        <v>20946</v>
      </c>
      <c r="F1826" s="69">
        <v>42359</v>
      </c>
      <c r="G1826" s="44" t="s">
        <v>20715</v>
      </c>
      <c r="H1826" s="44" t="s">
        <v>20716</v>
      </c>
      <c r="I1826" s="44" t="s">
        <v>45</v>
      </c>
      <c r="J1826" s="17" t="s">
        <v>21272</v>
      </c>
      <c r="K1826" s="8" t="s">
        <v>1331</v>
      </c>
      <c r="L1826" s="44" t="s">
        <v>1332</v>
      </c>
      <c r="M1826" s="44" t="s">
        <v>27</v>
      </c>
      <c r="N1826" s="44" t="s">
        <v>20717</v>
      </c>
      <c r="P1826" s="16" t="s">
        <v>401</v>
      </c>
      <c r="Q1826" s="44" t="s">
        <v>20718</v>
      </c>
      <c r="R1826" s="1" t="s">
        <v>29</v>
      </c>
      <c r="S1826" s="44" t="s">
        <v>28</v>
      </c>
      <c r="T1826" s="68" t="s">
        <v>27756</v>
      </c>
      <c r="U1826" s="68" t="s">
        <v>29438</v>
      </c>
      <c r="V1826" s="68" t="s">
        <v>29439</v>
      </c>
      <c r="W1826" s="68" t="s">
        <v>100</v>
      </c>
      <c r="X1826" s="68">
        <v>1119</v>
      </c>
      <c r="Y1826" s="1"/>
      <c r="Z1826" s="1"/>
      <c r="AA1826" s="1"/>
      <c r="AB1826" s="1"/>
      <c r="AC1826" s="1"/>
      <c r="AD1826" s="1"/>
      <c r="AE1826" s="1"/>
      <c r="AF1826" s="1"/>
      <c r="AG1826" s="1"/>
      <c r="AH1826" s="1"/>
      <c r="AW1826" s="11"/>
      <c r="AX1826" s="1"/>
      <c r="AY1826" s="1"/>
      <c r="AZ1826" s="11"/>
      <c r="BA1826" s="1"/>
      <c r="BB1826" s="1"/>
      <c r="BC1826" s="1"/>
      <c r="BD1826" s="1"/>
      <c r="BE1826" s="1"/>
      <c r="BF1826" s="1"/>
      <c r="BG1826" s="1"/>
      <c r="BH1826" s="1"/>
      <c r="BI1826" s="1"/>
      <c r="BJ1826" s="1"/>
    </row>
    <row r="1827" spans="1:63" s="44" customFormat="1" ht="12" customHeight="1" x14ac:dyDescent="0.15">
      <c r="A1827" s="44" t="s">
        <v>20605</v>
      </c>
      <c r="B1827" s="68">
        <v>39</v>
      </c>
      <c r="C1827" s="44" t="s">
        <v>20</v>
      </c>
      <c r="D1827" s="44" t="s">
        <v>37</v>
      </c>
      <c r="E1827" s="44" t="s">
        <v>20945</v>
      </c>
      <c r="F1827" s="69">
        <v>42359</v>
      </c>
      <c r="G1827" s="44" t="s">
        <v>20606</v>
      </c>
      <c r="H1827" s="44" t="s">
        <v>3889</v>
      </c>
      <c r="I1827" s="44" t="s">
        <v>62</v>
      </c>
      <c r="J1827" s="17" t="s">
        <v>21271</v>
      </c>
      <c r="K1827" s="8" t="s">
        <v>3891</v>
      </c>
      <c r="L1827" s="44" t="s">
        <v>261</v>
      </c>
      <c r="M1827" s="44" t="s">
        <v>27</v>
      </c>
      <c r="N1827" s="44" t="s">
        <v>20659</v>
      </c>
      <c r="P1827" s="16" t="s">
        <v>401</v>
      </c>
      <c r="Q1827" s="44" t="s">
        <v>20660</v>
      </c>
      <c r="R1827" s="1" t="s">
        <v>29</v>
      </c>
      <c r="S1827" s="44" t="s">
        <v>28</v>
      </c>
      <c r="T1827" s="68" t="s">
        <v>27756</v>
      </c>
      <c r="U1827" s="68" t="s">
        <v>29438</v>
      </c>
      <c r="V1827" s="68" t="s">
        <v>29439</v>
      </c>
      <c r="W1827" s="68" t="s">
        <v>100</v>
      </c>
      <c r="X1827" s="68">
        <v>1112</v>
      </c>
      <c r="Y1827" s="1"/>
      <c r="Z1827" s="1"/>
      <c r="AA1827" s="1"/>
      <c r="AB1827" s="1"/>
      <c r="AC1827" s="1"/>
      <c r="AD1827" s="1"/>
      <c r="AE1827" s="1"/>
      <c r="AF1827" s="1"/>
      <c r="AG1827" s="1"/>
      <c r="AH1827" s="1"/>
      <c r="AX1827" s="1"/>
      <c r="AY1827" s="1"/>
      <c r="AZ1827" s="11"/>
      <c r="BA1827" s="1"/>
      <c r="BB1827" s="1"/>
      <c r="BC1827" s="1"/>
      <c r="BD1827" s="1"/>
      <c r="BE1827" s="1"/>
      <c r="BF1827" s="1"/>
      <c r="BG1827" s="1"/>
      <c r="BH1827" s="1"/>
      <c r="BI1827" s="1"/>
      <c r="BJ1827" s="1"/>
    </row>
    <row r="1828" spans="1:63" s="44" customFormat="1" ht="12" customHeight="1" x14ac:dyDescent="0.15">
      <c r="A1828" s="44" t="s">
        <v>20691</v>
      </c>
      <c r="B1828" s="44">
        <v>47</v>
      </c>
      <c r="C1828" s="44" t="s">
        <v>20</v>
      </c>
      <c r="D1828" s="44" t="s">
        <v>48</v>
      </c>
      <c r="F1828" s="72">
        <v>42359</v>
      </c>
      <c r="G1828" s="44" t="s">
        <v>20695</v>
      </c>
      <c r="H1828" s="44" t="s">
        <v>4279</v>
      </c>
      <c r="I1828" s="44" t="s">
        <v>73</v>
      </c>
      <c r="J1828" s="17" t="s">
        <v>4280</v>
      </c>
      <c r="K1828" s="8" t="s">
        <v>4281</v>
      </c>
      <c r="L1828" s="44" t="s">
        <v>4282</v>
      </c>
      <c r="M1828" s="44" t="s">
        <v>391</v>
      </c>
      <c r="N1828" s="44" t="s">
        <v>20693</v>
      </c>
      <c r="P1828" s="16" t="s">
        <v>401</v>
      </c>
      <c r="Q1828" s="44" t="s">
        <v>20694</v>
      </c>
      <c r="R1828" s="1" t="s">
        <v>29</v>
      </c>
      <c r="S1828" s="44" t="s">
        <v>18</v>
      </c>
      <c r="T1828" s="1"/>
      <c r="U1828" s="1"/>
      <c r="V1828" s="1"/>
      <c r="W1828" s="1"/>
      <c r="X1828" s="1"/>
      <c r="Y1828" s="1"/>
      <c r="Z1828" s="1"/>
      <c r="AA1828" s="1"/>
      <c r="AB1828" s="1"/>
      <c r="AC1828" s="1"/>
      <c r="AD1828" s="1"/>
      <c r="AE1828" s="1"/>
      <c r="AF1828" s="1"/>
      <c r="AG1828" s="1"/>
      <c r="AH1828" s="1"/>
      <c r="AU1828" s="1"/>
      <c r="AV1828" s="1"/>
      <c r="AW1828" s="11"/>
      <c r="AX1828" s="1"/>
      <c r="AY1828" s="1"/>
      <c r="AZ1828" s="1"/>
      <c r="BA1828" s="1"/>
      <c r="BB1828" s="1"/>
      <c r="BC1828" s="1"/>
      <c r="BD1828" s="1"/>
      <c r="BE1828" s="1"/>
      <c r="BF1828" s="1"/>
      <c r="BG1828" s="1"/>
      <c r="BH1828" s="1"/>
      <c r="BI1828" s="1"/>
      <c r="BJ1828" s="1"/>
      <c r="BK1828" s="1"/>
    </row>
    <row r="1829" spans="1:63" s="44" customFormat="1" ht="12" customHeight="1" x14ac:dyDescent="0.15">
      <c r="A1829" s="1" t="s">
        <v>22935</v>
      </c>
      <c r="B1829" s="1">
        <v>35</v>
      </c>
      <c r="C1829" s="1" t="s">
        <v>20</v>
      </c>
      <c r="D1829" s="1" t="s">
        <v>85</v>
      </c>
      <c r="E1829" s="1" t="s">
        <v>22947</v>
      </c>
      <c r="F1829" s="72">
        <v>42358</v>
      </c>
      <c r="G1829" s="1" t="s">
        <v>12523</v>
      </c>
      <c r="H1829" s="1" t="s">
        <v>22946</v>
      </c>
      <c r="I1829" s="1" t="s">
        <v>225</v>
      </c>
      <c r="J1829" s="4">
        <v>19963</v>
      </c>
      <c r="K1829" s="1" t="s">
        <v>2534</v>
      </c>
      <c r="L1829" s="1" t="s">
        <v>6039</v>
      </c>
      <c r="M1829" s="1" t="s">
        <v>391</v>
      </c>
      <c r="N1829" s="1" t="s">
        <v>22944</v>
      </c>
      <c r="O1829" s="1" t="s">
        <v>400</v>
      </c>
      <c r="P1829" s="1" t="s">
        <v>401</v>
      </c>
      <c r="Q1829" s="63" t="s">
        <v>22945</v>
      </c>
      <c r="R1829" s="1" t="s">
        <v>100</v>
      </c>
      <c r="S1829" s="44" t="s">
        <v>28</v>
      </c>
      <c r="T1829" s="1"/>
      <c r="U1829" s="1"/>
      <c r="V1829" s="1"/>
      <c r="W1829" s="1"/>
      <c r="X1829" s="1"/>
      <c r="Y1829" s="1"/>
      <c r="Z1829" s="1"/>
      <c r="AA1829" s="1"/>
      <c r="AB1829" s="1"/>
      <c r="AC1829" s="1"/>
      <c r="AD1829" s="1"/>
      <c r="AE1829" s="1"/>
      <c r="AF1829" s="1"/>
      <c r="AG1829" s="1"/>
      <c r="AH1829" s="1"/>
      <c r="AI1829" s="1"/>
      <c r="AJ1829" s="1"/>
      <c r="AK1829" s="1"/>
      <c r="AL1829" s="1"/>
      <c r="AU1829" s="1"/>
      <c r="AV1829" s="1"/>
      <c r="AW1829" s="11"/>
      <c r="AX1829" s="11"/>
      <c r="AY1829" s="11"/>
      <c r="AZ1829" s="1"/>
      <c r="BA1829" s="1"/>
      <c r="BB1829" s="1"/>
      <c r="BK1829" s="1"/>
    </row>
    <row r="1830" spans="1:63" s="44" customFormat="1" ht="12" customHeight="1" x14ac:dyDescent="0.15">
      <c r="A1830" s="44" t="s">
        <v>20614</v>
      </c>
      <c r="B1830" s="68">
        <v>31</v>
      </c>
      <c r="C1830" s="44" t="s">
        <v>20</v>
      </c>
      <c r="D1830" s="44" t="s">
        <v>48</v>
      </c>
      <c r="F1830" s="69">
        <v>42358</v>
      </c>
      <c r="G1830" s="44" t="s">
        <v>20615</v>
      </c>
      <c r="H1830" s="44" t="s">
        <v>127</v>
      </c>
      <c r="I1830" s="44" t="s">
        <v>73</v>
      </c>
      <c r="J1830" s="17" t="s">
        <v>21273</v>
      </c>
      <c r="K1830" s="8" t="s">
        <v>15496</v>
      </c>
      <c r="L1830" s="44" t="s">
        <v>15497</v>
      </c>
      <c r="M1830" s="44" t="s">
        <v>27</v>
      </c>
      <c r="N1830" s="44" t="s">
        <v>20657</v>
      </c>
      <c r="P1830" s="16" t="s">
        <v>401</v>
      </c>
      <c r="Q1830" s="44" t="s">
        <v>20658</v>
      </c>
      <c r="R1830" s="68" t="s">
        <v>555</v>
      </c>
      <c r="S1830" s="44" t="s">
        <v>28</v>
      </c>
      <c r="T1830" s="68" t="s">
        <v>27756</v>
      </c>
      <c r="U1830" s="68" t="s">
        <v>29438</v>
      </c>
      <c r="V1830" s="68" t="s">
        <v>29439</v>
      </c>
      <c r="W1830" s="68" t="s">
        <v>100</v>
      </c>
      <c r="X1830" s="68">
        <v>1107</v>
      </c>
      <c r="Y1830" s="1"/>
      <c r="Z1830" s="1"/>
      <c r="AA1830" s="1"/>
      <c r="AB1830" s="1"/>
      <c r="AC1830" s="1"/>
      <c r="AD1830" s="1"/>
      <c r="AE1830" s="1"/>
      <c r="AF1830" s="1"/>
      <c r="AG1830" s="1"/>
      <c r="AH1830" s="1"/>
      <c r="AW1830" s="11"/>
      <c r="AX1830" s="1"/>
      <c r="AY1830" s="1"/>
      <c r="AZ1830" s="11"/>
      <c r="BC1830" s="1"/>
      <c r="BD1830" s="1"/>
      <c r="BE1830" s="1"/>
      <c r="BF1830" s="1"/>
      <c r="BG1830" s="1"/>
      <c r="BH1830" s="1"/>
      <c r="BI1830" s="1"/>
      <c r="BJ1830" s="1"/>
      <c r="BK1830" s="11"/>
    </row>
    <row r="1831" spans="1:63" s="44" customFormat="1" ht="12" customHeight="1" x14ac:dyDescent="0.15">
      <c r="A1831" s="44" t="s">
        <v>20612</v>
      </c>
      <c r="B1831" s="68">
        <v>30</v>
      </c>
      <c r="C1831" s="44" t="s">
        <v>20</v>
      </c>
      <c r="D1831" s="44" t="s">
        <v>85</v>
      </c>
      <c r="E1831" s="44" t="s">
        <v>20668</v>
      </c>
      <c r="F1831" s="69">
        <v>42358</v>
      </c>
      <c r="G1831" s="44" t="s">
        <v>20613</v>
      </c>
      <c r="H1831" s="44" t="s">
        <v>6234</v>
      </c>
      <c r="I1831" s="44" t="s">
        <v>45</v>
      </c>
      <c r="J1831" s="17" t="s">
        <v>21274</v>
      </c>
      <c r="K1831" s="8" t="s">
        <v>98</v>
      </c>
      <c r="L1831" s="11" t="s">
        <v>414</v>
      </c>
      <c r="M1831" s="44" t="s">
        <v>27</v>
      </c>
      <c r="N1831" s="44" t="s">
        <v>20655</v>
      </c>
      <c r="O1831" s="2" t="s">
        <v>400</v>
      </c>
      <c r="P1831" s="16" t="s">
        <v>401</v>
      </c>
      <c r="Q1831" s="44" t="s">
        <v>20656</v>
      </c>
      <c r="R1831" s="1" t="s">
        <v>29</v>
      </c>
      <c r="S1831" s="2" t="s">
        <v>18</v>
      </c>
      <c r="T1831" s="68" t="s">
        <v>28345</v>
      </c>
      <c r="U1831" s="68" t="s">
        <v>29438</v>
      </c>
      <c r="V1831" s="68" t="s">
        <v>29439</v>
      </c>
      <c r="W1831" s="68" t="s">
        <v>100</v>
      </c>
      <c r="X1831" s="68">
        <v>1106</v>
      </c>
      <c r="Y1831" s="1"/>
      <c r="Z1831" s="1"/>
      <c r="AA1831" s="1"/>
      <c r="AB1831" s="1"/>
      <c r="AC1831" s="1"/>
      <c r="AD1831" s="1"/>
      <c r="AE1831" s="1"/>
      <c r="AF1831" s="1"/>
      <c r="AG1831" s="1"/>
      <c r="AH1831" s="1"/>
      <c r="AW1831" s="11"/>
      <c r="AX1831" s="11"/>
      <c r="AY1831" s="11"/>
      <c r="AZ1831" s="11"/>
      <c r="BA1831" s="1"/>
      <c r="BB1831" s="1"/>
      <c r="BK1831" s="1"/>
    </row>
    <row r="1832" spans="1:63" s="44" customFormat="1" ht="12" customHeight="1" x14ac:dyDescent="0.15">
      <c r="A1832" s="44" t="s">
        <v>20696</v>
      </c>
      <c r="B1832" s="44">
        <v>35</v>
      </c>
      <c r="C1832" s="44" t="s">
        <v>20</v>
      </c>
      <c r="D1832" s="44" t="s">
        <v>37</v>
      </c>
      <c r="E1832" s="44" t="s">
        <v>20697</v>
      </c>
      <c r="F1832" s="72">
        <v>42358</v>
      </c>
      <c r="G1832" s="44" t="s">
        <v>20700</v>
      </c>
      <c r="H1832" s="44" t="s">
        <v>14560</v>
      </c>
      <c r="I1832" s="44" t="s">
        <v>506</v>
      </c>
      <c r="J1832" s="17" t="s">
        <v>21275</v>
      </c>
      <c r="K1832" s="8" t="s">
        <v>4759</v>
      </c>
      <c r="L1832" s="44" t="s">
        <v>16424</v>
      </c>
      <c r="M1832" s="44" t="s">
        <v>379</v>
      </c>
      <c r="N1832" s="44" t="s">
        <v>20699</v>
      </c>
      <c r="P1832" s="16" t="s">
        <v>401</v>
      </c>
      <c r="Q1832" s="44" t="s">
        <v>20698</v>
      </c>
      <c r="R1832" s="1" t="s">
        <v>29</v>
      </c>
      <c r="S1832" s="44" t="s">
        <v>379</v>
      </c>
      <c r="T1832" s="1"/>
      <c r="U1832" s="1"/>
      <c r="V1832" s="1"/>
      <c r="W1832" s="1"/>
      <c r="X1832" s="1"/>
      <c r="Y1832" s="1"/>
      <c r="Z1832" s="1"/>
      <c r="AA1832" s="1"/>
      <c r="AB1832" s="1"/>
      <c r="AC1832" s="1"/>
      <c r="AD1832" s="1"/>
      <c r="AE1832" s="1"/>
      <c r="AF1832" s="1"/>
      <c r="AG1832" s="1"/>
      <c r="AH1832" s="1"/>
      <c r="AX1832" s="1"/>
      <c r="AY1832" s="1"/>
      <c r="AZ1832" s="1"/>
      <c r="BA1832" s="1"/>
      <c r="BB1832" s="1"/>
      <c r="BC1832" s="1"/>
      <c r="BD1832" s="1"/>
      <c r="BE1832" s="1"/>
      <c r="BF1832" s="1"/>
      <c r="BG1832" s="1"/>
      <c r="BH1832" s="1"/>
      <c r="BI1832" s="1"/>
      <c r="BJ1832" s="1"/>
      <c r="BK1832" s="1"/>
    </row>
    <row r="1833" spans="1:63" s="44" customFormat="1" ht="12" customHeight="1" x14ac:dyDescent="0.15">
      <c r="A1833" s="44" t="s">
        <v>20709</v>
      </c>
      <c r="B1833" s="44">
        <v>42</v>
      </c>
      <c r="C1833" s="44" t="s">
        <v>20</v>
      </c>
      <c r="D1833" s="44" t="s">
        <v>85</v>
      </c>
      <c r="E1833" s="44" t="s">
        <v>20713</v>
      </c>
      <c r="F1833" s="72">
        <v>42357</v>
      </c>
      <c r="G1833" s="44" t="s">
        <v>20710</v>
      </c>
      <c r="H1833" s="44" t="s">
        <v>8718</v>
      </c>
      <c r="I1833" s="44" t="s">
        <v>45</v>
      </c>
      <c r="J1833" s="17" t="s">
        <v>14795</v>
      </c>
      <c r="K1833" s="8" t="s">
        <v>602</v>
      </c>
      <c r="L1833" s="44" t="s">
        <v>8720</v>
      </c>
      <c r="M1833" s="1" t="s">
        <v>2291</v>
      </c>
      <c r="N1833" s="44" t="s">
        <v>20711</v>
      </c>
      <c r="P1833" s="16" t="s">
        <v>401</v>
      </c>
      <c r="Q1833" s="44" t="s">
        <v>20712</v>
      </c>
      <c r="R1833" s="44" t="s">
        <v>555</v>
      </c>
      <c r="S1833" s="44" t="s">
        <v>18</v>
      </c>
      <c r="T1833" s="1"/>
      <c r="U1833" s="1"/>
      <c r="V1833" s="1"/>
      <c r="W1833" s="1"/>
      <c r="X1833" s="1"/>
      <c r="Y1833" s="1"/>
      <c r="Z1833" s="1"/>
      <c r="AA1833" s="1"/>
      <c r="AB1833" s="1"/>
      <c r="AC1833" s="1"/>
      <c r="AD1833" s="1"/>
      <c r="AE1833" s="1"/>
      <c r="AF1833" s="1"/>
      <c r="AG1833" s="1"/>
      <c r="AH1833" s="1"/>
      <c r="AU1833" s="1"/>
      <c r="AV1833" s="1"/>
      <c r="AW1833" s="1"/>
      <c r="AX1833" s="11"/>
      <c r="AY1833" s="11"/>
      <c r="AZ1833" s="1"/>
      <c r="BA1833" s="11"/>
      <c r="BB1833" s="11"/>
      <c r="BK1833" s="1"/>
    </row>
    <row r="1834" spans="1:63" s="44" customFormat="1" ht="12" customHeight="1" x14ac:dyDescent="0.15">
      <c r="A1834" s="44" t="s">
        <v>20616</v>
      </c>
      <c r="B1834" s="68">
        <v>26</v>
      </c>
      <c r="C1834" s="44" t="s">
        <v>20</v>
      </c>
      <c r="D1834" s="44" t="s">
        <v>48</v>
      </c>
      <c r="E1834" s="44" t="s">
        <v>20669</v>
      </c>
      <c r="F1834" s="69">
        <v>42357</v>
      </c>
      <c r="G1834" s="44" t="s">
        <v>20617</v>
      </c>
      <c r="H1834" s="44" t="s">
        <v>12137</v>
      </c>
      <c r="I1834" s="44" t="s">
        <v>45</v>
      </c>
      <c r="J1834" s="17" t="s">
        <v>21276</v>
      </c>
      <c r="K1834" s="8" t="s">
        <v>98</v>
      </c>
      <c r="L1834" s="44" t="s">
        <v>99</v>
      </c>
      <c r="M1834" s="44" t="s">
        <v>27</v>
      </c>
      <c r="N1834" s="44" t="s">
        <v>20651</v>
      </c>
      <c r="O1834" s="1" t="s">
        <v>400</v>
      </c>
      <c r="P1834" s="16" t="s">
        <v>401</v>
      </c>
      <c r="Q1834" s="44" t="s">
        <v>20652</v>
      </c>
      <c r="R1834" s="68" t="s">
        <v>555</v>
      </c>
      <c r="S1834" s="11" t="s">
        <v>35</v>
      </c>
      <c r="T1834" s="68" t="s">
        <v>29441</v>
      </c>
      <c r="U1834" s="68" t="s">
        <v>29438</v>
      </c>
      <c r="V1834" s="68" t="s">
        <v>29439</v>
      </c>
      <c r="W1834" s="68" t="s">
        <v>100</v>
      </c>
      <c r="X1834" s="68">
        <v>1105</v>
      </c>
      <c r="Y1834" s="1"/>
      <c r="Z1834" s="1"/>
      <c r="AA1834" s="1"/>
      <c r="AB1834" s="1"/>
      <c r="AC1834" s="1"/>
      <c r="AD1834" s="1"/>
      <c r="AE1834" s="1"/>
      <c r="AF1834" s="1"/>
      <c r="AG1834" s="1"/>
      <c r="AH1834" s="1"/>
      <c r="AX1834" s="1"/>
      <c r="AY1834" s="1"/>
      <c r="BC1834" s="1"/>
      <c r="BD1834" s="1"/>
      <c r="BE1834" s="1"/>
      <c r="BF1834" s="1"/>
      <c r="BG1834" s="1"/>
      <c r="BH1834" s="1"/>
      <c r="BI1834" s="1"/>
      <c r="BJ1834" s="1"/>
      <c r="BK1834" s="1"/>
    </row>
    <row r="1835" spans="1:63" s="44" customFormat="1" ht="12" customHeight="1" x14ac:dyDescent="0.15">
      <c r="A1835" s="44" t="s">
        <v>20676</v>
      </c>
      <c r="B1835" s="68">
        <v>24</v>
      </c>
      <c r="C1835" s="44" t="s">
        <v>20</v>
      </c>
      <c r="D1835" s="44" t="s">
        <v>85</v>
      </c>
      <c r="E1835" s="44" t="s">
        <v>20677</v>
      </c>
      <c r="F1835" s="69">
        <v>42357</v>
      </c>
      <c r="G1835" s="44" t="s">
        <v>20618</v>
      </c>
      <c r="H1835" s="44" t="s">
        <v>6088</v>
      </c>
      <c r="I1835" s="44" t="s">
        <v>244</v>
      </c>
      <c r="J1835" s="17" t="s">
        <v>21277</v>
      </c>
      <c r="K1835" s="8" t="s">
        <v>2246</v>
      </c>
      <c r="L1835" s="44" t="s">
        <v>3318</v>
      </c>
      <c r="M1835" s="44" t="s">
        <v>27</v>
      </c>
      <c r="N1835" s="44" t="s">
        <v>20653</v>
      </c>
      <c r="P1835" s="16" t="s">
        <v>401</v>
      </c>
      <c r="Q1835" s="44" t="s">
        <v>20654</v>
      </c>
      <c r="R1835" s="1" t="s">
        <v>29</v>
      </c>
      <c r="S1835" s="44" t="s">
        <v>28</v>
      </c>
      <c r="T1835" s="68" t="s">
        <v>27756</v>
      </c>
      <c r="U1835" s="68" t="s">
        <v>29438</v>
      </c>
      <c r="V1835" s="68"/>
      <c r="W1835" s="68" t="s">
        <v>100</v>
      </c>
      <c r="X1835" s="68">
        <v>1103</v>
      </c>
      <c r="Y1835" s="1"/>
      <c r="Z1835" s="1"/>
      <c r="AA1835" s="1"/>
      <c r="AB1835" s="1"/>
      <c r="AC1835" s="1"/>
      <c r="AD1835" s="1"/>
      <c r="AE1835" s="1"/>
      <c r="AF1835" s="1"/>
      <c r="AG1835" s="1"/>
      <c r="AH1835" s="1"/>
      <c r="AW1835" s="11"/>
      <c r="AZ1835" s="11"/>
      <c r="BA1835" s="1"/>
      <c r="BB1835" s="1"/>
      <c r="BK1835" s="11"/>
    </row>
    <row r="1836" spans="1:63" s="44" customFormat="1" ht="12" customHeight="1" x14ac:dyDescent="0.15">
      <c r="A1836" s="44" t="s">
        <v>20674</v>
      </c>
      <c r="B1836" s="68">
        <v>58</v>
      </c>
      <c r="C1836" s="44" t="s">
        <v>20</v>
      </c>
      <c r="D1836" s="44" t="s">
        <v>48</v>
      </c>
      <c r="F1836" s="69">
        <v>42356</v>
      </c>
      <c r="G1836" s="44" t="s">
        <v>20627</v>
      </c>
      <c r="H1836" s="44" t="s">
        <v>20628</v>
      </c>
      <c r="I1836" s="44" t="s">
        <v>195</v>
      </c>
      <c r="J1836" s="17" t="s">
        <v>21281</v>
      </c>
      <c r="K1836" s="8" t="s">
        <v>20628</v>
      </c>
      <c r="L1836" s="44" t="s">
        <v>20629</v>
      </c>
      <c r="M1836" s="44" t="s">
        <v>27</v>
      </c>
      <c r="N1836" s="44" t="s">
        <v>20649</v>
      </c>
      <c r="P1836" s="16" t="s">
        <v>401</v>
      </c>
      <c r="Q1836" s="44" t="s">
        <v>20650</v>
      </c>
      <c r="R1836" s="68" t="s">
        <v>555</v>
      </c>
      <c r="S1836" s="11" t="s">
        <v>18</v>
      </c>
      <c r="T1836" s="68" t="s">
        <v>29612</v>
      </c>
      <c r="U1836" s="68" t="s">
        <v>29438</v>
      </c>
      <c r="V1836" s="68" t="s">
        <v>29439</v>
      </c>
      <c r="W1836" s="68" t="s">
        <v>100</v>
      </c>
      <c r="X1836" s="68">
        <v>1102</v>
      </c>
      <c r="Y1836" s="1"/>
      <c r="Z1836" s="1"/>
      <c r="AA1836" s="1"/>
      <c r="AB1836" s="1"/>
      <c r="AC1836" s="1"/>
      <c r="AD1836" s="1"/>
      <c r="AE1836" s="1"/>
      <c r="AF1836" s="1"/>
      <c r="AG1836" s="1"/>
      <c r="AH1836" s="1"/>
      <c r="AW1836" s="1"/>
      <c r="AX1836" s="1"/>
      <c r="AY1836" s="1"/>
      <c r="AZ1836" s="11"/>
      <c r="BC1836" s="1"/>
      <c r="BD1836" s="1"/>
      <c r="BE1836" s="1"/>
      <c r="BF1836" s="1"/>
      <c r="BG1836" s="1"/>
      <c r="BH1836" s="1"/>
      <c r="BI1836" s="1"/>
      <c r="BJ1836" s="1"/>
      <c r="BK1836" s="1"/>
    </row>
    <row r="1837" spans="1:63" s="44" customFormat="1" ht="12" customHeight="1" x14ac:dyDescent="0.15">
      <c r="A1837" s="44" t="s">
        <v>20619</v>
      </c>
      <c r="B1837" s="68">
        <v>22</v>
      </c>
      <c r="C1837" s="44" t="s">
        <v>114</v>
      </c>
      <c r="D1837" s="44" t="s">
        <v>37</v>
      </c>
      <c r="E1837" s="44" t="s">
        <v>20675</v>
      </c>
      <c r="F1837" s="69">
        <v>42356</v>
      </c>
      <c r="G1837" s="44" t="s">
        <v>20620</v>
      </c>
      <c r="H1837" s="44" t="s">
        <v>14069</v>
      </c>
      <c r="I1837" s="44" t="s">
        <v>69</v>
      </c>
      <c r="J1837" s="17" t="s">
        <v>21280</v>
      </c>
      <c r="K1837" s="8" t="s">
        <v>12071</v>
      </c>
      <c r="L1837" s="44" t="s">
        <v>20621</v>
      </c>
      <c r="M1837" s="44" t="s">
        <v>27</v>
      </c>
      <c r="N1837" s="44" t="s">
        <v>20647</v>
      </c>
      <c r="P1837" s="16" t="s">
        <v>401</v>
      </c>
      <c r="Q1837" s="44" t="s">
        <v>20648</v>
      </c>
      <c r="R1837" s="1" t="s">
        <v>29</v>
      </c>
      <c r="S1837" s="44" t="s">
        <v>28</v>
      </c>
      <c r="T1837" s="68" t="s">
        <v>27756</v>
      </c>
      <c r="U1837" s="68" t="s">
        <v>29438</v>
      </c>
      <c r="V1837" s="68" t="s">
        <v>21212</v>
      </c>
      <c r="W1837" s="68" t="s">
        <v>100</v>
      </c>
      <c r="X1837" s="68">
        <v>1100</v>
      </c>
      <c r="Y1837" s="1"/>
      <c r="Z1837" s="1"/>
      <c r="AA1837" s="1"/>
      <c r="AB1837" s="1"/>
      <c r="AC1837" s="1"/>
      <c r="AD1837" s="1"/>
      <c r="AE1837" s="1"/>
      <c r="AF1837" s="1"/>
      <c r="AG1837" s="1"/>
      <c r="AH1837" s="1"/>
      <c r="AX1837" s="1"/>
      <c r="AY1837" s="1"/>
      <c r="AZ1837" s="11"/>
      <c r="BA1837" s="1"/>
      <c r="BB1837" s="1"/>
      <c r="BC1837" s="1"/>
      <c r="BD1837" s="1"/>
      <c r="BE1837" s="1"/>
      <c r="BF1837" s="1"/>
      <c r="BG1837" s="1"/>
      <c r="BH1837" s="1"/>
      <c r="BI1837" s="1"/>
      <c r="BJ1837" s="1"/>
      <c r="BK1837" s="11"/>
    </row>
    <row r="1838" spans="1:63" s="44" customFormat="1" ht="12" customHeight="1" x14ac:dyDescent="0.15">
      <c r="A1838" s="44" t="s">
        <v>20622</v>
      </c>
      <c r="B1838" s="44">
        <v>32</v>
      </c>
      <c r="C1838" s="44" t="s">
        <v>20</v>
      </c>
      <c r="D1838" s="44" t="s">
        <v>37</v>
      </c>
      <c r="E1838" s="44" t="s">
        <v>20670</v>
      </c>
      <c r="F1838" s="72">
        <v>42356</v>
      </c>
      <c r="G1838" s="44" t="s">
        <v>20623</v>
      </c>
      <c r="H1838" s="44" t="s">
        <v>20624</v>
      </c>
      <c r="I1838" s="44" t="s">
        <v>52</v>
      </c>
      <c r="J1838" s="17" t="s">
        <v>21278</v>
      </c>
      <c r="K1838" s="8" t="s">
        <v>3182</v>
      </c>
      <c r="L1838" s="44" t="s">
        <v>2770</v>
      </c>
      <c r="M1838" s="44" t="s">
        <v>27</v>
      </c>
      <c r="N1838" s="44" t="s">
        <v>20637</v>
      </c>
      <c r="P1838" s="16" t="s">
        <v>401</v>
      </c>
      <c r="Q1838" s="44" t="s">
        <v>20638</v>
      </c>
      <c r="R1838" s="1" t="s">
        <v>29</v>
      </c>
      <c r="S1838" s="44" t="s">
        <v>18</v>
      </c>
      <c r="T1838" s="68"/>
      <c r="U1838" s="68"/>
      <c r="V1838" s="68"/>
      <c r="W1838" s="68"/>
      <c r="X1838" s="68"/>
      <c r="Y1838" s="1"/>
      <c r="Z1838" s="1"/>
      <c r="AA1838" s="1"/>
      <c r="AB1838" s="1"/>
      <c r="AC1838" s="1"/>
      <c r="AD1838" s="1"/>
      <c r="AE1838" s="1"/>
      <c r="AF1838" s="1"/>
      <c r="AG1838" s="1"/>
      <c r="AH1838" s="1"/>
      <c r="AW1838" s="1"/>
      <c r="AX1838" s="1"/>
      <c r="AY1838" s="1"/>
      <c r="AZ1838" s="1"/>
      <c r="BA1838" s="1"/>
      <c r="BB1838" s="1"/>
      <c r="BC1838" s="1"/>
      <c r="BD1838" s="1"/>
      <c r="BE1838" s="1"/>
      <c r="BF1838" s="1"/>
      <c r="BG1838" s="1"/>
      <c r="BH1838" s="1"/>
      <c r="BI1838" s="1"/>
      <c r="BJ1838" s="1"/>
      <c r="BK1838" s="1"/>
    </row>
    <row r="1839" spans="1:63" s="44" customFormat="1" ht="12" customHeight="1" x14ac:dyDescent="0.15">
      <c r="A1839" s="44" t="s">
        <v>20625</v>
      </c>
      <c r="B1839" s="68">
        <v>32</v>
      </c>
      <c r="C1839" s="44" t="s">
        <v>20</v>
      </c>
      <c r="D1839" s="44" t="s">
        <v>37</v>
      </c>
      <c r="E1839" s="44" t="s">
        <v>20671</v>
      </c>
      <c r="F1839" s="69">
        <v>42356</v>
      </c>
      <c r="G1839" s="44" t="s">
        <v>20626</v>
      </c>
      <c r="H1839" s="44" t="s">
        <v>387</v>
      </c>
      <c r="I1839" s="44" t="s">
        <v>319</v>
      </c>
      <c r="J1839" s="17" t="s">
        <v>21279</v>
      </c>
      <c r="K1839" s="8" t="s">
        <v>2681</v>
      </c>
      <c r="L1839" s="44" t="s">
        <v>2682</v>
      </c>
      <c r="M1839" s="44" t="s">
        <v>27</v>
      </c>
      <c r="N1839" s="44" t="s">
        <v>20639</v>
      </c>
      <c r="P1839" s="16" t="s">
        <v>401</v>
      </c>
      <c r="Q1839" s="44" t="s">
        <v>20640</v>
      </c>
      <c r="R1839" s="1" t="s">
        <v>29</v>
      </c>
      <c r="S1839" s="44" t="s">
        <v>379</v>
      </c>
      <c r="T1839" s="68" t="s">
        <v>379</v>
      </c>
      <c r="U1839" s="68" t="s">
        <v>29438</v>
      </c>
      <c r="V1839" s="68" t="s">
        <v>29437</v>
      </c>
      <c r="W1839" s="68" t="s">
        <v>100</v>
      </c>
      <c r="X1839" s="68">
        <v>1101</v>
      </c>
      <c r="Y1839" s="1"/>
      <c r="Z1839" s="1"/>
      <c r="AA1839" s="1"/>
      <c r="AB1839" s="1"/>
      <c r="AC1839" s="1"/>
      <c r="AD1839" s="1"/>
      <c r="AE1839" s="1"/>
      <c r="AF1839" s="1"/>
      <c r="AG1839" s="1"/>
      <c r="AH1839" s="1"/>
      <c r="AW1839" s="11"/>
      <c r="AX1839" s="1"/>
      <c r="AY1839" s="1"/>
      <c r="AZ1839" s="11"/>
      <c r="BA1839" s="1"/>
      <c r="BB1839" s="1"/>
      <c r="BC1839" s="1"/>
      <c r="BD1839" s="1"/>
      <c r="BE1839" s="1"/>
      <c r="BF1839" s="1"/>
      <c r="BG1839" s="1"/>
      <c r="BH1839" s="1"/>
      <c r="BI1839" s="1"/>
      <c r="BJ1839" s="1"/>
    </row>
    <row r="1840" spans="1:63" s="44" customFormat="1" ht="12" customHeight="1" x14ac:dyDescent="0.15">
      <c r="A1840" s="44" t="s">
        <v>20630</v>
      </c>
      <c r="B1840" s="68">
        <v>25</v>
      </c>
      <c r="C1840" s="44" t="s">
        <v>20</v>
      </c>
      <c r="D1840" s="44" t="s">
        <v>37</v>
      </c>
      <c r="E1840" s="44" t="s">
        <v>20672</v>
      </c>
      <c r="F1840" s="69">
        <v>42355</v>
      </c>
      <c r="G1840" s="44" t="s">
        <v>20631</v>
      </c>
      <c r="H1840" s="44" t="s">
        <v>2534</v>
      </c>
      <c r="I1840" s="44" t="s">
        <v>69</v>
      </c>
      <c r="J1840" s="17" t="s">
        <v>21282</v>
      </c>
      <c r="K1840" s="8" t="s">
        <v>2340</v>
      </c>
      <c r="L1840" s="44" t="s">
        <v>3467</v>
      </c>
      <c r="M1840" s="44" t="s">
        <v>27</v>
      </c>
      <c r="N1840" s="44" t="s">
        <v>20641</v>
      </c>
      <c r="P1840" s="16" t="s">
        <v>401</v>
      </c>
      <c r="Q1840" s="44" t="s">
        <v>20642</v>
      </c>
      <c r="R1840" s="68" t="s">
        <v>555</v>
      </c>
      <c r="S1840" s="44" t="s">
        <v>28</v>
      </c>
      <c r="T1840" s="68" t="s">
        <v>29459</v>
      </c>
      <c r="U1840" s="68" t="s">
        <v>29436</v>
      </c>
      <c r="V1840" s="68" t="s">
        <v>29439</v>
      </c>
      <c r="W1840" s="68" t="s">
        <v>100</v>
      </c>
      <c r="X1840" s="68">
        <v>1098</v>
      </c>
      <c r="Y1840" s="1"/>
      <c r="Z1840" s="1"/>
      <c r="AA1840" s="1"/>
      <c r="AB1840" s="1"/>
      <c r="AC1840" s="1"/>
      <c r="AD1840" s="1"/>
      <c r="AE1840" s="1"/>
      <c r="AF1840" s="1"/>
      <c r="AG1840" s="1"/>
      <c r="AH1840" s="1"/>
      <c r="AW1840" s="11"/>
      <c r="AX1840" s="1"/>
      <c r="AY1840" s="1"/>
      <c r="BC1840" s="1"/>
      <c r="BD1840" s="1"/>
      <c r="BE1840" s="1"/>
      <c r="BF1840" s="1"/>
      <c r="BG1840" s="1"/>
      <c r="BH1840" s="1"/>
      <c r="BI1840" s="1"/>
      <c r="BJ1840" s="1"/>
      <c r="BK1840" s="11"/>
    </row>
    <row r="1841" spans="1:63" s="44" customFormat="1" ht="12" customHeight="1" x14ac:dyDescent="0.15">
      <c r="A1841" s="44" t="s">
        <v>20632</v>
      </c>
      <c r="B1841" s="68">
        <v>24</v>
      </c>
      <c r="C1841" s="44" t="s">
        <v>20</v>
      </c>
      <c r="D1841" s="44" t="s">
        <v>37</v>
      </c>
      <c r="E1841" s="44" t="s">
        <v>20734</v>
      </c>
      <c r="F1841" s="69">
        <v>42355</v>
      </c>
      <c r="G1841" s="44" t="s">
        <v>20633</v>
      </c>
      <c r="H1841" s="44" t="s">
        <v>10247</v>
      </c>
      <c r="I1841" s="44" t="s">
        <v>45</v>
      </c>
      <c r="J1841" s="17" t="s">
        <v>10248</v>
      </c>
      <c r="K1841" s="8" t="s">
        <v>3204</v>
      </c>
      <c r="L1841" s="44" t="s">
        <v>10249</v>
      </c>
      <c r="M1841" s="44" t="s">
        <v>27</v>
      </c>
      <c r="N1841" s="44" t="s">
        <v>20643</v>
      </c>
      <c r="P1841" s="16" t="s">
        <v>401</v>
      </c>
      <c r="Q1841" s="44" t="s">
        <v>20644</v>
      </c>
      <c r="R1841" s="1" t="s">
        <v>29</v>
      </c>
      <c r="S1841" s="44" t="s">
        <v>28</v>
      </c>
      <c r="T1841" s="68" t="s">
        <v>27756</v>
      </c>
      <c r="U1841" s="68" t="s">
        <v>29438</v>
      </c>
      <c r="V1841" s="68" t="s">
        <v>21212</v>
      </c>
      <c r="W1841" s="68" t="s">
        <v>100</v>
      </c>
      <c r="X1841" s="68">
        <v>1099</v>
      </c>
      <c r="Y1841" s="1"/>
      <c r="Z1841" s="1"/>
      <c r="AA1841" s="1"/>
      <c r="AB1841" s="1"/>
      <c r="AC1841" s="1"/>
      <c r="AD1841" s="1"/>
      <c r="AE1841" s="1"/>
      <c r="AF1841" s="1"/>
      <c r="AG1841" s="1"/>
      <c r="AH1841" s="1"/>
      <c r="AW1841" s="11"/>
      <c r="AX1841" s="1"/>
      <c r="AY1841" s="1"/>
      <c r="BA1841" s="1"/>
      <c r="BB1841" s="1"/>
      <c r="BC1841" s="1"/>
      <c r="BD1841" s="1"/>
      <c r="BE1841" s="1"/>
      <c r="BF1841" s="1"/>
      <c r="BG1841" s="1"/>
      <c r="BH1841" s="1"/>
      <c r="BI1841" s="1"/>
      <c r="BJ1841" s="1"/>
      <c r="BK1841" s="11"/>
    </row>
    <row r="1842" spans="1:63" s="44" customFormat="1" ht="12" customHeight="1" x14ac:dyDescent="0.15">
      <c r="A1842" s="44" t="s">
        <v>20634</v>
      </c>
      <c r="B1842" s="44">
        <v>23</v>
      </c>
      <c r="C1842" s="44" t="s">
        <v>20</v>
      </c>
      <c r="D1842" s="44" t="s">
        <v>37</v>
      </c>
      <c r="E1842" s="44" t="s">
        <v>20673</v>
      </c>
      <c r="F1842" s="69">
        <v>42354</v>
      </c>
      <c r="G1842" s="44" t="s">
        <v>20635</v>
      </c>
      <c r="H1842" s="44" t="s">
        <v>20636</v>
      </c>
      <c r="I1842" s="44" t="s">
        <v>45</v>
      </c>
      <c r="J1842" s="17" t="s">
        <v>21283</v>
      </c>
      <c r="K1842" s="8" t="s">
        <v>3235</v>
      </c>
      <c r="L1842" s="44" t="s">
        <v>14275</v>
      </c>
      <c r="M1842" s="44" t="s">
        <v>27</v>
      </c>
      <c r="N1842" s="44" t="s">
        <v>20645</v>
      </c>
      <c r="P1842" s="16" t="s">
        <v>401</v>
      </c>
      <c r="Q1842" s="44" t="s">
        <v>20646</v>
      </c>
      <c r="R1842" s="68" t="s">
        <v>555</v>
      </c>
      <c r="S1842" s="44" t="s">
        <v>28</v>
      </c>
      <c r="T1842" s="68" t="s">
        <v>29493</v>
      </c>
      <c r="U1842" s="68" t="s">
        <v>29438</v>
      </c>
      <c r="V1842" s="68" t="s">
        <v>29439</v>
      </c>
      <c r="W1842" s="68" t="s">
        <v>100</v>
      </c>
      <c r="X1842" s="68">
        <v>1097</v>
      </c>
      <c r="Y1842" s="1"/>
      <c r="Z1842" s="1"/>
      <c r="AA1842" s="1"/>
      <c r="AB1842" s="1"/>
      <c r="AC1842" s="1"/>
      <c r="AD1842" s="1"/>
      <c r="AE1842" s="1"/>
      <c r="AF1842" s="1"/>
      <c r="AG1842" s="1"/>
      <c r="AH1842" s="1"/>
      <c r="AW1842" s="1"/>
      <c r="AX1842" s="1"/>
      <c r="AY1842" s="1"/>
      <c r="BC1842" s="1"/>
      <c r="BD1842" s="1"/>
      <c r="BE1842" s="1"/>
      <c r="BF1842" s="1"/>
      <c r="BG1842" s="1"/>
      <c r="BH1842" s="1"/>
      <c r="BI1842" s="1"/>
      <c r="BJ1842" s="1"/>
      <c r="BK1842" s="11"/>
    </row>
    <row r="1843" spans="1:63" s="44" customFormat="1" ht="12" customHeight="1" x14ac:dyDescent="0.2">
      <c r="A1843" s="44" t="s">
        <v>20570</v>
      </c>
      <c r="B1843" s="44">
        <v>64</v>
      </c>
      <c r="C1843" s="44" t="s">
        <v>20</v>
      </c>
      <c r="D1843" s="44" t="s">
        <v>21</v>
      </c>
      <c r="E1843" s="44" t="s">
        <v>20571</v>
      </c>
      <c r="F1843" s="72">
        <v>42353</v>
      </c>
      <c r="G1843" s="44" t="s">
        <v>20572</v>
      </c>
      <c r="H1843" s="44" t="s">
        <v>1208</v>
      </c>
      <c r="I1843" s="44" t="s">
        <v>303</v>
      </c>
      <c r="J1843" s="17"/>
      <c r="K1843" s="8" t="s">
        <v>1209</v>
      </c>
      <c r="L1843" s="44" t="s">
        <v>1210</v>
      </c>
      <c r="M1843" s="44" t="s">
        <v>2291</v>
      </c>
      <c r="N1843" s="44" t="s">
        <v>20568</v>
      </c>
      <c r="P1843" s="16" t="s">
        <v>401</v>
      </c>
      <c r="Q1843" s="44" t="s">
        <v>20569</v>
      </c>
      <c r="R1843" s="1" t="s">
        <v>29</v>
      </c>
      <c r="S1843" s="1" t="s">
        <v>18</v>
      </c>
      <c r="T1843" s="1"/>
      <c r="U1843" s="1"/>
      <c r="V1843" s="1"/>
      <c r="W1843" s="1"/>
      <c r="X1843" s="1"/>
      <c r="Y1843" s="1"/>
      <c r="Z1843" s="1"/>
      <c r="AA1843" s="1"/>
      <c r="AB1843" s="1"/>
      <c r="AC1843" s="1"/>
      <c r="AD1843" s="1"/>
      <c r="AE1843" s="1"/>
      <c r="AF1843" s="1"/>
      <c r="AG1843" s="1"/>
      <c r="AH1843" s="1"/>
      <c r="AU1843" s="1"/>
      <c r="AV1843" s="1"/>
      <c r="AW1843" s="1"/>
      <c r="AX1843" s="70"/>
      <c r="AY1843" s="70"/>
      <c r="AZ1843" s="1"/>
      <c r="BA1843" s="1"/>
      <c r="BB1843" s="1"/>
      <c r="BC1843" s="66"/>
      <c r="BD1843" s="66"/>
      <c r="BE1843" s="66"/>
      <c r="BF1843" s="66"/>
      <c r="BG1843" s="66"/>
      <c r="BH1843" s="66"/>
      <c r="BI1843" s="66"/>
      <c r="BJ1843" s="66"/>
      <c r="BK1843" s="1"/>
    </row>
    <row r="1844" spans="1:63" s="44" customFormat="1" ht="12" customHeight="1" x14ac:dyDescent="0.15">
      <c r="A1844" s="44" t="s">
        <v>20564</v>
      </c>
      <c r="B1844" s="68">
        <v>51</v>
      </c>
      <c r="C1844" s="44" t="s">
        <v>20</v>
      </c>
      <c r="D1844" s="44" t="s">
        <v>85</v>
      </c>
      <c r="E1844" s="44" t="s">
        <v>20563</v>
      </c>
      <c r="F1844" s="69">
        <v>42353</v>
      </c>
      <c r="G1844" s="44" t="s">
        <v>20567</v>
      </c>
      <c r="H1844" s="44" t="s">
        <v>285</v>
      </c>
      <c r="I1844" s="44" t="s">
        <v>366</v>
      </c>
      <c r="J1844" s="17">
        <v>28607</v>
      </c>
      <c r="K1844" s="8" t="s">
        <v>835</v>
      </c>
      <c r="L1844" s="44" t="s">
        <v>22960</v>
      </c>
      <c r="M1844" s="44" t="s">
        <v>27</v>
      </c>
      <c r="N1844" s="44" t="s">
        <v>20566</v>
      </c>
      <c r="P1844" s="16" t="s">
        <v>401</v>
      </c>
      <c r="Q1844" s="44" t="s">
        <v>20565</v>
      </c>
      <c r="R1844" s="1" t="s">
        <v>29</v>
      </c>
      <c r="S1844" s="1" t="s">
        <v>379</v>
      </c>
      <c r="T1844" s="68" t="s">
        <v>379</v>
      </c>
      <c r="U1844" s="68" t="s">
        <v>29438</v>
      </c>
      <c r="V1844" s="68" t="s">
        <v>29437</v>
      </c>
      <c r="W1844" s="68" t="s">
        <v>100</v>
      </c>
      <c r="X1844" s="68">
        <v>1096</v>
      </c>
      <c r="Y1844" s="1"/>
      <c r="Z1844" s="1"/>
      <c r="AA1844" s="1"/>
      <c r="AB1844" s="1"/>
      <c r="AC1844" s="1"/>
      <c r="AD1844" s="1"/>
      <c r="AE1844" s="1"/>
      <c r="AF1844" s="1"/>
      <c r="AG1844" s="1"/>
      <c r="AH1844" s="1"/>
      <c r="AW1844" s="1"/>
      <c r="BA1844" s="1"/>
      <c r="BB1844" s="1"/>
    </row>
    <row r="1845" spans="1:63" s="44" customFormat="1" ht="12" customHeight="1" x14ac:dyDescent="0.15">
      <c r="A1845" s="44" t="s">
        <v>20503</v>
      </c>
      <c r="B1845" s="68">
        <v>48</v>
      </c>
      <c r="C1845" s="44" t="s">
        <v>114</v>
      </c>
      <c r="D1845" s="44" t="s">
        <v>37</v>
      </c>
      <c r="E1845" s="44" t="s">
        <v>20735</v>
      </c>
      <c r="F1845" s="69">
        <v>42352</v>
      </c>
      <c r="G1845" s="44" t="s">
        <v>20496</v>
      </c>
      <c r="H1845" s="44" t="s">
        <v>655</v>
      </c>
      <c r="I1845" s="44" t="s">
        <v>269</v>
      </c>
      <c r="J1845" s="17" t="s">
        <v>4050</v>
      </c>
      <c r="K1845" s="8" t="s">
        <v>570</v>
      </c>
      <c r="L1845" s="44" t="s">
        <v>571</v>
      </c>
      <c r="M1845" s="44" t="s">
        <v>27</v>
      </c>
      <c r="N1845" s="44" t="s">
        <v>20497</v>
      </c>
      <c r="P1845" s="16" t="s">
        <v>401</v>
      </c>
      <c r="Q1845" s="44" t="s">
        <v>20498</v>
      </c>
      <c r="R1845" s="44" t="s">
        <v>555</v>
      </c>
      <c r="S1845" s="1" t="s">
        <v>28</v>
      </c>
      <c r="T1845" s="68" t="s">
        <v>27756</v>
      </c>
      <c r="U1845" s="68" t="s">
        <v>29438</v>
      </c>
      <c r="V1845" s="68" t="s">
        <v>29439</v>
      </c>
      <c r="W1845" s="68" t="s">
        <v>100</v>
      </c>
      <c r="X1845" s="68">
        <v>1091</v>
      </c>
      <c r="Y1845" s="1"/>
      <c r="Z1845" s="1"/>
      <c r="AA1845" s="1"/>
      <c r="AB1845" s="1"/>
      <c r="AC1845" s="1"/>
      <c r="AD1845" s="1"/>
      <c r="AE1845" s="1"/>
      <c r="AF1845" s="1"/>
      <c r="AG1845" s="1"/>
      <c r="AH1845" s="1"/>
      <c r="AW1845" s="1"/>
      <c r="AX1845" s="1"/>
      <c r="AY1845" s="1"/>
      <c r="BA1845" s="11"/>
      <c r="BC1845" s="1"/>
      <c r="BD1845" s="1"/>
      <c r="BE1845" s="1"/>
      <c r="BF1845" s="1"/>
      <c r="BG1845" s="1"/>
      <c r="BH1845" s="1"/>
      <c r="BI1845" s="1"/>
      <c r="BJ1845" s="1"/>
      <c r="BK1845" s="11"/>
    </row>
    <row r="1846" spans="1:63" s="44" customFormat="1" ht="12" customHeight="1" x14ac:dyDescent="0.2">
      <c r="A1846" s="44" t="s">
        <v>20548</v>
      </c>
      <c r="B1846" s="68">
        <v>52</v>
      </c>
      <c r="C1846" s="44" t="s">
        <v>20</v>
      </c>
      <c r="D1846" s="44" t="s">
        <v>37</v>
      </c>
      <c r="E1846" s="44" t="s">
        <v>20736</v>
      </c>
      <c r="F1846" s="69">
        <v>42352</v>
      </c>
      <c r="G1846" s="44" t="s">
        <v>20551</v>
      </c>
      <c r="H1846" s="44" t="s">
        <v>20552</v>
      </c>
      <c r="I1846" s="44" t="s">
        <v>52</v>
      </c>
      <c r="J1846" s="17" t="s">
        <v>21284</v>
      </c>
      <c r="K1846" s="8" t="s">
        <v>1592</v>
      </c>
      <c r="L1846" s="44" t="s">
        <v>231</v>
      </c>
      <c r="M1846" s="68" t="s">
        <v>5411</v>
      </c>
      <c r="N1846" s="44" t="s">
        <v>21080</v>
      </c>
      <c r="P1846" s="16" t="s">
        <v>401</v>
      </c>
      <c r="Q1846" s="44" t="s">
        <v>20554</v>
      </c>
      <c r="R1846" s="68" t="s">
        <v>555</v>
      </c>
      <c r="S1846" s="1" t="s">
        <v>28</v>
      </c>
      <c r="T1846" s="68" t="s">
        <v>29493</v>
      </c>
      <c r="U1846" s="68" t="s">
        <v>29436</v>
      </c>
      <c r="V1846" s="68" t="s">
        <v>29439</v>
      </c>
      <c r="W1846" s="68" t="s">
        <v>100</v>
      </c>
      <c r="X1846" s="68">
        <v>1088</v>
      </c>
      <c r="Y1846" s="1"/>
      <c r="Z1846" s="1"/>
      <c r="AA1846" s="1"/>
      <c r="AB1846" s="1"/>
      <c r="AC1846" s="1"/>
      <c r="AD1846" s="1"/>
      <c r="AE1846" s="1"/>
      <c r="AF1846" s="1"/>
      <c r="AG1846" s="1"/>
      <c r="AH1846" s="1"/>
      <c r="AW1846" s="1"/>
      <c r="AX1846" s="1"/>
      <c r="AY1846" s="1"/>
      <c r="AZ1846" s="11"/>
      <c r="BB1846" s="70"/>
      <c r="BC1846" s="1"/>
      <c r="BD1846" s="1"/>
      <c r="BE1846" s="1"/>
      <c r="BF1846" s="1"/>
      <c r="BG1846" s="1"/>
      <c r="BH1846" s="1"/>
      <c r="BI1846" s="1"/>
      <c r="BJ1846" s="1"/>
      <c r="BK1846" s="1"/>
    </row>
    <row r="1847" spans="1:63" s="44" customFormat="1" ht="12" customHeight="1" x14ac:dyDescent="0.2">
      <c r="A1847" s="44" t="s">
        <v>20738</v>
      </c>
      <c r="B1847" s="68">
        <v>39</v>
      </c>
      <c r="C1847" s="44" t="s">
        <v>20</v>
      </c>
      <c r="D1847" s="44" t="s">
        <v>21</v>
      </c>
      <c r="E1847" s="44" t="s">
        <v>20737</v>
      </c>
      <c r="F1847" s="69">
        <v>42352</v>
      </c>
      <c r="G1847" s="44" t="s">
        <v>20490</v>
      </c>
      <c r="H1847" s="44" t="s">
        <v>489</v>
      </c>
      <c r="I1847" s="44" t="s">
        <v>45</v>
      </c>
      <c r="J1847" s="17" t="s">
        <v>5886</v>
      </c>
      <c r="K1847" s="8" t="s">
        <v>98</v>
      </c>
      <c r="L1847" s="44" t="s">
        <v>490</v>
      </c>
      <c r="M1847" s="44" t="s">
        <v>27</v>
      </c>
      <c r="N1847" s="44" t="s">
        <v>20491</v>
      </c>
      <c r="P1847" s="16" t="s">
        <v>401</v>
      </c>
      <c r="Q1847" s="44" t="s">
        <v>20492</v>
      </c>
      <c r="R1847" s="1" t="s">
        <v>29</v>
      </c>
      <c r="S1847" s="1" t="s">
        <v>28</v>
      </c>
      <c r="T1847" s="68" t="s">
        <v>29493</v>
      </c>
      <c r="U1847" s="68" t="s">
        <v>29436</v>
      </c>
      <c r="V1847" s="68" t="s">
        <v>29439</v>
      </c>
      <c r="W1847" s="68" t="s">
        <v>100</v>
      </c>
      <c r="X1847" s="68">
        <v>1092</v>
      </c>
      <c r="Y1847" s="1"/>
      <c r="Z1847" s="1"/>
      <c r="AA1847" s="1"/>
      <c r="AB1847" s="1"/>
      <c r="AC1847" s="1"/>
      <c r="AD1847" s="1"/>
      <c r="AE1847" s="1"/>
      <c r="AF1847" s="1"/>
      <c r="AG1847" s="1"/>
      <c r="AH1847" s="1"/>
      <c r="AX1847" s="70"/>
      <c r="AY1847" s="70"/>
      <c r="BA1847" s="1"/>
      <c r="BB1847" s="1"/>
      <c r="BC1847" s="66"/>
      <c r="BD1847" s="66"/>
      <c r="BE1847" s="66"/>
      <c r="BF1847" s="66"/>
      <c r="BG1847" s="66"/>
      <c r="BH1847" s="66"/>
      <c r="BI1847" s="66"/>
      <c r="BJ1847" s="66"/>
      <c r="BK1847" s="11"/>
    </row>
    <row r="1848" spans="1:63" s="44" customFormat="1" ht="12" customHeight="1" x14ac:dyDescent="0.15">
      <c r="A1848" s="44" t="s">
        <v>20500</v>
      </c>
      <c r="B1848" s="68">
        <v>33</v>
      </c>
      <c r="C1848" s="44" t="s">
        <v>20</v>
      </c>
      <c r="D1848" s="44" t="s">
        <v>85</v>
      </c>
      <c r="F1848" s="69">
        <v>42352</v>
      </c>
      <c r="G1848" s="44" t="s">
        <v>20463</v>
      </c>
      <c r="H1848" s="44" t="s">
        <v>1039</v>
      </c>
      <c r="I1848" s="44" t="s">
        <v>25</v>
      </c>
      <c r="J1848" s="17" t="s">
        <v>21294</v>
      </c>
      <c r="K1848" s="8" t="s">
        <v>21295</v>
      </c>
      <c r="L1848" s="44" t="s">
        <v>1041</v>
      </c>
      <c r="M1848" s="44" t="s">
        <v>27</v>
      </c>
      <c r="N1848" s="44" t="s">
        <v>21081</v>
      </c>
      <c r="P1848" s="16" t="s">
        <v>401</v>
      </c>
      <c r="Q1848" s="44" t="s">
        <v>20464</v>
      </c>
      <c r="R1848" s="1" t="s">
        <v>29</v>
      </c>
      <c r="S1848" s="1" t="s">
        <v>28</v>
      </c>
      <c r="T1848" s="68" t="s">
        <v>27756</v>
      </c>
      <c r="U1848" s="68" t="s">
        <v>29438</v>
      </c>
      <c r="V1848" s="68" t="s">
        <v>29439</v>
      </c>
      <c r="W1848" s="68" t="s">
        <v>555</v>
      </c>
      <c r="X1848" s="68">
        <v>1085</v>
      </c>
      <c r="Y1848" s="1"/>
      <c r="Z1848" s="1"/>
      <c r="AA1848" s="1"/>
      <c r="AB1848" s="1"/>
      <c r="AC1848" s="1"/>
      <c r="AD1848" s="1"/>
      <c r="AE1848" s="1"/>
      <c r="AF1848" s="1"/>
      <c r="AG1848" s="1"/>
      <c r="AH1848" s="1"/>
      <c r="AW1848" s="11"/>
      <c r="AX1848" s="11"/>
      <c r="AY1848" s="11"/>
      <c r="BA1848" s="1"/>
      <c r="BB1848" s="1"/>
      <c r="BK1848" s="11"/>
    </row>
    <row r="1849" spans="1:63" s="44" customFormat="1" ht="12" customHeight="1" x14ac:dyDescent="0.15">
      <c r="A1849" s="44" t="s">
        <v>20502</v>
      </c>
      <c r="B1849" s="68">
        <v>45</v>
      </c>
      <c r="C1849" s="44" t="s">
        <v>20</v>
      </c>
      <c r="D1849" s="44" t="s">
        <v>48</v>
      </c>
      <c r="E1849" s="44" t="s">
        <v>20501</v>
      </c>
      <c r="F1849" s="69">
        <v>42352</v>
      </c>
      <c r="G1849" s="44" t="s">
        <v>20493</v>
      </c>
      <c r="H1849" s="44" t="s">
        <v>655</v>
      </c>
      <c r="I1849" s="44" t="s">
        <v>269</v>
      </c>
      <c r="J1849" s="17" t="s">
        <v>4050</v>
      </c>
      <c r="K1849" s="8" t="s">
        <v>570</v>
      </c>
      <c r="L1849" s="44" t="s">
        <v>571</v>
      </c>
      <c r="M1849" s="44" t="s">
        <v>27</v>
      </c>
      <c r="N1849" s="44" t="s">
        <v>20494</v>
      </c>
      <c r="P1849" s="16" t="s">
        <v>401</v>
      </c>
      <c r="Q1849" s="44" t="s">
        <v>20495</v>
      </c>
      <c r="R1849" s="1" t="s">
        <v>29</v>
      </c>
      <c r="S1849" s="1" t="s">
        <v>28</v>
      </c>
      <c r="T1849" s="68" t="s">
        <v>27756</v>
      </c>
      <c r="U1849" s="68" t="s">
        <v>29438</v>
      </c>
      <c r="V1849" s="68" t="s">
        <v>29439</v>
      </c>
      <c r="W1849" s="68" t="s">
        <v>100</v>
      </c>
      <c r="X1849" s="68">
        <v>1094</v>
      </c>
      <c r="Y1849" s="1"/>
      <c r="Z1849" s="1"/>
      <c r="AA1849" s="1"/>
      <c r="AB1849" s="1"/>
      <c r="AC1849" s="1"/>
      <c r="AD1849" s="1"/>
      <c r="AE1849" s="1"/>
      <c r="AF1849" s="1"/>
      <c r="AG1849" s="1"/>
      <c r="AH1849" s="1"/>
      <c r="AW1849" s="1"/>
      <c r="AX1849" s="1"/>
      <c r="AY1849" s="1"/>
      <c r="BA1849" s="1"/>
      <c r="BB1849" s="1"/>
      <c r="BC1849" s="1"/>
      <c r="BD1849" s="1"/>
      <c r="BE1849" s="1"/>
      <c r="BF1849" s="1"/>
      <c r="BG1849" s="1"/>
      <c r="BH1849" s="1"/>
      <c r="BI1849" s="1"/>
      <c r="BJ1849" s="1"/>
      <c r="BK1849" s="11"/>
    </row>
    <row r="1850" spans="1:63" s="44" customFormat="1" ht="12" customHeight="1" x14ac:dyDescent="0.15">
      <c r="A1850" s="44" t="s">
        <v>20535</v>
      </c>
      <c r="B1850" s="68">
        <v>33</v>
      </c>
      <c r="C1850" s="44" t="s">
        <v>20</v>
      </c>
      <c r="D1850" s="44" t="s">
        <v>37</v>
      </c>
      <c r="E1850" s="44" t="s">
        <v>20540</v>
      </c>
      <c r="F1850" s="69">
        <v>42352</v>
      </c>
      <c r="G1850" s="44" t="s">
        <v>20536</v>
      </c>
      <c r="H1850" s="44" t="s">
        <v>20537</v>
      </c>
      <c r="I1850" s="44" t="s">
        <v>150</v>
      </c>
      <c r="J1850" s="17" t="s">
        <v>21287</v>
      </c>
      <c r="K1850" s="8" t="s">
        <v>1516</v>
      </c>
      <c r="L1850" s="44" t="s">
        <v>20538</v>
      </c>
      <c r="M1850" s="44" t="s">
        <v>27</v>
      </c>
      <c r="N1850" s="44" t="s">
        <v>21079</v>
      </c>
      <c r="P1850" s="16" t="s">
        <v>401</v>
      </c>
      <c r="Q1850" s="44" t="s">
        <v>20539</v>
      </c>
      <c r="R1850" s="1" t="s">
        <v>29</v>
      </c>
      <c r="S1850" s="1" t="s">
        <v>28</v>
      </c>
      <c r="T1850" s="68" t="s">
        <v>27756</v>
      </c>
      <c r="U1850" s="68" t="s">
        <v>29438</v>
      </c>
      <c r="V1850" s="68" t="s">
        <v>29439</v>
      </c>
      <c r="W1850" s="68" t="s">
        <v>100</v>
      </c>
      <c r="X1850" s="68">
        <v>1095</v>
      </c>
      <c r="Y1850" s="1"/>
      <c r="Z1850" s="1"/>
      <c r="AA1850" s="1"/>
      <c r="AB1850" s="1"/>
      <c r="AC1850" s="1"/>
      <c r="AD1850" s="1"/>
      <c r="AE1850" s="1"/>
      <c r="AF1850" s="1"/>
      <c r="AG1850" s="1"/>
      <c r="AH1850" s="1"/>
      <c r="AW1850" s="11"/>
      <c r="AX1850" s="1"/>
      <c r="AY1850" s="1"/>
      <c r="BA1850" s="1"/>
      <c r="BB1850" s="1"/>
      <c r="BC1850" s="1"/>
      <c r="BD1850" s="1"/>
      <c r="BE1850" s="1"/>
      <c r="BF1850" s="1"/>
      <c r="BG1850" s="1"/>
      <c r="BH1850" s="1"/>
      <c r="BI1850" s="1"/>
      <c r="BJ1850" s="1"/>
      <c r="BK1850" s="11"/>
    </row>
    <row r="1851" spans="1:63" s="44" customFormat="1" ht="12" customHeight="1" x14ac:dyDescent="0.2">
      <c r="A1851" s="44" t="s">
        <v>20545</v>
      </c>
      <c r="B1851" s="68">
        <v>19</v>
      </c>
      <c r="C1851" s="44" t="s">
        <v>20</v>
      </c>
      <c r="D1851" s="44" t="s">
        <v>48</v>
      </c>
      <c r="E1851" s="44" t="s">
        <v>20546</v>
      </c>
      <c r="F1851" s="69">
        <v>42352</v>
      </c>
      <c r="G1851" s="44" t="s">
        <v>20541</v>
      </c>
      <c r="H1851" s="44" t="s">
        <v>20542</v>
      </c>
      <c r="I1851" s="44" t="s">
        <v>45</v>
      </c>
      <c r="J1851" s="17" t="s">
        <v>21285</v>
      </c>
      <c r="K1851" s="8" t="s">
        <v>607</v>
      </c>
      <c r="L1851" s="44" t="s">
        <v>20543</v>
      </c>
      <c r="M1851" s="44" t="s">
        <v>27</v>
      </c>
      <c r="N1851" s="44" t="s">
        <v>21050</v>
      </c>
      <c r="O1851" s="1" t="s">
        <v>400</v>
      </c>
      <c r="P1851" s="16" t="s">
        <v>401</v>
      </c>
      <c r="Q1851" s="44" t="s">
        <v>20544</v>
      </c>
      <c r="R1851" s="1" t="s">
        <v>29</v>
      </c>
      <c r="S1851" s="11" t="s">
        <v>35</v>
      </c>
      <c r="T1851" s="68" t="s">
        <v>29441</v>
      </c>
      <c r="U1851" s="68" t="s">
        <v>29441</v>
      </c>
      <c r="V1851" s="68"/>
      <c r="W1851" s="68" t="s">
        <v>555</v>
      </c>
      <c r="X1851" s="68">
        <v>1093</v>
      </c>
      <c r="Y1851" s="1"/>
      <c r="Z1851" s="1"/>
      <c r="AA1851" s="1"/>
      <c r="AB1851" s="1"/>
      <c r="AC1851" s="1"/>
      <c r="AD1851" s="1"/>
      <c r="AE1851" s="1"/>
      <c r="AF1851" s="1"/>
      <c r="AG1851" s="1"/>
      <c r="AH1851" s="1"/>
      <c r="AW1851" s="70"/>
      <c r="AX1851" s="1"/>
      <c r="AY1851" s="1"/>
      <c r="BA1851" s="1"/>
      <c r="BB1851" s="1"/>
      <c r="BC1851" s="1"/>
      <c r="BD1851" s="1"/>
      <c r="BE1851" s="1"/>
      <c r="BF1851" s="1"/>
      <c r="BG1851" s="1"/>
      <c r="BH1851" s="1"/>
      <c r="BI1851" s="1"/>
      <c r="BJ1851" s="1"/>
      <c r="BK1851" s="1"/>
    </row>
    <row r="1852" spans="1:63" s="44" customFormat="1" ht="12" customHeight="1" x14ac:dyDescent="0.15">
      <c r="A1852" s="44" t="s">
        <v>20547</v>
      </c>
      <c r="B1852" s="68">
        <v>56</v>
      </c>
      <c r="C1852" s="44" t="s">
        <v>20</v>
      </c>
      <c r="D1852" s="44" t="s">
        <v>37</v>
      </c>
      <c r="E1852" s="44" t="s">
        <v>20556</v>
      </c>
      <c r="F1852" s="69">
        <v>42352</v>
      </c>
      <c r="G1852" s="44" t="s">
        <v>20549</v>
      </c>
      <c r="H1852" s="44" t="s">
        <v>20550</v>
      </c>
      <c r="I1852" s="44" t="s">
        <v>319</v>
      </c>
      <c r="J1852" s="17" t="s">
        <v>21286</v>
      </c>
      <c r="K1852" s="8" t="s">
        <v>10713</v>
      </c>
      <c r="L1852" s="44" t="s">
        <v>20553</v>
      </c>
      <c r="M1852" s="44" t="s">
        <v>27</v>
      </c>
      <c r="N1852" s="44" t="s">
        <v>21049</v>
      </c>
      <c r="O1852" s="1" t="s">
        <v>400</v>
      </c>
      <c r="P1852" s="16" t="s">
        <v>401</v>
      </c>
      <c r="Q1852" s="44" t="s">
        <v>20555</v>
      </c>
      <c r="R1852" s="1" t="s">
        <v>29</v>
      </c>
      <c r="S1852" s="1" t="s">
        <v>35</v>
      </c>
      <c r="T1852" s="68" t="s">
        <v>29441</v>
      </c>
      <c r="U1852" s="68" t="s">
        <v>29441</v>
      </c>
      <c r="V1852" s="68" t="s">
        <v>29439</v>
      </c>
      <c r="W1852" s="68" t="s">
        <v>100</v>
      </c>
      <c r="X1852" s="68">
        <v>1090</v>
      </c>
      <c r="Y1852" s="1"/>
      <c r="Z1852" s="1"/>
      <c r="AA1852" s="1"/>
      <c r="AB1852" s="1"/>
      <c r="AC1852" s="1"/>
      <c r="AD1852" s="1"/>
      <c r="AE1852" s="1"/>
      <c r="AF1852" s="1"/>
      <c r="AG1852" s="1"/>
      <c r="AH1852" s="1"/>
      <c r="AW1852" s="1"/>
      <c r="AX1852" s="1"/>
      <c r="AY1852" s="1"/>
      <c r="AZ1852" s="11"/>
      <c r="BA1852" s="1"/>
      <c r="BB1852" s="1"/>
      <c r="BC1852" s="1"/>
      <c r="BD1852" s="1"/>
      <c r="BE1852" s="1"/>
      <c r="BF1852" s="1"/>
      <c r="BG1852" s="1"/>
      <c r="BH1852" s="1"/>
      <c r="BI1852" s="1"/>
      <c r="BJ1852" s="1"/>
      <c r="BK1852" s="1"/>
    </row>
    <row r="1853" spans="1:63" s="44" customFormat="1" ht="12" customHeight="1" x14ac:dyDescent="0.15">
      <c r="A1853" s="44" t="s">
        <v>20465</v>
      </c>
      <c r="B1853" s="68">
        <v>51</v>
      </c>
      <c r="C1853" s="44" t="s">
        <v>114</v>
      </c>
      <c r="D1853" s="44" t="s">
        <v>37</v>
      </c>
      <c r="E1853" s="44" t="s">
        <v>20499</v>
      </c>
      <c r="F1853" s="69">
        <v>42351</v>
      </c>
      <c r="G1853" s="44" t="s">
        <v>20466</v>
      </c>
      <c r="H1853" s="44" t="s">
        <v>843</v>
      </c>
      <c r="I1853" s="44" t="s">
        <v>73</v>
      </c>
      <c r="J1853" s="17" t="s">
        <v>21291</v>
      </c>
      <c r="K1853" s="8" t="s">
        <v>74</v>
      </c>
      <c r="L1853" s="44" t="s">
        <v>844</v>
      </c>
      <c r="M1853" s="44" t="s">
        <v>27</v>
      </c>
      <c r="N1853" s="44" t="s">
        <v>20467</v>
      </c>
      <c r="P1853" s="16" t="s">
        <v>401</v>
      </c>
      <c r="Q1853" s="44" t="s">
        <v>20468</v>
      </c>
      <c r="R1853" s="44" t="s">
        <v>555</v>
      </c>
      <c r="S1853" s="1" t="s">
        <v>28</v>
      </c>
      <c r="T1853" s="68" t="s">
        <v>27756</v>
      </c>
      <c r="U1853" s="68" t="s">
        <v>29438</v>
      </c>
      <c r="V1853" s="68" t="s">
        <v>29439</v>
      </c>
      <c r="W1853" s="68" t="s">
        <v>100</v>
      </c>
      <c r="X1853" s="68">
        <v>1077</v>
      </c>
      <c r="Y1853" s="1"/>
      <c r="Z1853" s="1"/>
      <c r="AA1853" s="1"/>
      <c r="AB1853" s="1"/>
      <c r="AC1853" s="1"/>
      <c r="AD1853" s="1"/>
      <c r="AE1853" s="1"/>
      <c r="AF1853" s="1"/>
      <c r="AG1853" s="1"/>
      <c r="AH1853" s="1"/>
      <c r="AW1853" s="1"/>
      <c r="AX1853" s="1"/>
      <c r="AY1853" s="1"/>
      <c r="AZ1853" s="11"/>
      <c r="BA1853" s="11"/>
      <c r="BC1853" s="1"/>
      <c r="BD1853" s="1"/>
      <c r="BE1853" s="1"/>
      <c r="BF1853" s="1"/>
      <c r="BG1853" s="1"/>
      <c r="BH1853" s="1"/>
      <c r="BI1853" s="1"/>
      <c r="BJ1853" s="1"/>
      <c r="BK1853" s="11"/>
    </row>
    <row r="1854" spans="1:63" s="44" customFormat="1" ht="12" customHeight="1" x14ac:dyDescent="0.15">
      <c r="A1854" s="44" t="s">
        <v>20526</v>
      </c>
      <c r="B1854" s="68">
        <v>21</v>
      </c>
      <c r="C1854" s="44" t="s">
        <v>20</v>
      </c>
      <c r="D1854" s="44" t="s">
        <v>37</v>
      </c>
      <c r="E1854" s="44" t="s">
        <v>20530</v>
      </c>
      <c r="F1854" s="69">
        <v>42351</v>
      </c>
      <c r="G1854" s="44" t="s">
        <v>20527</v>
      </c>
      <c r="H1854" s="44" t="s">
        <v>166</v>
      </c>
      <c r="I1854" s="44" t="s">
        <v>73</v>
      </c>
      <c r="J1854" s="17" t="s">
        <v>21290</v>
      </c>
      <c r="K1854" s="8" t="s">
        <v>166</v>
      </c>
      <c r="L1854" s="44" t="s">
        <v>20528</v>
      </c>
      <c r="M1854" s="44" t="s">
        <v>27</v>
      </c>
      <c r="N1854" s="44" t="s">
        <v>21166</v>
      </c>
      <c r="P1854" s="16" t="s">
        <v>401</v>
      </c>
      <c r="Q1854" s="44" t="s">
        <v>20529</v>
      </c>
      <c r="R1854" s="68" t="s">
        <v>555</v>
      </c>
      <c r="S1854" s="1" t="s">
        <v>28</v>
      </c>
      <c r="T1854" s="68" t="s">
        <v>29500</v>
      </c>
      <c r="U1854" s="68" t="s">
        <v>29436</v>
      </c>
      <c r="V1854" s="68" t="s">
        <v>29439</v>
      </c>
      <c r="W1854" s="68" t="s">
        <v>100</v>
      </c>
      <c r="X1854" s="68">
        <v>1080</v>
      </c>
      <c r="Y1854" s="1"/>
      <c r="Z1854" s="1"/>
      <c r="AA1854" s="1"/>
      <c r="AB1854" s="1"/>
      <c r="AC1854" s="1"/>
      <c r="AD1854" s="1"/>
      <c r="AE1854" s="1"/>
      <c r="AF1854" s="1"/>
      <c r="AG1854" s="1"/>
      <c r="AH1854" s="1"/>
      <c r="AX1854" s="1"/>
      <c r="AY1854" s="1"/>
      <c r="AZ1854" s="11"/>
      <c r="BC1854" s="1"/>
      <c r="BD1854" s="1"/>
      <c r="BE1854" s="1"/>
      <c r="BF1854" s="1"/>
      <c r="BG1854" s="1"/>
      <c r="BH1854" s="1"/>
      <c r="BI1854" s="1"/>
      <c r="BJ1854" s="1"/>
      <c r="BK1854" s="11"/>
    </row>
    <row r="1855" spans="1:63" s="44" customFormat="1" ht="12" customHeight="1" x14ac:dyDescent="0.15">
      <c r="A1855" s="44" t="s">
        <v>20531</v>
      </c>
      <c r="B1855" s="68">
        <v>32</v>
      </c>
      <c r="C1855" s="44" t="s">
        <v>20</v>
      </c>
      <c r="D1855" s="44" t="s">
        <v>48</v>
      </c>
      <c r="F1855" s="69">
        <v>42351</v>
      </c>
      <c r="G1855" s="44" t="s">
        <v>20532</v>
      </c>
      <c r="H1855" s="44" t="s">
        <v>1298</v>
      </c>
      <c r="I1855" s="44" t="s">
        <v>209</v>
      </c>
      <c r="J1855" s="17" t="s">
        <v>21288</v>
      </c>
      <c r="K1855" s="8" t="s">
        <v>1298</v>
      </c>
      <c r="L1855" s="44" t="s">
        <v>20533</v>
      </c>
      <c r="M1855" s="44" t="s">
        <v>27</v>
      </c>
      <c r="N1855" s="44" t="s">
        <v>21078</v>
      </c>
      <c r="P1855" s="16" t="s">
        <v>401</v>
      </c>
      <c r="Q1855" s="44" t="s">
        <v>20534</v>
      </c>
      <c r="R1855" s="1" t="s">
        <v>29</v>
      </c>
      <c r="S1855" s="1" t="s">
        <v>28</v>
      </c>
      <c r="T1855" s="68" t="s">
        <v>27756</v>
      </c>
      <c r="U1855" s="68" t="s">
        <v>29438</v>
      </c>
      <c r="V1855" s="68" t="s">
        <v>29439</v>
      </c>
      <c r="W1855" s="68" t="s">
        <v>100</v>
      </c>
      <c r="X1855" s="68">
        <v>1089</v>
      </c>
      <c r="Y1855" s="1"/>
      <c r="Z1855" s="1"/>
      <c r="AA1855" s="1"/>
      <c r="AB1855" s="1"/>
      <c r="AC1855" s="1"/>
      <c r="AD1855" s="1"/>
      <c r="AE1855" s="1"/>
      <c r="AF1855" s="1"/>
      <c r="AG1855" s="1"/>
      <c r="AH1855" s="1"/>
      <c r="AW1855" s="11"/>
      <c r="AX1855" s="1"/>
      <c r="AY1855" s="1"/>
      <c r="AZ1855" s="11"/>
      <c r="BA1855" s="1"/>
      <c r="BB1855" s="1"/>
      <c r="BC1855" s="1"/>
      <c r="BD1855" s="1"/>
      <c r="BE1855" s="1"/>
      <c r="BF1855" s="1"/>
      <c r="BG1855" s="1"/>
      <c r="BH1855" s="1"/>
      <c r="BI1855" s="1"/>
      <c r="BJ1855" s="1"/>
      <c r="BK1855" s="11"/>
    </row>
    <row r="1856" spans="1:63" s="44" customFormat="1" ht="12" customHeight="1" x14ac:dyDescent="0.15">
      <c r="A1856" s="44" t="s">
        <v>20524</v>
      </c>
      <c r="B1856" s="68">
        <v>30</v>
      </c>
      <c r="C1856" s="44" t="s">
        <v>20</v>
      </c>
      <c r="D1856" s="44" t="s">
        <v>942</v>
      </c>
      <c r="E1856" s="44" t="s">
        <v>20523</v>
      </c>
      <c r="F1856" s="69">
        <v>42351</v>
      </c>
      <c r="G1856" s="44" t="s">
        <v>20520</v>
      </c>
      <c r="H1856" s="44" t="s">
        <v>20521</v>
      </c>
      <c r="I1856" s="44" t="s">
        <v>303</v>
      </c>
      <c r="J1856" s="17" t="s">
        <v>21289</v>
      </c>
      <c r="K1856" s="8" t="s">
        <v>7225</v>
      </c>
      <c r="L1856" s="44" t="s">
        <v>20522</v>
      </c>
      <c r="M1856" s="44" t="s">
        <v>27</v>
      </c>
      <c r="P1856" s="16" t="s">
        <v>401</v>
      </c>
      <c r="Q1856" s="44" t="s">
        <v>20525</v>
      </c>
      <c r="R1856" s="1" t="s">
        <v>29</v>
      </c>
      <c r="S1856" s="1" t="s">
        <v>28</v>
      </c>
      <c r="T1856" s="68" t="s">
        <v>29493</v>
      </c>
      <c r="U1856" s="68" t="s">
        <v>29438</v>
      </c>
      <c r="V1856" s="68" t="s">
        <v>29439</v>
      </c>
      <c r="W1856" s="68" t="s">
        <v>100</v>
      </c>
      <c r="X1856" s="68">
        <v>1084</v>
      </c>
      <c r="Y1856" s="1"/>
      <c r="Z1856" s="1"/>
      <c r="AA1856" s="1"/>
      <c r="AB1856" s="1"/>
      <c r="AC1856" s="1"/>
      <c r="AD1856" s="1"/>
      <c r="AE1856" s="1"/>
      <c r="AF1856" s="1"/>
      <c r="AG1856" s="1"/>
      <c r="AH1856" s="1"/>
      <c r="AW1856" s="11"/>
      <c r="AX1856" s="1"/>
      <c r="AY1856" s="1"/>
      <c r="AZ1856" s="11"/>
      <c r="BA1856" s="1"/>
      <c r="BB1856" s="1"/>
      <c r="BC1856" s="1"/>
      <c r="BD1856" s="1"/>
      <c r="BE1856" s="1"/>
      <c r="BF1856" s="1"/>
      <c r="BG1856" s="1"/>
      <c r="BH1856" s="1"/>
      <c r="BI1856" s="1"/>
      <c r="BJ1856" s="1"/>
      <c r="BK1856" s="11"/>
    </row>
    <row r="1857" spans="1:63" s="44" customFormat="1" ht="12" customHeight="1" x14ac:dyDescent="0.15">
      <c r="A1857" s="8" t="s">
        <v>21237</v>
      </c>
      <c r="B1857" s="68">
        <v>36</v>
      </c>
      <c r="C1857" s="8" t="s">
        <v>20</v>
      </c>
      <c r="D1857" s="8" t="s">
        <v>37</v>
      </c>
      <c r="E1857" s="14" t="s">
        <v>21238</v>
      </c>
      <c r="F1857" s="69">
        <v>42350</v>
      </c>
      <c r="G1857" s="8" t="s">
        <v>21239</v>
      </c>
      <c r="H1857" s="8" t="s">
        <v>21240</v>
      </c>
      <c r="I1857" s="8" t="s">
        <v>395</v>
      </c>
      <c r="J1857" s="17" t="s">
        <v>21241</v>
      </c>
      <c r="K1857" s="8" t="s">
        <v>817</v>
      </c>
      <c r="L1857" s="8" t="s">
        <v>21242</v>
      </c>
      <c r="M1857" s="8" t="s">
        <v>27</v>
      </c>
      <c r="N1857" s="8" t="s">
        <v>21243</v>
      </c>
      <c r="O1857" s="8" t="s">
        <v>400</v>
      </c>
      <c r="P1857" s="8" t="s">
        <v>401</v>
      </c>
      <c r="Q1857" s="14" t="s">
        <v>21244</v>
      </c>
      <c r="R1857" s="8" t="s">
        <v>100</v>
      </c>
      <c r="S1857" s="1" t="s">
        <v>28</v>
      </c>
      <c r="T1857" s="68" t="s">
        <v>391</v>
      </c>
      <c r="U1857" s="68" t="s">
        <v>29438</v>
      </c>
      <c r="V1857" s="68" t="s">
        <v>29439</v>
      </c>
      <c r="W1857" s="68" t="s">
        <v>100</v>
      </c>
      <c r="X1857" s="68">
        <v>1081</v>
      </c>
      <c r="Y1857" s="1"/>
      <c r="Z1857" s="1"/>
      <c r="AA1857" s="1"/>
      <c r="AB1857" s="1"/>
      <c r="AC1857" s="1"/>
      <c r="AD1857" s="1"/>
      <c r="AE1857" s="1"/>
      <c r="AF1857" s="1"/>
      <c r="AG1857" s="1"/>
      <c r="AH1857" s="1"/>
      <c r="AI1857" s="1"/>
      <c r="AJ1857" s="1"/>
      <c r="AX1857" s="1"/>
      <c r="AY1857" s="1"/>
      <c r="BC1857" s="1"/>
      <c r="BD1857" s="1"/>
      <c r="BE1857" s="1"/>
      <c r="BF1857" s="1"/>
      <c r="BG1857" s="1"/>
      <c r="BH1857" s="1"/>
      <c r="BI1857" s="1"/>
      <c r="BJ1857" s="1"/>
      <c r="BK1857" s="11"/>
    </row>
    <row r="1858" spans="1:63" s="44" customFormat="1" ht="12" customHeight="1" x14ac:dyDescent="0.15">
      <c r="A1858" s="44" t="s">
        <v>20479</v>
      </c>
      <c r="B1858" s="68">
        <v>25</v>
      </c>
      <c r="C1858" s="44" t="s">
        <v>20</v>
      </c>
      <c r="D1858" s="44" t="s">
        <v>85</v>
      </c>
      <c r="E1858" s="44" t="s">
        <v>20480</v>
      </c>
      <c r="F1858" s="69">
        <v>42350</v>
      </c>
      <c r="G1858" s="44" t="s">
        <v>20481</v>
      </c>
      <c r="H1858" s="44" t="s">
        <v>216</v>
      </c>
      <c r="I1858" s="44" t="s">
        <v>217</v>
      </c>
      <c r="J1858" s="17" t="s">
        <v>16552</v>
      </c>
      <c r="K1858" s="8" t="s">
        <v>420</v>
      </c>
      <c r="L1858" s="44" t="s">
        <v>218</v>
      </c>
      <c r="M1858" s="44" t="s">
        <v>27</v>
      </c>
      <c r="N1858" s="44" t="s">
        <v>20482</v>
      </c>
      <c r="P1858" s="16" t="s">
        <v>401</v>
      </c>
      <c r="Q1858" s="44" t="s">
        <v>20483</v>
      </c>
      <c r="R1858" s="68" t="s">
        <v>555</v>
      </c>
      <c r="S1858" s="1" t="s">
        <v>28</v>
      </c>
      <c r="T1858" s="68" t="s">
        <v>29493</v>
      </c>
      <c r="U1858" s="68" t="s">
        <v>29438</v>
      </c>
      <c r="V1858" s="68" t="s">
        <v>29439</v>
      </c>
      <c r="W1858" s="68" t="s">
        <v>100</v>
      </c>
      <c r="X1858" s="68">
        <v>1076</v>
      </c>
      <c r="Y1858" s="1"/>
      <c r="Z1858" s="1"/>
      <c r="AA1858" s="1"/>
      <c r="AB1858" s="1"/>
      <c r="AC1858" s="1"/>
      <c r="AD1858" s="1"/>
      <c r="AE1858" s="1"/>
      <c r="AF1858" s="1"/>
      <c r="AG1858" s="1"/>
      <c r="AH1858" s="1"/>
      <c r="AW1858" s="11"/>
      <c r="BK1858" s="11"/>
    </row>
    <row r="1859" spans="1:63" s="44" customFormat="1" ht="12" customHeight="1" x14ac:dyDescent="0.15">
      <c r="A1859" s="44" t="s">
        <v>20469</v>
      </c>
      <c r="B1859" s="68">
        <v>24</v>
      </c>
      <c r="C1859" s="44" t="s">
        <v>20</v>
      </c>
      <c r="D1859" s="44" t="s">
        <v>85</v>
      </c>
      <c r="E1859" s="44" t="s">
        <v>20470</v>
      </c>
      <c r="F1859" s="69">
        <v>42350</v>
      </c>
      <c r="G1859" s="44" t="s">
        <v>20471</v>
      </c>
      <c r="H1859" s="44" t="s">
        <v>1214</v>
      </c>
      <c r="I1859" s="44" t="s">
        <v>319</v>
      </c>
      <c r="J1859" s="17" t="s">
        <v>21293</v>
      </c>
      <c r="K1859" s="8" t="s">
        <v>548</v>
      </c>
      <c r="L1859" s="44" t="s">
        <v>1215</v>
      </c>
      <c r="M1859" s="44" t="s">
        <v>27</v>
      </c>
      <c r="N1859" s="44" t="s">
        <v>20472</v>
      </c>
      <c r="P1859" s="16" t="s">
        <v>401</v>
      </c>
      <c r="Q1859" s="44" t="s">
        <v>20473</v>
      </c>
      <c r="R1859" s="44" t="s">
        <v>555</v>
      </c>
      <c r="S1859" s="1" t="s">
        <v>28</v>
      </c>
      <c r="T1859" s="68" t="s">
        <v>29494</v>
      </c>
      <c r="U1859" s="68" t="s">
        <v>29438</v>
      </c>
      <c r="V1859" s="68" t="s">
        <v>29439</v>
      </c>
      <c r="W1859" s="68" t="s">
        <v>100</v>
      </c>
      <c r="X1859" s="68">
        <v>1078</v>
      </c>
      <c r="Y1859" s="1"/>
      <c r="Z1859" s="1"/>
      <c r="AA1859" s="1"/>
      <c r="AB1859" s="1"/>
      <c r="AC1859" s="1"/>
      <c r="AD1859" s="1"/>
      <c r="AE1859" s="1"/>
      <c r="AF1859" s="1"/>
      <c r="AG1859" s="1"/>
      <c r="AH1859" s="1"/>
      <c r="AW1859" s="11"/>
      <c r="BA1859" s="1"/>
      <c r="BB1859" s="1"/>
      <c r="BK1859" s="11"/>
    </row>
    <row r="1860" spans="1:63" s="44" customFormat="1" ht="12" customHeight="1" x14ac:dyDescent="0.2">
      <c r="A1860" s="44" t="s">
        <v>20557</v>
      </c>
      <c r="B1860" s="68">
        <v>20</v>
      </c>
      <c r="C1860" s="44" t="s">
        <v>20</v>
      </c>
      <c r="D1860" s="44" t="s">
        <v>37</v>
      </c>
      <c r="F1860" s="69">
        <v>42350</v>
      </c>
      <c r="G1860" s="44" t="s">
        <v>20562</v>
      </c>
      <c r="H1860" s="44" t="s">
        <v>20561</v>
      </c>
      <c r="I1860" s="44" t="s">
        <v>404</v>
      </c>
      <c r="J1860" s="17" t="s">
        <v>21296</v>
      </c>
      <c r="K1860" s="8" t="s">
        <v>1104</v>
      </c>
      <c r="L1860" s="44" t="s">
        <v>20559</v>
      </c>
      <c r="M1860" s="44" t="s">
        <v>27</v>
      </c>
      <c r="N1860" s="44" t="s">
        <v>20560</v>
      </c>
      <c r="P1860" s="16" t="s">
        <v>401</v>
      </c>
      <c r="Q1860" s="44" t="s">
        <v>20558</v>
      </c>
      <c r="R1860" s="68" t="s">
        <v>555</v>
      </c>
      <c r="S1860" s="1" t="s">
        <v>28</v>
      </c>
      <c r="T1860" s="68" t="s">
        <v>27756</v>
      </c>
      <c r="U1860" s="68" t="s">
        <v>29438</v>
      </c>
      <c r="V1860" s="68" t="s">
        <v>29439</v>
      </c>
      <c r="W1860" s="68" t="s">
        <v>100</v>
      </c>
      <c r="X1860" s="68">
        <v>1082</v>
      </c>
      <c r="Y1860" s="1"/>
      <c r="Z1860" s="1"/>
      <c r="AA1860" s="1"/>
      <c r="AB1860" s="1"/>
      <c r="AC1860" s="1"/>
      <c r="AD1860" s="1"/>
      <c r="AE1860" s="1"/>
      <c r="AF1860" s="1"/>
      <c r="AG1860" s="1"/>
      <c r="AH1860" s="1"/>
      <c r="AW1860" s="70"/>
      <c r="AX1860" s="1"/>
      <c r="AY1860" s="1"/>
      <c r="BA1860" s="11"/>
      <c r="BC1860" s="1"/>
      <c r="BD1860" s="1"/>
      <c r="BE1860" s="1"/>
      <c r="BF1860" s="1"/>
      <c r="BG1860" s="1"/>
      <c r="BH1860" s="1"/>
      <c r="BI1860" s="1"/>
      <c r="BJ1860" s="1"/>
      <c r="BK1860" s="11"/>
    </row>
    <row r="1861" spans="1:63" s="44" customFormat="1" ht="12" customHeight="1" x14ac:dyDescent="0.15">
      <c r="A1861" s="44" t="s">
        <v>20474</v>
      </c>
      <c r="B1861" s="68">
        <v>28</v>
      </c>
      <c r="C1861" s="44" t="s">
        <v>20</v>
      </c>
      <c r="D1861" s="44" t="s">
        <v>85</v>
      </c>
      <c r="E1861" s="44" t="s">
        <v>20475</v>
      </c>
      <c r="F1861" s="69">
        <v>42350</v>
      </c>
      <c r="G1861" s="44" t="s">
        <v>20476</v>
      </c>
      <c r="H1861" s="44" t="s">
        <v>7554</v>
      </c>
      <c r="I1861" s="44" t="s">
        <v>45</v>
      </c>
      <c r="J1861" s="17" t="s">
        <v>7555</v>
      </c>
      <c r="K1861" s="8" t="s">
        <v>98</v>
      </c>
      <c r="L1861" s="11" t="s">
        <v>414</v>
      </c>
      <c r="M1861" s="44" t="s">
        <v>27</v>
      </c>
      <c r="N1861" s="44" t="s">
        <v>20477</v>
      </c>
      <c r="P1861" s="16" t="s">
        <v>401</v>
      </c>
      <c r="Q1861" s="44" t="s">
        <v>20478</v>
      </c>
      <c r="R1861" s="1" t="s">
        <v>29</v>
      </c>
      <c r="S1861" s="1" t="s">
        <v>28</v>
      </c>
      <c r="T1861" s="68" t="s">
        <v>27756</v>
      </c>
      <c r="U1861" s="68" t="s">
        <v>29438</v>
      </c>
      <c r="V1861" s="68" t="s">
        <v>29439</v>
      </c>
      <c r="W1861" s="68" t="s">
        <v>100</v>
      </c>
      <c r="X1861" s="68">
        <v>1079</v>
      </c>
      <c r="Y1861" s="1"/>
      <c r="Z1861" s="1"/>
      <c r="AA1861" s="1"/>
      <c r="AB1861" s="1"/>
      <c r="AC1861" s="1"/>
      <c r="AD1861" s="1"/>
      <c r="AE1861" s="1"/>
      <c r="AF1861" s="1"/>
      <c r="AG1861" s="1"/>
      <c r="AH1861" s="1"/>
      <c r="AX1861" s="11"/>
      <c r="AY1861" s="11"/>
      <c r="AZ1861" s="11"/>
      <c r="BA1861" s="1"/>
      <c r="BB1861" s="1"/>
      <c r="BK1861" s="11"/>
    </row>
    <row r="1862" spans="1:63" s="44" customFormat="1" ht="12" customHeight="1" x14ac:dyDescent="0.15">
      <c r="A1862" s="44" t="s">
        <v>21112</v>
      </c>
      <c r="B1862" s="68">
        <v>49</v>
      </c>
      <c r="C1862" s="44" t="s">
        <v>20</v>
      </c>
      <c r="D1862" s="44" t="s">
        <v>48</v>
      </c>
      <c r="F1862" s="69">
        <v>42350</v>
      </c>
      <c r="G1862" s="44" t="s">
        <v>20513</v>
      </c>
      <c r="H1862" s="44" t="s">
        <v>309</v>
      </c>
      <c r="I1862" s="44" t="s">
        <v>45</v>
      </c>
      <c r="J1862" s="17" t="s">
        <v>7716</v>
      </c>
      <c r="K1862" s="8" t="s">
        <v>309</v>
      </c>
      <c r="L1862" s="44" t="s">
        <v>4320</v>
      </c>
      <c r="M1862" s="44" t="s">
        <v>27</v>
      </c>
      <c r="N1862" s="44" t="s">
        <v>21114</v>
      </c>
      <c r="P1862" s="16" t="s">
        <v>401</v>
      </c>
      <c r="Q1862" s="44" t="s">
        <v>20515</v>
      </c>
      <c r="R1862" s="1" t="s">
        <v>29</v>
      </c>
      <c r="S1862" s="1" t="s">
        <v>28</v>
      </c>
      <c r="T1862" s="68" t="s">
        <v>29493</v>
      </c>
      <c r="U1862" s="68" t="s">
        <v>29438</v>
      </c>
      <c r="V1862" s="68"/>
      <c r="W1862" s="68" t="s">
        <v>100</v>
      </c>
      <c r="X1862" s="68">
        <v>1083</v>
      </c>
      <c r="Y1862" s="1"/>
      <c r="Z1862" s="1"/>
      <c r="AA1862" s="1"/>
      <c r="AB1862" s="1"/>
      <c r="AC1862" s="1"/>
      <c r="AD1862" s="1"/>
      <c r="AE1862" s="1"/>
      <c r="AF1862" s="1"/>
      <c r="AG1862" s="1"/>
      <c r="AH1862" s="1"/>
      <c r="AW1862" s="1"/>
      <c r="AX1862" s="1"/>
      <c r="AY1862" s="1"/>
      <c r="BA1862" s="1"/>
      <c r="BB1862" s="1"/>
      <c r="BC1862" s="1"/>
      <c r="BD1862" s="1"/>
      <c r="BE1862" s="1"/>
      <c r="BF1862" s="1"/>
      <c r="BG1862" s="1"/>
      <c r="BH1862" s="1"/>
      <c r="BI1862" s="1"/>
      <c r="BJ1862" s="1"/>
      <c r="BK1862" s="11"/>
    </row>
    <row r="1863" spans="1:63" s="44" customFormat="1" ht="12" customHeight="1" x14ac:dyDescent="0.15">
      <c r="A1863" s="44" t="s">
        <v>18816</v>
      </c>
      <c r="B1863" s="44" t="s">
        <v>29</v>
      </c>
      <c r="C1863" s="44" t="s">
        <v>20</v>
      </c>
      <c r="D1863" s="44" t="s">
        <v>30</v>
      </c>
      <c r="F1863" s="69">
        <v>42350</v>
      </c>
      <c r="G1863" s="44" t="s">
        <v>20512</v>
      </c>
      <c r="H1863" s="44" t="s">
        <v>3823</v>
      </c>
      <c r="I1863" s="44" t="s">
        <v>209</v>
      </c>
      <c r="J1863" s="17" t="s">
        <v>21292</v>
      </c>
      <c r="K1863" s="8" t="s">
        <v>3825</v>
      </c>
      <c r="L1863" s="44" t="s">
        <v>3826</v>
      </c>
      <c r="M1863" s="44" t="s">
        <v>27</v>
      </c>
      <c r="N1863" s="44" t="s">
        <v>21115</v>
      </c>
      <c r="O1863" s="1" t="s">
        <v>400</v>
      </c>
      <c r="P1863" s="16" t="s">
        <v>401</v>
      </c>
      <c r="Q1863" s="44" t="s">
        <v>20514</v>
      </c>
      <c r="R1863" s="1" t="s">
        <v>29</v>
      </c>
      <c r="S1863" s="11" t="s">
        <v>28</v>
      </c>
      <c r="T1863" s="68" t="s">
        <v>29674</v>
      </c>
      <c r="U1863" s="68" t="s">
        <v>29438</v>
      </c>
      <c r="V1863" s="68"/>
      <c r="W1863" s="68" t="s">
        <v>100</v>
      </c>
      <c r="X1863" s="68">
        <v>1086</v>
      </c>
      <c r="Y1863" s="1"/>
      <c r="Z1863" s="1"/>
      <c r="AA1863" s="1"/>
      <c r="AB1863" s="1"/>
      <c r="AC1863" s="1"/>
      <c r="AD1863" s="1"/>
      <c r="AE1863" s="1"/>
      <c r="AF1863" s="1"/>
      <c r="AG1863" s="1"/>
      <c r="AH1863" s="1"/>
      <c r="AW1863" s="1"/>
      <c r="AX1863" s="1"/>
      <c r="AY1863" s="1"/>
      <c r="AZ1863" s="11"/>
      <c r="BA1863" s="1"/>
      <c r="BB1863" s="1"/>
      <c r="BC1863" s="1"/>
      <c r="BD1863" s="1"/>
      <c r="BE1863" s="1"/>
      <c r="BF1863" s="1"/>
      <c r="BG1863" s="1"/>
      <c r="BH1863" s="1"/>
      <c r="BI1863" s="1"/>
      <c r="BJ1863" s="1"/>
      <c r="BK1863" s="1"/>
    </row>
    <row r="1864" spans="1:63" s="44" customFormat="1" ht="12" customHeight="1" x14ac:dyDescent="0.15">
      <c r="A1864" s="44" t="s">
        <v>20518</v>
      </c>
      <c r="B1864" s="68">
        <v>36</v>
      </c>
      <c r="C1864" s="44" t="s">
        <v>20</v>
      </c>
      <c r="D1864" s="44" t="s">
        <v>37</v>
      </c>
      <c r="E1864" s="44" t="s">
        <v>20519</v>
      </c>
      <c r="F1864" s="69">
        <v>42349</v>
      </c>
      <c r="G1864" s="44" t="s">
        <v>20516</v>
      </c>
      <c r="H1864" s="44" t="s">
        <v>561</v>
      </c>
      <c r="I1864" s="44" t="s">
        <v>123</v>
      </c>
      <c r="J1864" s="17" t="s">
        <v>21297</v>
      </c>
      <c r="K1864" s="8" t="s">
        <v>562</v>
      </c>
      <c r="L1864" s="44" t="s">
        <v>12735</v>
      </c>
      <c r="M1864" s="44" t="s">
        <v>27</v>
      </c>
      <c r="N1864" s="44" t="s">
        <v>21082</v>
      </c>
      <c r="P1864" s="16" t="s">
        <v>401</v>
      </c>
      <c r="Q1864" s="44" t="s">
        <v>20517</v>
      </c>
      <c r="R1864" s="1" t="s">
        <v>29</v>
      </c>
      <c r="S1864" s="11" t="s">
        <v>18</v>
      </c>
      <c r="T1864" s="68" t="s">
        <v>28345</v>
      </c>
      <c r="U1864" s="68" t="s">
        <v>29438</v>
      </c>
      <c r="V1864" s="68" t="s">
        <v>29439</v>
      </c>
      <c r="W1864" s="68" t="s">
        <v>100</v>
      </c>
      <c r="X1864" s="68">
        <v>1075</v>
      </c>
      <c r="Y1864" s="1"/>
      <c r="Z1864" s="1"/>
      <c r="AA1864" s="1"/>
      <c r="AB1864" s="1"/>
      <c r="AC1864" s="1"/>
      <c r="AD1864" s="1"/>
      <c r="AE1864" s="1"/>
      <c r="AF1864" s="1"/>
      <c r="AG1864" s="1"/>
      <c r="AH1864" s="1"/>
      <c r="AX1864" s="1"/>
      <c r="AY1864" s="1"/>
      <c r="BA1864" s="1"/>
      <c r="BB1864" s="1"/>
      <c r="BC1864" s="1"/>
      <c r="BD1864" s="1"/>
      <c r="BE1864" s="1"/>
      <c r="BF1864" s="1"/>
      <c r="BG1864" s="1"/>
      <c r="BH1864" s="1"/>
      <c r="BI1864" s="1"/>
      <c r="BJ1864" s="1"/>
      <c r="BK1864" s="1"/>
    </row>
    <row r="1865" spans="1:63" s="44" customFormat="1" ht="12" customHeight="1" x14ac:dyDescent="0.15">
      <c r="A1865" s="44" t="s">
        <v>20390</v>
      </c>
      <c r="B1865" s="68">
        <v>55</v>
      </c>
      <c r="C1865" s="44" t="s">
        <v>20</v>
      </c>
      <c r="D1865" s="44" t="s">
        <v>85</v>
      </c>
      <c r="E1865" s="44" t="s">
        <v>20391</v>
      </c>
      <c r="F1865" s="69">
        <v>42348</v>
      </c>
      <c r="G1865" s="44" t="s">
        <v>20392</v>
      </c>
      <c r="H1865" s="44" t="s">
        <v>20393</v>
      </c>
      <c r="I1865" s="44" t="s">
        <v>32</v>
      </c>
      <c r="J1865" s="17" t="s">
        <v>20191</v>
      </c>
      <c r="K1865" s="8" t="s">
        <v>33</v>
      </c>
      <c r="L1865" s="44" t="s">
        <v>34</v>
      </c>
      <c r="M1865" s="44" t="s">
        <v>27</v>
      </c>
      <c r="N1865" s="44" t="s">
        <v>21083</v>
      </c>
      <c r="P1865" s="16" t="s">
        <v>401</v>
      </c>
      <c r="Q1865" s="44" t="s">
        <v>20394</v>
      </c>
      <c r="R1865" s="1" t="s">
        <v>29</v>
      </c>
      <c r="S1865" s="1" t="s">
        <v>28</v>
      </c>
      <c r="T1865" s="68" t="s">
        <v>27756</v>
      </c>
      <c r="U1865" s="68" t="s">
        <v>29438</v>
      </c>
      <c r="V1865" s="68" t="s">
        <v>29439</v>
      </c>
      <c r="W1865" s="68" t="s">
        <v>100</v>
      </c>
      <c r="X1865" s="68">
        <v>1072</v>
      </c>
      <c r="Y1865" s="1"/>
      <c r="Z1865" s="1"/>
      <c r="AA1865" s="1"/>
      <c r="AB1865" s="1"/>
      <c r="AC1865" s="1"/>
      <c r="AD1865" s="1"/>
      <c r="AE1865" s="1"/>
      <c r="AF1865" s="1"/>
      <c r="AG1865" s="1"/>
      <c r="AH1865" s="1"/>
      <c r="AW1865" s="1"/>
      <c r="BA1865" s="1"/>
      <c r="BB1865" s="1"/>
      <c r="BK1865" s="11"/>
    </row>
    <row r="1866" spans="1:63" s="44" customFormat="1" ht="12" customHeight="1" x14ac:dyDescent="0.15">
      <c r="A1866" s="44" t="s">
        <v>18816</v>
      </c>
      <c r="B1866" s="44" t="s">
        <v>29</v>
      </c>
      <c r="C1866" s="44" t="s">
        <v>20</v>
      </c>
      <c r="D1866" s="44" t="s">
        <v>30</v>
      </c>
      <c r="F1866" s="69">
        <v>42348</v>
      </c>
      <c r="G1866" s="44" t="s">
        <v>20507</v>
      </c>
      <c r="H1866" s="44" t="s">
        <v>782</v>
      </c>
      <c r="I1866" s="44" t="s">
        <v>45</v>
      </c>
      <c r="J1866" s="17" t="s">
        <v>21267</v>
      </c>
      <c r="K1866" s="8" t="s">
        <v>783</v>
      </c>
      <c r="L1866" s="44" t="s">
        <v>20509</v>
      </c>
      <c r="M1866" s="44" t="s">
        <v>27</v>
      </c>
      <c r="N1866" s="44" t="s">
        <v>21116</v>
      </c>
      <c r="P1866" s="16" t="s">
        <v>401</v>
      </c>
      <c r="Q1866" s="44" t="s">
        <v>20511</v>
      </c>
      <c r="R1866" s="1" t="s">
        <v>29</v>
      </c>
      <c r="S1866" s="1" t="s">
        <v>28</v>
      </c>
      <c r="T1866" s="68" t="s">
        <v>27756</v>
      </c>
      <c r="U1866" s="68" t="s">
        <v>29438</v>
      </c>
      <c r="V1866" s="68" t="s">
        <v>29439</v>
      </c>
      <c r="W1866" s="68" t="s">
        <v>100</v>
      </c>
      <c r="X1866" s="68">
        <v>1074</v>
      </c>
      <c r="Y1866" s="1"/>
      <c r="Z1866" s="1"/>
      <c r="AA1866" s="1"/>
      <c r="AB1866" s="1"/>
      <c r="AC1866" s="1"/>
      <c r="AD1866" s="1"/>
      <c r="AE1866" s="1"/>
      <c r="AF1866" s="1"/>
      <c r="AG1866" s="1"/>
      <c r="AH1866" s="1"/>
      <c r="AW1866" s="1"/>
      <c r="AX1866" s="1"/>
      <c r="AY1866" s="1"/>
      <c r="BA1866" s="1"/>
      <c r="BB1866" s="1"/>
      <c r="BC1866" s="1"/>
      <c r="BD1866" s="1"/>
      <c r="BE1866" s="1"/>
      <c r="BF1866" s="1"/>
      <c r="BG1866" s="1"/>
      <c r="BH1866" s="1"/>
      <c r="BI1866" s="1"/>
      <c r="BJ1866" s="1"/>
      <c r="BK1866" s="11"/>
    </row>
    <row r="1867" spans="1:63" s="44" customFormat="1" ht="12" customHeight="1" x14ac:dyDescent="0.15">
      <c r="A1867" s="44" t="s">
        <v>20504</v>
      </c>
      <c r="B1867" s="68">
        <v>54</v>
      </c>
      <c r="C1867" s="44" t="s">
        <v>20</v>
      </c>
      <c r="D1867" s="44" t="s">
        <v>37</v>
      </c>
      <c r="E1867" s="44" t="s">
        <v>20739</v>
      </c>
      <c r="F1867" s="69">
        <v>42348</v>
      </c>
      <c r="G1867" s="44" t="s">
        <v>20505</v>
      </c>
      <c r="H1867" s="44" t="s">
        <v>20506</v>
      </c>
      <c r="I1867" s="44" t="s">
        <v>45</v>
      </c>
      <c r="J1867" s="17" t="s">
        <v>21298</v>
      </c>
      <c r="K1867" s="8" t="s">
        <v>65</v>
      </c>
      <c r="L1867" s="44" t="s">
        <v>20508</v>
      </c>
      <c r="M1867" s="44" t="s">
        <v>27</v>
      </c>
      <c r="N1867" s="44" t="s">
        <v>21084</v>
      </c>
      <c r="P1867" s="16" t="s">
        <v>401</v>
      </c>
      <c r="Q1867" s="44" t="s">
        <v>20510</v>
      </c>
      <c r="R1867" s="1" t="s">
        <v>29</v>
      </c>
      <c r="S1867" s="1" t="s">
        <v>28</v>
      </c>
      <c r="T1867" s="68" t="s">
        <v>29493</v>
      </c>
      <c r="U1867" s="68" t="s">
        <v>29438</v>
      </c>
      <c r="V1867" s="68" t="s">
        <v>29439</v>
      </c>
      <c r="W1867" s="68" t="s">
        <v>100</v>
      </c>
      <c r="X1867" s="68">
        <v>1073</v>
      </c>
      <c r="Y1867" s="1"/>
      <c r="Z1867" s="1"/>
      <c r="AA1867" s="1"/>
      <c r="AB1867" s="1"/>
      <c r="AC1867" s="1"/>
      <c r="AD1867" s="1"/>
      <c r="AE1867" s="1"/>
      <c r="AF1867" s="1"/>
      <c r="AG1867" s="1"/>
      <c r="AH1867" s="1"/>
      <c r="AW1867" s="1"/>
      <c r="AX1867" s="1"/>
      <c r="AY1867" s="1"/>
      <c r="BA1867" s="1"/>
      <c r="BB1867" s="1"/>
      <c r="BC1867" s="1"/>
      <c r="BD1867" s="1"/>
      <c r="BE1867" s="1"/>
      <c r="BF1867" s="1"/>
      <c r="BG1867" s="1"/>
      <c r="BH1867" s="1"/>
      <c r="BI1867" s="1"/>
      <c r="BJ1867" s="1"/>
      <c r="BK1867" s="11"/>
    </row>
    <row r="1868" spans="1:63" s="44" customFormat="1" ht="12" customHeight="1" x14ac:dyDescent="0.15">
      <c r="A1868" s="44" t="s">
        <v>20484</v>
      </c>
      <c r="B1868" s="73">
        <v>34</v>
      </c>
      <c r="C1868" s="44" t="s">
        <v>20</v>
      </c>
      <c r="D1868" s="44" t="s">
        <v>37</v>
      </c>
      <c r="E1868" s="44" t="s">
        <v>20485</v>
      </c>
      <c r="F1868" s="69">
        <v>42348</v>
      </c>
      <c r="G1868" s="44" t="s">
        <v>20486</v>
      </c>
      <c r="H1868" s="44" t="s">
        <v>216</v>
      </c>
      <c r="I1868" s="44" t="s">
        <v>217</v>
      </c>
      <c r="J1868" s="17" t="s">
        <v>3058</v>
      </c>
      <c r="K1868" s="8" t="s">
        <v>420</v>
      </c>
      <c r="L1868" s="44" t="s">
        <v>218</v>
      </c>
      <c r="M1868" s="44" t="s">
        <v>27</v>
      </c>
      <c r="N1868" s="44" t="s">
        <v>20487</v>
      </c>
      <c r="P1868" s="16" t="s">
        <v>401</v>
      </c>
      <c r="Q1868" s="44" t="s">
        <v>20488</v>
      </c>
      <c r="R1868" s="1" t="s">
        <v>29</v>
      </c>
      <c r="S1868" s="1" t="s">
        <v>28</v>
      </c>
      <c r="T1868" s="73" t="s">
        <v>27756</v>
      </c>
      <c r="U1868" s="73" t="s">
        <v>29438</v>
      </c>
      <c r="V1868" s="73" t="s">
        <v>29439</v>
      </c>
      <c r="W1868" s="73" t="s">
        <v>100</v>
      </c>
      <c r="X1868" s="73">
        <v>1071</v>
      </c>
      <c r="Y1868" s="1"/>
      <c r="Z1868" s="1"/>
      <c r="AA1868" s="1"/>
      <c r="AB1868" s="1"/>
      <c r="AC1868" s="1"/>
      <c r="AD1868" s="1"/>
      <c r="AE1868" s="1"/>
      <c r="AF1868" s="1"/>
      <c r="AG1868" s="1"/>
      <c r="AH1868" s="1"/>
      <c r="AW1868" s="11"/>
      <c r="AX1868" s="1"/>
      <c r="AY1868" s="1"/>
      <c r="BA1868" s="1"/>
      <c r="BB1868" s="1"/>
      <c r="BC1868" s="1"/>
      <c r="BD1868" s="1"/>
      <c r="BE1868" s="1"/>
      <c r="BF1868" s="1"/>
      <c r="BG1868" s="1"/>
      <c r="BH1868" s="1"/>
      <c r="BI1868" s="1"/>
      <c r="BJ1868" s="1"/>
      <c r="BK1868" s="11"/>
    </row>
    <row r="1869" spans="1:63" s="44" customFormat="1" ht="12" customHeight="1" x14ac:dyDescent="0.15">
      <c r="A1869" s="44" t="s">
        <v>20385</v>
      </c>
      <c r="B1869" s="68">
        <v>51</v>
      </c>
      <c r="C1869" s="44" t="s">
        <v>20</v>
      </c>
      <c r="D1869" s="44" t="s">
        <v>37</v>
      </c>
      <c r="E1869" s="44" t="s">
        <v>20947</v>
      </c>
      <c r="F1869" s="69">
        <v>42347</v>
      </c>
      <c r="G1869" s="44" t="s">
        <v>20386</v>
      </c>
      <c r="H1869" s="44" t="s">
        <v>20387</v>
      </c>
      <c r="I1869" s="44" t="s">
        <v>395</v>
      </c>
      <c r="J1869" s="17" t="s">
        <v>18158</v>
      </c>
      <c r="K1869" s="8" t="s">
        <v>12278</v>
      </c>
      <c r="L1869" s="44" t="s">
        <v>20388</v>
      </c>
      <c r="M1869" s="44" t="s">
        <v>27</v>
      </c>
      <c r="N1869" s="44" t="s">
        <v>21086</v>
      </c>
      <c r="P1869" s="16" t="s">
        <v>401</v>
      </c>
      <c r="Q1869" s="44" t="s">
        <v>20389</v>
      </c>
      <c r="R1869" s="68" t="s">
        <v>555</v>
      </c>
      <c r="S1869" s="1" t="s">
        <v>28</v>
      </c>
      <c r="T1869" s="68" t="s">
        <v>27756</v>
      </c>
      <c r="U1869" s="68" t="s">
        <v>29438</v>
      </c>
      <c r="V1869" s="68" t="s">
        <v>29439</v>
      </c>
      <c r="W1869" s="68" t="s">
        <v>100</v>
      </c>
      <c r="X1869" s="68">
        <v>1070</v>
      </c>
      <c r="Y1869" s="1"/>
      <c r="Z1869" s="1"/>
      <c r="AA1869" s="1"/>
      <c r="AB1869" s="1"/>
      <c r="AC1869" s="1"/>
      <c r="AD1869" s="1"/>
      <c r="AE1869" s="1"/>
      <c r="AF1869" s="1"/>
      <c r="AG1869" s="1"/>
      <c r="AH1869" s="1"/>
      <c r="AW1869" s="1"/>
      <c r="AX1869" s="1"/>
      <c r="AY1869" s="1"/>
      <c r="BC1869" s="1"/>
      <c r="BD1869" s="1"/>
      <c r="BE1869" s="1"/>
      <c r="BF1869" s="1"/>
      <c r="BG1869" s="1"/>
      <c r="BH1869" s="1"/>
      <c r="BI1869" s="1"/>
      <c r="BJ1869" s="1"/>
      <c r="BK1869" s="11"/>
    </row>
    <row r="1870" spans="1:63" s="44" customFormat="1" ht="12" customHeight="1" x14ac:dyDescent="0.15">
      <c r="A1870" s="44" t="s">
        <v>20382</v>
      </c>
      <c r="B1870" s="44">
        <v>32</v>
      </c>
      <c r="C1870" s="44" t="s">
        <v>20</v>
      </c>
      <c r="D1870" s="44" t="s">
        <v>85</v>
      </c>
      <c r="E1870" s="44" t="s">
        <v>20379</v>
      </c>
      <c r="F1870" s="72">
        <v>42347</v>
      </c>
      <c r="G1870" s="44" t="s">
        <v>20383</v>
      </c>
      <c r="H1870" s="44" t="s">
        <v>3498</v>
      </c>
      <c r="I1870" s="44" t="s">
        <v>62</v>
      </c>
      <c r="J1870" s="17" t="s">
        <v>9886</v>
      </c>
      <c r="K1870" s="8" t="s">
        <v>3500</v>
      </c>
      <c r="L1870" s="44" t="s">
        <v>3501</v>
      </c>
      <c r="M1870" s="44" t="s">
        <v>27</v>
      </c>
      <c r="N1870" s="44" t="s">
        <v>21085</v>
      </c>
      <c r="P1870" s="16" t="s">
        <v>401</v>
      </c>
      <c r="Q1870" s="44" t="s">
        <v>20384</v>
      </c>
      <c r="R1870" s="1" t="s">
        <v>29</v>
      </c>
      <c r="S1870" s="1" t="s">
        <v>28</v>
      </c>
      <c r="T1870" s="68"/>
      <c r="U1870" s="68"/>
      <c r="V1870" s="68"/>
      <c r="W1870" s="68"/>
      <c r="X1870" s="68"/>
      <c r="Y1870" s="1"/>
      <c r="Z1870" s="1"/>
      <c r="AA1870" s="1"/>
      <c r="AB1870" s="1"/>
      <c r="AC1870" s="1"/>
      <c r="AD1870" s="1"/>
      <c r="AE1870" s="1"/>
      <c r="AF1870" s="1"/>
      <c r="AG1870" s="1"/>
      <c r="AH1870" s="1"/>
      <c r="AW1870" s="1"/>
      <c r="AZ1870" s="1"/>
      <c r="BA1870" s="1"/>
      <c r="BB1870" s="1"/>
      <c r="BK1870" s="11"/>
    </row>
    <row r="1871" spans="1:63" s="44" customFormat="1" ht="12" customHeight="1" x14ac:dyDescent="0.15">
      <c r="A1871" s="44" t="s">
        <v>20395</v>
      </c>
      <c r="B1871" s="44">
        <v>31</v>
      </c>
      <c r="C1871" s="44" t="s">
        <v>20</v>
      </c>
      <c r="D1871" s="44" t="s">
        <v>85</v>
      </c>
      <c r="E1871" s="44" t="s">
        <v>20391</v>
      </c>
      <c r="F1871" s="72">
        <v>42347</v>
      </c>
      <c r="G1871" s="44" t="s">
        <v>20418</v>
      </c>
      <c r="H1871" s="44" t="s">
        <v>20419</v>
      </c>
      <c r="I1871" s="44" t="s">
        <v>366</v>
      </c>
      <c r="J1871" s="17" t="s">
        <v>21301</v>
      </c>
      <c r="K1871" s="8" t="s">
        <v>9363</v>
      </c>
      <c r="L1871" s="44" t="s">
        <v>20416</v>
      </c>
      <c r="M1871" s="44" t="s">
        <v>5628</v>
      </c>
      <c r="N1871" s="11" t="s">
        <v>20417</v>
      </c>
      <c r="P1871" s="16" t="s">
        <v>401</v>
      </c>
      <c r="Q1871" s="44" t="s">
        <v>20397</v>
      </c>
      <c r="R1871" s="1" t="s">
        <v>29</v>
      </c>
      <c r="S1871" s="1" t="s">
        <v>28</v>
      </c>
      <c r="T1871" s="1"/>
      <c r="U1871" s="1"/>
      <c r="V1871" s="1"/>
      <c r="W1871" s="1"/>
      <c r="X1871" s="1"/>
      <c r="Y1871" s="1"/>
      <c r="Z1871" s="1"/>
      <c r="AA1871" s="1"/>
      <c r="AB1871" s="1"/>
      <c r="AC1871" s="1"/>
      <c r="AD1871" s="1"/>
      <c r="AE1871" s="1"/>
      <c r="AF1871" s="1"/>
      <c r="AG1871" s="1"/>
      <c r="AH1871" s="1"/>
      <c r="AU1871" s="1"/>
      <c r="AV1871" s="1"/>
      <c r="AW1871" s="1"/>
      <c r="AZ1871" s="1"/>
      <c r="BA1871" s="1"/>
      <c r="BB1871" s="1"/>
      <c r="BK1871" s="1"/>
    </row>
    <row r="1872" spans="1:63" s="44" customFormat="1" ht="12" customHeight="1" x14ac:dyDescent="0.15">
      <c r="A1872" s="44" t="s">
        <v>20398</v>
      </c>
      <c r="B1872" s="68">
        <v>66</v>
      </c>
      <c r="C1872" s="44" t="s">
        <v>20</v>
      </c>
      <c r="D1872" s="44" t="s">
        <v>37</v>
      </c>
      <c r="E1872" s="44" t="s">
        <v>20396</v>
      </c>
      <c r="F1872" s="69">
        <v>42347</v>
      </c>
      <c r="G1872" s="44" t="s">
        <v>20421</v>
      </c>
      <c r="H1872" s="44" t="s">
        <v>20420</v>
      </c>
      <c r="I1872" s="44" t="s">
        <v>315</v>
      </c>
      <c r="J1872" s="17" t="s">
        <v>21300</v>
      </c>
      <c r="K1872" s="8" t="s">
        <v>19858</v>
      </c>
      <c r="L1872" s="44" t="s">
        <v>20114</v>
      </c>
      <c r="M1872" s="44" t="s">
        <v>27</v>
      </c>
      <c r="N1872" s="44" t="s">
        <v>20422</v>
      </c>
      <c r="P1872" s="16" t="s">
        <v>401</v>
      </c>
      <c r="Q1872" s="44" t="s">
        <v>20400</v>
      </c>
      <c r="R1872" s="1" t="s">
        <v>29</v>
      </c>
      <c r="S1872" s="1" t="s">
        <v>28</v>
      </c>
      <c r="T1872" s="68" t="s">
        <v>27756</v>
      </c>
      <c r="U1872" s="68" t="s">
        <v>29438</v>
      </c>
      <c r="V1872" s="68" t="s">
        <v>29439</v>
      </c>
      <c r="W1872" s="68" t="s">
        <v>100</v>
      </c>
      <c r="X1872" s="68">
        <v>1069</v>
      </c>
      <c r="Y1872" s="1"/>
      <c r="Z1872" s="1"/>
      <c r="AA1872" s="1"/>
      <c r="AB1872" s="1"/>
      <c r="AC1872" s="1"/>
      <c r="AD1872" s="1"/>
      <c r="AE1872" s="1"/>
      <c r="AF1872" s="1"/>
      <c r="AG1872" s="1"/>
      <c r="AH1872" s="1"/>
      <c r="AW1872" s="1"/>
      <c r="AX1872" s="1"/>
      <c r="AY1872" s="1"/>
      <c r="BA1872" s="1"/>
      <c r="BB1872" s="1"/>
      <c r="BC1872" s="1"/>
      <c r="BD1872" s="1"/>
      <c r="BE1872" s="1"/>
      <c r="BF1872" s="1"/>
      <c r="BG1872" s="1"/>
      <c r="BH1872" s="1"/>
      <c r="BI1872" s="1"/>
      <c r="BJ1872" s="1"/>
      <c r="BK1872" s="11"/>
    </row>
    <row r="1873" spans="1:63" s="44" customFormat="1" ht="12" customHeight="1" x14ac:dyDescent="0.15">
      <c r="A1873" s="44" t="s">
        <v>21229</v>
      </c>
      <c r="B1873" s="44">
        <v>40</v>
      </c>
      <c r="C1873" s="44" t="s">
        <v>20</v>
      </c>
      <c r="D1873" s="44" t="s">
        <v>37</v>
      </c>
      <c r="E1873" s="44" t="s">
        <v>21230</v>
      </c>
      <c r="F1873" s="72">
        <v>42346</v>
      </c>
      <c r="G1873" s="44" t="s">
        <v>21231</v>
      </c>
      <c r="H1873" s="44" t="s">
        <v>21232</v>
      </c>
      <c r="I1873" s="44" t="s">
        <v>244</v>
      </c>
      <c r="J1873" s="43" t="s">
        <v>21233</v>
      </c>
      <c r="K1873" s="44" t="s">
        <v>21232</v>
      </c>
      <c r="L1873" s="44" t="s">
        <v>21234</v>
      </c>
      <c r="M1873" s="44" t="s">
        <v>391</v>
      </c>
      <c r="N1873" s="44" t="s">
        <v>21235</v>
      </c>
      <c r="O1873" s="44" t="s">
        <v>400</v>
      </c>
      <c r="P1873" s="16" t="s">
        <v>401</v>
      </c>
      <c r="Q1873" s="44" t="s">
        <v>21236</v>
      </c>
      <c r="R1873" s="16" t="s">
        <v>100</v>
      </c>
      <c r="S1873" s="1" t="s">
        <v>18</v>
      </c>
      <c r="T1873" s="1"/>
      <c r="U1873" s="1"/>
      <c r="V1873" s="1"/>
      <c r="W1873" s="1"/>
      <c r="X1873" s="1"/>
      <c r="Y1873" s="1"/>
      <c r="Z1873" s="1"/>
      <c r="AA1873" s="1"/>
      <c r="AB1873" s="1"/>
      <c r="AC1873" s="1"/>
      <c r="AD1873" s="1"/>
      <c r="AE1873" s="1"/>
      <c r="AF1873" s="1"/>
      <c r="AG1873" s="1"/>
      <c r="AH1873" s="1"/>
      <c r="AI1873" s="1"/>
      <c r="AJ1873" s="1"/>
      <c r="AU1873" s="1"/>
      <c r="AV1873" s="1"/>
      <c r="AW1873" s="11"/>
      <c r="AX1873" s="1"/>
      <c r="AY1873" s="1"/>
      <c r="AZ1873" s="1"/>
      <c r="BA1873" s="1"/>
      <c r="BB1873" s="1"/>
      <c r="BC1873" s="1"/>
      <c r="BD1873" s="1"/>
      <c r="BE1873" s="1"/>
      <c r="BF1873" s="1"/>
      <c r="BG1873" s="1"/>
      <c r="BH1873" s="1"/>
      <c r="BI1873" s="1"/>
      <c r="BJ1873" s="1"/>
      <c r="BK1873" s="1"/>
    </row>
    <row r="1874" spans="1:63" s="44" customFormat="1" ht="12" customHeight="1" x14ac:dyDescent="0.15">
      <c r="A1874" s="44" t="s">
        <v>20374</v>
      </c>
      <c r="B1874" s="68">
        <v>36</v>
      </c>
      <c r="C1874" s="44" t="s">
        <v>20</v>
      </c>
      <c r="D1874" s="44" t="s">
        <v>85</v>
      </c>
      <c r="E1874" s="44" t="s">
        <v>20375</v>
      </c>
      <c r="F1874" s="69">
        <v>42346</v>
      </c>
      <c r="G1874" s="44" t="s">
        <v>20376</v>
      </c>
      <c r="H1874" s="44" t="s">
        <v>9244</v>
      </c>
      <c r="I1874" s="44" t="s">
        <v>423</v>
      </c>
      <c r="J1874" s="17" t="s">
        <v>21302</v>
      </c>
      <c r="K1874" s="8" t="s">
        <v>581</v>
      </c>
      <c r="L1874" s="44" t="s">
        <v>582</v>
      </c>
      <c r="M1874" s="44" t="s">
        <v>27</v>
      </c>
      <c r="N1874" s="11" t="s">
        <v>23615</v>
      </c>
      <c r="P1874" s="16" t="s">
        <v>401</v>
      </c>
      <c r="Q1874" s="44" t="s">
        <v>20377</v>
      </c>
      <c r="R1874" s="1" t="s">
        <v>29</v>
      </c>
      <c r="S1874" s="44" t="s">
        <v>18</v>
      </c>
      <c r="T1874" s="68" t="s">
        <v>28345</v>
      </c>
      <c r="U1874" s="68" t="s">
        <v>29436</v>
      </c>
      <c r="V1874" s="68" t="s">
        <v>29440</v>
      </c>
      <c r="W1874" s="68" t="s">
        <v>100</v>
      </c>
      <c r="X1874" s="68">
        <v>1067</v>
      </c>
      <c r="Y1874" s="1"/>
      <c r="Z1874" s="1"/>
      <c r="AA1874" s="1"/>
      <c r="AB1874" s="1"/>
      <c r="AC1874" s="1"/>
      <c r="AD1874" s="1"/>
      <c r="AE1874" s="1"/>
      <c r="AF1874" s="1"/>
      <c r="AG1874" s="1"/>
      <c r="AH1874" s="1"/>
      <c r="BA1874" s="1"/>
      <c r="BB1874" s="1"/>
      <c r="BK1874" s="1"/>
    </row>
    <row r="1875" spans="1:63" s="44" customFormat="1" ht="12" customHeight="1" x14ac:dyDescent="0.15">
      <c r="A1875" s="44" t="s">
        <v>20401</v>
      </c>
      <c r="B1875" s="68">
        <v>33</v>
      </c>
      <c r="C1875" s="44" t="s">
        <v>20</v>
      </c>
      <c r="D1875" s="44" t="s">
        <v>85</v>
      </c>
      <c r="E1875" s="44" t="s">
        <v>20399</v>
      </c>
      <c r="F1875" s="69">
        <v>42346</v>
      </c>
      <c r="G1875" s="44" t="s">
        <v>20434</v>
      </c>
      <c r="H1875" s="44" t="s">
        <v>984</v>
      </c>
      <c r="I1875" s="44" t="s">
        <v>69</v>
      </c>
      <c r="J1875" s="17" t="s">
        <v>21299</v>
      </c>
      <c r="K1875" s="8" t="s">
        <v>105</v>
      </c>
      <c r="L1875" s="44" t="s">
        <v>20435</v>
      </c>
      <c r="M1875" s="44" t="s">
        <v>27</v>
      </c>
      <c r="N1875" s="44" t="s">
        <v>20423</v>
      </c>
      <c r="P1875" s="16" t="s">
        <v>401</v>
      </c>
      <c r="Q1875" s="44" t="s">
        <v>20403</v>
      </c>
      <c r="R1875" s="1" t="s">
        <v>29</v>
      </c>
      <c r="S1875" s="1" t="s">
        <v>28</v>
      </c>
      <c r="T1875" s="68" t="s">
        <v>27756</v>
      </c>
      <c r="U1875" s="68" t="s">
        <v>29438</v>
      </c>
      <c r="V1875" s="68" t="s">
        <v>29439</v>
      </c>
      <c r="W1875" s="68" t="s">
        <v>100</v>
      </c>
      <c r="X1875" s="68">
        <v>1068</v>
      </c>
      <c r="Y1875" s="1"/>
      <c r="Z1875" s="1"/>
      <c r="AA1875" s="1"/>
      <c r="AB1875" s="1"/>
      <c r="AC1875" s="1"/>
      <c r="AD1875" s="1"/>
      <c r="AE1875" s="1"/>
      <c r="AF1875" s="1"/>
      <c r="AG1875" s="1"/>
      <c r="AH1875" s="1"/>
      <c r="AW1875" s="11"/>
      <c r="AX1875" s="11"/>
      <c r="AY1875" s="11"/>
      <c r="BA1875" s="1"/>
      <c r="BB1875" s="1"/>
      <c r="BK1875" s="11"/>
    </row>
    <row r="1876" spans="1:63" s="44" customFormat="1" ht="12" customHeight="1" x14ac:dyDescent="0.15">
      <c r="A1876" s="44" t="s">
        <v>20378</v>
      </c>
      <c r="B1876" s="44">
        <v>27</v>
      </c>
      <c r="C1876" s="44" t="s">
        <v>20</v>
      </c>
      <c r="D1876" s="44" t="s">
        <v>37</v>
      </c>
      <c r="E1876" s="44" t="s">
        <v>20375</v>
      </c>
      <c r="F1876" s="72">
        <v>42346</v>
      </c>
      <c r="G1876" s="44" t="s">
        <v>20380</v>
      </c>
      <c r="H1876" s="44" t="s">
        <v>19719</v>
      </c>
      <c r="I1876" s="44" t="s">
        <v>431</v>
      </c>
      <c r="J1876" s="17" t="s">
        <v>21303</v>
      </c>
      <c r="K1876" s="8" t="s">
        <v>20282</v>
      </c>
      <c r="L1876" s="44" t="s">
        <v>4516</v>
      </c>
      <c r="M1876" s="1" t="s">
        <v>2291</v>
      </c>
      <c r="N1876" s="1" t="s">
        <v>23616</v>
      </c>
      <c r="P1876" s="16" t="s">
        <v>401</v>
      </c>
      <c r="Q1876" s="44" t="s">
        <v>20381</v>
      </c>
      <c r="R1876" s="1" t="s">
        <v>29</v>
      </c>
      <c r="S1876" s="44" t="s">
        <v>18</v>
      </c>
      <c r="T1876" s="1"/>
      <c r="U1876" s="1"/>
      <c r="V1876" s="1"/>
      <c r="W1876" s="1"/>
      <c r="X1876" s="1"/>
      <c r="Y1876" s="1"/>
      <c r="Z1876" s="1"/>
      <c r="AA1876" s="1"/>
      <c r="AB1876" s="1"/>
      <c r="AC1876" s="1"/>
      <c r="AD1876" s="1"/>
      <c r="AE1876" s="1"/>
      <c r="AF1876" s="1"/>
      <c r="AG1876" s="1"/>
      <c r="AH1876" s="1"/>
      <c r="AU1876" s="1"/>
      <c r="AV1876" s="1"/>
      <c r="AW1876" s="1"/>
      <c r="AX1876" s="1"/>
      <c r="AY1876" s="1"/>
      <c r="AZ1876" s="1"/>
      <c r="BA1876" s="1"/>
      <c r="BB1876" s="1"/>
      <c r="BC1876" s="1"/>
      <c r="BD1876" s="1"/>
      <c r="BE1876" s="1"/>
      <c r="BF1876" s="1"/>
      <c r="BG1876" s="1"/>
      <c r="BH1876" s="1"/>
      <c r="BI1876" s="1"/>
      <c r="BJ1876" s="1"/>
      <c r="BK1876" s="1"/>
    </row>
    <row r="1877" spans="1:63" s="44" customFormat="1" ht="12" customHeight="1" x14ac:dyDescent="0.15">
      <c r="A1877" s="44" t="s">
        <v>20404</v>
      </c>
      <c r="B1877" s="44">
        <v>30</v>
      </c>
      <c r="C1877" s="44" t="s">
        <v>20</v>
      </c>
      <c r="D1877" s="44" t="s">
        <v>85</v>
      </c>
      <c r="E1877" s="44" t="s">
        <v>20402</v>
      </c>
      <c r="F1877" s="72">
        <v>42345</v>
      </c>
      <c r="G1877" s="44" t="s">
        <v>20433</v>
      </c>
      <c r="H1877" s="44" t="s">
        <v>754</v>
      </c>
      <c r="I1877" s="44" t="s">
        <v>423</v>
      </c>
      <c r="J1877" s="17" t="s">
        <v>21304</v>
      </c>
      <c r="K1877" s="8" t="s">
        <v>2675</v>
      </c>
      <c r="L1877" s="44" t="s">
        <v>582</v>
      </c>
      <c r="M1877" s="44" t="s">
        <v>27</v>
      </c>
      <c r="N1877" s="44" t="s">
        <v>20424</v>
      </c>
      <c r="P1877" s="16" t="s">
        <v>401</v>
      </c>
      <c r="Q1877" s="44" t="s">
        <v>20405</v>
      </c>
      <c r="R1877" s="1" t="s">
        <v>29</v>
      </c>
      <c r="S1877" s="1" t="s">
        <v>28</v>
      </c>
      <c r="T1877" s="68"/>
      <c r="U1877" s="68"/>
      <c r="V1877" s="68"/>
      <c r="W1877" s="68"/>
      <c r="X1877" s="68"/>
      <c r="Y1877" s="1"/>
      <c r="Z1877" s="1"/>
      <c r="AA1877" s="1"/>
      <c r="AB1877" s="1"/>
      <c r="AC1877" s="1"/>
      <c r="AD1877" s="1"/>
      <c r="AE1877" s="1"/>
      <c r="AF1877" s="1"/>
      <c r="AG1877" s="1"/>
      <c r="AH1877" s="1"/>
      <c r="AW1877" s="1"/>
      <c r="AZ1877" s="1"/>
      <c r="BA1877" s="1"/>
      <c r="BB1877" s="1"/>
      <c r="BK1877" s="11"/>
    </row>
    <row r="1878" spans="1:63" s="44" customFormat="1" ht="12" customHeight="1" x14ac:dyDescent="0.15">
      <c r="A1878" s="44" t="s">
        <v>20406</v>
      </c>
      <c r="B1878" s="68">
        <v>46</v>
      </c>
      <c r="C1878" s="44" t="s">
        <v>20</v>
      </c>
      <c r="D1878" s="44" t="s">
        <v>85</v>
      </c>
      <c r="F1878" s="69">
        <v>42344</v>
      </c>
      <c r="G1878" s="44" t="s">
        <v>20427</v>
      </c>
      <c r="H1878" s="44" t="s">
        <v>20428</v>
      </c>
      <c r="I1878" s="44" t="s">
        <v>69</v>
      </c>
      <c r="J1878" s="17" t="s">
        <v>21306</v>
      </c>
      <c r="K1878" s="8" t="s">
        <v>105</v>
      </c>
      <c r="L1878" s="44" t="s">
        <v>20429</v>
      </c>
      <c r="M1878" s="44" t="s">
        <v>27</v>
      </c>
      <c r="N1878" s="44" t="s">
        <v>20430</v>
      </c>
      <c r="P1878" s="16" t="s">
        <v>401</v>
      </c>
      <c r="Q1878" s="44" t="s">
        <v>20408</v>
      </c>
      <c r="R1878" s="68" t="s">
        <v>555</v>
      </c>
      <c r="S1878" s="1" t="s">
        <v>28</v>
      </c>
      <c r="T1878" s="68" t="s">
        <v>27756</v>
      </c>
      <c r="U1878" s="68" t="s">
        <v>29438</v>
      </c>
      <c r="V1878" s="68" t="s">
        <v>29439</v>
      </c>
      <c r="W1878" s="68" t="s">
        <v>100</v>
      </c>
      <c r="X1878" s="68">
        <v>1064</v>
      </c>
      <c r="Y1878" s="1"/>
      <c r="Z1878" s="1"/>
      <c r="AA1878" s="1"/>
      <c r="AB1878" s="1"/>
      <c r="AC1878" s="1"/>
      <c r="AD1878" s="1"/>
      <c r="AE1878" s="1"/>
      <c r="AF1878" s="1"/>
      <c r="AG1878" s="1"/>
      <c r="AH1878" s="1"/>
      <c r="AW1878" s="1"/>
      <c r="BK1878" s="11"/>
    </row>
    <row r="1879" spans="1:63" s="44" customFormat="1" ht="12" customHeight="1" x14ac:dyDescent="0.15">
      <c r="A1879" s="44" t="s">
        <v>20370</v>
      </c>
      <c r="B1879" s="68">
        <v>48</v>
      </c>
      <c r="C1879" s="44" t="s">
        <v>20</v>
      </c>
      <c r="D1879" s="44" t="s">
        <v>37</v>
      </c>
      <c r="E1879" s="44" t="s">
        <v>20367</v>
      </c>
      <c r="F1879" s="69">
        <v>42344</v>
      </c>
      <c r="G1879" s="44" t="s">
        <v>20371</v>
      </c>
      <c r="H1879" s="44" t="s">
        <v>1234</v>
      </c>
      <c r="I1879" s="44" t="s">
        <v>1083</v>
      </c>
      <c r="J1879" s="17" t="s">
        <v>21305</v>
      </c>
      <c r="K1879" s="8" t="s">
        <v>3109</v>
      </c>
      <c r="L1879" s="44" t="s">
        <v>20372</v>
      </c>
      <c r="M1879" s="44" t="s">
        <v>27</v>
      </c>
      <c r="N1879" s="44" t="s">
        <v>21118</v>
      </c>
      <c r="P1879" s="16" t="s">
        <v>401</v>
      </c>
      <c r="Q1879" s="44" t="s">
        <v>20373</v>
      </c>
      <c r="R1879" s="68" t="s">
        <v>555</v>
      </c>
      <c r="S1879" s="1" t="s">
        <v>28</v>
      </c>
      <c r="T1879" s="68" t="s">
        <v>29493</v>
      </c>
      <c r="U1879" s="68" t="s">
        <v>29436</v>
      </c>
      <c r="V1879" s="68" t="s">
        <v>29439</v>
      </c>
      <c r="W1879" s="68" t="s">
        <v>100</v>
      </c>
      <c r="X1879" s="68">
        <v>1065</v>
      </c>
      <c r="Y1879" s="1"/>
      <c r="Z1879" s="1"/>
      <c r="AA1879" s="1"/>
      <c r="AB1879" s="1"/>
      <c r="AC1879" s="1"/>
      <c r="AD1879" s="1"/>
      <c r="AE1879" s="1"/>
      <c r="AF1879" s="1"/>
      <c r="AG1879" s="1"/>
      <c r="AH1879" s="1"/>
      <c r="AW1879" s="1"/>
      <c r="AX1879" s="1"/>
      <c r="AY1879" s="1"/>
      <c r="BC1879" s="1"/>
      <c r="BD1879" s="1"/>
      <c r="BE1879" s="1"/>
      <c r="BF1879" s="1"/>
      <c r="BG1879" s="1"/>
      <c r="BH1879" s="1"/>
      <c r="BI1879" s="1"/>
      <c r="BJ1879" s="1"/>
      <c r="BK1879" s="11"/>
    </row>
    <row r="1880" spans="1:63" ht="12" customHeight="1" x14ac:dyDescent="0.15">
      <c r="A1880" s="44" t="s">
        <v>20366</v>
      </c>
      <c r="B1880" s="68">
        <v>35</v>
      </c>
      <c r="C1880" s="44" t="s">
        <v>20</v>
      </c>
      <c r="D1880" s="44" t="s">
        <v>37</v>
      </c>
      <c r="E1880" s="44"/>
      <c r="F1880" s="69">
        <v>42344</v>
      </c>
      <c r="G1880" s="44" t="s">
        <v>20368</v>
      </c>
      <c r="H1880" s="44" t="s">
        <v>1208</v>
      </c>
      <c r="I1880" s="44" t="s">
        <v>303</v>
      </c>
      <c r="J1880" s="17" t="s">
        <v>21588</v>
      </c>
      <c r="K1880" s="8" t="s">
        <v>1209</v>
      </c>
      <c r="L1880" s="44" t="s">
        <v>1210</v>
      </c>
      <c r="M1880" s="44" t="s">
        <v>27</v>
      </c>
      <c r="N1880" s="44" t="s">
        <v>21117</v>
      </c>
      <c r="O1880" s="44"/>
      <c r="P1880" s="16" t="s">
        <v>401</v>
      </c>
      <c r="Q1880" s="44" t="s">
        <v>20369</v>
      </c>
      <c r="R1880" s="1" t="s">
        <v>29</v>
      </c>
      <c r="S1880" s="1" t="s">
        <v>28</v>
      </c>
      <c r="T1880" s="68" t="s">
        <v>27756</v>
      </c>
      <c r="U1880" s="68" t="s">
        <v>29438</v>
      </c>
      <c r="V1880" s="68" t="s">
        <v>29437</v>
      </c>
      <c r="W1880" s="68" t="s">
        <v>100</v>
      </c>
      <c r="X1880" s="68">
        <v>1063</v>
      </c>
      <c r="AI1880" s="44"/>
      <c r="AJ1880" s="44"/>
      <c r="AM1880" s="44"/>
      <c r="AN1880" s="44"/>
      <c r="AO1880" s="44"/>
      <c r="AP1880" s="44"/>
      <c r="AQ1880" s="44"/>
      <c r="AR1880" s="44"/>
      <c r="AS1880" s="44"/>
      <c r="AT1880" s="44"/>
      <c r="AU1880" s="44"/>
      <c r="AV1880" s="44"/>
      <c r="AW1880" s="11"/>
      <c r="AZ1880" s="44"/>
      <c r="BK1880" s="11"/>
    </row>
    <row r="1881" spans="1:63" ht="12" customHeight="1" x14ac:dyDescent="0.15">
      <c r="A1881" s="44" t="s">
        <v>18816</v>
      </c>
      <c r="B1881" s="44">
        <v>35</v>
      </c>
      <c r="C1881" s="44" t="s">
        <v>20</v>
      </c>
      <c r="D1881" s="44" t="s">
        <v>37</v>
      </c>
      <c r="E1881" s="44" t="s">
        <v>20407</v>
      </c>
      <c r="F1881" s="72">
        <v>42344</v>
      </c>
      <c r="G1881" s="44" t="s">
        <v>20409</v>
      </c>
      <c r="H1881" s="44" t="s">
        <v>156</v>
      </c>
      <c r="I1881" s="44" t="s">
        <v>45</v>
      </c>
      <c r="J1881" s="17">
        <v>92108</v>
      </c>
      <c r="K1881" s="8" t="s">
        <v>156</v>
      </c>
      <c r="L1881" s="44" t="s">
        <v>157</v>
      </c>
      <c r="M1881" s="44" t="s">
        <v>2291</v>
      </c>
      <c r="N1881" s="44"/>
      <c r="O1881" s="44"/>
      <c r="P1881" s="16" t="s">
        <v>401</v>
      </c>
      <c r="Q1881" s="44" t="s">
        <v>20410</v>
      </c>
      <c r="R1881" s="1" t="s">
        <v>29</v>
      </c>
      <c r="S1881" s="44" t="s">
        <v>18</v>
      </c>
      <c r="AI1881" s="44"/>
      <c r="AJ1881" s="44"/>
      <c r="AM1881" s="44"/>
      <c r="AN1881" s="44"/>
      <c r="AO1881" s="44"/>
      <c r="AP1881" s="44"/>
      <c r="AQ1881" s="44"/>
      <c r="AR1881" s="44"/>
      <c r="AS1881" s="44"/>
      <c r="AT1881" s="44"/>
    </row>
    <row r="1882" spans="1:63" ht="12" customHeight="1" x14ac:dyDescent="0.15">
      <c r="A1882" s="44" t="s">
        <v>20363</v>
      </c>
      <c r="B1882" s="68">
        <v>38</v>
      </c>
      <c r="C1882" s="44" t="s">
        <v>20</v>
      </c>
      <c r="D1882" s="44" t="s">
        <v>48</v>
      </c>
      <c r="E1882" s="44" t="s">
        <v>20358</v>
      </c>
      <c r="F1882" s="69">
        <v>42343</v>
      </c>
      <c r="G1882" s="44" t="s">
        <v>20364</v>
      </c>
      <c r="H1882" s="44" t="s">
        <v>6305</v>
      </c>
      <c r="I1882" s="44" t="s">
        <v>45</v>
      </c>
      <c r="J1882" s="17" t="s">
        <v>6306</v>
      </c>
      <c r="K1882" s="8" t="s">
        <v>783</v>
      </c>
      <c r="L1882" s="44" t="s">
        <v>6307</v>
      </c>
      <c r="M1882" s="44" t="s">
        <v>27</v>
      </c>
      <c r="N1882" s="44" t="s">
        <v>23617</v>
      </c>
      <c r="O1882" s="44"/>
      <c r="P1882" s="16" t="s">
        <v>401</v>
      </c>
      <c r="Q1882" s="44" t="s">
        <v>20365</v>
      </c>
      <c r="R1882" s="1" t="s">
        <v>29</v>
      </c>
      <c r="S1882" s="1" t="s">
        <v>28</v>
      </c>
      <c r="T1882" s="68" t="s">
        <v>27756</v>
      </c>
      <c r="U1882" s="68" t="s">
        <v>29438</v>
      </c>
      <c r="V1882" s="68" t="s">
        <v>29439</v>
      </c>
      <c r="W1882" s="68" t="s">
        <v>100</v>
      </c>
      <c r="X1882" s="68">
        <v>1062</v>
      </c>
      <c r="AI1882" s="44"/>
      <c r="AJ1882" s="44"/>
      <c r="AK1882" s="44"/>
      <c r="AL1882" s="44"/>
      <c r="AM1882" s="44"/>
      <c r="AN1882" s="44"/>
      <c r="AO1882" s="44"/>
      <c r="AP1882" s="44"/>
      <c r="AQ1882" s="44"/>
      <c r="AR1882" s="44"/>
      <c r="AS1882" s="44"/>
      <c r="AT1882" s="44"/>
      <c r="AU1882" s="44"/>
      <c r="AV1882" s="44"/>
      <c r="AW1882" s="44"/>
      <c r="AZ1882" s="44"/>
      <c r="BK1882" s="11"/>
    </row>
    <row r="1883" spans="1:63" ht="12" customHeight="1" x14ac:dyDescent="0.15">
      <c r="A1883" s="44" t="s">
        <v>20349</v>
      </c>
      <c r="B1883" s="68">
        <v>61</v>
      </c>
      <c r="C1883" s="44" t="s">
        <v>114</v>
      </c>
      <c r="D1883" s="44" t="s">
        <v>37</v>
      </c>
      <c r="E1883" s="44" t="s">
        <v>20346</v>
      </c>
      <c r="F1883" s="69">
        <v>42343</v>
      </c>
      <c r="G1883" s="44" t="s">
        <v>20350</v>
      </c>
      <c r="H1883" s="44" t="s">
        <v>20351</v>
      </c>
      <c r="I1883" s="44" t="s">
        <v>431</v>
      </c>
      <c r="J1883" s="17" t="s">
        <v>22864</v>
      </c>
      <c r="K1883" s="8" t="s">
        <v>709</v>
      </c>
      <c r="L1883" s="44" t="s">
        <v>7158</v>
      </c>
      <c r="M1883" s="44" t="s">
        <v>27</v>
      </c>
      <c r="N1883" s="44" t="s">
        <v>21122</v>
      </c>
      <c r="O1883" s="44"/>
      <c r="P1883" s="16" t="s">
        <v>401</v>
      </c>
      <c r="Q1883" s="44" t="s">
        <v>20352</v>
      </c>
      <c r="R1883" s="1" t="s">
        <v>29</v>
      </c>
      <c r="S1883" s="1" t="s">
        <v>28</v>
      </c>
      <c r="T1883" s="68" t="s">
        <v>27756</v>
      </c>
      <c r="U1883" s="68" t="s">
        <v>29438</v>
      </c>
      <c r="V1883" s="68" t="s">
        <v>29439</v>
      </c>
      <c r="W1883" s="68" t="s">
        <v>100</v>
      </c>
      <c r="X1883" s="68">
        <v>1061</v>
      </c>
      <c r="AI1883" s="44"/>
      <c r="AJ1883" s="44"/>
      <c r="AK1883" s="44"/>
      <c r="AL1883" s="44"/>
      <c r="AM1883" s="44"/>
      <c r="AN1883" s="44"/>
      <c r="AO1883" s="44"/>
      <c r="AP1883" s="44"/>
      <c r="AQ1883" s="44"/>
      <c r="AR1883" s="44"/>
      <c r="AS1883" s="44"/>
      <c r="AT1883" s="44"/>
      <c r="AU1883" s="44"/>
      <c r="AV1883" s="44"/>
      <c r="AZ1883" s="44"/>
      <c r="BK1883" s="11"/>
    </row>
    <row r="1884" spans="1:63" ht="12" customHeight="1" x14ac:dyDescent="0.15">
      <c r="A1884" s="44" t="s">
        <v>20353</v>
      </c>
      <c r="B1884" s="68">
        <v>24</v>
      </c>
      <c r="C1884" s="44" t="s">
        <v>20</v>
      </c>
      <c r="D1884" s="44" t="s">
        <v>37</v>
      </c>
      <c r="E1884" s="44"/>
      <c r="F1884" s="69">
        <v>42343</v>
      </c>
      <c r="G1884" s="44" t="s">
        <v>20355</v>
      </c>
      <c r="H1884" s="44" t="s">
        <v>6133</v>
      </c>
      <c r="I1884" s="44" t="s">
        <v>73</v>
      </c>
      <c r="J1884" s="17" t="s">
        <v>15855</v>
      </c>
      <c r="K1884" s="8" t="s">
        <v>285</v>
      </c>
      <c r="L1884" s="44" t="s">
        <v>6135</v>
      </c>
      <c r="M1884" s="44" t="s">
        <v>27</v>
      </c>
      <c r="N1884" s="44" t="s">
        <v>21119</v>
      </c>
      <c r="O1884" s="44"/>
      <c r="P1884" s="16" t="s">
        <v>401</v>
      </c>
      <c r="Q1884" s="44" t="s">
        <v>20356</v>
      </c>
      <c r="R1884" s="1" t="s">
        <v>29</v>
      </c>
      <c r="S1884" s="1" t="s">
        <v>28</v>
      </c>
      <c r="T1884" s="68" t="s">
        <v>27756</v>
      </c>
      <c r="U1884" s="68" t="s">
        <v>29438</v>
      </c>
      <c r="V1884" s="68" t="s">
        <v>29440</v>
      </c>
      <c r="W1884" s="68" t="s">
        <v>100</v>
      </c>
      <c r="X1884" s="68">
        <v>1058</v>
      </c>
      <c r="AI1884" s="44"/>
      <c r="AJ1884" s="44"/>
      <c r="AK1884" s="44"/>
      <c r="AL1884" s="44"/>
      <c r="AM1884" s="44"/>
      <c r="AN1884" s="44"/>
      <c r="AO1884" s="44"/>
      <c r="AP1884" s="44"/>
      <c r="AQ1884" s="44"/>
      <c r="AR1884" s="44"/>
      <c r="AS1884" s="44"/>
      <c r="AT1884" s="44"/>
      <c r="AU1884" s="44"/>
      <c r="AV1884" s="44"/>
      <c r="AW1884" s="11"/>
      <c r="AZ1884" s="44"/>
      <c r="BK1884" s="11"/>
    </row>
    <row r="1885" spans="1:63" ht="12" customHeight="1" x14ac:dyDescent="0.15">
      <c r="A1885" s="44" t="s">
        <v>20357</v>
      </c>
      <c r="B1885" s="68">
        <v>60</v>
      </c>
      <c r="C1885" s="44" t="s">
        <v>20</v>
      </c>
      <c r="D1885" s="44" t="s">
        <v>37</v>
      </c>
      <c r="E1885" s="44" t="s">
        <v>20354</v>
      </c>
      <c r="F1885" s="69">
        <v>42343</v>
      </c>
      <c r="G1885" s="44" t="s">
        <v>20359</v>
      </c>
      <c r="H1885" s="44" t="s">
        <v>20360</v>
      </c>
      <c r="I1885" s="44" t="s">
        <v>438</v>
      </c>
      <c r="J1885" s="17" t="s">
        <v>22872</v>
      </c>
      <c r="K1885" s="8" t="s">
        <v>2335</v>
      </c>
      <c r="L1885" s="44" t="s">
        <v>20361</v>
      </c>
      <c r="M1885" s="44" t="s">
        <v>27</v>
      </c>
      <c r="N1885" s="44" t="s">
        <v>21121</v>
      </c>
      <c r="O1885" s="44"/>
      <c r="P1885" s="16" t="s">
        <v>401</v>
      </c>
      <c r="Q1885" s="44" t="s">
        <v>20362</v>
      </c>
      <c r="R1885" s="1" t="s">
        <v>29</v>
      </c>
      <c r="S1885" s="1" t="s">
        <v>28</v>
      </c>
      <c r="T1885" s="68" t="s">
        <v>27756</v>
      </c>
      <c r="U1885" s="68" t="s">
        <v>29436</v>
      </c>
      <c r="V1885" s="68" t="s">
        <v>29439</v>
      </c>
      <c r="W1885" s="68" t="s">
        <v>100</v>
      </c>
      <c r="X1885" s="68">
        <v>1060</v>
      </c>
      <c r="AI1885" s="44"/>
      <c r="AJ1885" s="44"/>
      <c r="AM1885" s="44"/>
      <c r="AN1885" s="44"/>
      <c r="AO1885" s="44"/>
      <c r="AP1885" s="44"/>
      <c r="AQ1885" s="44"/>
      <c r="AR1885" s="44"/>
      <c r="AS1885" s="44"/>
      <c r="AT1885" s="44"/>
      <c r="AU1885" s="44"/>
      <c r="AV1885" s="44"/>
      <c r="AZ1885" s="44"/>
      <c r="BK1885" s="11"/>
    </row>
    <row r="1886" spans="1:63" ht="12" customHeight="1" x14ac:dyDescent="0.2">
      <c r="A1886" s="44" t="s">
        <v>20345</v>
      </c>
      <c r="B1886" s="68">
        <v>51</v>
      </c>
      <c r="C1886" s="44" t="s">
        <v>20</v>
      </c>
      <c r="D1886" s="44" t="s">
        <v>37</v>
      </c>
      <c r="E1886" s="44" t="s">
        <v>20341</v>
      </c>
      <c r="F1886" s="69">
        <v>42343</v>
      </c>
      <c r="G1886" s="44" t="s">
        <v>20347</v>
      </c>
      <c r="H1886" s="44" t="s">
        <v>1520</v>
      </c>
      <c r="I1886" s="44" t="s">
        <v>62</v>
      </c>
      <c r="J1886" s="17" t="s">
        <v>22871</v>
      </c>
      <c r="K1886" s="8" t="s">
        <v>161</v>
      </c>
      <c r="L1886" s="44" t="s">
        <v>1521</v>
      </c>
      <c r="M1886" s="68" t="s">
        <v>5411</v>
      </c>
      <c r="N1886" s="44" t="s">
        <v>21120</v>
      </c>
      <c r="O1886" s="1" t="s">
        <v>400</v>
      </c>
      <c r="P1886" s="16" t="s">
        <v>401</v>
      </c>
      <c r="Q1886" s="44" t="s">
        <v>20348</v>
      </c>
      <c r="R1886" s="1" t="s">
        <v>29</v>
      </c>
      <c r="S1886" s="1" t="s">
        <v>28</v>
      </c>
      <c r="T1886" s="68" t="s">
        <v>29476</v>
      </c>
      <c r="U1886" s="68" t="s">
        <v>29436</v>
      </c>
      <c r="V1886" s="68" t="s">
        <v>29439</v>
      </c>
      <c r="W1886" s="68" t="s">
        <v>555</v>
      </c>
      <c r="X1886" s="68">
        <v>1059</v>
      </c>
      <c r="AI1886" s="44"/>
      <c r="AJ1886" s="44"/>
      <c r="AM1886" s="44"/>
      <c r="AN1886" s="44"/>
      <c r="AO1886" s="44"/>
      <c r="AP1886" s="44"/>
      <c r="AQ1886" s="44"/>
      <c r="AR1886" s="44"/>
      <c r="AS1886" s="44"/>
      <c r="AT1886" s="44"/>
      <c r="AU1886" s="44"/>
      <c r="AV1886" s="44"/>
      <c r="AZ1886" s="44"/>
      <c r="BB1886" s="70"/>
    </row>
    <row r="1887" spans="1:63" s="44" customFormat="1" ht="12" customHeight="1" x14ac:dyDescent="0.15">
      <c r="A1887" s="44" t="s">
        <v>20413</v>
      </c>
      <c r="B1887" s="44">
        <v>40</v>
      </c>
      <c r="C1887" s="44" t="s">
        <v>20</v>
      </c>
      <c r="D1887" s="44" t="s">
        <v>37</v>
      </c>
      <c r="E1887" s="44" t="s">
        <v>20461</v>
      </c>
      <c r="F1887" s="72">
        <v>42342</v>
      </c>
      <c r="G1887" s="44" t="s">
        <v>20414</v>
      </c>
      <c r="H1887" s="44" t="s">
        <v>20415</v>
      </c>
      <c r="I1887" s="44" t="s">
        <v>69</v>
      </c>
      <c r="J1887" s="17" t="s">
        <v>12592</v>
      </c>
      <c r="K1887" s="8" t="s">
        <v>3223</v>
      </c>
      <c r="L1887" s="44" t="s">
        <v>3224</v>
      </c>
      <c r="M1887" s="44" t="s">
        <v>27</v>
      </c>
      <c r="N1887" s="44" t="s">
        <v>20426</v>
      </c>
      <c r="O1887" s="44" t="s">
        <v>1158</v>
      </c>
      <c r="P1887" s="1" t="s">
        <v>1159</v>
      </c>
      <c r="Q1887" s="44" t="s">
        <v>20425</v>
      </c>
      <c r="R1887" s="1" t="s">
        <v>100</v>
      </c>
      <c r="S1887" s="44" t="s">
        <v>18</v>
      </c>
      <c r="T1887" s="68"/>
      <c r="U1887" s="68"/>
      <c r="V1887" s="68"/>
      <c r="W1887" s="68"/>
      <c r="X1887" s="68"/>
      <c r="Y1887" s="1"/>
      <c r="Z1887" s="1"/>
      <c r="AA1887" s="1"/>
      <c r="AB1887" s="1"/>
      <c r="AC1887" s="1"/>
      <c r="AD1887" s="1"/>
      <c r="AE1887" s="1"/>
      <c r="AF1887" s="1"/>
      <c r="AG1887" s="1"/>
      <c r="AH1887" s="1"/>
      <c r="AK1887" s="1"/>
      <c r="AL1887" s="1"/>
      <c r="AW1887" s="1"/>
      <c r="AX1887" s="1"/>
      <c r="AY1887" s="1"/>
      <c r="AZ1887" s="1"/>
      <c r="BA1887" s="1"/>
      <c r="BB1887" s="1"/>
      <c r="BC1887" s="1"/>
      <c r="BD1887" s="1"/>
      <c r="BE1887" s="1"/>
      <c r="BF1887" s="1"/>
      <c r="BG1887" s="1"/>
      <c r="BH1887" s="1"/>
      <c r="BI1887" s="1"/>
      <c r="BJ1887" s="1"/>
      <c r="BK1887" s="1"/>
    </row>
    <row r="1888" spans="1:63" ht="12" customHeight="1" x14ac:dyDescent="0.15">
      <c r="A1888" s="44" t="s">
        <v>20411</v>
      </c>
      <c r="B1888" s="68">
        <v>21</v>
      </c>
      <c r="C1888" s="44" t="s">
        <v>20</v>
      </c>
      <c r="D1888" s="44" t="s">
        <v>85</v>
      </c>
      <c r="E1888" s="44"/>
      <c r="F1888" s="69">
        <v>42342</v>
      </c>
      <c r="G1888" s="44" t="s">
        <v>20431</v>
      </c>
      <c r="H1888" s="44" t="s">
        <v>1633</v>
      </c>
      <c r="I1888" s="44" t="s">
        <v>404</v>
      </c>
      <c r="J1888" s="17" t="s">
        <v>22877</v>
      </c>
      <c r="K1888" s="8" t="s">
        <v>1635</v>
      </c>
      <c r="L1888" s="44" t="s">
        <v>1636</v>
      </c>
      <c r="M1888" s="44" t="s">
        <v>27</v>
      </c>
      <c r="N1888" s="44" t="s">
        <v>20432</v>
      </c>
      <c r="O1888" s="44"/>
      <c r="P1888" s="16" t="s">
        <v>401</v>
      </c>
      <c r="Q1888" s="44" t="s">
        <v>20412</v>
      </c>
      <c r="R1888" s="1" t="s">
        <v>29</v>
      </c>
      <c r="S1888" s="1" t="s">
        <v>28</v>
      </c>
      <c r="T1888" s="68" t="s">
        <v>27756</v>
      </c>
      <c r="U1888" s="68" t="s">
        <v>29438</v>
      </c>
      <c r="V1888" s="68" t="s">
        <v>29439</v>
      </c>
      <c r="W1888" s="68" t="s">
        <v>100</v>
      </c>
      <c r="X1888" s="68">
        <v>1057</v>
      </c>
      <c r="AI1888" s="44"/>
      <c r="AJ1888" s="44"/>
      <c r="AM1888" s="44"/>
      <c r="AN1888" s="44"/>
      <c r="AO1888" s="44"/>
      <c r="AP1888" s="44"/>
      <c r="AQ1888" s="44"/>
      <c r="AR1888" s="44"/>
      <c r="AS1888" s="44"/>
      <c r="AT1888" s="44"/>
      <c r="AU1888" s="44"/>
      <c r="AV1888" s="44"/>
      <c r="AW1888" s="44"/>
      <c r="AX1888" s="44"/>
      <c r="AY1888" s="44"/>
      <c r="AZ1888" s="11"/>
      <c r="BC1888" s="44"/>
      <c r="BD1888" s="44"/>
      <c r="BE1888" s="44"/>
      <c r="BF1888" s="44"/>
      <c r="BG1888" s="44"/>
      <c r="BH1888" s="44"/>
      <c r="BI1888" s="44"/>
      <c r="BJ1888" s="44"/>
      <c r="BK1888" s="11"/>
    </row>
    <row r="1889" spans="1:63" ht="12" customHeight="1" x14ac:dyDescent="0.2">
      <c r="A1889" s="44" t="s">
        <v>20336</v>
      </c>
      <c r="B1889" s="68">
        <v>47</v>
      </c>
      <c r="C1889" s="44" t="s">
        <v>20</v>
      </c>
      <c r="D1889" s="44" t="s">
        <v>37</v>
      </c>
      <c r="E1889" s="44"/>
      <c r="F1889" s="69">
        <v>42342</v>
      </c>
      <c r="G1889" s="44" t="s">
        <v>20338</v>
      </c>
      <c r="H1889" s="44" t="s">
        <v>1428</v>
      </c>
      <c r="I1889" s="44" t="s">
        <v>123</v>
      </c>
      <c r="J1889" s="17" t="s">
        <v>22870</v>
      </c>
      <c r="K1889" s="8" t="s">
        <v>633</v>
      </c>
      <c r="L1889" s="44" t="s">
        <v>1429</v>
      </c>
      <c r="M1889" s="68" t="s">
        <v>5411</v>
      </c>
      <c r="N1889" s="44" t="s">
        <v>21123</v>
      </c>
      <c r="O1889" s="44"/>
      <c r="P1889" s="16" t="s">
        <v>401</v>
      </c>
      <c r="Q1889" s="44" t="s">
        <v>20339</v>
      </c>
      <c r="R1889" s="1" t="s">
        <v>29</v>
      </c>
      <c r="S1889" s="11" t="s">
        <v>28</v>
      </c>
      <c r="T1889" s="68" t="s">
        <v>29447</v>
      </c>
      <c r="U1889" s="68" t="s">
        <v>29436</v>
      </c>
      <c r="V1889" s="68" t="s">
        <v>29439</v>
      </c>
      <c r="W1889" s="68" t="s">
        <v>100</v>
      </c>
      <c r="X1889" s="68">
        <v>1056</v>
      </c>
      <c r="AI1889" s="44"/>
      <c r="AJ1889" s="44"/>
      <c r="AM1889" s="44"/>
      <c r="AN1889" s="44"/>
      <c r="AO1889" s="44"/>
      <c r="AP1889" s="44"/>
      <c r="AQ1889" s="44"/>
      <c r="AR1889" s="44"/>
      <c r="AS1889" s="44"/>
      <c r="AT1889" s="44"/>
      <c r="AU1889" s="44"/>
      <c r="AV1889" s="44"/>
      <c r="AZ1889" s="11"/>
      <c r="BB1889" s="70"/>
    </row>
    <row r="1890" spans="1:63" ht="12" customHeight="1" x14ac:dyDescent="0.15">
      <c r="A1890" s="8" t="s">
        <v>22829</v>
      </c>
      <c r="B1890" s="8">
        <v>23</v>
      </c>
      <c r="C1890" s="8" t="s">
        <v>114</v>
      </c>
      <c r="D1890" s="8" t="s">
        <v>37</v>
      </c>
      <c r="E1890" s="14" t="s">
        <v>22830</v>
      </c>
      <c r="F1890" s="72">
        <v>42341</v>
      </c>
      <c r="G1890" s="8" t="s">
        <v>22831</v>
      </c>
      <c r="H1890" s="8" t="s">
        <v>98</v>
      </c>
      <c r="I1890" s="8" t="s">
        <v>45</v>
      </c>
      <c r="J1890" s="17" t="s">
        <v>3672</v>
      </c>
      <c r="K1890" s="8" t="s">
        <v>98</v>
      </c>
      <c r="L1890" s="8" t="s">
        <v>22834</v>
      </c>
      <c r="M1890" s="8" t="s">
        <v>379</v>
      </c>
      <c r="N1890" s="8" t="s">
        <v>22832</v>
      </c>
      <c r="O1890" s="8" t="s">
        <v>400</v>
      </c>
      <c r="P1890" s="1" t="s">
        <v>401</v>
      </c>
      <c r="Q1890" s="14" t="s">
        <v>22833</v>
      </c>
      <c r="R1890" s="8" t="s">
        <v>100</v>
      </c>
      <c r="S1890" s="66" t="s">
        <v>379</v>
      </c>
      <c r="T1890" s="66" t="s">
        <v>30738</v>
      </c>
      <c r="AK1890" s="44"/>
      <c r="AL1890" s="44"/>
      <c r="AM1890" s="44"/>
      <c r="AN1890" s="44"/>
      <c r="AO1890" s="44"/>
      <c r="AP1890" s="44"/>
      <c r="AQ1890" s="44"/>
      <c r="AR1890" s="44"/>
      <c r="AS1890" s="44"/>
      <c r="AT1890" s="44"/>
      <c r="AU1890" s="44"/>
      <c r="AV1890" s="44"/>
      <c r="AW1890" s="44"/>
    </row>
    <row r="1891" spans="1:63" ht="12" customHeight="1" x14ac:dyDescent="0.15">
      <c r="A1891" s="44" t="s">
        <v>20340</v>
      </c>
      <c r="B1891" s="68">
        <v>66</v>
      </c>
      <c r="C1891" s="44" t="s">
        <v>20</v>
      </c>
      <c r="D1891" s="44" t="s">
        <v>37</v>
      </c>
      <c r="E1891" s="44" t="s">
        <v>20337</v>
      </c>
      <c r="F1891" s="69">
        <v>42341</v>
      </c>
      <c r="G1891" s="44" t="s">
        <v>20342</v>
      </c>
      <c r="H1891" s="44" t="s">
        <v>20343</v>
      </c>
      <c r="I1891" s="44" t="s">
        <v>463</v>
      </c>
      <c r="J1891" s="17" t="s">
        <v>22851</v>
      </c>
      <c r="K1891" s="8" t="s">
        <v>22852</v>
      </c>
      <c r="L1891" s="44" t="s">
        <v>20948</v>
      </c>
      <c r="M1891" s="44" t="s">
        <v>27</v>
      </c>
      <c r="N1891" s="44" t="s">
        <v>21051</v>
      </c>
      <c r="O1891" s="44"/>
      <c r="P1891" s="16" t="s">
        <v>401</v>
      </c>
      <c r="Q1891" s="44" t="s">
        <v>20344</v>
      </c>
      <c r="R1891" s="1" t="s">
        <v>29</v>
      </c>
      <c r="S1891" s="1" t="s">
        <v>28</v>
      </c>
      <c r="T1891" s="68" t="s">
        <v>27756</v>
      </c>
      <c r="U1891" s="68" t="s">
        <v>29438</v>
      </c>
      <c r="V1891" s="68" t="s">
        <v>29439</v>
      </c>
      <c r="W1891" s="68" t="s">
        <v>100</v>
      </c>
      <c r="X1891" s="68">
        <v>1055</v>
      </c>
      <c r="AI1891" s="44"/>
      <c r="AJ1891" s="44"/>
      <c r="AK1891" s="44"/>
      <c r="AL1891" s="44"/>
      <c r="AM1891" s="44"/>
      <c r="AN1891" s="44"/>
      <c r="AO1891" s="44"/>
      <c r="AP1891" s="44"/>
      <c r="AQ1891" s="44"/>
      <c r="AR1891" s="44"/>
      <c r="AS1891" s="44"/>
      <c r="AT1891" s="44"/>
      <c r="AU1891" s="44"/>
      <c r="AV1891" s="44"/>
      <c r="AZ1891" s="11"/>
      <c r="BK1891" s="11"/>
    </row>
    <row r="1892" spans="1:63" ht="12" customHeight="1" x14ac:dyDescent="0.15">
      <c r="A1892" s="1" t="s">
        <v>20295</v>
      </c>
      <c r="B1892" s="68">
        <v>26</v>
      </c>
      <c r="C1892" s="1" t="s">
        <v>20</v>
      </c>
      <c r="D1892" s="1" t="s">
        <v>85</v>
      </c>
      <c r="E1892" s="1" t="s">
        <v>20296</v>
      </c>
      <c r="F1892" s="69">
        <v>42340</v>
      </c>
      <c r="G1892" s="1" t="s">
        <v>20297</v>
      </c>
      <c r="H1892" s="1" t="s">
        <v>945</v>
      </c>
      <c r="I1892" s="1" t="s">
        <v>45</v>
      </c>
      <c r="J1892" s="17" t="s">
        <v>22879</v>
      </c>
      <c r="K1892" s="8" t="s">
        <v>945</v>
      </c>
      <c r="L1892" s="11" t="s">
        <v>946</v>
      </c>
      <c r="M1892" s="11" t="s">
        <v>27</v>
      </c>
      <c r="N1892" s="11" t="s">
        <v>20299</v>
      </c>
      <c r="P1892" s="16" t="s">
        <v>401</v>
      </c>
      <c r="Q1892" s="11" t="s">
        <v>20298</v>
      </c>
      <c r="R1892" s="11" t="s">
        <v>964</v>
      </c>
      <c r="S1892" s="11" t="s">
        <v>28</v>
      </c>
      <c r="T1892" s="68" t="s">
        <v>29493</v>
      </c>
      <c r="U1892" s="68" t="s">
        <v>29436</v>
      </c>
      <c r="V1892" s="68" t="s">
        <v>29439</v>
      </c>
      <c r="W1892" s="68" t="s">
        <v>100</v>
      </c>
      <c r="X1892" s="68">
        <v>1052</v>
      </c>
      <c r="AI1892" s="44"/>
      <c r="AJ1892" s="44"/>
      <c r="AM1892" s="44"/>
      <c r="AN1892" s="44"/>
      <c r="AO1892" s="44"/>
      <c r="AP1892" s="44"/>
      <c r="AQ1892" s="44"/>
      <c r="AR1892" s="44"/>
      <c r="AS1892" s="44"/>
      <c r="AT1892" s="44"/>
      <c r="AU1892" s="44"/>
      <c r="AV1892" s="44"/>
      <c r="AW1892" s="44"/>
      <c r="AX1892" s="44"/>
      <c r="AY1892" s="44"/>
      <c r="AZ1892" s="11"/>
      <c r="BA1892" s="44"/>
      <c r="BB1892" s="44"/>
      <c r="BC1892" s="44"/>
      <c r="BD1892" s="44"/>
      <c r="BE1892" s="44"/>
      <c r="BF1892" s="44"/>
      <c r="BG1892" s="44"/>
      <c r="BH1892" s="44"/>
      <c r="BI1892" s="44"/>
      <c r="BJ1892" s="44"/>
      <c r="BK1892" s="11"/>
    </row>
    <row r="1893" spans="1:63" ht="12" customHeight="1" x14ac:dyDescent="0.15">
      <c r="A1893" s="8" t="s">
        <v>22835</v>
      </c>
      <c r="B1893" s="8">
        <v>22</v>
      </c>
      <c r="C1893" s="8" t="s">
        <v>114</v>
      </c>
      <c r="D1893" s="8" t="s">
        <v>37</v>
      </c>
      <c r="E1893" s="14" t="s">
        <v>22836</v>
      </c>
      <c r="F1893" s="72">
        <v>42340</v>
      </c>
      <c r="G1893" s="8" t="s">
        <v>22839</v>
      </c>
      <c r="H1893" s="8" t="s">
        <v>14069</v>
      </c>
      <c r="I1893" s="8" t="s">
        <v>69</v>
      </c>
      <c r="J1893" s="17" t="s">
        <v>21280</v>
      </c>
      <c r="K1893" s="8" t="s">
        <v>12071</v>
      </c>
      <c r="L1893" s="8" t="s">
        <v>20621</v>
      </c>
      <c r="M1893" s="8" t="s">
        <v>27</v>
      </c>
      <c r="N1893" s="8" t="s">
        <v>22837</v>
      </c>
      <c r="O1893" s="8" t="s">
        <v>400</v>
      </c>
      <c r="P1893" s="8" t="s">
        <v>401</v>
      </c>
      <c r="Q1893" s="14" t="s">
        <v>22838</v>
      </c>
      <c r="R1893" s="8" t="s">
        <v>100</v>
      </c>
      <c r="S1893" s="2" t="s">
        <v>28</v>
      </c>
      <c r="T1893" s="68"/>
      <c r="U1893" s="68"/>
      <c r="V1893" s="68"/>
      <c r="W1893" s="68"/>
      <c r="X1893" s="68"/>
      <c r="AK1893" s="44"/>
      <c r="AL1893" s="44"/>
      <c r="AM1893" s="44"/>
      <c r="AN1893" s="44"/>
      <c r="AO1893" s="44"/>
      <c r="AP1893" s="44"/>
      <c r="AQ1893" s="44"/>
      <c r="AR1893" s="44"/>
      <c r="AS1893" s="44"/>
      <c r="AT1893" s="44"/>
      <c r="AU1893" s="44"/>
      <c r="AV1893" s="44"/>
      <c r="BK1893" s="11"/>
    </row>
    <row r="1894" spans="1:63" ht="12" customHeight="1" x14ac:dyDescent="0.2">
      <c r="A1894" s="44" t="s">
        <v>20321</v>
      </c>
      <c r="B1894" s="68">
        <v>27</v>
      </c>
      <c r="C1894" s="44" t="s">
        <v>114</v>
      </c>
      <c r="D1894" s="44" t="s">
        <v>21</v>
      </c>
      <c r="E1894" s="44" t="s">
        <v>20322</v>
      </c>
      <c r="F1894" s="69">
        <v>42340</v>
      </c>
      <c r="G1894" s="44" t="s">
        <v>20318</v>
      </c>
      <c r="H1894" s="44" t="s">
        <v>20319</v>
      </c>
      <c r="I1894" s="44" t="s">
        <v>45</v>
      </c>
      <c r="J1894" s="17" t="s">
        <v>22251</v>
      </c>
      <c r="K1894" s="8" t="s">
        <v>309</v>
      </c>
      <c r="L1894" s="44" t="s">
        <v>29</v>
      </c>
      <c r="M1894" s="44" t="s">
        <v>27</v>
      </c>
      <c r="N1894" s="44" t="s">
        <v>21124</v>
      </c>
      <c r="O1894" s="44"/>
      <c r="P1894" s="16" t="s">
        <v>401</v>
      </c>
      <c r="Q1894" s="44" t="s">
        <v>20320</v>
      </c>
      <c r="R1894" s="1" t="s">
        <v>29</v>
      </c>
      <c r="S1894" s="1" t="s">
        <v>28</v>
      </c>
      <c r="T1894" s="68" t="s">
        <v>27756</v>
      </c>
      <c r="U1894" s="68" t="s">
        <v>29438</v>
      </c>
      <c r="V1894" s="68" t="s">
        <v>29437</v>
      </c>
      <c r="W1894" s="68" t="s">
        <v>100</v>
      </c>
      <c r="X1894" s="68">
        <v>1050</v>
      </c>
      <c r="AI1894" s="44"/>
      <c r="AJ1894" s="44"/>
      <c r="AM1894" s="44"/>
      <c r="AN1894" s="44"/>
      <c r="AO1894" s="44"/>
      <c r="AP1894" s="44"/>
      <c r="AQ1894" s="44"/>
      <c r="AR1894" s="44"/>
      <c r="AS1894" s="44"/>
      <c r="AT1894" s="44"/>
      <c r="AU1894" s="44"/>
      <c r="AV1894" s="44"/>
      <c r="AW1894" s="44"/>
      <c r="AX1894" s="70"/>
      <c r="AY1894" s="70"/>
      <c r="AZ1894" s="11"/>
      <c r="BC1894" s="66"/>
      <c r="BD1894" s="66"/>
      <c r="BE1894" s="66"/>
      <c r="BF1894" s="66"/>
      <c r="BG1894" s="66"/>
      <c r="BH1894" s="66"/>
      <c r="BI1894" s="66"/>
      <c r="BJ1894" s="66"/>
      <c r="BK1894" s="11"/>
    </row>
    <row r="1895" spans="1:63" ht="12" customHeight="1" x14ac:dyDescent="0.2">
      <c r="A1895" s="44" t="s">
        <v>20316</v>
      </c>
      <c r="B1895" s="68">
        <v>28</v>
      </c>
      <c r="C1895" s="44" t="s">
        <v>20</v>
      </c>
      <c r="D1895" s="44" t="s">
        <v>21</v>
      </c>
      <c r="E1895" s="44" t="s">
        <v>20317</v>
      </c>
      <c r="F1895" s="69">
        <v>42340</v>
      </c>
      <c r="G1895" s="44" t="s">
        <v>20318</v>
      </c>
      <c r="H1895" s="44" t="s">
        <v>20319</v>
      </c>
      <c r="I1895" s="44" t="s">
        <v>45</v>
      </c>
      <c r="J1895" s="17" t="s">
        <v>22251</v>
      </c>
      <c r="K1895" s="8" t="s">
        <v>309</v>
      </c>
      <c r="L1895" s="44" t="s">
        <v>29</v>
      </c>
      <c r="M1895" s="44" t="s">
        <v>27</v>
      </c>
      <c r="N1895" s="44" t="s">
        <v>21125</v>
      </c>
      <c r="O1895" s="44"/>
      <c r="P1895" s="16" t="s">
        <v>401</v>
      </c>
      <c r="Q1895" s="44" t="s">
        <v>20320</v>
      </c>
      <c r="R1895" s="1" t="s">
        <v>29</v>
      </c>
      <c r="S1895" s="1" t="s">
        <v>28</v>
      </c>
      <c r="T1895" s="68" t="s">
        <v>27756</v>
      </c>
      <c r="U1895" s="68" t="s">
        <v>29438</v>
      </c>
      <c r="V1895" s="68" t="s">
        <v>29437</v>
      </c>
      <c r="W1895" s="68" t="s">
        <v>100</v>
      </c>
      <c r="X1895" s="68">
        <v>1051</v>
      </c>
      <c r="AI1895" s="44"/>
      <c r="AJ1895" s="44"/>
      <c r="AM1895" s="44"/>
      <c r="AN1895" s="44"/>
      <c r="AO1895" s="44"/>
      <c r="AP1895" s="44"/>
      <c r="AQ1895" s="44"/>
      <c r="AR1895" s="44"/>
      <c r="AS1895" s="44"/>
      <c r="AT1895" s="44"/>
      <c r="AU1895" s="44"/>
      <c r="AV1895" s="44"/>
      <c r="AW1895" s="44"/>
      <c r="AX1895" s="70"/>
      <c r="AY1895" s="70"/>
      <c r="AZ1895" s="11"/>
      <c r="BC1895" s="66"/>
      <c r="BD1895" s="66"/>
      <c r="BE1895" s="66"/>
      <c r="BF1895" s="66"/>
      <c r="BG1895" s="66"/>
      <c r="BH1895" s="66"/>
      <c r="BI1895" s="66"/>
      <c r="BJ1895" s="66"/>
      <c r="BK1895" s="11"/>
    </row>
    <row r="1896" spans="1:63" ht="12" customHeight="1" x14ac:dyDescent="0.15">
      <c r="A1896" s="44" t="s">
        <v>20324</v>
      </c>
      <c r="B1896" s="68">
        <v>35</v>
      </c>
      <c r="C1896" s="44" t="s">
        <v>20</v>
      </c>
      <c r="D1896" s="44" t="s">
        <v>48</v>
      </c>
      <c r="E1896" s="44" t="s">
        <v>20323</v>
      </c>
      <c r="F1896" s="69">
        <v>42340</v>
      </c>
      <c r="G1896" s="44" t="s">
        <v>20326</v>
      </c>
      <c r="H1896" s="44" t="s">
        <v>1298</v>
      </c>
      <c r="I1896" s="44" t="s">
        <v>209</v>
      </c>
      <c r="J1896" s="17" t="s">
        <v>8808</v>
      </c>
      <c r="K1896" s="8" t="s">
        <v>1298</v>
      </c>
      <c r="L1896" s="44" t="s">
        <v>1299</v>
      </c>
      <c r="M1896" s="44" t="s">
        <v>27</v>
      </c>
      <c r="N1896" s="44" t="s">
        <v>21052</v>
      </c>
      <c r="O1896" s="44"/>
      <c r="P1896" s="16" t="s">
        <v>401</v>
      </c>
      <c r="Q1896" s="44" t="s">
        <v>20327</v>
      </c>
      <c r="R1896" s="1" t="s">
        <v>29</v>
      </c>
      <c r="S1896" s="2" t="s">
        <v>28</v>
      </c>
      <c r="T1896" s="68" t="s">
        <v>27756</v>
      </c>
      <c r="U1896" s="68" t="s">
        <v>29438</v>
      </c>
      <c r="V1896" s="68" t="s">
        <v>29437</v>
      </c>
      <c r="W1896" s="68" t="s">
        <v>100</v>
      </c>
      <c r="X1896" s="68">
        <v>1049</v>
      </c>
      <c r="AI1896" s="44"/>
      <c r="AJ1896" s="44"/>
      <c r="AK1896" s="44"/>
      <c r="AL1896" s="44"/>
      <c r="AM1896" s="44"/>
      <c r="AN1896" s="44"/>
      <c r="AO1896" s="44"/>
      <c r="AP1896" s="44"/>
      <c r="AQ1896" s="44"/>
      <c r="AR1896" s="44"/>
      <c r="AS1896" s="44"/>
      <c r="AT1896" s="44"/>
      <c r="AU1896" s="44"/>
      <c r="AV1896" s="44"/>
      <c r="AW1896" s="11"/>
      <c r="AZ1896" s="44"/>
      <c r="BK1896" s="11"/>
    </row>
    <row r="1897" spans="1:63" ht="12" customHeight="1" x14ac:dyDescent="0.15">
      <c r="A1897" s="44" t="s">
        <v>20332</v>
      </c>
      <c r="B1897" s="68">
        <v>36</v>
      </c>
      <c r="C1897" s="44" t="s">
        <v>20</v>
      </c>
      <c r="D1897" s="44" t="s">
        <v>48</v>
      </c>
      <c r="E1897" s="44" t="s">
        <v>20329</v>
      </c>
      <c r="F1897" s="69">
        <v>42340</v>
      </c>
      <c r="G1897" s="44" t="s">
        <v>20333</v>
      </c>
      <c r="H1897" s="44" t="s">
        <v>5969</v>
      </c>
      <c r="I1897" s="44" t="s">
        <v>195</v>
      </c>
      <c r="J1897" s="17" t="s">
        <v>22862</v>
      </c>
      <c r="K1897" s="8" t="s">
        <v>22863</v>
      </c>
      <c r="L1897" s="44" t="s">
        <v>20334</v>
      </c>
      <c r="M1897" s="44" t="s">
        <v>27</v>
      </c>
      <c r="N1897" s="44" t="s">
        <v>21126</v>
      </c>
      <c r="O1897" s="44"/>
      <c r="P1897" s="16" t="s">
        <v>401</v>
      </c>
      <c r="Q1897" s="44" t="s">
        <v>20335</v>
      </c>
      <c r="R1897" s="1" t="s">
        <v>29</v>
      </c>
      <c r="S1897" s="1" t="s">
        <v>28</v>
      </c>
      <c r="T1897" s="68" t="s">
        <v>27756</v>
      </c>
      <c r="U1897" s="68" t="s">
        <v>29438</v>
      </c>
      <c r="V1897" s="68" t="s">
        <v>29439</v>
      </c>
      <c r="W1897" s="68" t="s">
        <v>100</v>
      </c>
      <c r="X1897" s="68">
        <v>1054</v>
      </c>
      <c r="AI1897" s="44"/>
      <c r="AJ1897" s="44"/>
      <c r="AK1897" s="44"/>
      <c r="AL1897" s="44"/>
      <c r="AM1897" s="44"/>
      <c r="AN1897" s="44"/>
      <c r="AO1897" s="44"/>
      <c r="AP1897" s="44"/>
      <c r="AQ1897" s="44"/>
      <c r="AR1897" s="44"/>
      <c r="AS1897" s="44"/>
      <c r="AT1897" s="44"/>
      <c r="AU1897" s="44"/>
      <c r="AV1897" s="44"/>
      <c r="AW1897" s="44"/>
      <c r="AZ1897" s="44"/>
      <c r="BK1897" s="11"/>
    </row>
    <row r="1898" spans="1:63" ht="12" customHeight="1" x14ac:dyDescent="0.15">
      <c r="A1898" s="44" t="s">
        <v>20328</v>
      </c>
      <c r="B1898" s="68">
        <v>32</v>
      </c>
      <c r="C1898" s="44" t="s">
        <v>20</v>
      </c>
      <c r="D1898" s="44" t="s">
        <v>48</v>
      </c>
      <c r="E1898" s="44" t="s">
        <v>20325</v>
      </c>
      <c r="F1898" s="69">
        <v>42340</v>
      </c>
      <c r="G1898" s="44" t="s">
        <v>20330</v>
      </c>
      <c r="H1898" s="44" t="s">
        <v>575</v>
      </c>
      <c r="I1898" s="44" t="s">
        <v>73</v>
      </c>
      <c r="J1898" s="17" t="s">
        <v>22878</v>
      </c>
      <c r="K1898" s="8" t="s">
        <v>576</v>
      </c>
      <c r="L1898" s="44" t="s">
        <v>281</v>
      </c>
      <c r="M1898" s="44" t="s">
        <v>27</v>
      </c>
      <c r="N1898" s="44" t="s">
        <v>23618</v>
      </c>
      <c r="O1898" s="2" t="s">
        <v>400</v>
      </c>
      <c r="P1898" s="16" t="s">
        <v>401</v>
      </c>
      <c r="Q1898" s="44" t="s">
        <v>20331</v>
      </c>
      <c r="R1898" s="1" t="s">
        <v>29</v>
      </c>
      <c r="S1898" s="2" t="s">
        <v>28</v>
      </c>
      <c r="T1898" s="68" t="s">
        <v>27756</v>
      </c>
      <c r="U1898" s="68" t="s">
        <v>29436</v>
      </c>
      <c r="V1898" s="68" t="s">
        <v>29439</v>
      </c>
      <c r="W1898" s="68" t="s">
        <v>100</v>
      </c>
      <c r="X1898" s="68">
        <v>1053</v>
      </c>
      <c r="AI1898" s="44"/>
      <c r="AJ1898" s="44"/>
      <c r="AM1898" s="44"/>
      <c r="AN1898" s="44"/>
      <c r="AO1898" s="44"/>
      <c r="AP1898" s="44"/>
      <c r="AQ1898" s="44"/>
      <c r="AR1898" s="44"/>
      <c r="AS1898" s="44"/>
      <c r="AT1898" s="44"/>
      <c r="AU1898" s="44"/>
      <c r="AV1898" s="44"/>
      <c r="AW1898" s="11"/>
      <c r="AZ1898" s="44"/>
      <c r="BK1898" s="11"/>
    </row>
    <row r="1899" spans="1:63" ht="12" customHeight="1" x14ac:dyDescent="0.2">
      <c r="A1899" s="44" t="s">
        <v>20313</v>
      </c>
      <c r="B1899" s="68">
        <v>18</v>
      </c>
      <c r="C1899" s="44" t="s">
        <v>20</v>
      </c>
      <c r="D1899" s="44" t="s">
        <v>48</v>
      </c>
      <c r="E1899" s="44"/>
      <c r="F1899" s="69">
        <v>42339</v>
      </c>
      <c r="G1899" s="44" t="s">
        <v>20314</v>
      </c>
      <c r="H1899" s="44" t="s">
        <v>11424</v>
      </c>
      <c r="I1899" s="44" t="s">
        <v>45</v>
      </c>
      <c r="J1899" s="17" t="s">
        <v>21790</v>
      </c>
      <c r="K1899" s="8" t="s">
        <v>98</v>
      </c>
      <c r="L1899" s="11" t="s">
        <v>414</v>
      </c>
      <c r="M1899" s="44" t="s">
        <v>27</v>
      </c>
      <c r="N1899" s="44" t="s">
        <v>21127</v>
      </c>
      <c r="O1899" s="44"/>
      <c r="P1899" s="16" t="s">
        <v>401</v>
      </c>
      <c r="Q1899" s="44" t="s">
        <v>20315</v>
      </c>
      <c r="R1899" s="1" t="s">
        <v>29</v>
      </c>
      <c r="S1899" s="1" t="s">
        <v>28</v>
      </c>
      <c r="T1899" s="68" t="s">
        <v>27756</v>
      </c>
      <c r="U1899" s="68" t="s">
        <v>29438</v>
      </c>
      <c r="V1899" s="68" t="s">
        <v>29439</v>
      </c>
      <c r="W1899" s="68" t="s">
        <v>100</v>
      </c>
      <c r="X1899" s="68">
        <v>1047</v>
      </c>
      <c r="AI1899" s="44"/>
      <c r="AJ1899" s="44"/>
      <c r="AM1899" s="44"/>
      <c r="AN1899" s="44"/>
      <c r="AO1899" s="44"/>
      <c r="AP1899" s="44"/>
      <c r="AQ1899" s="44"/>
      <c r="AR1899" s="44"/>
      <c r="AS1899" s="44"/>
      <c r="AT1899" s="44"/>
      <c r="AU1899" s="44"/>
      <c r="AV1899" s="44"/>
      <c r="AW1899" s="70"/>
      <c r="AZ1899" s="44"/>
      <c r="BK1899" s="11"/>
    </row>
    <row r="1900" spans="1:63" ht="12" customHeight="1" x14ac:dyDescent="0.15">
      <c r="A1900" s="44" t="s">
        <v>20307</v>
      </c>
      <c r="B1900" s="68">
        <v>23</v>
      </c>
      <c r="C1900" s="44" t="s">
        <v>20</v>
      </c>
      <c r="D1900" s="44" t="s">
        <v>37</v>
      </c>
      <c r="E1900" s="44" t="s">
        <v>20308</v>
      </c>
      <c r="F1900" s="69">
        <v>42339</v>
      </c>
      <c r="G1900" s="44" t="s">
        <v>20309</v>
      </c>
      <c r="H1900" s="44" t="s">
        <v>20310</v>
      </c>
      <c r="I1900" s="44" t="s">
        <v>4371</v>
      </c>
      <c r="J1900" s="17" t="s">
        <v>22850</v>
      </c>
      <c r="K1900" s="8" t="s">
        <v>6987</v>
      </c>
      <c r="L1900" s="44" t="s">
        <v>20311</v>
      </c>
      <c r="M1900" s="44" t="s">
        <v>27</v>
      </c>
      <c r="N1900" s="44" t="s">
        <v>21053</v>
      </c>
      <c r="O1900" s="44"/>
      <c r="P1900" s="16" t="s">
        <v>401</v>
      </c>
      <c r="Q1900" s="44" t="s">
        <v>20312</v>
      </c>
      <c r="R1900" s="1" t="s">
        <v>29</v>
      </c>
      <c r="S1900" s="1" t="s">
        <v>28</v>
      </c>
      <c r="T1900" s="68" t="s">
        <v>27756</v>
      </c>
      <c r="U1900" s="68" t="s">
        <v>29438</v>
      </c>
      <c r="V1900" s="68" t="s">
        <v>29440</v>
      </c>
      <c r="W1900" s="68" t="s">
        <v>100</v>
      </c>
      <c r="X1900" s="68">
        <v>1045</v>
      </c>
      <c r="AI1900" s="44"/>
      <c r="AJ1900" s="44"/>
      <c r="AK1900" s="44"/>
      <c r="AL1900" s="44"/>
      <c r="AM1900" s="44"/>
      <c r="AN1900" s="44"/>
      <c r="AO1900" s="44"/>
      <c r="AP1900" s="44"/>
      <c r="AQ1900" s="44"/>
      <c r="AR1900" s="44"/>
      <c r="AS1900" s="44"/>
      <c r="AT1900" s="44"/>
      <c r="AU1900" s="44"/>
      <c r="AV1900" s="44"/>
      <c r="AW1900" s="11"/>
      <c r="AZ1900" s="44"/>
      <c r="BK1900" s="11"/>
    </row>
    <row r="1901" spans="1:63" ht="12" customHeight="1" x14ac:dyDescent="0.15">
      <c r="A1901" s="8" t="s">
        <v>22840</v>
      </c>
      <c r="B1901" s="68">
        <v>31</v>
      </c>
      <c r="C1901" s="8" t="s">
        <v>20</v>
      </c>
      <c r="D1901" s="8" t="s">
        <v>48</v>
      </c>
      <c r="E1901" s="8"/>
      <c r="F1901" s="69">
        <v>42338</v>
      </c>
      <c r="G1901" s="8" t="s">
        <v>22841</v>
      </c>
      <c r="H1901" s="8" t="s">
        <v>22842</v>
      </c>
      <c r="I1901" s="8" t="s">
        <v>73</v>
      </c>
      <c r="J1901" s="17" t="s">
        <v>22843</v>
      </c>
      <c r="K1901" s="8" t="s">
        <v>22844</v>
      </c>
      <c r="L1901" s="8" t="s">
        <v>22845</v>
      </c>
      <c r="M1901" s="8" t="s">
        <v>27</v>
      </c>
      <c r="N1901" s="8" t="s">
        <v>22846</v>
      </c>
      <c r="O1901" s="1" t="s">
        <v>400</v>
      </c>
      <c r="P1901" s="1" t="s">
        <v>401</v>
      </c>
      <c r="Q1901" s="14" t="s">
        <v>22847</v>
      </c>
      <c r="R1901" s="8" t="s">
        <v>100</v>
      </c>
      <c r="S1901" s="8" t="s">
        <v>35</v>
      </c>
      <c r="T1901" s="68" t="s">
        <v>29441</v>
      </c>
      <c r="U1901" s="68" t="s">
        <v>29436</v>
      </c>
      <c r="V1901" s="68" t="s">
        <v>29439</v>
      </c>
      <c r="W1901" s="68" t="s">
        <v>100</v>
      </c>
      <c r="X1901" s="68">
        <v>1227</v>
      </c>
      <c r="AK1901" s="44"/>
      <c r="AL1901" s="44"/>
      <c r="AM1901" s="44"/>
      <c r="AN1901" s="44"/>
      <c r="AO1901" s="44"/>
      <c r="AP1901" s="44"/>
      <c r="AQ1901" s="44"/>
      <c r="AR1901" s="44"/>
      <c r="AS1901" s="44"/>
      <c r="AT1901" s="44"/>
      <c r="AU1901" s="44"/>
      <c r="AV1901" s="44"/>
      <c r="AW1901" s="11"/>
      <c r="AX1901" s="64"/>
      <c r="AY1901" s="64"/>
      <c r="AZ1901" s="44"/>
      <c r="BA1901" s="44"/>
      <c r="BB1901" s="44"/>
    </row>
    <row r="1902" spans="1:63" ht="12" customHeight="1" x14ac:dyDescent="0.2">
      <c r="A1902" s="1" t="s">
        <v>19126</v>
      </c>
      <c r="B1902" s="68">
        <v>25</v>
      </c>
      <c r="C1902" s="1" t="s">
        <v>29</v>
      </c>
      <c r="D1902" s="1" t="s">
        <v>21</v>
      </c>
      <c r="F1902" s="69">
        <v>42338</v>
      </c>
      <c r="G1902" s="1" t="s">
        <v>19127</v>
      </c>
      <c r="H1902" s="1" t="s">
        <v>3823</v>
      </c>
      <c r="I1902" s="1" t="s">
        <v>209</v>
      </c>
      <c r="J1902" s="17" t="s">
        <v>22849</v>
      </c>
      <c r="K1902" s="8" t="s">
        <v>3825</v>
      </c>
      <c r="L1902" s="1" t="s">
        <v>3826</v>
      </c>
      <c r="M1902" s="1" t="s">
        <v>27</v>
      </c>
      <c r="N1902" s="1" t="s">
        <v>21054</v>
      </c>
      <c r="P1902" s="1" t="s">
        <v>401</v>
      </c>
      <c r="Q1902" s="63" t="s">
        <v>19128</v>
      </c>
      <c r="R1902" s="1" t="s">
        <v>29</v>
      </c>
      <c r="S1902" s="13" t="s">
        <v>28</v>
      </c>
      <c r="T1902" s="68" t="s">
        <v>29472</v>
      </c>
      <c r="U1902" s="68" t="s">
        <v>29438</v>
      </c>
      <c r="V1902" s="68" t="s">
        <v>29437</v>
      </c>
      <c r="W1902" s="68" t="s">
        <v>100</v>
      </c>
      <c r="X1902" s="68">
        <v>1043</v>
      </c>
      <c r="AI1902" s="44"/>
      <c r="AJ1902" s="44"/>
      <c r="AK1902" s="44"/>
      <c r="AL1902" s="44"/>
      <c r="AM1902" s="44"/>
      <c r="AN1902" s="44"/>
      <c r="AO1902" s="44"/>
      <c r="AP1902" s="44"/>
      <c r="AQ1902" s="44"/>
      <c r="AR1902" s="44"/>
      <c r="AS1902" s="44"/>
      <c r="AT1902" s="44"/>
      <c r="AU1902" s="44"/>
      <c r="AV1902" s="44"/>
      <c r="AW1902" s="11"/>
      <c r="AX1902" s="70"/>
      <c r="AY1902" s="70"/>
      <c r="AZ1902" s="44"/>
      <c r="BC1902" s="66"/>
      <c r="BD1902" s="66"/>
      <c r="BE1902" s="66"/>
      <c r="BF1902" s="66"/>
      <c r="BG1902" s="66"/>
      <c r="BH1902" s="66"/>
      <c r="BI1902" s="66"/>
      <c r="BJ1902" s="66"/>
      <c r="BK1902" s="11"/>
    </row>
    <row r="1903" spans="1:63" ht="12" customHeight="1" x14ac:dyDescent="0.2">
      <c r="A1903" s="1" t="s">
        <v>19129</v>
      </c>
      <c r="B1903" s="68">
        <v>18</v>
      </c>
      <c r="C1903" s="1" t="s">
        <v>20</v>
      </c>
      <c r="D1903" s="1" t="s">
        <v>85</v>
      </c>
      <c r="E1903" s="1" t="s">
        <v>19400</v>
      </c>
      <c r="F1903" s="69">
        <v>42338</v>
      </c>
      <c r="G1903" s="1" t="s">
        <v>19130</v>
      </c>
      <c r="H1903" s="1" t="s">
        <v>1916</v>
      </c>
      <c r="I1903" s="1" t="s">
        <v>173</v>
      </c>
      <c r="J1903" s="17" t="s">
        <v>22848</v>
      </c>
      <c r="K1903" s="8" t="s">
        <v>1556</v>
      </c>
      <c r="L1903" s="1" t="s">
        <v>2540</v>
      </c>
      <c r="M1903" s="1" t="s">
        <v>27</v>
      </c>
      <c r="N1903" s="1" t="s">
        <v>21128</v>
      </c>
      <c r="O1903" s="1" t="s">
        <v>400</v>
      </c>
      <c r="P1903" s="1" t="s">
        <v>401</v>
      </c>
      <c r="Q1903" s="63" t="s">
        <v>19131</v>
      </c>
      <c r="R1903" s="1" t="s">
        <v>29</v>
      </c>
      <c r="S1903" s="1" t="s">
        <v>28</v>
      </c>
      <c r="T1903" s="68" t="s">
        <v>27756</v>
      </c>
      <c r="U1903" s="68" t="s">
        <v>29438</v>
      </c>
      <c r="V1903" s="68" t="s">
        <v>29440</v>
      </c>
      <c r="W1903" s="68" t="s">
        <v>100</v>
      </c>
      <c r="X1903" s="68">
        <v>1044</v>
      </c>
      <c r="AI1903" s="44"/>
      <c r="AJ1903" s="44"/>
      <c r="AK1903" s="44"/>
      <c r="AL1903" s="44"/>
      <c r="AM1903" s="44"/>
      <c r="AN1903" s="44"/>
      <c r="AO1903" s="44"/>
      <c r="AP1903" s="44"/>
      <c r="AQ1903" s="44"/>
      <c r="AR1903" s="44"/>
      <c r="AS1903" s="44"/>
      <c r="AT1903" s="44"/>
      <c r="AU1903" s="44"/>
      <c r="AV1903" s="44"/>
      <c r="AW1903" s="70"/>
      <c r="AX1903" s="70"/>
      <c r="AY1903" s="70"/>
      <c r="AZ1903" s="44"/>
      <c r="BC1903" s="44"/>
      <c r="BD1903" s="44"/>
      <c r="BE1903" s="44"/>
      <c r="BF1903" s="44"/>
      <c r="BG1903" s="44"/>
      <c r="BH1903" s="44"/>
      <c r="BI1903" s="44"/>
      <c r="BJ1903" s="44"/>
      <c r="BK1903" s="11"/>
    </row>
    <row r="1904" spans="1:63" ht="12" customHeight="1" x14ac:dyDescent="0.15">
      <c r="A1904" s="1" t="s">
        <v>19132</v>
      </c>
      <c r="B1904" s="68">
        <v>69</v>
      </c>
      <c r="C1904" s="1" t="s">
        <v>20</v>
      </c>
      <c r="D1904" s="1" t="s">
        <v>48</v>
      </c>
      <c r="F1904" s="69">
        <v>42337</v>
      </c>
      <c r="G1904" s="1" t="s">
        <v>19133</v>
      </c>
      <c r="H1904" s="1" t="s">
        <v>1891</v>
      </c>
      <c r="I1904" s="1" t="s">
        <v>123</v>
      </c>
      <c r="J1904" s="17" t="s">
        <v>1892</v>
      </c>
      <c r="K1904" s="8" t="s">
        <v>633</v>
      </c>
      <c r="L1904" s="1" t="s">
        <v>1893</v>
      </c>
      <c r="M1904" s="1" t="s">
        <v>27</v>
      </c>
      <c r="N1904" s="1" t="s">
        <v>20203</v>
      </c>
      <c r="P1904" s="1" t="s">
        <v>401</v>
      </c>
      <c r="Q1904" s="63" t="s">
        <v>19134</v>
      </c>
      <c r="R1904" s="68" t="s">
        <v>555</v>
      </c>
      <c r="S1904" s="1" t="s">
        <v>28</v>
      </c>
      <c r="T1904" s="68" t="s">
        <v>27756</v>
      </c>
      <c r="U1904" s="68" t="s">
        <v>29438</v>
      </c>
      <c r="V1904" s="68" t="s">
        <v>29439</v>
      </c>
      <c r="W1904" s="68" t="s">
        <v>100</v>
      </c>
      <c r="X1904" s="68">
        <v>1038</v>
      </c>
      <c r="AM1904" s="44"/>
      <c r="AN1904" s="44"/>
      <c r="AO1904" s="44"/>
      <c r="AP1904" s="44"/>
      <c r="AQ1904" s="44"/>
      <c r="AR1904" s="44"/>
      <c r="AS1904" s="44"/>
      <c r="AT1904" s="44"/>
      <c r="AU1904" s="44"/>
      <c r="AV1904" s="44"/>
      <c r="AZ1904" s="44"/>
      <c r="BA1904" s="44"/>
      <c r="BB1904" s="44"/>
      <c r="BK1904" s="11"/>
    </row>
    <row r="1905" spans="1:63" ht="12" customHeight="1" x14ac:dyDescent="0.15">
      <c r="A1905" s="1" t="s">
        <v>19135</v>
      </c>
      <c r="B1905" s="68">
        <v>23</v>
      </c>
      <c r="C1905" s="1" t="s">
        <v>20</v>
      </c>
      <c r="D1905" s="1" t="s">
        <v>48</v>
      </c>
      <c r="E1905" s="1" t="s">
        <v>19399</v>
      </c>
      <c r="F1905" s="69">
        <v>42337</v>
      </c>
      <c r="G1905" s="1" t="s">
        <v>19136</v>
      </c>
      <c r="H1905" s="1" t="s">
        <v>679</v>
      </c>
      <c r="I1905" s="1" t="s">
        <v>45</v>
      </c>
      <c r="J1905" s="17" t="s">
        <v>21974</v>
      </c>
      <c r="K1905" s="8" t="s">
        <v>680</v>
      </c>
      <c r="L1905" s="1" t="s">
        <v>681</v>
      </c>
      <c r="M1905" s="1" t="s">
        <v>27</v>
      </c>
      <c r="N1905" s="1" t="s">
        <v>21129</v>
      </c>
      <c r="P1905" s="1" t="s">
        <v>401</v>
      </c>
      <c r="Q1905" s="63" t="s">
        <v>19137</v>
      </c>
      <c r="R1905" s="1" t="s">
        <v>29</v>
      </c>
      <c r="S1905" s="1" t="s">
        <v>28</v>
      </c>
      <c r="T1905" s="68" t="s">
        <v>27756</v>
      </c>
      <c r="U1905" s="68" t="s">
        <v>29438</v>
      </c>
      <c r="V1905" s="68" t="s">
        <v>29440</v>
      </c>
      <c r="W1905" s="68" t="s">
        <v>100</v>
      </c>
      <c r="X1905" s="68">
        <v>1041</v>
      </c>
      <c r="AI1905" s="44"/>
      <c r="AJ1905" s="44"/>
      <c r="AK1905" s="44"/>
      <c r="AL1905" s="44"/>
      <c r="AM1905" s="44"/>
      <c r="AN1905" s="44"/>
      <c r="AO1905" s="44"/>
      <c r="AP1905" s="44"/>
      <c r="AQ1905" s="44"/>
      <c r="AR1905" s="44"/>
      <c r="AS1905" s="44"/>
      <c r="AT1905" s="44"/>
      <c r="AU1905" s="44"/>
      <c r="AV1905" s="44"/>
      <c r="AW1905" s="11"/>
      <c r="AZ1905" s="44"/>
      <c r="BK1905" s="11"/>
    </row>
    <row r="1906" spans="1:63" ht="12" customHeight="1" x14ac:dyDescent="0.15">
      <c r="A1906" s="1" t="s">
        <v>19138</v>
      </c>
      <c r="B1906" s="68">
        <v>53</v>
      </c>
      <c r="C1906" s="1" t="s">
        <v>20</v>
      </c>
      <c r="D1906" s="1" t="s">
        <v>37</v>
      </c>
      <c r="E1906" s="1" t="s">
        <v>19398</v>
      </c>
      <c r="F1906" s="69">
        <v>42337</v>
      </c>
      <c r="G1906" s="1" t="s">
        <v>19139</v>
      </c>
      <c r="H1906" s="1" t="s">
        <v>19140</v>
      </c>
      <c r="I1906" s="1" t="s">
        <v>431</v>
      </c>
      <c r="J1906" s="17" t="s">
        <v>22882</v>
      </c>
      <c r="K1906" s="8" t="s">
        <v>1304</v>
      </c>
      <c r="L1906" s="1" t="s">
        <v>19141</v>
      </c>
      <c r="M1906" s="1" t="s">
        <v>27</v>
      </c>
      <c r="N1906" s="1" t="s">
        <v>21132</v>
      </c>
      <c r="P1906" s="1" t="s">
        <v>401</v>
      </c>
      <c r="Q1906" s="1" t="s">
        <v>19142</v>
      </c>
      <c r="R1906" s="1" t="s">
        <v>29</v>
      </c>
      <c r="S1906" s="1" t="s">
        <v>28</v>
      </c>
      <c r="T1906" s="68" t="s">
        <v>27756</v>
      </c>
      <c r="U1906" s="68" t="s">
        <v>29438</v>
      </c>
      <c r="V1906" s="68" t="s">
        <v>29439</v>
      </c>
      <c r="W1906" s="68" t="s">
        <v>100</v>
      </c>
      <c r="X1906" s="68">
        <v>1037</v>
      </c>
      <c r="AI1906" s="44"/>
      <c r="AJ1906" s="44"/>
      <c r="AM1906" s="44"/>
      <c r="AN1906" s="44"/>
      <c r="AO1906" s="44"/>
      <c r="AP1906" s="44"/>
      <c r="AQ1906" s="44"/>
      <c r="AR1906" s="44"/>
      <c r="AS1906" s="44"/>
      <c r="AT1906" s="44"/>
      <c r="AU1906" s="44"/>
      <c r="AV1906" s="44"/>
      <c r="AZ1906" s="44"/>
      <c r="BK1906" s="11"/>
    </row>
    <row r="1907" spans="1:63" ht="12" customHeight="1" x14ac:dyDescent="0.15">
      <c r="A1907" s="1" t="s">
        <v>19143</v>
      </c>
      <c r="B1907" s="68">
        <v>29</v>
      </c>
      <c r="C1907" s="1" t="s">
        <v>20</v>
      </c>
      <c r="D1907" s="1" t="s">
        <v>37</v>
      </c>
      <c r="E1907" s="1" t="s">
        <v>19397</v>
      </c>
      <c r="F1907" s="69">
        <v>42337</v>
      </c>
      <c r="G1907" s="1" t="s">
        <v>19144</v>
      </c>
      <c r="H1907" s="1" t="s">
        <v>2316</v>
      </c>
      <c r="I1907" s="1" t="s">
        <v>463</v>
      </c>
      <c r="J1907" s="17" t="s">
        <v>22869</v>
      </c>
      <c r="K1907" s="8" t="s">
        <v>1492</v>
      </c>
      <c r="L1907" s="1" t="s">
        <v>10291</v>
      </c>
      <c r="M1907" s="1" t="s">
        <v>27</v>
      </c>
      <c r="N1907" s="1" t="s">
        <v>21131</v>
      </c>
      <c r="P1907" s="1" t="s">
        <v>401</v>
      </c>
      <c r="Q1907" s="1" t="s">
        <v>19145</v>
      </c>
      <c r="R1907" s="1" t="s">
        <v>29</v>
      </c>
      <c r="S1907" s="1" t="s">
        <v>28</v>
      </c>
      <c r="T1907" s="68" t="s">
        <v>27756</v>
      </c>
      <c r="U1907" s="68" t="s">
        <v>29438</v>
      </c>
      <c r="V1907" s="68"/>
      <c r="W1907" s="68" t="s">
        <v>100</v>
      </c>
      <c r="X1907" s="68">
        <v>1042</v>
      </c>
      <c r="AI1907" s="44"/>
      <c r="AJ1907" s="44"/>
      <c r="AK1907" s="44"/>
      <c r="AL1907" s="44"/>
      <c r="AM1907" s="44"/>
      <c r="AN1907" s="44"/>
      <c r="AO1907" s="44"/>
      <c r="AP1907" s="44"/>
      <c r="AQ1907" s="44"/>
      <c r="AR1907" s="44"/>
      <c r="AS1907" s="44"/>
      <c r="AT1907" s="44"/>
      <c r="AU1907" s="44"/>
      <c r="AV1907" s="44"/>
      <c r="AW1907" s="44"/>
      <c r="AZ1907" s="44"/>
      <c r="BK1907" s="11"/>
    </row>
    <row r="1908" spans="1:63" ht="12" customHeight="1" x14ac:dyDescent="0.15">
      <c r="A1908" s="1" t="s">
        <v>19146</v>
      </c>
      <c r="B1908" s="68">
        <v>22</v>
      </c>
      <c r="C1908" s="1" t="s">
        <v>20</v>
      </c>
      <c r="D1908" s="1" t="s">
        <v>37</v>
      </c>
      <c r="E1908" s="1" t="s">
        <v>19396</v>
      </c>
      <c r="F1908" s="69">
        <v>42337</v>
      </c>
      <c r="G1908" s="1" t="s">
        <v>19147</v>
      </c>
      <c r="H1908" s="1" t="s">
        <v>19148</v>
      </c>
      <c r="I1908" s="1" t="s">
        <v>69</v>
      </c>
      <c r="J1908" s="3" t="s">
        <v>22854</v>
      </c>
      <c r="K1908" s="2" t="s">
        <v>2902</v>
      </c>
      <c r="L1908" s="1" t="s">
        <v>19149</v>
      </c>
      <c r="M1908" s="1" t="s">
        <v>27</v>
      </c>
      <c r="N1908" s="1" t="s">
        <v>21130</v>
      </c>
      <c r="P1908" s="1" t="s">
        <v>401</v>
      </c>
      <c r="Q1908" s="1" t="s">
        <v>19150</v>
      </c>
      <c r="R1908" s="1" t="s">
        <v>29</v>
      </c>
      <c r="S1908" s="1" t="s">
        <v>28</v>
      </c>
      <c r="T1908" s="68" t="s">
        <v>27756</v>
      </c>
      <c r="U1908" s="68" t="s">
        <v>29438</v>
      </c>
      <c r="V1908" s="68" t="s">
        <v>29439</v>
      </c>
      <c r="W1908" s="68" t="s">
        <v>100</v>
      </c>
      <c r="X1908" s="68">
        <v>1036</v>
      </c>
      <c r="AK1908" s="44"/>
      <c r="AL1908" s="44"/>
      <c r="AM1908" s="44"/>
      <c r="AN1908" s="44"/>
      <c r="AO1908" s="44"/>
      <c r="AP1908" s="44"/>
      <c r="AQ1908" s="44"/>
      <c r="AR1908" s="44"/>
      <c r="AS1908" s="44"/>
      <c r="AT1908" s="44"/>
      <c r="AU1908" s="44"/>
      <c r="AV1908" s="44"/>
      <c r="AW1908" s="44"/>
      <c r="AZ1908" s="44"/>
      <c r="BK1908" s="11"/>
    </row>
    <row r="1909" spans="1:63" ht="12" customHeight="1" x14ac:dyDescent="0.15">
      <c r="A1909" s="1" t="s">
        <v>20741</v>
      </c>
      <c r="B1909" s="68">
        <v>50</v>
      </c>
      <c r="C1909" s="1" t="s">
        <v>20</v>
      </c>
      <c r="D1909" s="1" t="s">
        <v>37</v>
      </c>
      <c r="E1909" s="1" t="s">
        <v>20740</v>
      </c>
      <c r="F1909" s="69">
        <v>42336</v>
      </c>
      <c r="G1909" s="1" t="s">
        <v>19151</v>
      </c>
      <c r="H1909" s="1" t="s">
        <v>19152</v>
      </c>
      <c r="I1909" s="1" t="s">
        <v>73</v>
      </c>
      <c r="J1909" s="17" t="s">
        <v>22880</v>
      </c>
      <c r="K1909" s="8" t="s">
        <v>285</v>
      </c>
      <c r="L1909" s="1" t="s">
        <v>19153</v>
      </c>
      <c r="M1909" s="1" t="s">
        <v>27</v>
      </c>
      <c r="N1909" s="1" t="s">
        <v>21133</v>
      </c>
      <c r="P1909" s="1" t="s">
        <v>401</v>
      </c>
      <c r="Q1909" s="63" t="s">
        <v>19154</v>
      </c>
      <c r="R1909" s="1" t="s">
        <v>29</v>
      </c>
      <c r="S1909" s="1" t="s">
        <v>28</v>
      </c>
      <c r="T1909" s="68" t="s">
        <v>29477</v>
      </c>
      <c r="U1909" s="68" t="s">
        <v>29436</v>
      </c>
      <c r="V1909" s="68" t="s">
        <v>29439</v>
      </c>
      <c r="W1909" s="68" t="s">
        <v>100</v>
      </c>
      <c r="X1909" s="68">
        <v>1040</v>
      </c>
      <c r="AM1909" s="44"/>
      <c r="AN1909" s="44"/>
      <c r="AO1909" s="44"/>
      <c r="AP1909" s="44"/>
      <c r="AQ1909" s="44"/>
      <c r="AR1909" s="44"/>
      <c r="AS1909" s="44"/>
      <c r="AT1909" s="44"/>
      <c r="AU1909" s="44"/>
      <c r="AV1909" s="44"/>
      <c r="AZ1909" s="44"/>
      <c r="BK1909" s="11"/>
    </row>
    <row r="1910" spans="1:63" ht="12" customHeight="1" x14ac:dyDescent="0.15">
      <c r="A1910" s="1" t="s">
        <v>19155</v>
      </c>
      <c r="B1910" s="68">
        <v>58</v>
      </c>
      <c r="C1910" s="1" t="s">
        <v>20</v>
      </c>
      <c r="D1910" s="1" t="s">
        <v>37</v>
      </c>
      <c r="F1910" s="69">
        <v>42335</v>
      </c>
      <c r="G1910" s="1" t="s">
        <v>19156</v>
      </c>
      <c r="H1910" s="1" t="s">
        <v>19157</v>
      </c>
      <c r="I1910" s="1" t="s">
        <v>431</v>
      </c>
      <c r="J1910" s="17" t="s">
        <v>22867</v>
      </c>
      <c r="K1910" s="8" t="s">
        <v>10455</v>
      </c>
      <c r="L1910" s="1" t="s">
        <v>10456</v>
      </c>
      <c r="M1910" s="1" t="s">
        <v>27</v>
      </c>
      <c r="N1910" s="1" t="s">
        <v>21134</v>
      </c>
      <c r="P1910" s="1" t="s">
        <v>401</v>
      </c>
      <c r="Q1910" s="1" t="s">
        <v>19158</v>
      </c>
      <c r="R1910" s="1" t="s">
        <v>29</v>
      </c>
      <c r="S1910" s="1" t="s">
        <v>28</v>
      </c>
      <c r="T1910" s="68" t="s">
        <v>27756</v>
      </c>
      <c r="U1910" s="68" t="s">
        <v>29438</v>
      </c>
      <c r="V1910" s="68" t="s">
        <v>29439</v>
      </c>
      <c r="W1910" s="68" t="s">
        <v>100</v>
      </c>
      <c r="X1910" s="68">
        <v>1039</v>
      </c>
      <c r="AK1910" s="44"/>
      <c r="AL1910" s="44"/>
      <c r="AU1910" s="44"/>
      <c r="AV1910" s="44"/>
      <c r="AZ1910" s="44"/>
      <c r="BK1910" s="11"/>
    </row>
    <row r="1911" spans="1:63" ht="12" customHeight="1" x14ac:dyDescent="0.15">
      <c r="A1911" s="44" t="s">
        <v>15293</v>
      </c>
      <c r="B1911" s="68">
        <v>26</v>
      </c>
      <c r="C1911" s="44" t="s">
        <v>20</v>
      </c>
      <c r="D1911" s="44" t="s">
        <v>37</v>
      </c>
      <c r="E1911" s="44"/>
      <c r="F1911" s="69">
        <v>42334</v>
      </c>
      <c r="G1911" s="44" t="s">
        <v>20681</v>
      </c>
      <c r="H1911" s="44" t="s">
        <v>5234</v>
      </c>
      <c r="I1911" s="44" t="s">
        <v>45</v>
      </c>
      <c r="J1911" s="17" t="s">
        <v>22876</v>
      </c>
      <c r="K1911" s="8" t="s">
        <v>5235</v>
      </c>
      <c r="L1911" s="44" t="s">
        <v>20680</v>
      </c>
      <c r="M1911" s="44" t="s">
        <v>27</v>
      </c>
      <c r="N1911" s="44" t="s">
        <v>20678</v>
      </c>
      <c r="O1911" s="1" t="s">
        <v>27089</v>
      </c>
      <c r="P1911" s="16" t="s">
        <v>27089</v>
      </c>
      <c r="Q1911" s="44" t="s">
        <v>20679</v>
      </c>
      <c r="R1911" s="1" t="s">
        <v>29</v>
      </c>
      <c r="S1911" s="44" t="s">
        <v>18</v>
      </c>
      <c r="T1911" s="68" t="s">
        <v>28345</v>
      </c>
      <c r="U1911" s="68" t="s">
        <v>29436</v>
      </c>
      <c r="V1911" s="68" t="s">
        <v>29437</v>
      </c>
      <c r="W1911" s="68" t="s">
        <v>555</v>
      </c>
      <c r="X1911" s="68">
        <v>1104</v>
      </c>
      <c r="AU1911" s="44"/>
      <c r="AV1911" s="44"/>
      <c r="AW1911" s="44"/>
      <c r="AZ1911" s="44"/>
    </row>
    <row r="1912" spans="1:63" ht="12" customHeight="1" x14ac:dyDescent="0.15">
      <c r="A1912" s="1" t="s">
        <v>19166</v>
      </c>
      <c r="B1912" s="68">
        <v>52</v>
      </c>
      <c r="C1912" s="1" t="s">
        <v>20</v>
      </c>
      <c r="D1912" s="1" t="s">
        <v>37</v>
      </c>
      <c r="F1912" s="69">
        <v>42333</v>
      </c>
      <c r="G1912" s="1" t="s">
        <v>19167</v>
      </c>
      <c r="H1912" s="1" t="s">
        <v>2169</v>
      </c>
      <c r="I1912" s="1" t="s">
        <v>123</v>
      </c>
      <c r="J1912" s="17" t="s">
        <v>2170</v>
      </c>
      <c r="K1912" s="8" t="s">
        <v>2171</v>
      </c>
      <c r="L1912" s="1" t="s">
        <v>19168</v>
      </c>
      <c r="M1912" s="1" t="s">
        <v>27</v>
      </c>
      <c r="N1912" s="1" t="s">
        <v>21055</v>
      </c>
      <c r="P1912" s="1" t="s">
        <v>401</v>
      </c>
      <c r="Q1912" s="1" t="s">
        <v>19169</v>
      </c>
      <c r="R1912" s="1" t="s">
        <v>29</v>
      </c>
      <c r="S1912" s="2" t="s">
        <v>28</v>
      </c>
      <c r="T1912" s="68" t="s">
        <v>27756</v>
      </c>
      <c r="U1912" s="68" t="s">
        <v>29438</v>
      </c>
      <c r="V1912" s="68" t="s">
        <v>29439</v>
      </c>
      <c r="W1912" s="68" t="s">
        <v>100</v>
      </c>
      <c r="X1912" s="68">
        <v>1035</v>
      </c>
      <c r="AK1912" s="44"/>
      <c r="AL1912" s="44"/>
      <c r="AU1912" s="44"/>
      <c r="AV1912" s="44"/>
      <c r="AZ1912" s="44"/>
      <c r="BK1912" s="11"/>
    </row>
    <row r="1913" spans="1:63" ht="12" customHeight="1" x14ac:dyDescent="0.15">
      <c r="A1913" s="1" t="s">
        <v>19159</v>
      </c>
      <c r="B1913" s="68">
        <v>37</v>
      </c>
      <c r="C1913" s="1" t="s">
        <v>114</v>
      </c>
      <c r="D1913" s="1" t="s">
        <v>37</v>
      </c>
      <c r="E1913" s="1" t="s">
        <v>19395</v>
      </c>
      <c r="F1913" s="69">
        <v>42333</v>
      </c>
      <c r="G1913" s="1" t="s">
        <v>19160</v>
      </c>
      <c r="H1913" s="1" t="s">
        <v>13675</v>
      </c>
      <c r="I1913" s="1" t="s">
        <v>431</v>
      </c>
      <c r="J1913" s="17" t="s">
        <v>22873</v>
      </c>
      <c r="K1913" s="8" t="s">
        <v>4184</v>
      </c>
      <c r="L1913" s="1" t="s">
        <v>19161</v>
      </c>
      <c r="M1913" s="1" t="s">
        <v>27</v>
      </c>
      <c r="N1913" s="1" t="s">
        <v>21136</v>
      </c>
      <c r="P1913" s="1" t="s">
        <v>401</v>
      </c>
      <c r="Q1913" s="63" t="s">
        <v>19162</v>
      </c>
      <c r="R1913" s="1" t="s">
        <v>29</v>
      </c>
      <c r="S1913" s="1" t="s">
        <v>28</v>
      </c>
      <c r="T1913" s="68" t="s">
        <v>27756</v>
      </c>
      <c r="U1913" s="68" t="s">
        <v>29438</v>
      </c>
      <c r="V1913" s="68" t="s">
        <v>29439</v>
      </c>
      <c r="W1913" s="68" t="s">
        <v>100</v>
      </c>
      <c r="X1913" s="68">
        <v>1046</v>
      </c>
      <c r="AU1913" s="44"/>
      <c r="AV1913" s="44"/>
      <c r="AW1913" s="11"/>
      <c r="AZ1913" s="44"/>
      <c r="BK1913" s="11"/>
    </row>
    <row r="1914" spans="1:63" ht="12" customHeight="1" x14ac:dyDescent="0.15">
      <c r="A1914" s="1" t="s">
        <v>19163</v>
      </c>
      <c r="B1914" s="68">
        <v>23</v>
      </c>
      <c r="C1914" s="1" t="s">
        <v>20</v>
      </c>
      <c r="D1914" s="1" t="s">
        <v>37</v>
      </c>
      <c r="E1914" s="1" t="s">
        <v>19374</v>
      </c>
      <c r="F1914" s="69">
        <v>42333</v>
      </c>
      <c r="G1914" s="1" t="s">
        <v>19164</v>
      </c>
      <c r="H1914" s="1" t="s">
        <v>4182</v>
      </c>
      <c r="I1914" s="1" t="s">
        <v>431</v>
      </c>
      <c r="J1914" s="17" t="s">
        <v>22881</v>
      </c>
      <c r="K1914" s="8" t="s">
        <v>4946</v>
      </c>
      <c r="L1914" s="1" t="s">
        <v>4185</v>
      </c>
      <c r="M1914" s="1" t="s">
        <v>27</v>
      </c>
      <c r="N1914" s="1" t="s">
        <v>21135</v>
      </c>
      <c r="P1914" s="1" t="s">
        <v>401</v>
      </c>
      <c r="Q1914" s="1" t="s">
        <v>19165</v>
      </c>
      <c r="R1914" s="1" t="s">
        <v>29</v>
      </c>
      <c r="S1914" s="1" t="s">
        <v>28</v>
      </c>
      <c r="T1914" s="68" t="s">
        <v>29493</v>
      </c>
      <c r="U1914" s="68" t="s">
        <v>29438</v>
      </c>
      <c r="V1914" s="68" t="s">
        <v>29439</v>
      </c>
      <c r="W1914" s="68" t="s">
        <v>100</v>
      </c>
      <c r="X1914" s="68">
        <v>1034</v>
      </c>
      <c r="AU1914" s="44"/>
      <c r="AV1914" s="44"/>
      <c r="AW1914" s="11"/>
      <c r="AZ1914" s="44"/>
      <c r="BK1914" s="11"/>
    </row>
    <row r="1915" spans="1:63" ht="12" customHeight="1" x14ac:dyDescent="0.15">
      <c r="A1915" s="44" t="s">
        <v>20682</v>
      </c>
      <c r="B1915" s="44">
        <v>26</v>
      </c>
      <c r="C1915" s="44" t="s">
        <v>114</v>
      </c>
      <c r="D1915" s="44" t="s">
        <v>37</v>
      </c>
      <c r="E1915" s="44" t="s">
        <v>20937</v>
      </c>
      <c r="F1915" s="72">
        <v>42333</v>
      </c>
      <c r="G1915" s="44" t="s">
        <v>20681</v>
      </c>
      <c r="H1915" s="44" t="s">
        <v>5234</v>
      </c>
      <c r="I1915" s="44" t="s">
        <v>45</v>
      </c>
      <c r="J1915" s="17" t="s">
        <v>22876</v>
      </c>
      <c r="K1915" s="8" t="s">
        <v>5235</v>
      </c>
      <c r="L1915" s="44" t="s">
        <v>20680</v>
      </c>
      <c r="M1915" s="44" t="s">
        <v>27</v>
      </c>
      <c r="N1915" s="44" t="s">
        <v>20678</v>
      </c>
      <c r="O1915" s="44"/>
      <c r="P1915" s="16" t="s">
        <v>401</v>
      </c>
      <c r="Q1915" s="44" t="s">
        <v>20679</v>
      </c>
      <c r="R1915" s="1" t="s">
        <v>29</v>
      </c>
      <c r="S1915" s="44" t="s">
        <v>18</v>
      </c>
      <c r="T1915" s="68"/>
      <c r="U1915" s="68"/>
      <c r="V1915" s="68"/>
      <c r="W1915" s="68"/>
      <c r="X1915" s="68"/>
      <c r="AI1915" s="44"/>
      <c r="AJ1915" s="44"/>
      <c r="AK1915" s="44"/>
      <c r="AL1915" s="44"/>
      <c r="AU1915" s="44"/>
      <c r="AV1915" s="44"/>
    </row>
    <row r="1916" spans="1:63" ht="12" customHeight="1" x14ac:dyDescent="0.2">
      <c r="A1916" s="1" t="s">
        <v>19173</v>
      </c>
      <c r="B1916" s="68">
        <v>32</v>
      </c>
      <c r="C1916" s="1" t="s">
        <v>20</v>
      </c>
      <c r="D1916" s="1" t="s">
        <v>37</v>
      </c>
      <c r="E1916" s="1" t="s">
        <v>19393</v>
      </c>
      <c r="F1916" s="69">
        <v>42332</v>
      </c>
      <c r="G1916" s="1" t="s">
        <v>19174</v>
      </c>
      <c r="H1916" s="1" t="s">
        <v>655</v>
      </c>
      <c r="I1916" s="1" t="s">
        <v>269</v>
      </c>
      <c r="J1916" s="17" t="s">
        <v>22868</v>
      </c>
      <c r="K1916" s="8" t="s">
        <v>570</v>
      </c>
      <c r="L1916" s="1" t="s">
        <v>571</v>
      </c>
      <c r="M1916" s="68" t="s">
        <v>5411</v>
      </c>
      <c r="N1916" s="1" t="s">
        <v>21138</v>
      </c>
      <c r="P1916" s="1" t="s">
        <v>401</v>
      </c>
      <c r="Q1916" s="63" t="s">
        <v>19175</v>
      </c>
      <c r="R1916" s="68" t="s">
        <v>555</v>
      </c>
      <c r="S1916" s="11" t="s">
        <v>18</v>
      </c>
      <c r="T1916" s="68" t="s">
        <v>29612</v>
      </c>
      <c r="U1916" s="68" t="s">
        <v>29438</v>
      </c>
      <c r="V1916" s="68" t="s">
        <v>29440</v>
      </c>
      <c r="W1916" s="68" t="s">
        <v>555</v>
      </c>
      <c r="X1916" s="68">
        <v>1032</v>
      </c>
      <c r="AK1916" s="44"/>
      <c r="AL1916" s="44"/>
      <c r="AU1916" s="44"/>
      <c r="AV1916" s="44"/>
      <c r="AW1916" s="11"/>
      <c r="AZ1916" s="44"/>
      <c r="BA1916" s="44"/>
      <c r="BB1916" s="70"/>
    </row>
    <row r="1917" spans="1:63" ht="12" customHeight="1" x14ac:dyDescent="0.15">
      <c r="A1917" s="1" t="s">
        <v>19170</v>
      </c>
      <c r="B1917" s="68">
        <v>24</v>
      </c>
      <c r="C1917" s="1" t="s">
        <v>20</v>
      </c>
      <c r="D1917" s="1" t="s">
        <v>85</v>
      </c>
      <c r="E1917" s="1" t="s">
        <v>19394</v>
      </c>
      <c r="F1917" s="69">
        <v>42332</v>
      </c>
      <c r="G1917" s="1" t="s">
        <v>19171</v>
      </c>
      <c r="H1917" s="1" t="s">
        <v>1505</v>
      </c>
      <c r="I1917" s="1" t="s">
        <v>81</v>
      </c>
      <c r="J1917" s="17" t="s">
        <v>22853</v>
      </c>
      <c r="K1917" s="8" t="s">
        <v>1505</v>
      </c>
      <c r="L1917" s="1" t="s">
        <v>1506</v>
      </c>
      <c r="M1917" s="1" t="s">
        <v>27</v>
      </c>
      <c r="N1917" s="1" t="s">
        <v>21137</v>
      </c>
      <c r="O1917" s="1" t="s">
        <v>400</v>
      </c>
      <c r="P1917" s="1" t="s">
        <v>401</v>
      </c>
      <c r="Q1917" s="63" t="s">
        <v>19172</v>
      </c>
      <c r="R1917" s="1" t="s">
        <v>29</v>
      </c>
      <c r="S1917" s="1" t="s">
        <v>28</v>
      </c>
      <c r="T1917" s="68" t="s">
        <v>27756</v>
      </c>
      <c r="U1917" s="68" t="s">
        <v>29438</v>
      </c>
      <c r="V1917" s="68" t="s">
        <v>29439</v>
      </c>
      <c r="W1917" s="68" t="s">
        <v>100</v>
      </c>
      <c r="X1917" s="68">
        <v>1033</v>
      </c>
      <c r="AK1917" s="44"/>
      <c r="AL1917" s="44"/>
      <c r="AU1917" s="44"/>
      <c r="AV1917" s="44"/>
      <c r="AW1917" s="11"/>
      <c r="AX1917" s="44"/>
      <c r="AY1917" s="44"/>
      <c r="AZ1917" s="44"/>
      <c r="BC1917" s="44"/>
      <c r="BD1917" s="44"/>
      <c r="BE1917" s="44"/>
      <c r="BF1917" s="44"/>
      <c r="BG1917" s="44"/>
      <c r="BH1917" s="44"/>
      <c r="BI1917" s="44"/>
      <c r="BJ1917" s="44"/>
      <c r="BK1917" s="11"/>
    </row>
    <row r="1918" spans="1:63" ht="12" customHeight="1" x14ac:dyDescent="0.15">
      <c r="A1918" s="1" t="s">
        <v>19176</v>
      </c>
      <c r="B1918" s="68">
        <v>45</v>
      </c>
      <c r="C1918" s="1" t="s">
        <v>20</v>
      </c>
      <c r="D1918" s="1" t="s">
        <v>37</v>
      </c>
      <c r="E1918" s="1" t="s">
        <v>19362</v>
      </c>
      <c r="F1918" s="69">
        <v>42332</v>
      </c>
      <c r="G1918" s="1" t="s">
        <v>19177</v>
      </c>
      <c r="H1918" s="1" t="s">
        <v>19178</v>
      </c>
      <c r="I1918" s="1" t="s">
        <v>133</v>
      </c>
      <c r="J1918" s="17" t="s">
        <v>22857</v>
      </c>
      <c r="K1918" s="8" t="s">
        <v>2417</v>
      </c>
      <c r="L1918" s="1" t="s">
        <v>19179</v>
      </c>
      <c r="M1918" s="1" t="s">
        <v>27</v>
      </c>
      <c r="N1918" s="74" t="s">
        <v>29616</v>
      </c>
      <c r="P1918" s="1" t="s">
        <v>401</v>
      </c>
      <c r="Q1918" s="63" t="s">
        <v>19180</v>
      </c>
      <c r="R1918" s="1" t="s">
        <v>29</v>
      </c>
      <c r="S1918" s="1" t="s">
        <v>18</v>
      </c>
      <c r="T1918" s="68" t="s">
        <v>29612</v>
      </c>
      <c r="U1918" s="68" t="s">
        <v>29436</v>
      </c>
      <c r="V1918" s="68" t="s">
        <v>29439</v>
      </c>
      <c r="W1918" s="68" t="s">
        <v>100</v>
      </c>
      <c r="X1918" s="68">
        <v>1031</v>
      </c>
      <c r="AK1918" s="44"/>
      <c r="AL1918" s="44"/>
      <c r="AM1918" s="44"/>
      <c r="AN1918" s="44"/>
      <c r="AO1918" s="44"/>
      <c r="AP1918" s="44"/>
      <c r="AQ1918" s="44"/>
      <c r="AR1918" s="44"/>
      <c r="AS1918" s="44"/>
      <c r="AT1918" s="44"/>
      <c r="AU1918" s="44"/>
      <c r="AV1918" s="44"/>
      <c r="AZ1918" s="44"/>
    </row>
    <row r="1919" spans="1:63" ht="12" customHeight="1" x14ac:dyDescent="0.2">
      <c r="A1919" s="1" t="s">
        <v>19181</v>
      </c>
      <c r="B1919" s="68">
        <v>49</v>
      </c>
      <c r="C1919" s="1" t="s">
        <v>20</v>
      </c>
      <c r="D1919" s="1" t="s">
        <v>48</v>
      </c>
      <c r="E1919" s="1" t="s">
        <v>19373</v>
      </c>
      <c r="F1919" s="69">
        <v>42331</v>
      </c>
      <c r="G1919" s="1" t="s">
        <v>19182</v>
      </c>
      <c r="H1919" s="1" t="s">
        <v>12409</v>
      </c>
      <c r="I1919" s="1" t="s">
        <v>73</v>
      </c>
      <c r="J1919" s="17" t="s">
        <v>22859</v>
      </c>
      <c r="K1919" s="8" t="s">
        <v>12411</v>
      </c>
      <c r="L1919" s="1" t="s">
        <v>12412</v>
      </c>
      <c r="M1919" s="68" t="s">
        <v>5411</v>
      </c>
      <c r="N1919" s="1" t="s">
        <v>21139</v>
      </c>
      <c r="P1919" s="1" t="s">
        <v>401</v>
      </c>
      <c r="Q1919" s="63" t="s">
        <v>19183</v>
      </c>
      <c r="R1919" s="1" t="s">
        <v>29</v>
      </c>
      <c r="S1919" s="1" t="s">
        <v>28</v>
      </c>
      <c r="T1919" s="68" t="s">
        <v>29493</v>
      </c>
      <c r="U1919" s="68" t="s">
        <v>29436</v>
      </c>
      <c r="V1919" s="68" t="s">
        <v>29439</v>
      </c>
      <c r="W1919" s="68" t="s">
        <v>555</v>
      </c>
      <c r="X1919" s="68">
        <v>1028</v>
      </c>
      <c r="AK1919" s="44"/>
      <c r="AL1919" s="44"/>
      <c r="AU1919" s="44"/>
      <c r="AV1919" s="44"/>
      <c r="AZ1919" s="44"/>
      <c r="BB1919" s="70"/>
    </row>
    <row r="1920" spans="1:63" ht="12" customHeight="1" x14ac:dyDescent="0.15">
      <c r="A1920" s="1" t="s">
        <v>19184</v>
      </c>
      <c r="B1920" s="68">
        <v>50</v>
      </c>
      <c r="C1920" s="1" t="s">
        <v>20</v>
      </c>
      <c r="D1920" s="1" t="s">
        <v>37</v>
      </c>
      <c r="E1920" s="1" t="s">
        <v>19392</v>
      </c>
      <c r="F1920" s="69">
        <v>42331</v>
      </c>
      <c r="G1920" s="1" t="s">
        <v>19185</v>
      </c>
      <c r="H1920" s="1" t="s">
        <v>1287</v>
      </c>
      <c r="I1920" s="1" t="s">
        <v>69</v>
      </c>
      <c r="J1920" s="17" t="s">
        <v>22858</v>
      </c>
      <c r="K1920" s="8" t="s">
        <v>1288</v>
      </c>
      <c r="L1920" s="1" t="s">
        <v>12562</v>
      </c>
      <c r="M1920" s="1" t="s">
        <v>27</v>
      </c>
      <c r="N1920" s="1" t="s">
        <v>21140</v>
      </c>
      <c r="P1920" s="1" t="s">
        <v>401</v>
      </c>
      <c r="Q1920" s="63" t="s">
        <v>19186</v>
      </c>
      <c r="R1920" s="1" t="s">
        <v>29</v>
      </c>
      <c r="S1920" s="1" t="s">
        <v>28</v>
      </c>
      <c r="T1920" s="68" t="s">
        <v>27756</v>
      </c>
      <c r="U1920" s="68" t="s">
        <v>29438</v>
      </c>
      <c r="V1920" s="68" t="s">
        <v>29439</v>
      </c>
      <c r="W1920" s="68" t="s">
        <v>100</v>
      </c>
      <c r="X1920" s="68">
        <v>1030</v>
      </c>
      <c r="AK1920" s="44"/>
      <c r="AL1920" s="44"/>
      <c r="AU1920" s="44"/>
      <c r="AV1920" s="44"/>
      <c r="AZ1920" s="44"/>
      <c r="BK1920" s="11"/>
    </row>
    <row r="1921" spans="1:63" ht="12" customHeight="1" x14ac:dyDescent="0.15">
      <c r="A1921" s="1" t="s">
        <v>19190</v>
      </c>
      <c r="B1921" s="68">
        <v>45</v>
      </c>
      <c r="C1921" s="1" t="s">
        <v>20</v>
      </c>
      <c r="D1921" s="1" t="s">
        <v>37</v>
      </c>
      <c r="E1921" s="1" t="s">
        <v>19391</v>
      </c>
      <c r="F1921" s="69">
        <v>42330</v>
      </c>
      <c r="G1921" s="1" t="s">
        <v>19191</v>
      </c>
      <c r="H1921" s="1" t="s">
        <v>1611</v>
      </c>
      <c r="I1921" s="1" t="s">
        <v>269</v>
      </c>
      <c r="J1921" s="17" t="s">
        <v>7468</v>
      </c>
      <c r="K1921" s="8" t="s">
        <v>6245</v>
      </c>
      <c r="L1921" s="1" t="s">
        <v>7469</v>
      </c>
      <c r="M1921" s="1" t="s">
        <v>27</v>
      </c>
      <c r="N1921" s="1" t="s">
        <v>21142</v>
      </c>
      <c r="P1921" s="1" t="s">
        <v>401</v>
      </c>
      <c r="Q1921" s="63" t="s">
        <v>19192</v>
      </c>
      <c r="R1921" s="1" t="s">
        <v>100</v>
      </c>
      <c r="S1921" s="1" t="s">
        <v>28</v>
      </c>
      <c r="T1921" s="68" t="s">
        <v>27756</v>
      </c>
      <c r="U1921" s="68" t="s">
        <v>29438</v>
      </c>
      <c r="V1921" s="68" t="s">
        <v>29439</v>
      </c>
      <c r="W1921" s="68" t="s">
        <v>100</v>
      </c>
      <c r="X1921" s="68">
        <v>1027</v>
      </c>
      <c r="AU1921" s="44"/>
      <c r="AV1921" s="44"/>
      <c r="AZ1921" s="44"/>
      <c r="BA1921" s="44"/>
      <c r="BB1921" s="44"/>
      <c r="BK1921" s="11"/>
    </row>
    <row r="1922" spans="1:63" ht="12" customHeight="1" x14ac:dyDescent="0.15">
      <c r="A1922" s="1" t="s">
        <v>19193</v>
      </c>
      <c r="B1922" s="68">
        <v>47</v>
      </c>
      <c r="C1922" s="1" t="s">
        <v>20</v>
      </c>
      <c r="D1922" s="1" t="s">
        <v>37</v>
      </c>
      <c r="E1922" s="1" t="s">
        <v>19372</v>
      </c>
      <c r="F1922" s="69">
        <v>42330</v>
      </c>
      <c r="G1922" s="1" t="s">
        <v>19194</v>
      </c>
      <c r="H1922" s="1" t="s">
        <v>415</v>
      </c>
      <c r="I1922" s="1" t="s">
        <v>45</v>
      </c>
      <c r="J1922" s="17" t="s">
        <v>22865</v>
      </c>
      <c r="K1922" s="8" t="s">
        <v>309</v>
      </c>
      <c r="L1922" s="1" t="s">
        <v>416</v>
      </c>
      <c r="M1922" s="1" t="s">
        <v>27</v>
      </c>
      <c r="N1922" s="1" t="s">
        <v>21143</v>
      </c>
      <c r="P1922" s="1" t="s">
        <v>401</v>
      </c>
      <c r="Q1922" s="63" t="s">
        <v>19195</v>
      </c>
      <c r="R1922" s="68" t="s">
        <v>555</v>
      </c>
      <c r="S1922" s="1" t="s">
        <v>28</v>
      </c>
      <c r="T1922" s="68" t="s">
        <v>29493</v>
      </c>
      <c r="U1922" s="68" t="s">
        <v>29438</v>
      </c>
      <c r="V1922" s="68" t="s">
        <v>29439</v>
      </c>
      <c r="W1922" s="68" t="s">
        <v>100</v>
      </c>
      <c r="X1922" s="68">
        <v>1025</v>
      </c>
      <c r="AK1922" s="44"/>
      <c r="AL1922" s="44"/>
      <c r="AU1922" s="44"/>
      <c r="AV1922" s="44"/>
      <c r="AZ1922" s="44"/>
      <c r="BA1922" s="44"/>
      <c r="BB1922" s="44"/>
      <c r="BK1922" s="11"/>
    </row>
    <row r="1923" spans="1:63" ht="12" customHeight="1" x14ac:dyDescent="0.15">
      <c r="A1923" s="1" t="s">
        <v>19187</v>
      </c>
      <c r="B1923" s="68">
        <v>28</v>
      </c>
      <c r="C1923" s="1" t="s">
        <v>20</v>
      </c>
      <c r="D1923" s="1" t="s">
        <v>48</v>
      </c>
      <c r="F1923" s="69">
        <v>42330</v>
      </c>
      <c r="G1923" s="1" t="s">
        <v>19188</v>
      </c>
      <c r="H1923" s="1" t="s">
        <v>1298</v>
      </c>
      <c r="I1923" s="1" t="s">
        <v>209</v>
      </c>
      <c r="J1923" s="17" t="s">
        <v>16721</v>
      </c>
      <c r="K1923" s="8" t="s">
        <v>1298</v>
      </c>
      <c r="L1923" s="1" t="s">
        <v>1299</v>
      </c>
      <c r="M1923" s="1" t="s">
        <v>27</v>
      </c>
      <c r="N1923" s="1" t="s">
        <v>21141</v>
      </c>
      <c r="P1923" s="1" t="s">
        <v>401</v>
      </c>
      <c r="Q1923" s="63" t="s">
        <v>19189</v>
      </c>
      <c r="R1923" s="1" t="s">
        <v>29</v>
      </c>
      <c r="S1923" s="1" t="s">
        <v>28</v>
      </c>
      <c r="T1923" s="68" t="s">
        <v>27756</v>
      </c>
      <c r="U1923" s="68" t="s">
        <v>29438</v>
      </c>
      <c r="V1923" s="68" t="s">
        <v>29439</v>
      </c>
      <c r="W1923" s="68" t="s">
        <v>100</v>
      </c>
      <c r="X1923" s="68">
        <v>1029</v>
      </c>
      <c r="AK1923" s="44"/>
      <c r="AL1923" s="44"/>
      <c r="AU1923" s="44"/>
      <c r="AV1923" s="44"/>
      <c r="AW1923" s="44"/>
      <c r="AZ1923" s="44"/>
      <c r="BK1923" s="11"/>
    </row>
    <row r="1924" spans="1:63" ht="12" customHeight="1" x14ac:dyDescent="0.15">
      <c r="A1924" s="1" t="s">
        <v>19196</v>
      </c>
      <c r="B1924" s="68">
        <v>24</v>
      </c>
      <c r="C1924" s="1" t="s">
        <v>20</v>
      </c>
      <c r="D1924" s="1" t="s">
        <v>37</v>
      </c>
      <c r="E1924" s="1" t="s">
        <v>19368</v>
      </c>
      <c r="F1924" s="69">
        <v>42329</v>
      </c>
      <c r="G1924" s="1" t="s">
        <v>19197</v>
      </c>
      <c r="H1924" s="1" t="s">
        <v>95</v>
      </c>
      <c r="I1924" s="1" t="s">
        <v>395</v>
      </c>
      <c r="J1924" s="17" t="s">
        <v>22855</v>
      </c>
      <c r="K1924" s="8" t="s">
        <v>22856</v>
      </c>
      <c r="L1924" s="1" t="s">
        <v>19198</v>
      </c>
      <c r="M1924" s="1" t="s">
        <v>27</v>
      </c>
      <c r="P1924" s="1" t="s">
        <v>401</v>
      </c>
      <c r="Q1924" s="63" t="s">
        <v>19199</v>
      </c>
      <c r="R1924" s="1" t="s">
        <v>29</v>
      </c>
      <c r="S1924" s="1" t="s">
        <v>18</v>
      </c>
      <c r="T1924" s="68" t="s">
        <v>28345</v>
      </c>
      <c r="U1924" s="68" t="s">
        <v>29438</v>
      </c>
      <c r="V1924" s="68" t="s">
        <v>29440</v>
      </c>
      <c r="W1924" s="68" t="s">
        <v>100</v>
      </c>
      <c r="X1924" s="68">
        <v>1026</v>
      </c>
      <c r="AK1924" s="44"/>
      <c r="AL1924" s="44"/>
      <c r="AU1924" s="44"/>
      <c r="AV1924" s="44"/>
      <c r="AW1924" s="11"/>
      <c r="AZ1924" s="44"/>
    </row>
    <row r="1925" spans="1:63" ht="12" customHeight="1" x14ac:dyDescent="0.15">
      <c r="A1925" s="1" t="s">
        <v>19091</v>
      </c>
      <c r="B1925" s="68">
        <v>29</v>
      </c>
      <c r="C1925" s="1" t="s">
        <v>20</v>
      </c>
      <c r="D1925" s="1" t="s">
        <v>85</v>
      </c>
      <c r="F1925" s="69">
        <v>42328</v>
      </c>
      <c r="G1925" s="1" t="s">
        <v>19092</v>
      </c>
      <c r="H1925" s="1" t="s">
        <v>348</v>
      </c>
      <c r="I1925" s="1" t="s">
        <v>45</v>
      </c>
      <c r="J1925" s="4" t="s">
        <v>19093</v>
      </c>
      <c r="K1925" s="1" t="s">
        <v>309</v>
      </c>
      <c r="L1925" s="1" t="s">
        <v>310</v>
      </c>
      <c r="M1925" s="1" t="s">
        <v>27</v>
      </c>
      <c r="N1925" s="1" t="s">
        <v>19094</v>
      </c>
      <c r="O1925" s="1" t="s">
        <v>400</v>
      </c>
      <c r="P1925" s="1" t="s">
        <v>401</v>
      </c>
      <c r="Q1925" s="63" t="s">
        <v>19095</v>
      </c>
      <c r="R1925" s="68" t="s">
        <v>555</v>
      </c>
      <c r="S1925" s="1" t="s">
        <v>18</v>
      </c>
      <c r="T1925" s="68" t="s">
        <v>28345</v>
      </c>
      <c r="U1925" s="68" t="s">
        <v>29438</v>
      </c>
      <c r="V1925" s="68" t="s">
        <v>29439</v>
      </c>
      <c r="W1925" s="68" t="s">
        <v>100</v>
      </c>
      <c r="X1925" s="68">
        <v>1023</v>
      </c>
      <c r="AU1925" s="44"/>
      <c r="AV1925" s="44"/>
      <c r="AW1925" s="44"/>
      <c r="AX1925" s="11"/>
      <c r="AY1925" s="11"/>
      <c r="AZ1925" s="44"/>
      <c r="BA1925" s="44"/>
      <c r="BB1925" s="11"/>
      <c r="BC1925" s="44"/>
      <c r="BD1925" s="44"/>
      <c r="BE1925" s="44"/>
      <c r="BF1925" s="44"/>
      <c r="BG1925" s="44"/>
      <c r="BH1925" s="44"/>
      <c r="BI1925" s="44"/>
      <c r="BJ1925" s="44"/>
    </row>
    <row r="1926" spans="1:63" ht="12" customHeight="1" x14ac:dyDescent="0.15">
      <c r="A1926" s="1" t="s">
        <v>19207</v>
      </c>
      <c r="B1926" s="68">
        <v>39</v>
      </c>
      <c r="C1926" s="1" t="s">
        <v>20</v>
      </c>
      <c r="D1926" s="1" t="s">
        <v>37</v>
      </c>
      <c r="E1926" s="1" t="s">
        <v>19390</v>
      </c>
      <c r="F1926" s="69">
        <v>42328</v>
      </c>
      <c r="G1926" s="1" t="s">
        <v>19208</v>
      </c>
      <c r="H1926" s="1" t="s">
        <v>285</v>
      </c>
      <c r="I1926" s="1" t="s">
        <v>173</v>
      </c>
      <c r="J1926" s="17" t="s">
        <v>22860</v>
      </c>
      <c r="K1926" s="8" t="s">
        <v>22861</v>
      </c>
      <c r="L1926" s="1" t="s">
        <v>19209</v>
      </c>
      <c r="M1926" s="1" t="s">
        <v>27</v>
      </c>
      <c r="N1926" s="1" t="s">
        <v>21144</v>
      </c>
      <c r="P1926" s="1" t="s">
        <v>401</v>
      </c>
      <c r="Q1926" s="63" t="s">
        <v>19210</v>
      </c>
      <c r="R1926" s="68" t="s">
        <v>555</v>
      </c>
      <c r="S1926" s="1" t="s">
        <v>28</v>
      </c>
      <c r="T1926" s="68" t="s">
        <v>27756</v>
      </c>
      <c r="U1926" s="68" t="s">
        <v>29438</v>
      </c>
      <c r="V1926" s="68" t="s">
        <v>29439</v>
      </c>
      <c r="W1926" s="68" t="s">
        <v>100</v>
      </c>
      <c r="X1926" s="68">
        <v>1024</v>
      </c>
      <c r="AK1926" s="44"/>
      <c r="AL1926" s="44"/>
      <c r="AU1926" s="44"/>
      <c r="AV1926" s="44"/>
      <c r="AW1926" s="44"/>
      <c r="AZ1926" s="44"/>
      <c r="BA1926" s="44"/>
      <c r="BB1926" s="44"/>
      <c r="BK1926" s="11"/>
    </row>
    <row r="1927" spans="1:63" ht="12" customHeight="1" x14ac:dyDescent="0.15">
      <c r="A1927" s="1" t="s">
        <v>22828</v>
      </c>
      <c r="B1927" s="1">
        <v>56</v>
      </c>
      <c r="C1927" s="1" t="s">
        <v>20</v>
      </c>
      <c r="D1927" s="1" t="s">
        <v>48</v>
      </c>
      <c r="F1927" s="72">
        <v>42328</v>
      </c>
      <c r="G1927" s="1" t="s">
        <v>19200</v>
      </c>
      <c r="H1927" s="1" t="s">
        <v>415</v>
      </c>
      <c r="I1927" s="1" t="s">
        <v>45</v>
      </c>
      <c r="J1927" s="17" t="s">
        <v>22866</v>
      </c>
      <c r="K1927" s="8" t="s">
        <v>309</v>
      </c>
      <c r="L1927" s="1" t="s">
        <v>416</v>
      </c>
      <c r="M1927" s="1" t="s">
        <v>27</v>
      </c>
      <c r="P1927" s="1" t="s">
        <v>401</v>
      </c>
      <c r="Q1927" s="63" t="s">
        <v>19201</v>
      </c>
      <c r="R1927" s="1" t="s">
        <v>29</v>
      </c>
      <c r="S1927" s="1" t="s">
        <v>28</v>
      </c>
      <c r="T1927" s="68"/>
      <c r="U1927" s="68"/>
      <c r="V1927" s="68"/>
      <c r="W1927" s="68"/>
      <c r="X1927" s="68"/>
      <c r="AK1927" s="44"/>
      <c r="AL1927" s="44"/>
      <c r="AU1927" s="44"/>
      <c r="AV1927" s="44"/>
      <c r="BK1927" s="11"/>
    </row>
    <row r="1928" spans="1:63" ht="12" customHeight="1" x14ac:dyDescent="0.15">
      <c r="A1928" s="1" t="s">
        <v>19202</v>
      </c>
      <c r="B1928" s="1">
        <v>32</v>
      </c>
      <c r="C1928" s="1" t="s">
        <v>20</v>
      </c>
      <c r="D1928" s="1" t="s">
        <v>37</v>
      </c>
      <c r="E1928" s="1" t="s">
        <v>19367</v>
      </c>
      <c r="F1928" s="72">
        <v>42328</v>
      </c>
      <c r="G1928" s="1" t="s">
        <v>19203</v>
      </c>
      <c r="H1928" s="1" t="s">
        <v>19204</v>
      </c>
      <c r="I1928" s="1" t="s">
        <v>173</v>
      </c>
      <c r="J1928" s="17" t="s">
        <v>22874</v>
      </c>
      <c r="K1928" s="8" t="s">
        <v>22875</v>
      </c>
      <c r="L1928" s="1" t="s">
        <v>19205</v>
      </c>
      <c r="M1928" s="1" t="s">
        <v>391</v>
      </c>
      <c r="P1928" s="1" t="s">
        <v>401</v>
      </c>
      <c r="Q1928" s="63" t="s">
        <v>19206</v>
      </c>
      <c r="R1928" s="1" t="s">
        <v>29</v>
      </c>
      <c r="S1928" s="1" t="s">
        <v>18</v>
      </c>
      <c r="AW1928" s="11"/>
    </row>
    <row r="1929" spans="1:63" ht="12" customHeight="1" x14ac:dyDescent="0.15">
      <c r="A1929" s="1" t="s">
        <v>19084</v>
      </c>
      <c r="B1929" s="68">
        <v>27</v>
      </c>
      <c r="C1929" s="1" t="s">
        <v>20</v>
      </c>
      <c r="D1929" s="1" t="s">
        <v>85</v>
      </c>
      <c r="E1929" s="1" t="s">
        <v>19085</v>
      </c>
      <c r="F1929" s="69">
        <v>42327</v>
      </c>
      <c r="G1929" s="1" t="s">
        <v>19086</v>
      </c>
      <c r="H1929" s="1" t="s">
        <v>3241</v>
      </c>
      <c r="I1929" s="1" t="s">
        <v>62</v>
      </c>
      <c r="J1929" s="17" t="s">
        <v>19087</v>
      </c>
      <c r="K1929" s="8" t="s">
        <v>3243</v>
      </c>
      <c r="L1929" s="1" t="s">
        <v>19088</v>
      </c>
      <c r="M1929" s="1" t="s">
        <v>27</v>
      </c>
      <c r="N1929" s="1" t="s">
        <v>19089</v>
      </c>
      <c r="O1929" s="1" t="s">
        <v>400</v>
      </c>
      <c r="P1929" s="1" t="s">
        <v>401</v>
      </c>
      <c r="Q1929" s="63" t="s">
        <v>19090</v>
      </c>
      <c r="R1929" s="1" t="s">
        <v>100</v>
      </c>
      <c r="S1929" s="1" t="s">
        <v>28</v>
      </c>
      <c r="T1929" s="68" t="s">
        <v>29493</v>
      </c>
      <c r="U1929" s="68" t="s">
        <v>29438</v>
      </c>
      <c r="V1929" s="68" t="s">
        <v>29439</v>
      </c>
      <c r="W1929" s="68" t="s">
        <v>100</v>
      </c>
      <c r="X1929" s="68">
        <v>1021</v>
      </c>
      <c r="AU1929" s="44"/>
      <c r="AV1929" s="44"/>
      <c r="AW1929" s="44"/>
      <c r="AX1929" s="11"/>
      <c r="AY1929" s="11"/>
      <c r="AZ1929" s="44"/>
      <c r="BA1929" s="44"/>
      <c r="BB1929" s="44"/>
      <c r="BC1929" s="44"/>
      <c r="BD1929" s="44"/>
      <c r="BE1929" s="44"/>
      <c r="BF1929" s="44"/>
      <c r="BG1929" s="44"/>
      <c r="BH1929" s="44"/>
      <c r="BI1929" s="44"/>
      <c r="BJ1929" s="44"/>
      <c r="BK1929" s="11"/>
    </row>
    <row r="1930" spans="1:63" ht="12" customHeight="1" x14ac:dyDescent="0.15">
      <c r="A1930" s="1" t="s">
        <v>19096</v>
      </c>
      <c r="B1930" s="68">
        <v>34</v>
      </c>
      <c r="C1930" s="1" t="s">
        <v>20</v>
      </c>
      <c r="D1930" s="1" t="s">
        <v>85</v>
      </c>
      <c r="E1930" s="1" t="s">
        <v>19371</v>
      </c>
      <c r="F1930" s="69">
        <v>42327</v>
      </c>
      <c r="G1930" s="1" t="s">
        <v>19097</v>
      </c>
      <c r="H1930" s="1" t="s">
        <v>118</v>
      </c>
      <c r="I1930" s="1" t="s">
        <v>3664</v>
      </c>
      <c r="J1930" s="17" t="s">
        <v>10654</v>
      </c>
      <c r="K1930" s="8" t="s">
        <v>3666</v>
      </c>
      <c r="L1930" s="1" t="s">
        <v>19405</v>
      </c>
      <c r="M1930" s="1" t="s">
        <v>27</v>
      </c>
      <c r="N1930" s="1" t="s">
        <v>19098</v>
      </c>
      <c r="O1930" s="1" t="s">
        <v>400</v>
      </c>
      <c r="P1930" s="1" t="s">
        <v>401</v>
      </c>
      <c r="Q1930" s="63" t="s">
        <v>19099</v>
      </c>
      <c r="R1930" s="1" t="s">
        <v>29</v>
      </c>
      <c r="S1930" s="1" t="s">
        <v>28</v>
      </c>
      <c r="T1930" s="68" t="s">
        <v>29493</v>
      </c>
      <c r="U1930" s="68" t="s">
        <v>29436</v>
      </c>
      <c r="V1930" s="68" t="s">
        <v>29439</v>
      </c>
      <c r="W1930" s="68" t="s">
        <v>100</v>
      </c>
      <c r="X1930" s="68">
        <v>1022</v>
      </c>
      <c r="AU1930" s="44"/>
      <c r="AV1930" s="44"/>
      <c r="AW1930" s="11"/>
      <c r="AX1930" s="11"/>
      <c r="AY1930" s="11"/>
      <c r="AZ1930" s="44"/>
      <c r="BC1930" s="44"/>
      <c r="BD1930" s="44"/>
      <c r="BE1930" s="44"/>
      <c r="BF1930" s="44"/>
      <c r="BG1930" s="44"/>
      <c r="BH1930" s="44"/>
      <c r="BI1930" s="44"/>
      <c r="BJ1930" s="44"/>
      <c r="BK1930" s="11"/>
    </row>
    <row r="1931" spans="1:63" ht="12" customHeight="1" x14ac:dyDescent="0.15">
      <c r="A1931" s="1" t="s">
        <v>19079</v>
      </c>
      <c r="B1931" s="68">
        <v>34</v>
      </c>
      <c r="C1931" s="1" t="s">
        <v>20</v>
      </c>
      <c r="D1931" s="1" t="s">
        <v>85</v>
      </c>
      <c r="E1931" s="1" t="s">
        <v>19080</v>
      </c>
      <c r="F1931" s="69">
        <v>42327</v>
      </c>
      <c r="G1931" s="1" t="s">
        <v>19081</v>
      </c>
      <c r="H1931" s="1" t="s">
        <v>3572</v>
      </c>
      <c r="I1931" s="1" t="s">
        <v>62</v>
      </c>
      <c r="J1931" s="4" t="s">
        <v>7548</v>
      </c>
      <c r="K1931" s="1" t="s">
        <v>3574</v>
      </c>
      <c r="L1931" s="1" t="s">
        <v>3575</v>
      </c>
      <c r="M1931" s="1" t="s">
        <v>27</v>
      </c>
      <c r="N1931" s="1" t="s">
        <v>19082</v>
      </c>
      <c r="O1931" s="1" t="s">
        <v>400</v>
      </c>
      <c r="P1931" s="1" t="s">
        <v>401</v>
      </c>
      <c r="Q1931" s="63" t="s">
        <v>19083</v>
      </c>
      <c r="R1931" s="1" t="s">
        <v>29</v>
      </c>
      <c r="S1931" s="1" t="s">
        <v>28</v>
      </c>
      <c r="T1931" s="68" t="s">
        <v>27756</v>
      </c>
      <c r="U1931" s="68" t="s">
        <v>29438</v>
      </c>
      <c r="V1931" s="68"/>
      <c r="W1931" s="68" t="s">
        <v>100</v>
      </c>
      <c r="X1931" s="68">
        <v>1020</v>
      </c>
      <c r="AU1931" s="44"/>
      <c r="AV1931" s="44"/>
      <c r="AW1931" s="11"/>
      <c r="AX1931" s="11"/>
      <c r="AY1931" s="11"/>
      <c r="AZ1931" s="44"/>
      <c r="BC1931" s="44"/>
      <c r="BD1931" s="44"/>
      <c r="BE1931" s="44"/>
      <c r="BF1931" s="44"/>
      <c r="BG1931" s="44"/>
      <c r="BH1931" s="44"/>
      <c r="BI1931" s="44"/>
      <c r="BJ1931" s="44"/>
      <c r="BK1931" s="11"/>
    </row>
    <row r="1932" spans="1:63" ht="12" customHeight="1" x14ac:dyDescent="0.15">
      <c r="A1932" s="1" t="s">
        <v>20742</v>
      </c>
      <c r="B1932" s="1">
        <v>54</v>
      </c>
      <c r="C1932" s="1" t="s">
        <v>114</v>
      </c>
      <c r="D1932" s="1" t="s">
        <v>30</v>
      </c>
      <c r="F1932" s="72">
        <v>42327</v>
      </c>
      <c r="G1932" s="1" t="s">
        <v>19211</v>
      </c>
      <c r="H1932" s="1" t="s">
        <v>3194</v>
      </c>
      <c r="I1932" s="1" t="s">
        <v>117</v>
      </c>
      <c r="L1932" s="1" t="s">
        <v>19212</v>
      </c>
      <c r="M1932" s="1" t="s">
        <v>379</v>
      </c>
      <c r="P1932" s="1" t="s">
        <v>401</v>
      </c>
      <c r="Q1932" s="63" t="s">
        <v>19213</v>
      </c>
      <c r="R1932" s="1" t="s">
        <v>29</v>
      </c>
      <c r="S1932" s="1" t="s">
        <v>18</v>
      </c>
      <c r="AU1932" s="44"/>
      <c r="AV1932" s="44"/>
      <c r="AW1932" s="44"/>
    </row>
    <row r="1933" spans="1:63" ht="12" customHeight="1" x14ac:dyDescent="0.15">
      <c r="A1933" s="1" t="s">
        <v>20436</v>
      </c>
      <c r="B1933" s="1">
        <v>30</v>
      </c>
      <c r="C1933" s="1" t="s">
        <v>114</v>
      </c>
      <c r="D1933" s="1" t="s">
        <v>85</v>
      </c>
      <c r="E1933" s="1" t="s">
        <v>20437</v>
      </c>
      <c r="F1933" s="72">
        <v>42326</v>
      </c>
      <c r="G1933" s="1" t="s">
        <v>20438</v>
      </c>
      <c r="H1933" s="1" t="s">
        <v>2340</v>
      </c>
      <c r="I1933" s="1" t="s">
        <v>217</v>
      </c>
      <c r="K1933" s="1" t="s">
        <v>21203</v>
      </c>
      <c r="L1933" s="1" t="s">
        <v>11532</v>
      </c>
      <c r="M1933" s="1" t="s">
        <v>27</v>
      </c>
      <c r="N1933" s="1" t="s">
        <v>20448</v>
      </c>
      <c r="O1933" s="8" t="s">
        <v>21481</v>
      </c>
      <c r="P1933" s="1" t="s">
        <v>1159</v>
      </c>
      <c r="Q1933" s="63" t="s">
        <v>20439</v>
      </c>
      <c r="R1933" s="1" t="s">
        <v>100</v>
      </c>
      <c r="S1933" s="1" t="s">
        <v>18</v>
      </c>
      <c r="T1933" s="68"/>
      <c r="U1933" s="68"/>
      <c r="V1933" s="68"/>
      <c r="W1933" s="68"/>
      <c r="X1933" s="68"/>
      <c r="AU1933" s="44"/>
      <c r="AV1933" s="44"/>
      <c r="AX1933" s="44"/>
      <c r="AY1933" s="44"/>
      <c r="BC1933" s="44"/>
      <c r="BD1933" s="44"/>
      <c r="BE1933" s="44"/>
      <c r="BF1933" s="44"/>
      <c r="BG1933" s="44"/>
      <c r="BH1933" s="44"/>
      <c r="BI1933" s="44"/>
      <c r="BJ1933" s="44"/>
    </row>
    <row r="1934" spans="1:63" ht="12" customHeight="1" x14ac:dyDescent="0.15">
      <c r="A1934" s="1" t="s">
        <v>19067</v>
      </c>
      <c r="B1934" s="68">
        <v>25</v>
      </c>
      <c r="C1934" s="1" t="s">
        <v>20</v>
      </c>
      <c r="D1934" s="1" t="s">
        <v>85</v>
      </c>
      <c r="E1934" s="1" t="s">
        <v>19068</v>
      </c>
      <c r="F1934" s="69">
        <v>42326</v>
      </c>
      <c r="G1934" s="1" t="s">
        <v>19069</v>
      </c>
      <c r="H1934" s="1" t="s">
        <v>19070</v>
      </c>
      <c r="I1934" s="1" t="s">
        <v>62</v>
      </c>
      <c r="J1934" s="4" t="s">
        <v>19071</v>
      </c>
      <c r="K1934" s="1" t="s">
        <v>161</v>
      </c>
      <c r="L1934" s="1" t="s">
        <v>17385</v>
      </c>
      <c r="M1934" s="1" t="s">
        <v>27</v>
      </c>
      <c r="N1934" s="1" t="s">
        <v>30980</v>
      </c>
      <c r="O1934" s="1" t="s">
        <v>400</v>
      </c>
      <c r="P1934" s="1" t="s">
        <v>401</v>
      </c>
      <c r="Q1934" s="63" t="s">
        <v>19072</v>
      </c>
      <c r="R1934" s="1" t="s">
        <v>29</v>
      </c>
      <c r="S1934" s="11" t="s">
        <v>18</v>
      </c>
      <c r="T1934" s="68" t="s">
        <v>30981</v>
      </c>
      <c r="U1934" s="68" t="s">
        <v>29436</v>
      </c>
      <c r="V1934" s="68" t="s">
        <v>29439</v>
      </c>
      <c r="W1934" s="68" t="s">
        <v>100</v>
      </c>
      <c r="X1934" s="68">
        <v>1017</v>
      </c>
      <c r="AU1934" s="44"/>
      <c r="AV1934" s="44"/>
      <c r="AW1934" s="11"/>
      <c r="AX1934" s="44"/>
      <c r="AY1934" s="44"/>
      <c r="AZ1934" s="44"/>
      <c r="BC1934" s="44"/>
      <c r="BD1934" s="44"/>
      <c r="BE1934" s="44"/>
      <c r="BF1934" s="44"/>
      <c r="BG1934" s="44"/>
      <c r="BH1934" s="44"/>
      <c r="BI1934" s="44"/>
      <c r="BJ1934" s="44"/>
    </row>
    <row r="1935" spans="1:63" ht="12" customHeight="1" x14ac:dyDescent="0.15">
      <c r="A1935" s="1" t="s">
        <v>19073</v>
      </c>
      <c r="B1935" s="68">
        <v>44</v>
      </c>
      <c r="C1935" s="1" t="s">
        <v>20</v>
      </c>
      <c r="D1935" s="1" t="s">
        <v>85</v>
      </c>
      <c r="E1935" s="1" t="s">
        <v>19074</v>
      </c>
      <c r="F1935" s="69">
        <v>42326</v>
      </c>
      <c r="G1935" s="1" t="s">
        <v>19075</v>
      </c>
      <c r="H1935" s="1" t="s">
        <v>291</v>
      </c>
      <c r="I1935" s="1" t="s">
        <v>57</v>
      </c>
      <c r="J1935" s="4" t="s">
        <v>19076</v>
      </c>
      <c r="K1935" s="1" t="s">
        <v>10125</v>
      </c>
      <c r="L1935" s="1" t="s">
        <v>3953</v>
      </c>
      <c r="M1935" s="1" t="s">
        <v>27</v>
      </c>
      <c r="N1935" s="1" t="s">
        <v>19077</v>
      </c>
      <c r="O1935" s="1" t="s">
        <v>1010</v>
      </c>
      <c r="P1935" s="1" t="s">
        <v>401</v>
      </c>
      <c r="Q1935" s="63" t="s">
        <v>19078</v>
      </c>
      <c r="R1935" s="1" t="s">
        <v>29</v>
      </c>
      <c r="S1935" s="1" t="s">
        <v>28</v>
      </c>
      <c r="T1935" s="68" t="s">
        <v>27756</v>
      </c>
      <c r="U1935" s="68" t="s">
        <v>29438</v>
      </c>
      <c r="V1935" s="68" t="s">
        <v>29439</v>
      </c>
      <c r="W1935" s="68" t="s">
        <v>100</v>
      </c>
      <c r="X1935" s="68">
        <v>1019</v>
      </c>
      <c r="AU1935" s="44"/>
      <c r="AV1935" s="44"/>
      <c r="AX1935" s="44"/>
      <c r="AY1935" s="44"/>
      <c r="AZ1935" s="44"/>
      <c r="BC1935" s="44"/>
      <c r="BD1935" s="44"/>
      <c r="BE1935" s="44"/>
      <c r="BF1935" s="44"/>
      <c r="BG1935" s="44"/>
      <c r="BH1935" s="44"/>
      <c r="BI1935" s="44"/>
      <c r="BJ1935" s="44"/>
      <c r="BK1935" s="11"/>
    </row>
    <row r="1936" spans="1:63" ht="12" customHeight="1" x14ac:dyDescent="0.15">
      <c r="A1936" s="1" t="s">
        <v>19109</v>
      </c>
      <c r="B1936" s="1">
        <v>48</v>
      </c>
      <c r="C1936" s="1" t="s">
        <v>114</v>
      </c>
      <c r="D1936" s="1" t="s">
        <v>85</v>
      </c>
      <c r="E1936" s="1" t="s">
        <v>19110</v>
      </c>
      <c r="F1936" s="72">
        <v>42325</v>
      </c>
      <c r="G1936" s="1" t="s">
        <v>19111</v>
      </c>
      <c r="H1936" s="1" t="s">
        <v>430</v>
      </c>
      <c r="I1936" s="1" t="s">
        <v>431</v>
      </c>
      <c r="J1936" s="4">
        <v>64132</v>
      </c>
      <c r="K1936" s="1" t="s">
        <v>433</v>
      </c>
      <c r="L1936" s="1" t="s">
        <v>434</v>
      </c>
      <c r="M1936" s="1" t="s">
        <v>379</v>
      </c>
      <c r="N1936" s="1" t="s">
        <v>19112</v>
      </c>
      <c r="O1936" s="1" t="s">
        <v>400</v>
      </c>
      <c r="P1936" s="1" t="s">
        <v>401</v>
      </c>
      <c r="Q1936" s="63" t="s">
        <v>19113</v>
      </c>
      <c r="R1936" s="1" t="s">
        <v>100</v>
      </c>
      <c r="S1936" s="66" t="s">
        <v>379</v>
      </c>
      <c r="T1936" s="66" t="s">
        <v>30738</v>
      </c>
      <c r="AU1936" s="44"/>
      <c r="AV1936" s="44"/>
      <c r="AW1936" s="44"/>
      <c r="AX1936" s="44"/>
      <c r="AY1936" s="44"/>
      <c r="BC1936" s="44"/>
      <c r="BD1936" s="44"/>
      <c r="BE1936" s="44"/>
      <c r="BF1936" s="44"/>
      <c r="BG1936" s="44"/>
      <c r="BH1936" s="44"/>
      <c r="BI1936" s="44"/>
      <c r="BJ1936" s="44"/>
    </row>
    <row r="1937" spans="1:63" ht="12" customHeight="1" x14ac:dyDescent="0.15">
      <c r="A1937" s="1" t="s">
        <v>19057</v>
      </c>
      <c r="B1937" s="68">
        <v>30</v>
      </c>
      <c r="C1937" s="1" t="s">
        <v>20</v>
      </c>
      <c r="D1937" s="1" t="s">
        <v>85</v>
      </c>
      <c r="E1937" s="1" t="s">
        <v>19058</v>
      </c>
      <c r="F1937" s="69">
        <v>42325</v>
      </c>
      <c r="G1937" s="1" t="s">
        <v>19059</v>
      </c>
      <c r="H1937" s="1" t="s">
        <v>723</v>
      </c>
      <c r="I1937" s="1" t="s">
        <v>73</v>
      </c>
      <c r="J1937" s="4" t="s">
        <v>11242</v>
      </c>
      <c r="K1937" s="1" t="s">
        <v>558</v>
      </c>
      <c r="L1937" s="1" t="s">
        <v>559</v>
      </c>
      <c r="M1937" s="1" t="s">
        <v>27</v>
      </c>
      <c r="N1937" s="1" t="s">
        <v>19060</v>
      </c>
      <c r="O1937" s="1" t="s">
        <v>4684</v>
      </c>
      <c r="P1937" s="1" t="s">
        <v>401</v>
      </c>
      <c r="Q1937" s="63" t="s">
        <v>19061</v>
      </c>
      <c r="R1937" s="1" t="s">
        <v>29</v>
      </c>
      <c r="S1937" s="13" t="s">
        <v>379</v>
      </c>
      <c r="T1937" s="68" t="s">
        <v>379</v>
      </c>
      <c r="U1937" s="68" t="s">
        <v>29436</v>
      </c>
      <c r="V1937" s="68" t="s">
        <v>29437</v>
      </c>
      <c r="W1937" s="68" t="s">
        <v>100</v>
      </c>
      <c r="X1937" s="68">
        <v>1015</v>
      </c>
      <c r="AW1937" s="11"/>
      <c r="AX1937" s="11"/>
      <c r="AY1937" s="11"/>
      <c r="AZ1937" s="44"/>
      <c r="BC1937" s="44"/>
      <c r="BD1937" s="44"/>
      <c r="BE1937" s="44"/>
      <c r="BF1937" s="44"/>
      <c r="BG1937" s="44"/>
      <c r="BH1937" s="44"/>
      <c r="BI1937" s="44"/>
      <c r="BJ1937" s="44"/>
      <c r="BK1937" s="44"/>
    </row>
    <row r="1938" spans="1:63" ht="12" customHeight="1" x14ac:dyDescent="0.2">
      <c r="A1938" s="1" t="s">
        <v>19062</v>
      </c>
      <c r="B1938" s="68">
        <v>28</v>
      </c>
      <c r="C1938" s="1" t="s">
        <v>20</v>
      </c>
      <c r="D1938" s="1" t="s">
        <v>85</v>
      </c>
      <c r="E1938" s="1" t="s">
        <v>19063</v>
      </c>
      <c r="F1938" s="69">
        <v>42325</v>
      </c>
      <c r="G1938" s="1" t="s">
        <v>19064</v>
      </c>
      <c r="H1938" s="1" t="s">
        <v>213</v>
      </c>
      <c r="I1938" s="1" t="s">
        <v>62</v>
      </c>
      <c r="J1938" s="4" t="s">
        <v>11401</v>
      </c>
      <c r="K1938" s="1" t="s">
        <v>161</v>
      </c>
      <c r="L1938" s="1" t="s">
        <v>162</v>
      </c>
      <c r="M1938" s="1" t="s">
        <v>27</v>
      </c>
      <c r="N1938" s="1" t="s">
        <v>19065</v>
      </c>
      <c r="O1938" s="1" t="s">
        <v>4684</v>
      </c>
      <c r="P1938" s="1" t="s">
        <v>401</v>
      </c>
      <c r="Q1938" s="63" t="s">
        <v>19066</v>
      </c>
      <c r="R1938" s="68" t="s">
        <v>555</v>
      </c>
      <c r="S1938" s="1" t="s">
        <v>28</v>
      </c>
      <c r="T1938" s="68" t="s">
        <v>27756</v>
      </c>
      <c r="U1938" s="68" t="s">
        <v>29438</v>
      </c>
      <c r="V1938" s="68" t="s">
        <v>29440</v>
      </c>
      <c r="W1938" s="68" t="s">
        <v>100</v>
      </c>
      <c r="X1938" s="68">
        <v>1010</v>
      </c>
      <c r="AU1938" s="44"/>
      <c r="AV1938" s="44"/>
      <c r="AW1938" s="44"/>
      <c r="AX1938" s="11"/>
      <c r="AY1938" s="11"/>
      <c r="AZ1938" s="44"/>
      <c r="BA1938" s="70"/>
      <c r="BB1938" s="44"/>
      <c r="BC1938" s="44"/>
      <c r="BD1938" s="44"/>
      <c r="BE1938" s="44"/>
      <c r="BF1938" s="44"/>
      <c r="BG1938" s="44"/>
      <c r="BH1938" s="44"/>
      <c r="BI1938" s="44"/>
      <c r="BJ1938" s="44"/>
      <c r="BK1938" s="11"/>
    </row>
    <row r="1939" spans="1:63" ht="12" customHeight="1" x14ac:dyDescent="0.15">
      <c r="A1939" s="1" t="s">
        <v>19049</v>
      </c>
      <c r="B1939" s="68">
        <v>21</v>
      </c>
      <c r="C1939" s="1" t="s">
        <v>20</v>
      </c>
      <c r="D1939" s="1" t="s">
        <v>85</v>
      </c>
      <c r="E1939" s="1" t="s">
        <v>19050</v>
      </c>
      <c r="F1939" s="69">
        <v>42325</v>
      </c>
      <c r="G1939" s="1" t="s">
        <v>19051</v>
      </c>
      <c r="H1939" s="1" t="s">
        <v>19052</v>
      </c>
      <c r="I1939" s="1" t="s">
        <v>32</v>
      </c>
      <c r="J1939" s="4" t="s">
        <v>19053</v>
      </c>
      <c r="K1939" s="1" t="s">
        <v>1007</v>
      </c>
      <c r="L1939" s="1" t="s">
        <v>19054</v>
      </c>
      <c r="M1939" s="1" t="s">
        <v>27</v>
      </c>
      <c r="N1939" s="1" t="s">
        <v>19055</v>
      </c>
      <c r="O1939" s="1" t="s">
        <v>4684</v>
      </c>
      <c r="P1939" s="1" t="s">
        <v>401</v>
      </c>
      <c r="Q1939" s="63" t="s">
        <v>19056</v>
      </c>
      <c r="R1939" s="1" t="s">
        <v>555</v>
      </c>
      <c r="S1939" s="1" t="s">
        <v>28</v>
      </c>
      <c r="T1939" s="68" t="s">
        <v>27756</v>
      </c>
      <c r="U1939" s="68" t="s">
        <v>29438</v>
      </c>
      <c r="V1939" s="68" t="s">
        <v>29439</v>
      </c>
      <c r="W1939" s="68" t="s">
        <v>100</v>
      </c>
      <c r="X1939" s="68">
        <v>1011</v>
      </c>
      <c r="AW1939" s="44"/>
      <c r="AX1939" s="44"/>
      <c r="AY1939" s="44"/>
      <c r="AZ1939" s="44"/>
      <c r="BC1939" s="44"/>
      <c r="BD1939" s="44"/>
      <c r="BE1939" s="44"/>
      <c r="BF1939" s="44"/>
      <c r="BG1939" s="44"/>
      <c r="BH1939" s="44"/>
      <c r="BI1939" s="44"/>
      <c r="BJ1939" s="44"/>
      <c r="BK1939" s="11"/>
    </row>
    <row r="1940" spans="1:63" ht="12" customHeight="1" x14ac:dyDescent="0.15">
      <c r="A1940" s="1" t="s">
        <v>19217</v>
      </c>
      <c r="B1940" s="68">
        <v>47</v>
      </c>
      <c r="C1940" s="1" t="s">
        <v>20</v>
      </c>
      <c r="D1940" s="1" t="s">
        <v>37</v>
      </c>
      <c r="E1940" s="1" t="s">
        <v>19370</v>
      </c>
      <c r="F1940" s="69">
        <v>42325</v>
      </c>
      <c r="G1940" s="1" t="s">
        <v>19218</v>
      </c>
      <c r="H1940" s="1" t="s">
        <v>19219</v>
      </c>
      <c r="I1940" s="1" t="s">
        <v>81</v>
      </c>
      <c r="L1940" s="1" t="s">
        <v>19220</v>
      </c>
      <c r="M1940" s="1" t="s">
        <v>27</v>
      </c>
      <c r="N1940" s="1" t="s">
        <v>21145</v>
      </c>
      <c r="P1940" s="1" t="s">
        <v>401</v>
      </c>
      <c r="Q1940" s="63" t="s">
        <v>19221</v>
      </c>
      <c r="R1940" s="68" t="s">
        <v>555</v>
      </c>
      <c r="S1940" s="1" t="s">
        <v>28</v>
      </c>
      <c r="T1940" s="68" t="s">
        <v>27756</v>
      </c>
      <c r="U1940" s="68" t="s">
        <v>29438</v>
      </c>
      <c r="V1940" s="68" t="s">
        <v>29439</v>
      </c>
      <c r="W1940" s="68" t="s">
        <v>100</v>
      </c>
      <c r="X1940" s="68">
        <v>1018</v>
      </c>
      <c r="AZ1940" s="44"/>
      <c r="BA1940" s="44"/>
      <c r="BB1940" s="44"/>
      <c r="BK1940" s="11"/>
    </row>
    <row r="1941" spans="1:63" ht="12" customHeight="1" x14ac:dyDescent="0.15">
      <c r="A1941" s="1" t="s">
        <v>19222</v>
      </c>
      <c r="B1941" s="68">
        <v>58</v>
      </c>
      <c r="C1941" s="1" t="s">
        <v>20</v>
      </c>
      <c r="D1941" s="1" t="s">
        <v>37</v>
      </c>
      <c r="F1941" s="69">
        <v>42325</v>
      </c>
      <c r="G1941" s="1" t="s">
        <v>19223</v>
      </c>
      <c r="H1941" s="1" t="s">
        <v>843</v>
      </c>
      <c r="I1941" s="1" t="s">
        <v>173</v>
      </c>
      <c r="L1941" s="1" t="s">
        <v>19224</v>
      </c>
      <c r="M1941" s="1" t="s">
        <v>27</v>
      </c>
      <c r="N1941" s="1" t="s">
        <v>21056</v>
      </c>
      <c r="P1941" s="1" t="s">
        <v>401</v>
      </c>
      <c r="Q1941" s="63" t="s">
        <v>19225</v>
      </c>
      <c r="R1941" s="1" t="s">
        <v>29</v>
      </c>
      <c r="S1941" s="1" t="s">
        <v>18</v>
      </c>
      <c r="T1941" s="68" t="s">
        <v>28345</v>
      </c>
      <c r="U1941" s="68" t="s">
        <v>29436</v>
      </c>
      <c r="V1941" s="68" t="s">
        <v>29439</v>
      </c>
      <c r="W1941" s="68" t="s">
        <v>100</v>
      </c>
      <c r="X1941" s="68">
        <v>1016</v>
      </c>
      <c r="AZ1941" s="44"/>
    </row>
    <row r="1942" spans="1:63" ht="12" customHeight="1" x14ac:dyDescent="0.15">
      <c r="A1942" s="1" t="s">
        <v>19214</v>
      </c>
      <c r="B1942" s="68">
        <v>41</v>
      </c>
      <c r="C1942" s="1" t="s">
        <v>20</v>
      </c>
      <c r="D1942" s="1" t="s">
        <v>37</v>
      </c>
      <c r="F1942" s="69">
        <v>42325</v>
      </c>
      <c r="G1942" s="1" t="s">
        <v>19215</v>
      </c>
      <c r="H1942" s="1" t="s">
        <v>1620</v>
      </c>
      <c r="I1942" s="1" t="s">
        <v>73</v>
      </c>
      <c r="J1942" s="17" t="s">
        <v>22911</v>
      </c>
      <c r="K1942" s="8" t="s">
        <v>1622</v>
      </c>
      <c r="L1942" s="1" t="s">
        <v>1623</v>
      </c>
      <c r="M1942" s="1" t="s">
        <v>27</v>
      </c>
      <c r="N1942" s="74" t="s">
        <v>29504</v>
      </c>
      <c r="O1942" s="2" t="s">
        <v>400</v>
      </c>
      <c r="P1942" s="1" t="s">
        <v>401</v>
      </c>
      <c r="Q1942" s="63" t="s">
        <v>19216</v>
      </c>
      <c r="R1942" s="1" t="s">
        <v>29</v>
      </c>
      <c r="S1942" s="2" t="s">
        <v>18</v>
      </c>
      <c r="T1942" s="68" t="s">
        <v>28345</v>
      </c>
      <c r="U1942" s="68" t="s">
        <v>29441</v>
      </c>
      <c r="V1942" s="68" t="s">
        <v>29437</v>
      </c>
      <c r="W1942" s="68" t="s">
        <v>100</v>
      </c>
      <c r="X1942" s="68">
        <v>1141</v>
      </c>
      <c r="AZ1942" s="44"/>
    </row>
    <row r="1943" spans="1:63" ht="12" customHeight="1" x14ac:dyDescent="0.15">
      <c r="A1943" s="66" t="s">
        <v>29587</v>
      </c>
      <c r="B1943" s="66">
        <v>28</v>
      </c>
      <c r="C1943" s="66" t="s">
        <v>20</v>
      </c>
      <c r="D1943" s="66" t="s">
        <v>37</v>
      </c>
      <c r="E1943" s="66"/>
      <c r="F1943" s="67">
        <v>42324</v>
      </c>
      <c r="G1943" s="67"/>
      <c r="H1943" s="66" t="s">
        <v>29586</v>
      </c>
      <c r="I1943" s="66" t="s">
        <v>73</v>
      </c>
      <c r="J1943" s="66"/>
      <c r="K1943" s="66"/>
      <c r="L1943" s="66"/>
      <c r="M1943" s="66" t="s">
        <v>27</v>
      </c>
      <c r="N1943" s="66"/>
      <c r="O1943" s="66" t="s">
        <v>400</v>
      </c>
      <c r="P1943" s="66" t="s">
        <v>401</v>
      </c>
      <c r="Q1943" s="66"/>
      <c r="R1943" s="66" t="s">
        <v>100</v>
      </c>
      <c r="S1943" s="66" t="s">
        <v>379</v>
      </c>
      <c r="T1943" s="66" t="s">
        <v>379</v>
      </c>
      <c r="U1943" s="66" t="s">
        <v>29441</v>
      </c>
      <c r="V1943" s="66" t="s">
        <v>29437</v>
      </c>
      <c r="W1943" s="66" t="s">
        <v>100</v>
      </c>
      <c r="X1943" s="66">
        <v>1228</v>
      </c>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K1943" s="44"/>
    </row>
    <row r="1944" spans="1:63" ht="12" customHeight="1" x14ac:dyDescent="0.15">
      <c r="A1944" s="1" t="s">
        <v>19226</v>
      </c>
      <c r="B1944" s="68">
        <v>25</v>
      </c>
      <c r="C1944" s="1" t="s">
        <v>20</v>
      </c>
      <c r="D1944" s="1" t="s">
        <v>37</v>
      </c>
      <c r="E1944" s="1" t="s">
        <v>19354</v>
      </c>
      <c r="F1944" s="69">
        <v>42324</v>
      </c>
      <c r="G1944" s="1" t="s">
        <v>19227</v>
      </c>
      <c r="H1944" s="1" t="s">
        <v>19228</v>
      </c>
      <c r="I1944" s="1" t="s">
        <v>173</v>
      </c>
      <c r="J1944" s="17" t="s">
        <v>22887</v>
      </c>
      <c r="K1944" s="8" t="s">
        <v>22888</v>
      </c>
      <c r="L1944" s="1" t="s">
        <v>19229</v>
      </c>
      <c r="M1944" s="1" t="s">
        <v>27</v>
      </c>
      <c r="N1944" s="1" t="s">
        <v>21076</v>
      </c>
      <c r="P1944" s="1" t="s">
        <v>401</v>
      </c>
      <c r="Q1944" s="63" t="s">
        <v>19230</v>
      </c>
      <c r="R1944" s="1" t="s">
        <v>29</v>
      </c>
      <c r="S1944" s="1" t="s">
        <v>379</v>
      </c>
      <c r="T1944" s="68" t="s">
        <v>379</v>
      </c>
      <c r="U1944" s="68" t="s">
        <v>29436</v>
      </c>
      <c r="V1944" s="68" t="s">
        <v>29437</v>
      </c>
      <c r="W1944" s="68" t="s">
        <v>100</v>
      </c>
      <c r="X1944" s="68">
        <v>1014</v>
      </c>
      <c r="AW1944" s="11"/>
      <c r="AZ1944" s="44"/>
      <c r="BK1944" s="44"/>
    </row>
    <row r="1945" spans="1:63" ht="12" customHeight="1" x14ac:dyDescent="0.15">
      <c r="A1945" s="1" t="s">
        <v>19104</v>
      </c>
      <c r="B1945" s="68">
        <v>39</v>
      </c>
      <c r="C1945" s="1" t="s">
        <v>20</v>
      </c>
      <c r="D1945" s="1" t="s">
        <v>85</v>
      </c>
      <c r="E1945" s="1" t="s">
        <v>19105</v>
      </c>
      <c r="F1945" s="69">
        <v>42323</v>
      </c>
      <c r="G1945" s="1" t="s">
        <v>19106</v>
      </c>
      <c r="H1945" s="1" t="s">
        <v>601</v>
      </c>
      <c r="I1945" s="1" t="s">
        <v>45</v>
      </c>
      <c r="J1945" s="17" t="s">
        <v>5593</v>
      </c>
      <c r="K1945" s="8" t="s">
        <v>602</v>
      </c>
      <c r="L1945" s="1" t="s">
        <v>603</v>
      </c>
      <c r="M1945" s="1" t="s">
        <v>27</v>
      </c>
      <c r="N1945" s="1" t="s">
        <v>19107</v>
      </c>
      <c r="O1945" s="1" t="s">
        <v>400</v>
      </c>
      <c r="P1945" s="1" t="s">
        <v>401</v>
      </c>
      <c r="Q1945" s="63" t="s">
        <v>19108</v>
      </c>
      <c r="R1945" s="1" t="s">
        <v>100</v>
      </c>
      <c r="S1945" s="1" t="s">
        <v>18</v>
      </c>
      <c r="T1945" s="68" t="s">
        <v>29612</v>
      </c>
      <c r="U1945" s="68" t="s">
        <v>29438</v>
      </c>
      <c r="V1945" s="68" t="s">
        <v>29439</v>
      </c>
      <c r="W1945" s="68" t="s">
        <v>100</v>
      </c>
      <c r="X1945" s="68">
        <v>1003</v>
      </c>
      <c r="AW1945" s="44"/>
      <c r="AX1945" s="44"/>
      <c r="AY1945" s="44"/>
      <c r="AZ1945" s="44"/>
      <c r="BA1945" s="44"/>
      <c r="BB1945" s="44"/>
      <c r="BC1945" s="44"/>
      <c r="BD1945" s="44"/>
      <c r="BE1945" s="44"/>
      <c r="BF1945" s="44"/>
      <c r="BG1945" s="44"/>
      <c r="BH1945" s="44"/>
      <c r="BI1945" s="44"/>
      <c r="BJ1945" s="44"/>
    </row>
    <row r="1946" spans="1:63" ht="12" customHeight="1" x14ac:dyDescent="0.15">
      <c r="A1946" s="1" t="s">
        <v>19044</v>
      </c>
      <c r="B1946" s="68">
        <v>24</v>
      </c>
      <c r="C1946" s="1" t="s">
        <v>20</v>
      </c>
      <c r="D1946" s="1" t="s">
        <v>85</v>
      </c>
      <c r="E1946" s="1" t="s">
        <v>19045</v>
      </c>
      <c r="F1946" s="69">
        <v>42323</v>
      </c>
      <c r="G1946" s="1" t="s">
        <v>24415</v>
      </c>
      <c r="H1946" s="1" t="s">
        <v>6779</v>
      </c>
      <c r="I1946" s="1" t="s">
        <v>133</v>
      </c>
      <c r="J1946" s="17" t="s">
        <v>19046</v>
      </c>
      <c r="K1946" s="8" t="s">
        <v>1072</v>
      </c>
      <c r="L1946" s="1" t="s">
        <v>16779</v>
      </c>
      <c r="M1946" s="1" t="s">
        <v>27</v>
      </c>
      <c r="N1946" s="1" t="s">
        <v>19047</v>
      </c>
      <c r="O1946" s="1" t="s">
        <v>4684</v>
      </c>
      <c r="P1946" s="1" t="s">
        <v>401</v>
      </c>
      <c r="Q1946" s="63" t="s">
        <v>19048</v>
      </c>
      <c r="R1946" s="1" t="s">
        <v>100</v>
      </c>
      <c r="S1946" s="1" t="s">
        <v>18</v>
      </c>
      <c r="T1946" s="68" t="s">
        <v>28345</v>
      </c>
      <c r="U1946" s="68" t="s">
        <v>29441</v>
      </c>
      <c r="V1946" s="68" t="s">
        <v>29439</v>
      </c>
      <c r="W1946" s="68" t="s">
        <v>100</v>
      </c>
      <c r="X1946" s="68">
        <v>1012</v>
      </c>
      <c r="AU1946" s="44"/>
      <c r="AV1946" s="44"/>
      <c r="AW1946" s="11"/>
      <c r="AX1946" s="44"/>
      <c r="AY1946" s="44"/>
      <c r="AZ1946" s="44"/>
      <c r="BA1946" s="44"/>
      <c r="BB1946" s="44"/>
      <c r="BC1946" s="44"/>
      <c r="BD1946" s="44"/>
      <c r="BE1946" s="44"/>
      <c r="BF1946" s="44"/>
      <c r="BG1946" s="44"/>
      <c r="BH1946" s="44"/>
      <c r="BI1946" s="44"/>
      <c r="BJ1946" s="44"/>
    </row>
    <row r="1947" spans="1:63" ht="12" customHeight="1" x14ac:dyDescent="0.2">
      <c r="A1947" s="1" t="s">
        <v>19234</v>
      </c>
      <c r="B1947" s="68">
        <v>32</v>
      </c>
      <c r="C1947" s="1" t="s">
        <v>20</v>
      </c>
      <c r="D1947" s="1" t="s">
        <v>37</v>
      </c>
      <c r="E1947" s="1" t="s">
        <v>19361</v>
      </c>
      <c r="F1947" s="69">
        <v>42323</v>
      </c>
      <c r="G1947" s="1" t="s">
        <v>19235</v>
      </c>
      <c r="H1947" s="1" t="s">
        <v>19236</v>
      </c>
      <c r="I1947" s="1" t="s">
        <v>366</v>
      </c>
      <c r="J1947" s="17" t="s">
        <v>22907</v>
      </c>
      <c r="K1947" s="8" t="s">
        <v>3152</v>
      </c>
      <c r="L1947" s="1" t="s">
        <v>19237</v>
      </c>
      <c r="M1947" s="68" t="s">
        <v>5411</v>
      </c>
      <c r="N1947" s="1" t="s">
        <v>21057</v>
      </c>
      <c r="P1947" s="1" t="s">
        <v>401</v>
      </c>
      <c r="Q1947" s="63" t="s">
        <v>19238</v>
      </c>
      <c r="R1947" s="1" t="s">
        <v>29</v>
      </c>
      <c r="S1947" s="1" t="s">
        <v>28</v>
      </c>
      <c r="T1947" s="68" t="s">
        <v>391</v>
      </c>
      <c r="U1947" s="68" t="s">
        <v>29438</v>
      </c>
      <c r="V1947" s="68" t="s">
        <v>29439</v>
      </c>
      <c r="W1947" s="68" t="s">
        <v>100</v>
      </c>
      <c r="X1947" s="68">
        <v>1004</v>
      </c>
      <c r="AW1947" s="11"/>
      <c r="AZ1947" s="44"/>
      <c r="BB1947" s="70"/>
    </row>
    <row r="1948" spans="1:63" ht="12" customHeight="1" x14ac:dyDescent="0.2">
      <c r="A1948" s="1" t="s">
        <v>20744</v>
      </c>
      <c r="B1948" s="68">
        <v>16</v>
      </c>
      <c r="C1948" s="1" t="s">
        <v>20</v>
      </c>
      <c r="D1948" s="1" t="s">
        <v>85</v>
      </c>
      <c r="E1948" s="1" t="s">
        <v>20743</v>
      </c>
      <c r="F1948" s="69">
        <v>42323</v>
      </c>
      <c r="G1948" s="1" t="s">
        <v>19231</v>
      </c>
      <c r="H1948" s="1" t="s">
        <v>1100</v>
      </c>
      <c r="I1948" s="1" t="s">
        <v>404</v>
      </c>
      <c r="J1948" s="17" t="s">
        <v>16409</v>
      </c>
      <c r="K1948" s="8" t="s">
        <v>1100</v>
      </c>
      <c r="L1948" s="1" t="s">
        <v>19232</v>
      </c>
      <c r="M1948" s="1" t="s">
        <v>27</v>
      </c>
      <c r="N1948" s="1" t="s">
        <v>20804</v>
      </c>
      <c r="O1948" s="1" t="s">
        <v>400</v>
      </c>
      <c r="P1948" s="1" t="s">
        <v>401</v>
      </c>
      <c r="Q1948" s="63" t="s">
        <v>19233</v>
      </c>
      <c r="R1948" s="1" t="s">
        <v>29</v>
      </c>
      <c r="S1948" s="11" t="s">
        <v>35</v>
      </c>
      <c r="T1948" s="68" t="s">
        <v>29441</v>
      </c>
      <c r="U1948" s="68" t="s">
        <v>29438</v>
      </c>
      <c r="V1948" s="68" t="s">
        <v>29439</v>
      </c>
      <c r="W1948" s="68" t="s">
        <v>100</v>
      </c>
      <c r="X1948" s="68">
        <v>1009</v>
      </c>
      <c r="AW1948" s="70"/>
      <c r="AX1948" s="70"/>
      <c r="AY1948" s="70"/>
      <c r="AZ1948" s="44"/>
      <c r="BC1948" s="44"/>
      <c r="BD1948" s="44"/>
      <c r="BE1948" s="44"/>
      <c r="BF1948" s="44"/>
      <c r="BG1948" s="44"/>
      <c r="BH1948" s="44"/>
      <c r="BI1948" s="44"/>
      <c r="BJ1948" s="44"/>
    </row>
    <row r="1949" spans="1:63" ht="12" customHeight="1" x14ac:dyDescent="0.15">
      <c r="A1949" s="44" t="s">
        <v>20776</v>
      </c>
      <c r="B1949" s="44">
        <v>25</v>
      </c>
      <c r="C1949" s="44" t="s">
        <v>20</v>
      </c>
      <c r="D1949" s="44" t="s">
        <v>85</v>
      </c>
      <c r="E1949" s="44" t="s">
        <v>20702</v>
      </c>
      <c r="F1949" s="72">
        <v>42322</v>
      </c>
      <c r="G1949" s="44" t="s">
        <v>20705</v>
      </c>
      <c r="H1949" s="44" t="s">
        <v>118</v>
      </c>
      <c r="I1949" s="44" t="s">
        <v>3664</v>
      </c>
      <c r="J1949" s="17" t="s">
        <v>12716</v>
      </c>
      <c r="K1949" s="8" t="s">
        <v>3666</v>
      </c>
      <c r="L1949" s="44" t="s">
        <v>231</v>
      </c>
      <c r="M1949" s="44" t="s">
        <v>27</v>
      </c>
      <c r="N1949" s="44" t="s">
        <v>20703</v>
      </c>
      <c r="O1949" s="44"/>
      <c r="P1949" s="16" t="s">
        <v>401</v>
      </c>
      <c r="Q1949" s="44" t="s">
        <v>20704</v>
      </c>
      <c r="R1949" s="1" t="s">
        <v>29</v>
      </c>
      <c r="S1949" s="44" t="s">
        <v>28</v>
      </c>
      <c r="T1949" s="68"/>
      <c r="U1949" s="68"/>
      <c r="V1949" s="68"/>
      <c r="W1949" s="68"/>
      <c r="X1949" s="68"/>
      <c r="AX1949" s="44"/>
      <c r="AY1949" s="44"/>
      <c r="BC1949" s="44"/>
      <c r="BD1949" s="44"/>
      <c r="BE1949" s="44"/>
      <c r="BF1949" s="44"/>
      <c r="BG1949" s="44"/>
      <c r="BH1949" s="44"/>
      <c r="BI1949" s="44"/>
      <c r="BJ1949" s="44"/>
      <c r="BK1949" s="11"/>
    </row>
    <row r="1950" spans="1:63" ht="12" customHeight="1" x14ac:dyDescent="0.15">
      <c r="A1950" s="1" t="s">
        <v>19239</v>
      </c>
      <c r="B1950" s="68">
        <v>31</v>
      </c>
      <c r="C1950" s="1" t="s">
        <v>20</v>
      </c>
      <c r="D1950" s="1" t="s">
        <v>48</v>
      </c>
      <c r="F1950" s="69">
        <v>42322</v>
      </c>
      <c r="G1950" s="1" t="s">
        <v>19240</v>
      </c>
      <c r="H1950" s="1" t="s">
        <v>783</v>
      </c>
      <c r="I1950" s="1" t="s">
        <v>45</v>
      </c>
      <c r="J1950" s="17" t="s">
        <v>15758</v>
      </c>
      <c r="K1950" s="8" t="s">
        <v>783</v>
      </c>
      <c r="L1950" s="1" t="s">
        <v>784</v>
      </c>
      <c r="M1950" s="1" t="s">
        <v>27</v>
      </c>
      <c r="N1950" s="1" t="s">
        <v>21146</v>
      </c>
      <c r="P1950" s="1" t="s">
        <v>401</v>
      </c>
      <c r="Q1950" s="63" t="s">
        <v>19241</v>
      </c>
      <c r="R1950" s="1" t="s">
        <v>29</v>
      </c>
      <c r="S1950" s="1" t="s">
        <v>28</v>
      </c>
      <c r="T1950" s="68" t="s">
        <v>29460</v>
      </c>
      <c r="U1950" s="68" t="s">
        <v>29436</v>
      </c>
      <c r="V1950" s="68" t="s">
        <v>29439</v>
      </c>
      <c r="W1950" s="68" t="s">
        <v>100</v>
      </c>
      <c r="X1950" s="68">
        <v>1006</v>
      </c>
      <c r="AW1950" s="11"/>
      <c r="AZ1950" s="44"/>
      <c r="BK1950" s="11"/>
    </row>
    <row r="1951" spans="1:63" ht="12" customHeight="1" x14ac:dyDescent="0.15">
      <c r="A1951" s="1" t="s">
        <v>19249</v>
      </c>
      <c r="B1951" s="68">
        <v>25</v>
      </c>
      <c r="C1951" s="1" t="s">
        <v>20</v>
      </c>
      <c r="D1951" s="1" t="s">
        <v>37</v>
      </c>
      <c r="E1951" s="1" t="s">
        <v>19389</v>
      </c>
      <c r="F1951" s="69">
        <v>42321</v>
      </c>
      <c r="G1951" s="1" t="s">
        <v>19250</v>
      </c>
      <c r="H1951" s="1" t="s">
        <v>16447</v>
      </c>
      <c r="I1951" s="1" t="s">
        <v>173</v>
      </c>
      <c r="J1951" s="17" t="s">
        <v>22891</v>
      </c>
      <c r="K1951" s="8" t="s">
        <v>18500</v>
      </c>
      <c r="L1951" s="1" t="s">
        <v>18501</v>
      </c>
      <c r="M1951" s="1" t="s">
        <v>27</v>
      </c>
      <c r="N1951" s="1" t="s">
        <v>21147</v>
      </c>
      <c r="P1951" s="1" t="s">
        <v>401</v>
      </c>
      <c r="Q1951" s="63" t="s">
        <v>19251</v>
      </c>
      <c r="R1951" s="1" t="s">
        <v>29</v>
      </c>
      <c r="S1951" s="1" t="s">
        <v>28</v>
      </c>
      <c r="T1951" s="68" t="s">
        <v>27756</v>
      </c>
      <c r="U1951" s="68" t="s">
        <v>29438</v>
      </c>
      <c r="V1951" s="68" t="s">
        <v>29440</v>
      </c>
      <c r="W1951" s="68" t="s">
        <v>100</v>
      </c>
      <c r="X1951" s="68">
        <v>1008</v>
      </c>
      <c r="AW1951" s="11"/>
      <c r="AZ1951" s="44"/>
      <c r="BK1951" s="11"/>
    </row>
    <row r="1952" spans="1:63" ht="12" customHeight="1" x14ac:dyDescent="0.15">
      <c r="A1952" s="1" t="s">
        <v>19245</v>
      </c>
      <c r="B1952" s="68">
        <v>52</v>
      </c>
      <c r="C1952" s="1" t="s">
        <v>20</v>
      </c>
      <c r="D1952" s="1" t="s">
        <v>37</v>
      </c>
      <c r="E1952" s="1" t="s">
        <v>20440</v>
      </c>
      <c r="F1952" s="69">
        <v>42321</v>
      </c>
      <c r="G1952" s="1" t="s">
        <v>19246</v>
      </c>
      <c r="H1952" s="1" t="s">
        <v>2101</v>
      </c>
      <c r="I1952" s="1" t="s">
        <v>319</v>
      </c>
      <c r="J1952" s="17" t="s">
        <v>22909</v>
      </c>
      <c r="K1952" s="8" t="s">
        <v>10713</v>
      </c>
      <c r="L1952" s="1" t="s">
        <v>19247</v>
      </c>
      <c r="M1952" s="1" t="s">
        <v>27</v>
      </c>
      <c r="N1952" s="1" t="s">
        <v>21148</v>
      </c>
      <c r="P1952" s="1" t="s">
        <v>401</v>
      </c>
      <c r="Q1952" s="63" t="s">
        <v>19248</v>
      </c>
      <c r="R1952" s="1" t="s">
        <v>29</v>
      </c>
      <c r="S1952" s="11" t="s">
        <v>18</v>
      </c>
      <c r="T1952" s="68" t="s">
        <v>29612</v>
      </c>
      <c r="U1952" s="68" t="s">
        <v>29438</v>
      </c>
      <c r="V1952" s="68" t="s">
        <v>29439</v>
      </c>
      <c r="W1952" s="68" t="s">
        <v>100</v>
      </c>
      <c r="X1952" s="68">
        <v>1005</v>
      </c>
      <c r="AZ1952" s="44"/>
    </row>
    <row r="1953" spans="1:63" ht="12" customHeight="1" x14ac:dyDescent="0.15">
      <c r="A1953" s="1" t="s">
        <v>19242</v>
      </c>
      <c r="B1953" s="68">
        <v>25</v>
      </c>
      <c r="C1953" s="1" t="s">
        <v>20</v>
      </c>
      <c r="D1953" s="1" t="s">
        <v>48</v>
      </c>
      <c r="E1953" s="1" t="s">
        <v>19360</v>
      </c>
      <c r="F1953" s="69">
        <v>42321</v>
      </c>
      <c r="G1953" s="1" t="s">
        <v>19243</v>
      </c>
      <c r="H1953" s="1" t="s">
        <v>15757</v>
      </c>
      <c r="I1953" s="1" t="s">
        <v>45</v>
      </c>
      <c r="J1953" s="17" t="s">
        <v>22897</v>
      </c>
      <c r="K1953" s="8" t="s">
        <v>783</v>
      </c>
      <c r="L1953" s="1" t="s">
        <v>784</v>
      </c>
      <c r="M1953" s="1" t="s">
        <v>27</v>
      </c>
      <c r="N1953" s="1" t="s">
        <v>21058</v>
      </c>
      <c r="O1953" s="1" t="s">
        <v>400</v>
      </c>
      <c r="P1953" s="1" t="s">
        <v>401</v>
      </c>
      <c r="Q1953" s="63" t="s">
        <v>19244</v>
      </c>
      <c r="R1953" s="1" t="s">
        <v>29</v>
      </c>
      <c r="S1953" s="1" t="s">
        <v>35</v>
      </c>
      <c r="T1953" s="68" t="s">
        <v>29441</v>
      </c>
      <c r="U1953" s="68" t="s">
        <v>29441</v>
      </c>
      <c r="V1953" s="68"/>
      <c r="W1953" s="68" t="s">
        <v>100</v>
      </c>
      <c r="X1953" s="68">
        <v>1007</v>
      </c>
      <c r="AW1953" s="11"/>
      <c r="AZ1953" s="44"/>
    </row>
    <row r="1954" spans="1:63" ht="12" customHeight="1" x14ac:dyDescent="0.15">
      <c r="A1954" s="1" t="s">
        <v>19100</v>
      </c>
      <c r="B1954" s="1">
        <v>45</v>
      </c>
      <c r="C1954" s="1" t="s">
        <v>20</v>
      </c>
      <c r="D1954" s="1" t="s">
        <v>85</v>
      </c>
      <c r="E1954" s="1" t="s">
        <v>19366</v>
      </c>
      <c r="F1954" s="72">
        <v>42320</v>
      </c>
      <c r="G1954" s="1" t="s">
        <v>19101</v>
      </c>
      <c r="H1954" s="1" t="s">
        <v>4144</v>
      </c>
      <c r="I1954" s="1" t="s">
        <v>94</v>
      </c>
      <c r="J1954" s="17"/>
      <c r="K1954" s="8"/>
      <c r="L1954" s="1" t="s">
        <v>4169</v>
      </c>
      <c r="M1954" s="1" t="s">
        <v>379</v>
      </c>
      <c r="N1954" s="1" t="s">
        <v>19102</v>
      </c>
      <c r="O1954" s="1" t="s">
        <v>400</v>
      </c>
      <c r="P1954" s="1" t="s">
        <v>401</v>
      </c>
      <c r="Q1954" s="63" t="s">
        <v>19103</v>
      </c>
      <c r="R1954" s="1" t="s">
        <v>100</v>
      </c>
      <c r="S1954" s="66" t="s">
        <v>379</v>
      </c>
      <c r="T1954" s="66" t="s">
        <v>30738</v>
      </c>
      <c r="AU1954" s="44"/>
      <c r="AV1954" s="44"/>
      <c r="AW1954" s="44"/>
      <c r="AX1954" s="44"/>
      <c r="AY1954" s="44"/>
      <c r="BC1954" s="44"/>
      <c r="BD1954" s="44"/>
      <c r="BE1954" s="44"/>
      <c r="BF1954" s="44"/>
      <c r="BG1954" s="44"/>
      <c r="BH1954" s="44"/>
      <c r="BI1954" s="44"/>
      <c r="BJ1954" s="44"/>
    </row>
    <row r="1955" spans="1:63" ht="12" customHeight="1" x14ac:dyDescent="0.15">
      <c r="A1955" s="1" t="s">
        <v>19252</v>
      </c>
      <c r="B1955" s="68">
        <v>42</v>
      </c>
      <c r="C1955" s="1" t="s">
        <v>20</v>
      </c>
      <c r="D1955" s="1" t="s">
        <v>48</v>
      </c>
      <c r="E1955" s="1" t="s">
        <v>19369</v>
      </c>
      <c r="F1955" s="69">
        <v>42320</v>
      </c>
      <c r="G1955" s="1" t="s">
        <v>19253</v>
      </c>
      <c r="H1955" s="1" t="s">
        <v>771</v>
      </c>
      <c r="I1955" s="1" t="s">
        <v>45</v>
      </c>
      <c r="J1955" s="17" t="s">
        <v>22908</v>
      </c>
      <c r="K1955" s="8" t="s">
        <v>607</v>
      </c>
      <c r="L1955" s="1" t="s">
        <v>19254</v>
      </c>
      <c r="M1955" s="1" t="s">
        <v>27</v>
      </c>
      <c r="N1955" s="1" t="s">
        <v>21149</v>
      </c>
      <c r="P1955" s="1" t="s">
        <v>401</v>
      </c>
      <c r="Q1955" s="63" t="s">
        <v>19255</v>
      </c>
      <c r="R1955" s="1" t="s">
        <v>29</v>
      </c>
      <c r="S1955" s="1" t="s">
        <v>28</v>
      </c>
      <c r="T1955" s="68" t="s">
        <v>29493</v>
      </c>
      <c r="U1955" s="68" t="s">
        <v>29436</v>
      </c>
      <c r="V1955" s="68" t="s">
        <v>29439</v>
      </c>
      <c r="W1955" s="68" t="s">
        <v>100</v>
      </c>
      <c r="X1955" s="68">
        <v>1002</v>
      </c>
      <c r="AZ1955" s="44"/>
      <c r="BK1955" s="11"/>
    </row>
    <row r="1956" spans="1:63" ht="12" customHeight="1" x14ac:dyDescent="0.15">
      <c r="A1956" s="1" t="s">
        <v>19040</v>
      </c>
      <c r="B1956" s="68">
        <v>32</v>
      </c>
      <c r="C1956" s="1" t="s">
        <v>20</v>
      </c>
      <c r="D1956" s="1" t="s">
        <v>85</v>
      </c>
      <c r="E1956" s="1" t="s">
        <v>19041</v>
      </c>
      <c r="F1956" s="69">
        <v>42319</v>
      </c>
      <c r="G1956" s="1" t="s">
        <v>24416</v>
      </c>
      <c r="H1956" s="1" t="s">
        <v>1592</v>
      </c>
      <c r="I1956" s="1" t="s">
        <v>52</v>
      </c>
      <c r="J1956" s="17" t="s">
        <v>9133</v>
      </c>
      <c r="K1956" s="8" t="s">
        <v>4697</v>
      </c>
      <c r="L1956" s="1" t="s">
        <v>2770</v>
      </c>
      <c r="M1956" s="1" t="s">
        <v>27</v>
      </c>
      <c r="N1956" s="1" t="s">
        <v>19042</v>
      </c>
      <c r="O1956" s="1" t="s">
        <v>4684</v>
      </c>
      <c r="P1956" s="1" t="s">
        <v>401</v>
      </c>
      <c r="Q1956" s="63" t="s">
        <v>19043</v>
      </c>
      <c r="R1956" s="1" t="s">
        <v>29</v>
      </c>
      <c r="S1956" s="1" t="s">
        <v>28</v>
      </c>
      <c r="T1956" s="68" t="s">
        <v>27756</v>
      </c>
      <c r="U1956" s="68" t="s">
        <v>29438</v>
      </c>
      <c r="V1956" s="68" t="s">
        <v>29439</v>
      </c>
      <c r="W1956" s="68" t="s">
        <v>100</v>
      </c>
      <c r="X1956" s="68">
        <v>1000</v>
      </c>
      <c r="AW1956" s="11"/>
      <c r="AX1956" s="11"/>
      <c r="AY1956" s="11"/>
      <c r="AZ1956" s="44"/>
      <c r="BC1956" s="44"/>
      <c r="BD1956" s="44"/>
      <c r="BE1956" s="44"/>
      <c r="BF1956" s="44"/>
      <c r="BG1956" s="44"/>
      <c r="BH1956" s="44"/>
      <c r="BI1956" s="44"/>
      <c r="BJ1956" s="44"/>
      <c r="BK1956" s="11"/>
    </row>
    <row r="1957" spans="1:63" ht="12" customHeight="1" x14ac:dyDescent="0.15">
      <c r="A1957" s="1" t="s">
        <v>19114</v>
      </c>
      <c r="B1957" s="1">
        <v>50</v>
      </c>
      <c r="C1957" s="1" t="s">
        <v>20</v>
      </c>
      <c r="D1957" s="1" t="s">
        <v>85</v>
      </c>
      <c r="E1957" s="1" t="s">
        <v>19115</v>
      </c>
      <c r="F1957" s="72">
        <v>42319</v>
      </c>
      <c r="G1957" s="1" t="s">
        <v>19116</v>
      </c>
      <c r="H1957" s="1" t="s">
        <v>1298</v>
      </c>
      <c r="I1957" s="1" t="s">
        <v>209</v>
      </c>
      <c r="J1957" s="17"/>
      <c r="K1957" s="8"/>
      <c r="L1957" s="1" t="s">
        <v>19117</v>
      </c>
      <c r="M1957" s="1" t="s">
        <v>2291</v>
      </c>
      <c r="N1957" s="1" t="s">
        <v>19118</v>
      </c>
      <c r="O1957" s="1" t="s">
        <v>400</v>
      </c>
      <c r="P1957" s="1" t="s">
        <v>401</v>
      </c>
      <c r="Q1957" s="63" t="s">
        <v>19119</v>
      </c>
      <c r="R1957" s="1" t="s">
        <v>555</v>
      </c>
      <c r="S1957" s="1" t="s">
        <v>18</v>
      </c>
      <c r="AX1957" s="11"/>
      <c r="AY1957" s="11"/>
      <c r="BA1957" s="11"/>
      <c r="BB1957" s="11"/>
      <c r="BC1957" s="44"/>
      <c r="BD1957" s="44"/>
      <c r="BE1957" s="44"/>
      <c r="BF1957" s="44"/>
      <c r="BG1957" s="44"/>
      <c r="BH1957" s="44"/>
      <c r="BI1957" s="44"/>
      <c r="BJ1957" s="44"/>
    </row>
    <row r="1958" spans="1:63" ht="12" customHeight="1" x14ac:dyDescent="0.15">
      <c r="A1958" s="1" t="s">
        <v>19256</v>
      </c>
      <c r="B1958" s="68">
        <v>25</v>
      </c>
      <c r="C1958" s="1" t="s">
        <v>20</v>
      </c>
      <c r="D1958" s="1" t="s">
        <v>48</v>
      </c>
      <c r="E1958" s="1" t="s">
        <v>19388</v>
      </c>
      <c r="F1958" s="69">
        <v>42319</v>
      </c>
      <c r="G1958" s="1" t="s">
        <v>19257</v>
      </c>
      <c r="H1958" s="1" t="s">
        <v>945</v>
      </c>
      <c r="I1958" s="1" t="s">
        <v>45</v>
      </c>
      <c r="J1958" s="17" t="s">
        <v>4009</v>
      </c>
      <c r="K1958" s="8" t="s">
        <v>945</v>
      </c>
      <c r="L1958" s="1" t="s">
        <v>946</v>
      </c>
      <c r="M1958" s="1" t="s">
        <v>27</v>
      </c>
      <c r="N1958" s="1" t="s">
        <v>21150</v>
      </c>
      <c r="P1958" s="1" t="s">
        <v>401</v>
      </c>
      <c r="Q1958" s="63" t="s">
        <v>19258</v>
      </c>
      <c r="R1958" s="1" t="s">
        <v>29</v>
      </c>
      <c r="S1958" s="1" t="s">
        <v>28</v>
      </c>
      <c r="T1958" s="68" t="s">
        <v>27756</v>
      </c>
      <c r="U1958" s="68" t="s">
        <v>29438</v>
      </c>
      <c r="V1958" s="68" t="s">
        <v>29439</v>
      </c>
      <c r="W1958" s="68" t="s">
        <v>100</v>
      </c>
      <c r="X1958" s="68">
        <v>998</v>
      </c>
      <c r="AW1958" s="11"/>
      <c r="AZ1958" s="44"/>
      <c r="BK1958" s="11"/>
    </row>
    <row r="1959" spans="1:63" ht="12" customHeight="1" x14ac:dyDescent="0.15">
      <c r="A1959" s="1" t="s">
        <v>19262</v>
      </c>
      <c r="B1959" s="68">
        <v>57</v>
      </c>
      <c r="C1959" s="1" t="s">
        <v>20</v>
      </c>
      <c r="D1959" s="1" t="s">
        <v>37</v>
      </c>
      <c r="E1959" s="1" t="s">
        <v>19387</v>
      </c>
      <c r="F1959" s="69">
        <v>42319</v>
      </c>
      <c r="G1959" s="1" t="s">
        <v>19263</v>
      </c>
      <c r="H1959" s="1" t="s">
        <v>1784</v>
      </c>
      <c r="I1959" s="1" t="s">
        <v>32</v>
      </c>
      <c r="J1959" s="17" t="s">
        <v>22883</v>
      </c>
      <c r="K1959" s="8" t="s">
        <v>1784</v>
      </c>
      <c r="L1959" s="1" t="s">
        <v>1785</v>
      </c>
      <c r="M1959" s="1" t="s">
        <v>27</v>
      </c>
      <c r="N1959" s="1" t="s">
        <v>21151</v>
      </c>
      <c r="P1959" s="1" t="s">
        <v>401</v>
      </c>
      <c r="Q1959" s="63" t="s">
        <v>19264</v>
      </c>
      <c r="R1959" s="1" t="s">
        <v>29</v>
      </c>
      <c r="S1959" s="1" t="s">
        <v>28</v>
      </c>
      <c r="T1959" s="68" t="s">
        <v>27756</v>
      </c>
      <c r="U1959" s="68" t="s">
        <v>29438</v>
      </c>
      <c r="V1959" s="68" t="s">
        <v>29439</v>
      </c>
      <c r="W1959" s="68" t="s">
        <v>100</v>
      </c>
      <c r="X1959" s="68">
        <v>999</v>
      </c>
      <c r="AZ1959" s="44"/>
      <c r="BK1959" s="11"/>
    </row>
    <row r="1960" spans="1:63" ht="12" customHeight="1" x14ac:dyDescent="0.15">
      <c r="A1960" s="1" t="s">
        <v>19259</v>
      </c>
      <c r="B1960" s="68">
        <v>31</v>
      </c>
      <c r="C1960" s="1" t="s">
        <v>20</v>
      </c>
      <c r="D1960" s="1" t="s">
        <v>48</v>
      </c>
      <c r="E1960" s="1" t="s">
        <v>19359</v>
      </c>
      <c r="F1960" s="69">
        <v>42319</v>
      </c>
      <c r="G1960" s="1" t="s">
        <v>19260</v>
      </c>
      <c r="H1960" s="1" t="s">
        <v>922</v>
      </c>
      <c r="I1960" s="1" t="s">
        <v>195</v>
      </c>
      <c r="J1960" s="17" t="s">
        <v>10880</v>
      </c>
      <c r="K1960" s="8" t="s">
        <v>467</v>
      </c>
      <c r="L1960" s="1" t="s">
        <v>8152</v>
      </c>
      <c r="M1960" s="1" t="s">
        <v>27</v>
      </c>
      <c r="N1960" s="1" t="s">
        <v>21059</v>
      </c>
      <c r="P1960" s="1" t="s">
        <v>401</v>
      </c>
      <c r="Q1960" s="63" t="s">
        <v>19261</v>
      </c>
      <c r="R1960" s="1" t="s">
        <v>29</v>
      </c>
      <c r="S1960" s="1" t="s">
        <v>379</v>
      </c>
      <c r="T1960" s="68" t="s">
        <v>379</v>
      </c>
      <c r="U1960" s="68" t="s">
        <v>29436</v>
      </c>
      <c r="V1960" s="68" t="s">
        <v>29437</v>
      </c>
      <c r="W1960" s="68" t="s">
        <v>100</v>
      </c>
      <c r="X1960" s="68">
        <v>997</v>
      </c>
      <c r="AW1960" s="11"/>
      <c r="AZ1960" s="44"/>
      <c r="BK1960" s="44"/>
    </row>
    <row r="1961" spans="1:63" ht="12" customHeight="1" x14ac:dyDescent="0.15">
      <c r="A1961" s="11" t="s">
        <v>23514</v>
      </c>
      <c r="B1961" s="68">
        <v>63</v>
      </c>
      <c r="C1961" s="11" t="s">
        <v>20</v>
      </c>
      <c r="D1961" s="11" t="s">
        <v>37</v>
      </c>
      <c r="E1961" s="44" t="s">
        <v>23605</v>
      </c>
      <c r="F1961" s="69">
        <v>42318</v>
      </c>
      <c r="G1961" s="11" t="s">
        <v>23608</v>
      </c>
      <c r="H1961" s="8" t="s">
        <v>20068</v>
      </c>
      <c r="I1961" s="11" t="s">
        <v>209</v>
      </c>
      <c r="J1961" s="43">
        <v>80919</v>
      </c>
      <c r="K1961" s="8" t="s">
        <v>857</v>
      </c>
      <c r="L1961" s="8" t="s">
        <v>20070</v>
      </c>
      <c r="M1961" s="8" t="s">
        <v>27</v>
      </c>
      <c r="N1961" s="8" t="s">
        <v>23607</v>
      </c>
      <c r="O1961" s="8" t="s">
        <v>400</v>
      </c>
      <c r="P1961" s="11" t="s">
        <v>401</v>
      </c>
      <c r="Q1961" s="44" t="s">
        <v>23606</v>
      </c>
      <c r="R1961" s="68" t="s">
        <v>555</v>
      </c>
      <c r="S1961" s="8" t="s">
        <v>18</v>
      </c>
      <c r="T1961" s="68" t="s">
        <v>29612</v>
      </c>
      <c r="U1961" s="68" t="s">
        <v>29438</v>
      </c>
      <c r="V1961" s="68" t="s">
        <v>29439</v>
      </c>
      <c r="W1961" s="68" t="s">
        <v>100</v>
      </c>
      <c r="X1961" s="68">
        <v>1161</v>
      </c>
      <c r="Y1961" s="44"/>
      <c r="Z1961" s="44"/>
      <c r="AA1961" s="44"/>
      <c r="AB1961" s="44"/>
      <c r="AC1961" s="44"/>
      <c r="AD1961" s="44"/>
      <c r="AE1961" s="44"/>
      <c r="AF1961" s="44"/>
      <c r="AG1961" s="44"/>
      <c r="AH1961" s="44"/>
      <c r="AI1961" s="44"/>
      <c r="AJ1961" s="44"/>
      <c r="AK1961" s="44"/>
      <c r="AL1961" s="44"/>
      <c r="AZ1961" s="44"/>
      <c r="BA1961" s="44"/>
      <c r="BB1961" s="11"/>
    </row>
    <row r="1962" spans="1:63" ht="12" customHeight="1" x14ac:dyDescent="0.15">
      <c r="A1962" s="1" t="s">
        <v>19265</v>
      </c>
      <c r="B1962" s="68">
        <v>34</v>
      </c>
      <c r="C1962" s="1" t="s">
        <v>20</v>
      </c>
      <c r="D1962" s="1" t="s">
        <v>48</v>
      </c>
      <c r="E1962" s="1" t="s">
        <v>19386</v>
      </c>
      <c r="F1962" s="69">
        <v>42318</v>
      </c>
      <c r="G1962" s="1" t="s">
        <v>19266</v>
      </c>
      <c r="H1962" s="1" t="s">
        <v>14053</v>
      </c>
      <c r="I1962" s="1" t="s">
        <v>45</v>
      </c>
      <c r="J1962" s="17" t="s">
        <v>22885</v>
      </c>
      <c r="K1962" s="8" t="s">
        <v>5235</v>
      </c>
      <c r="L1962" s="1" t="s">
        <v>14054</v>
      </c>
      <c r="M1962" s="1" t="s">
        <v>27</v>
      </c>
      <c r="N1962" s="1" t="s">
        <v>21152</v>
      </c>
      <c r="P1962" s="1" t="s">
        <v>401</v>
      </c>
      <c r="Q1962" s="63" t="s">
        <v>19267</v>
      </c>
      <c r="R1962" s="1" t="s">
        <v>29</v>
      </c>
      <c r="S1962" s="1" t="s">
        <v>28</v>
      </c>
      <c r="T1962" s="68" t="s">
        <v>27756</v>
      </c>
      <c r="U1962" s="68" t="s">
        <v>29438</v>
      </c>
      <c r="V1962" s="68" t="s">
        <v>29439</v>
      </c>
      <c r="W1962" s="68" t="s">
        <v>100</v>
      </c>
      <c r="X1962" s="68">
        <v>995</v>
      </c>
      <c r="AW1962" s="11"/>
      <c r="AZ1962" s="44"/>
      <c r="BK1962" s="11"/>
    </row>
    <row r="1963" spans="1:63" ht="12" customHeight="1" x14ac:dyDescent="0.15">
      <c r="A1963" s="1" t="s">
        <v>19268</v>
      </c>
      <c r="B1963" s="68">
        <v>36</v>
      </c>
      <c r="C1963" s="1" t="s">
        <v>20</v>
      </c>
      <c r="D1963" s="68" t="s">
        <v>48</v>
      </c>
      <c r="E1963" s="1" t="s">
        <v>19385</v>
      </c>
      <c r="F1963" s="69">
        <v>42318</v>
      </c>
      <c r="G1963" s="1" t="s">
        <v>19269</v>
      </c>
      <c r="H1963" s="1" t="s">
        <v>16422</v>
      </c>
      <c r="I1963" s="1" t="s">
        <v>209</v>
      </c>
      <c r="J1963" s="17" t="s">
        <v>22884</v>
      </c>
      <c r="K1963" s="8" t="s">
        <v>1924</v>
      </c>
      <c r="L1963" s="1" t="s">
        <v>29</v>
      </c>
      <c r="M1963" s="1" t="s">
        <v>27</v>
      </c>
      <c r="N1963" s="1" t="s">
        <v>21154</v>
      </c>
      <c r="P1963" s="1" t="s">
        <v>401</v>
      </c>
      <c r="Q1963" s="63" t="s">
        <v>19270</v>
      </c>
      <c r="R1963" s="1" t="s">
        <v>29</v>
      </c>
      <c r="S1963" s="13" t="s">
        <v>28</v>
      </c>
      <c r="T1963" s="68" t="s">
        <v>27756</v>
      </c>
      <c r="U1963" s="68" t="s">
        <v>29436</v>
      </c>
      <c r="V1963" s="68" t="s">
        <v>29437</v>
      </c>
      <c r="W1963" s="68" t="s">
        <v>100</v>
      </c>
      <c r="X1963" s="68">
        <v>996</v>
      </c>
      <c r="AW1963" s="44"/>
      <c r="AZ1963" s="44"/>
      <c r="BK1963" s="11"/>
    </row>
    <row r="1964" spans="1:63" ht="12" customHeight="1" x14ac:dyDescent="0.15">
      <c r="A1964" s="1" t="s">
        <v>19271</v>
      </c>
      <c r="B1964" s="68">
        <v>22</v>
      </c>
      <c r="C1964" s="1" t="s">
        <v>20</v>
      </c>
      <c r="D1964" s="1" t="s">
        <v>37</v>
      </c>
      <c r="E1964" s="1" t="s">
        <v>19384</v>
      </c>
      <c r="F1964" s="69">
        <v>42318</v>
      </c>
      <c r="G1964" s="1" t="s">
        <v>19272</v>
      </c>
      <c r="H1964" s="1" t="s">
        <v>19273</v>
      </c>
      <c r="I1964" s="1" t="s">
        <v>854</v>
      </c>
      <c r="J1964" s="17" t="s">
        <v>22889</v>
      </c>
      <c r="K1964" s="8" t="s">
        <v>22890</v>
      </c>
      <c r="L1964" s="1" t="s">
        <v>19274</v>
      </c>
      <c r="M1964" s="1" t="s">
        <v>27</v>
      </c>
      <c r="N1964" s="1" t="s">
        <v>21153</v>
      </c>
      <c r="P1964" s="1" t="s">
        <v>401</v>
      </c>
      <c r="Q1964" s="63" t="s">
        <v>19275</v>
      </c>
      <c r="R1964" s="1" t="s">
        <v>29</v>
      </c>
      <c r="S1964" s="1" t="s">
        <v>28</v>
      </c>
      <c r="T1964" s="68" t="s">
        <v>27756</v>
      </c>
      <c r="U1964" s="68" t="s">
        <v>29438</v>
      </c>
      <c r="V1964" s="68" t="s">
        <v>29439</v>
      </c>
      <c r="W1964" s="68" t="s">
        <v>100</v>
      </c>
      <c r="X1964" s="68">
        <v>1013</v>
      </c>
      <c r="AW1964" s="44"/>
      <c r="AZ1964" s="44"/>
      <c r="BK1964" s="11"/>
    </row>
    <row r="1965" spans="1:63" ht="12" customHeight="1" x14ac:dyDescent="0.15">
      <c r="A1965" s="1" t="s">
        <v>20301</v>
      </c>
      <c r="B1965" s="1">
        <v>22</v>
      </c>
      <c r="C1965" s="1" t="s">
        <v>20</v>
      </c>
      <c r="D1965" s="1" t="s">
        <v>85</v>
      </c>
      <c r="F1965" s="72">
        <v>42317</v>
      </c>
      <c r="G1965" s="1" t="s">
        <v>19285</v>
      </c>
      <c r="H1965" s="1" t="s">
        <v>19286</v>
      </c>
      <c r="I1965" s="1" t="s">
        <v>62</v>
      </c>
      <c r="J1965" s="4">
        <v>32746</v>
      </c>
      <c r="K1965" s="1" t="s">
        <v>9145</v>
      </c>
      <c r="L1965" s="1" t="s">
        <v>17134</v>
      </c>
      <c r="M1965" s="1" t="s">
        <v>379</v>
      </c>
      <c r="N1965" s="1" t="s">
        <v>21192</v>
      </c>
      <c r="O1965" s="1" t="s">
        <v>400</v>
      </c>
      <c r="P1965" s="1" t="s">
        <v>401</v>
      </c>
      <c r="Q1965" s="63" t="s">
        <v>19287</v>
      </c>
      <c r="R1965" s="1" t="s">
        <v>100</v>
      </c>
      <c r="S1965" s="1" t="s">
        <v>379</v>
      </c>
      <c r="AX1965" s="44"/>
      <c r="AY1965" s="44"/>
      <c r="BC1965" s="44"/>
      <c r="BD1965" s="44"/>
      <c r="BE1965" s="44"/>
      <c r="BF1965" s="44"/>
      <c r="BG1965" s="44"/>
      <c r="BH1965" s="44"/>
      <c r="BI1965" s="44"/>
      <c r="BJ1965" s="44"/>
      <c r="BK1965" s="11"/>
    </row>
    <row r="1966" spans="1:63" ht="12" customHeight="1" x14ac:dyDescent="0.15">
      <c r="A1966" s="1" t="s">
        <v>20302</v>
      </c>
      <c r="B1966" s="1">
        <v>22</v>
      </c>
      <c r="C1966" s="1" t="s">
        <v>20</v>
      </c>
      <c r="D1966" s="1" t="s">
        <v>85</v>
      </c>
      <c r="F1966" s="72">
        <v>42317</v>
      </c>
      <c r="G1966" s="1" t="s">
        <v>19285</v>
      </c>
      <c r="H1966" s="1" t="s">
        <v>19286</v>
      </c>
      <c r="I1966" s="1" t="s">
        <v>62</v>
      </c>
      <c r="J1966" s="4">
        <v>32746</v>
      </c>
      <c r="K1966" s="1" t="s">
        <v>9145</v>
      </c>
      <c r="L1966" s="1" t="s">
        <v>17134</v>
      </c>
      <c r="M1966" s="1" t="s">
        <v>379</v>
      </c>
      <c r="N1966" s="1" t="s">
        <v>21191</v>
      </c>
      <c r="O1966" s="1" t="s">
        <v>400</v>
      </c>
      <c r="P1966" s="1" t="s">
        <v>401</v>
      </c>
      <c r="Q1966" s="63" t="s">
        <v>19287</v>
      </c>
      <c r="R1966" s="1" t="s">
        <v>100</v>
      </c>
      <c r="S1966" s="1" t="s">
        <v>379</v>
      </c>
      <c r="AX1966" s="44"/>
      <c r="AY1966" s="44"/>
      <c r="BC1966" s="11"/>
      <c r="BD1966" s="11"/>
      <c r="BE1966" s="11"/>
      <c r="BF1966" s="11"/>
      <c r="BG1966" s="11"/>
      <c r="BH1966" s="11"/>
      <c r="BI1966" s="11"/>
      <c r="BJ1966" s="11"/>
      <c r="BK1966" s="11"/>
    </row>
    <row r="1967" spans="1:63" ht="12" customHeight="1" x14ac:dyDescent="0.2">
      <c r="A1967" s="1" t="s">
        <v>19033</v>
      </c>
      <c r="B1967" s="68">
        <v>20</v>
      </c>
      <c r="C1967" s="1" t="s">
        <v>20</v>
      </c>
      <c r="D1967" s="1" t="s">
        <v>85</v>
      </c>
      <c r="E1967" s="1" t="s">
        <v>19034</v>
      </c>
      <c r="F1967" s="69">
        <v>42317</v>
      </c>
      <c r="G1967" s="1" t="s">
        <v>19035</v>
      </c>
      <c r="H1967" s="1" t="s">
        <v>2863</v>
      </c>
      <c r="I1967" s="1" t="s">
        <v>32</v>
      </c>
      <c r="J1967" s="17" t="s">
        <v>19036</v>
      </c>
      <c r="K1967" s="8" t="s">
        <v>2863</v>
      </c>
      <c r="L1967" s="1" t="s">
        <v>19037</v>
      </c>
      <c r="M1967" s="1" t="s">
        <v>27</v>
      </c>
      <c r="N1967" s="1" t="s">
        <v>19038</v>
      </c>
      <c r="O1967" s="1" t="s">
        <v>4684</v>
      </c>
      <c r="P1967" s="1" t="s">
        <v>401</v>
      </c>
      <c r="Q1967" s="63" t="s">
        <v>19039</v>
      </c>
      <c r="R1967" s="1" t="s">
        <v>29</v>
      </c>
      <c r="S1967" s="1" t="s">
        <v>379</v>
      </c>
      <c r="T1967" s="68" t="s">
        <v>379</v>
      </c>
      <c r="U1967" s="68" t="s">
        <v>29438</v>
      </c>
      <c r="V1967" s="68" t="s">
        <v>29437</v>
      </c>
      <c r="W1967" s="68" t="s">
        <v>100</v>
      </c>
      <c r="X1967" s="68">
        <v>989</v>
      </c>
      <c r="AW1967" s="70"/>
      <c r="AX1967" s="70"/>
      <c r="AY1967" s="70"/>
      <c r="AZ1967" s="44"/>
      <c r="BC1967" s="44"/>
      <c r="BD1967" s="44"/>
      <c r="BE1967" s="44"/>
      <c r="BF1967" s="44"/>
      <c r="BG1967" s="44"/>
      <c r="BH1967" s="44"/>
      <c r="BI1967" s="44"/>
      <c r="BJ1967" s="44"/>
      <c r="BK1967" s="44"/>
    </row>
    <row r="1968" spans="1:63" ht="12" customHeight="1" x14ac:dyDescent="0.15">
      <c r="A1968" s="1" t="s">
        <v>19279</v>
      </c>
      <c r="B1968" s="68">
        <v>25</v>
      </c>
      <c r="C1968" s="1" t="s">
        <v>20</v>
      </c>
      <c r="D1968" s="1" t="s">
        <v>48</v>
      </c>
      <c r="E1968" s="1" t="s">
        <v>19382</v>
      </c>
      <c r="F1968" s="69">
        <v>42317</v>
      </c>
      <c r="G1968" s="1" t="s">
        <v>19280</v>
      </c>
      <c r="H1968" s="1" t="s">
        <v>4279</v>
      </c>
      <c r="I1968" s="1" t="s">
        <v>73</v>
      </c>
      <c r="J1968" s="17" t="s">
        <v>22900</v>
      </c>
      <c r="K1968" s="8" t="s">
        <v>4281</v>
      </c>
      <c r="L1968" s="1" t="s">
        <v>4282</v>
      </c>
      <c r="M1968" s="1" t="s">
        <v>27</v>
      </c>
      <c r="N1968" s="1" t="s">
        <v>21155</v>
      </c>
      <c r="P1968" s="1" t="s">
        <v>401</v>
      </c>
      <c r="Q1968" s="63" t="s">
        <v>19281</v>
      </c>
      <c r="R1968" s="68" t="s">
        <v>555</v>
      </c>
      <c r="S1968" s="1" t="s">
        <v>28</v>
      </c>
      <c r="T1968" s="68" t="s">
        <v>27756</v>
      </c>
      <c r="U1968" s="68" t="s">
        <v>29438</v>
      </c>
      <c r="V1968" s="68" t="s">
        <v>29439</v>
      </c>
      <c r="W1968" s="68" t="s">
        <v>100</v>
      </c>
      <c r="X1968" s="68">
        <v>991</v>
      </c>
      <c r="AW1968" s="11"/>
      <c r="AZ1968" s="44"/>
      <c r="BA1968" s="44"/>
      <c r="BB1968" s="44"/>
      <c r="BK1968" s="11"/>
    </row>
    <row r="1969" spans="1:63" ht="12" customHeight="1" x14ac:dyDescent="0.15">
      <c r="A1969" s="1" t="s">
        <v>19276</v>
      </c>
      <c r="B1969" s="68">
        <v>45</v>
      </c>
      <c r="C1969" s="1" t="s">
        <v>20</v>
      </c>
      <c r="D1969" s="1" t="s">
        <v>48</v>
      </c>
      <c r="E1969" s="1" t="s">
        <v>19383</v>
      </c>
      <c r="F1969" s="69">
        <v>42317</v>
      </c>
      <c r="G1969" s="1" t="s">
        <v>19277</v>
      </c>
      <c r="H1969" s="1" t="s">
        <v>606</v>
      </c>
      <c r="I1969" s="1" t="s">
        <v>45</v>
      </c>
      <c r="J1969" s="17" t="s">
        <v>22906</v>
      </c>
      <c r="K1969" s="8" t="s">
        <v>607</v>
      </c>
      <c r="L1969" s="1" t="s">
        <v>727</v>
      </c>
      <c r="M1969" s="1" t="s">
        <v>27</v>
      </c>
      <c r="N1969" s="1" t="s">
        <v>21156</v>
      </c>
      <c r="P1969" s="1" t="s">
        <v>401</v>
      </c>
      <c r="Q1969" s="63" t="s">
        <v>19278</v>
      </c>
      <c r="R1969" s="1" t="s">
        <v>29</v>
      </c>
      <c r="S1969" s="1" t="s">
        <v>28</v>
      </c>
      <c r="T1969" s="68" t="s">
        <v>27756</v>
      </c>
      <c r="U1969" s="68" t="s">
        <v>29438</v>
      </c>
      <c r="V1969" s="68" t="s">
        <v>29439</v>
      </c>
      <c r="W1969" s="68" t="s">
        <v>100</v>
      </c>
      <c r="X1969" s="68">
        <v>994</v>
      </c>
      <c r="AZ1969" s="44"/>
      <c r="BK1969" s="11"/>
    </row>
    <row r="1970" spans="1:63" ht="12" customHeight="1" x14ac:dyDescent="0.2">
      <c r="A1970" s="1" t="s">
        <v>19282</v>
      </c>
      <c r="B1970" s="68">
        <v>35</v>
      </c>
      <c r="C1970" s="1" t="s">
        <v>20</v>
      </c>
      <c r="D1970" s="1" t="s">
        <v>48</v>
      </c>
      <c r="E1970" s="1" t="s">
        <v>19358</v>
      </c>
      <c r="F1970" s="69">
        <v>42317</v>
      </c>
      <c r="G1970" s="1" t="s">
        <v>19283</v>
      </c>
      <c r="H1970" s="1" t="s">
        <v>98</v>
      </c>
      <c r="I1970" s="1" t="s">
        <v>45</v>
      </c>
      <c r="J1970" s="17" t="s">
        <v>22901</v>
      </c>
      <c r="K1970" s="8" t="s">
        <v>98</v>
      </c>
      <c r="L1970" s="1" t="s">
        <v>99</v>
      </c>
      <c r="M1970" s="68" t="s">
        <v>5411</v>
      </c>
      <c r="N1970" s="1" t="s">
        <v>21060</v>
      </c>
      <c r="P1970" s="1" t="s">
        <v>401</v>
      </c>
      <c r="Q1970" s="63" t="s">
        <v>19284</v>
      </c>
      <c r="R1970" s="1" t="s">
        <v>29</v>
      </c>
      <c r="S1970" s="8" t="s">
        <v>28</v>
      </c>
      <c r="T1970" s="68" t="s">
        <v>29490</v>
      </c>
      <c r="U1970" s="68" t="s">
        <v>29436</v>
      </c>
      <c r="V1970" s="68" t="s">
        <v>29439</v>
      </c>
      <c r="W1970" s="68" t="s">
        <v>100</v>
      </c>
      <c r="X1970" s="68">
        <v>1001</v>
      </c>
      <c r="AW1970" s="11"/>
      <c r="AZ1970" s="44"/>
      <c r="BB1970" s="70"/>
    </row>
    <row r="1971" spans="1:63" ht="12" customHeight="1" x14ac:dyDescent="0.15">
      <c r="A1971" s="1" t="s">
        <v>19288</v>
      </c>
      <c r="B1971" s="68">
        <v>26</v>
      </c>
      <c r="C1971" s="1" t="s">
        <v>20</v>
      </c>
      <c r="D1971" s="1" t="s">
        <v>37</v>
      </c>
      <c r="E1971" s="1" t="s">
        <v>19381</v>
      </c>
      <c r="F1971" s="69">
        <v>42317</v>
      </c>
      <c r="G1971" s="1" t="s">
        <v>19289</v>
      </c>
      <c r="H1971" s="1" t="s">
        <v>1060</v>
      </c>
      <c r="I1971" s="1" t="s">
        <v>150</v>
      </c>
      <c r="J1971" s="17" t="s">
        <v>22905</v>
      </c>
      <c r="K1971" s="8" t="s">
        <v>1543</v>
      </c>
      <c r="L1971" s="1" t="s">
        <v>19290</v>
      </c>
      <c r="M1971" s="1" t="s">
        <v>27</v>
      </c>
      <c r="N1971" s="1" t="s">
        <v>21157</v>
      </c>
      <c r="P1971" s="1" t="s">
        <v>401</v>
      </c>
      <c r="Q1971" s="63" t="s">
        <v>19291</v>
      </c>
      <c r="R1971" s="1" t="s">
        <v>29</v>
      </c>
      <c r="S1971" s="1" t="s">
        <v>28</v>
      </c>
      <c r="T1971" s="68" t="s">
        <v>27756</v>
      </c>
      <c r="U1971" s="68" t="s">
        <v>29438</v>
      </c>
      <c r="V1971" s="68" t="s">
        <v>29439</v>
      </c>
      <c r="W1971" s="68" t="s">
        <v>100</v>
      </c>
      <c r="X1971" s="68">
        <v>993</v>
      </c>
      <c r="AW1971" s="44"/>
      <c r="AZ1971" s="44"/>
      <c r="BK1971" s="11"/>
    </row>
    <row r="1972" spans="1:63" ht="12" customHeight="1" x14ac:dyDescent="0.2">
      <c r="A1972" s="66" t="s">
        <v>30651</v>
      </c>
      <c r="B1972" s="66">
        <v>18</v>
      </c>
      <c r="C1972" s="66" t="s">
        <v>20</v>
      </c>
      <c r="D1972" s="66" t="s">
        <v>85</v>
      </c>
      <c r="E1972" s="66" t="s">
        <v>30652</v>
      </c>
      <c r="F1972" s="69">
        <v>42316</v>
      </c>
      <c r="G1972" s="66" t="s">
        <v>30653</v>
      </c>
      <c r="H1972" s="66" t="s">
        <v>1198</v>
      </c>
      <c r="I1972" s="66" t="s">
        <v>404</v>
      </c>
      <c r="J1972" s="66" t="s">
        <v>30654</v>
      </c>
      <c r="K1972" s="66" t="s">
        <v>1516</v>
      </c>
      <c r="L1972" s="66" t="s">
        <v>511</v>
      </c>
      <c r="M1972" s="66" t="s">
        <v>379</v>
      </c>
      <c r="N1972" s="66" t="s">
        <v>30655</v>
      </c>
      <c r="O1972" s="66" t="s">
        <v>1010</v>
      </c>
      <c r="P1972" s="66" t="s">
        <v>30375</v>
      </c>
      <c r="Q1972" s="76" t="s">
        <v>30656</v>
      </c>
      <c r="R1972" s="66" t="s">
        <v>100</v>
      </c>
      <c r="S1972" s="66" t="s">
        <v>379</v>
      </c>
      <c r="T1972" s="77"/>
      <c r="U1972" s="77"/>
      <c r="V1972" s="77"/>
      <c r="W1972" s="77"/>
      <c r="X1972" s="77"/>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78"/>
      <c r="AW1972" s="78"/>
      <c r="AX1972" s="78"/>
      <c r="AY1972" s="78"/>
      <c r="AZ1972" s="78"/>
      <c r="BA1972" s="78"/>
      <c r="BB1972" s="78"/>
      <c r="BC1972" s="78"/>
      <c r="BD1972" s="78"/>
      <c r="BE1972" s="78"/>
      <c r="BF1972" s="78"/>
      <c r="BG1972" s="78"/>
      <c r="BH1972" s="78"/>
      <c r="BI1972" s="78"/>
      <c r="BJ1972" s="78"/>
    </row>
    <row r="1973" spans="1:63" ht="12" customHeight="1" x14ac:dyDescent="0.15">
      <c r="A1973" s="1" t="s">
        <v>19295</v>
      </c>
      <c r="B1973" s="68">
        <v>51</v>
      </c>
      <c r="C1973" s="1" t="s">
        <v>20</v>
      </c>
      <c r="D1973" s="1" t="s">
        <v>37</v>
      </c>
      <c r="E1973" s="1" t="s">
        <v>19380</v>
      </c>
      <c r="F1973" s="69">
        <v>42314</v>
      </c>
      <c r="G1973" s="1" t="s">
        <v>19296</v>
      </c>
      <c r="H1973" s="1" t="s">
        <v>1561</v>
      </c>
      <c r="I1973" s="1" t="s">
        <v>117</v>
      </c>
      <c r="K1973" s="1" t="s">
        <v>1563</v>
      </c>
      <c r="L1973" s="1" t="s">
        <v>17750</v>
      </c>
      <c r="M1973" s="1" t="s">
        <v>27</v>
      </c>
      <c r="N1973" s="1" t="s">
        <v>21158</v>
      </c>
      <c r="P1973" s="1" t="s">
        <v>401</v>
      </c>
      <c r="Q1973" s="63" t="s">
        <v>19297</v>
      </c>
      <c r="R1973" s="68" t="s">
        <v>555</v>
      </c>
      <c r="S1973" s="1" t="s">
        <v>28</v>
      </c>
      <c r="T1973" s="68" t="s">
        <v>27756</v>
      </c>
      <c r="U1973" s="68" t="s">
        <v>29438</v>
      </c>
      <c r="V1973" s="68" t="s">
        <v>29439</v>
      </c>
      <c r="W1973" s="68" t="s">
        <v>100</v>
      </c>
      <c r="X1973" s="68">
        <v>986</v>
      </c>
      <c r="AZ1973" s="44"/>
      <c r="BA1973" s="44"/>
      <c r="BB1973" s="44"/>
      <c r="BK1973" s="11"/>
    </row>
    <row r="1974" spans="1:63" ht="12" customHeight="1" x14ac:dyDescent="0.15">
      <c r="A1974" s="1" t="s">
        <v>19292</v>
      </c>
      <c r="B1974" s="1">
        <v>68</v>
      </c>
      <c r="C1974" s="1" t="s">
        <v>20</v>
      </c>
      <c r="D1974" s="1" t="s">
        <v>37</v>
      </c>
      <c r="F1974" s="72">
        <v>42314</v>
      </c>
      <c r="G1974" s="1" t="s">
        <v>19293</v>
      </c>
      <c r="H1974" s="1" t="s">
        <v>3889</v>
      </c>
      <c r="I1974" s="1" t="s">
        <v>62</v>
      </c>
      <c r="J1974" s="17" t="s">
        <v>21271</v>
      </c>
      <c r="K1974" s="8" t="s">
        <v>3891</v>
      </c>
      <c r="L1974" s="1" t="s">
        <v>16818</v>
      </c>
      <c r="M1974" s="1" t="s">
        <v>27</v>
      </c>
      <c r="P1974" s="1" t="s">
        <v>401</v>
      </c>
      <c r="Q1974" s="63" t="s">
        <v>19294</v>
      </c>
      <c r="R1974" s="1" t="s">
        <v>29</v>
      </c>
      <c r="S1974" s="1" t="s">
        <v>18</v>
      </c>
      <c r="T1974" s="68"/>
      <c r="U1974" s="68"/>
      <c r="V1974" s="68"/>
      <c r="W1974" s="68"/>
      <c r="X1974" s="68"/>
    </row>
    <row r="1975" spans="1:63" ht="12" customHeight="1" x14ac:dyDescent="0.15">
      <c r="A1975" s="1" t="s">
        <v>19298</v>
      </c>
      <c r="B1975" s="68">
        <v>48</v>
      </c>
      <c r="C1975" s="1" t="s">
        <v>20</v>
      </c>
      <c r="D1975" s="1" t="s">
        <v>37</v>
      </c>
      <c r="E1975" s="1" t="s">
        <v>19357</v>
      </c>
      <c r="F1975" s="69">
        <v>42314</v>
      </c>
      <c r="G1975" s="1" t="s">
        <v>19299</v>
      </c>
      <c r="H1975" s="1" t="s">
        <v>19300</v>
      </c>
      <c r="I1975" s="1" t="s">
        <v>366</v>
      </c>
      <c r="J1975" s="17" t="s">
        <v>22910</v>
      </c>
      <c r="K1975" s="8" t="s">
        <v>4434</v>
      </c>
      <c r="L1975" s="1" t="s">
        <v>19301</v>
      </c>
      <c r="M1975" s="1" t="s">
        <v>27</v>
      </c>
      <c r="N1975" s="1" t="s">
        <v>21061</v>
      </c>
      <c r="O1975" s="1" t="s">
        <v>400</v>
      </c>
      <c r="P1975" s="1" t="s">
        <v>401</v>
      </c>
      <c r="Q1975" s="63" t="s">
        <v>19302</v>
      </c>
      <c r="R1975" s="1" t="s">
        <v>29</v>
      </c>
      <c r="S1975" s="1" t="s">
        <v>35</v>
      </c>
      <c r="T1975" s="68" t="s">
        <v>29441</v>
      </c>
      <c r="U1975" s="68" t="s">
        <v>29441</v>
      </c>
      <c r="V1975" s="68" t="s">
        <v>29439</v>
      </c>
      <c r="W1975" s="68" t="s">
        <v>100</v>
      </c>
      <c r="X1975" s="68">
        <v>992</v>
      </c>
      <c r="AZ1975" s="44"/>
    </row>
    <row r="1976" spans="1:63" ht="12" customHeight="1" x14ac:dyDescent="0.15">
      <c r="A1976" s="1" t="s">
        <v>19303</v>
      </c>
      <c r="B1976" s="68">
        <v>55</v>
      </c>
      <c r="C1976" s="1" t="s">
        <v>20</v>
      </c>
      <c r="D1976" s="1" t="s">
        <v>37</v>
      </c>
      <c r="E1976" s="1" t="s">
        <v>19353</v>
      </c>
      <c r="F1976" s="69">
        <v>42314</v>
      </c>
      <c r="G1976" s="1" t="s">
        <v>19304</v>
      </c>
      <c r="H1976" s="1" t="s">
        <v>655</v>
      </c>
      <c r="I1976" s="1" t="s">
        <v>269</v>
      </c>
      <c r="J1976" s="17" t="s">
        <v>15196</v>
      </c>
      <c r="K1976" s="8" t="s">
        <v>570</v>
      </c>
      <c r="L1976" s="1" t="s">
        <v>19305</v>
      </c>
      <c r="M1976" s="1" t="s">
        <v>27</v>
      </c>
      <c r="N1976" s="1" t="s">
        <v>21077</v>
      </c>
      <c r="P1976" s="1" t="s">
        <v>401</v>
      </c>
      <c r="Q1976" s="63" t="s">
        <v>19306</v>
      </c>
      <c r="R1976" s="1" t="s">
        <v>29</v>
      </c>
      <c r="S1976" s="1" t="s">
        <v>379</v>
      </c>
      <c r="T1976" s="68" t="s">
        <v>379</v>
      </c>
      <c r="U1976" s="68" t="s">
        <v>29436</v>
      </c>
      <c r="V1976" s="68" t="s">
        <v>29437</v>
      </c>
      <c r="W1976" s="68" t="s">
        <v>100</v>
      </c>
      <c r="X1976" s="68">
        <v>988</v>
      </c>
      <c r="AZ1976" s="44"/>
      <c r="BK1976" s="44"/>
    </row>
    <row r="1977" spans="1:63" ht="12" customHeight="1" x14ac:dyDescent="0.2">
      <c r="A1977" s="1" t="s">
        <v>19307</v>
      </c>
      <c r="B1977" s="68">
        <v>20</v>
      </c>
      <c r="C1977" s="1" t="s">
        <v>20</v>
      </c>
      <c r="D1977" s="1" t="s">
        <v>37</v>
      </c>
      <c r="E1977" s="1" t="s">
        <v>19379</v>
      </c>
      <c r="F1977" s="69">
        <v>42313</v>
      </c>
      <c r="G1977" s="1" t="s">
        <v>19308</v>
      </c>
      <c r="H1977" s="1" t="s">
        <v>19309</v>
      </c>
      <c r="I1977" s="1" t="s">
        <v>395</v>
      </c>
      <c r="J1977" s="17" t="s">
        <v>22893</v>
      </c>
      <c r="K1977" s="8" t="s">
        <v>22894</v>
      </c>
      <c r="L1977" s="1" t="s">
        <v>19310</v>
      </c>
      <c r="M1977" s="1" t="s">
        <v>27</v>
      </c>
      <c r="N1977" s="1" t="s">
        <v>21159</v>
      </c>
      <c r="P1977" s="1" t="s">
        <v>401</v>
      </c>
      <c r="Q1977" s="63" t="s">
        <v>19311</v>
      </c>
      <c r="R1977" s="68" t="s">
        <v>555</v>
      </c>
      <c r="S1977" s="1" t="s">
        <v>28</v>
      </c>
      <c r="T1977" s="68" t="s">
        <v>27756</v>
      </c>
      <c r="U1977" s="68" t="s">
        <v>29438</v>
      </c>
      <c r="V1977" s="68" t="s">
        <v>29437</v>
      </c>
      <c r="W1977" s="68" t="s">
        <v>100</v>
      </c>
      <c r="X1977" s="68">
        <v>984</v>
      </c>
      <c r="AW1977" s="70"/>
      <c r="AZ1977" s="44"/>
      <c r="BA1977" s="44"/>
      <c r="BB1977" s="44"/>
      <c r="BK1977" s="11"/>
    </row>
    <row r="1978" spans="1:63" ht="12" customHeight="1" x14ac:dyDescent="0.15">
      <c r="A1978" s="1" t="s">
        <v>19312</v>
      </c>
      <c r="B1978" s="68">
        <v>36</v>
      </c>
      <c r="C1978" s="1" t="s">
        <v>114</v>
      </c>
      <c r="D1978" s="1" t="s">
        <v>37</v>
      </c>
      <c r="F1978" s="69">
        <v>42313</v>
      </c>
      <c r="G1978" s="1" t="s">
        <v>19313</v>
      </c>
      <c r="H1978" s="1" t="s">
        <v>7074</v>
      </c>
      <c r="I1978" s="1" t="s">
        <v>32</v>
      </c>
      <c r="J1978" s="17" t="s">
        <v>7075</v>
      </c>
      <c r="K1978" s="8" t="s">
        <v>5329</v>
      </c>
      <c r="L1978" s="1" t="s">
        <v>19314</v>
      </c>
      <c r="M1978" s="1" t="s">
        <v>27</v>
      </c>
      <c r="N1978" s="1" t="s">
        <v>21161</v>
      </c>
      <c r="P1978" s="1" t="s">
        <v>401</v>
      </c>
      <c r="Q1978" s="63" t="s">
        <v>19315</v>
      </c>
      <c r="R1978" s="68" t="s">
        <v>555</v>
      </c>
      <c r="S1978" s="1" t="s">
        <v>28</v>
      </c>
      <c r="T1978" s="68" t="s">
        <v>27756</v>
      </c>
      <c r="U1978" s="68" t="s">
        <v>29438</v>
      </c>
      <c r="V1978" s="68" t="s">
        <v>29439</v>
      </c>
      <c r="W1978" s="68" t="s">
        <v>100</v>
      </c>
      <c r="X1978" s="68">
        <v>987</v>
      </c>
      <c r="AW1978" s="44"/>
      <c r="AZ1978" s="44"/>
      <c r="BA1978" s="44"/>
      <c r="BB1978" s="44"/>
      <c r="BK1978" s="11"/>
    </row>
    <row r="1979" spans="1:63" ht="12" customHeight="1" x14ac:dyDescent="0.15">
      <c r="A1979" s="1" t="s">
        <v>19320</v>
      </c>
      <c r="B1979" s="68">
        <v>30</v>
      </c>
      <c r="C1979" s="1" t="s">
        <v>20</v>
      </c>
      <c r="D1979" s="1" t="s">
        <v>37</v>
      </c>
      <c r="F1979" s="69">
        <v>42313</v>
      </c>
      <c r="G1979" s="1" t="s">
        <v>19321</v>
      </c>
      <c r="H1979" s="1" t="s">
        <v>19322</v>
      </c>
      <c r="I1979" s="1" t="s">
        <v>431</v>
      </c>
      <c r="J1979" s="17" t="s">
        <v>22898</v>
      </c>
      <c r="K1979" s="8" t="s">
        <v>22899</v>
      </c>
      <c r="L1979" s="1" t="s">
        <v>21198</v>
      </c>
      <c r="M1979" s="1" t="s">
        <v>27</v>
      </c>
      <c r="N1979" s="1" t="s">
        <v>21160</v>
      </c>
      <c r="P1979" s="1" t="s">
        <v>401</v>
      </c>
      <c r="Q1979" s="63" t="s">
        <v>19323</v>
      </c>
      <c r="R1979" s="1" t="s">
        <v>29</v>
      </c>
      <c r="S1979" s="1" t="s">
        <v>28</v>
      </c>
      <c r="T1979" s="68" t="s">
        <v>29460</v>
      </c>
      <c r="U1979" s="68" t="s">
        <v>29438</v>
      </c>
      <c r="V1979" s="68" t="s">
        <v>29439</v>
      </c>
      <c r="W1979" s="68" t="s">
        <v>100</v>
      </c>
      <c r="X1979" s="68">
        <v>985</v>
      </c>
      <c r="AW1979" s="11"/>
      <c r="AZ1979" s="44"/>
      <c r="BK1979" s="11"/>
    </row>
    <row r="1980" spans="1:63" ht="12" customHeight="1" x14ac:dyDescent="0.15">
      <c r="A1980" s="1" t="s">
        <v>19316</v>
      </c>
      <c r="B1980" s="68">
        <v>48</v>
      </c>
      <c r="C1980" s="1" t="s">
        <v>20</v>
      </c>
      <c r="D1980" s="1" t="s">
        <v>37</v>
      </c>
      <c r="E1980" s="1" t="s">
        <v>19378</v>
      </c>
      <c r="F1980" s="69">
        <v>42313</v>
      </c>
      <c r="G1980" s="1" t="s">
        <v>19317</v>
      </c>
      <c r="H1980" s="1" t="s">
        <v>1934</v>
      </c>
      <c r="I1980" s="1" t="s">
        <v>150</v>
      </c>
      <c r="J1980" s="17" t="s">
        <v>22904</v>
      </c>
      <c r="K1980" s="8" t="s">
        <v>1936</v>
      </c>
      <c r="L1980" s="1" t="s">
        <v>19318</v>
      </c>
      <c r="M1980" s="1" t="s">
        <v>27</v>
      </c>
      <c r="N1980" s="1" t="s">
        <v>21162</v>
      </c>
      <c r="P1980" s="1" t="s">
        <v>401</v>
      </c>
      <c r="Q1980" s="63" t="s">
        <v>19319</v>
      </c>
      <c r="R1980" s="1" t="s">
        <v>29</v>
      </c>
      <c r="S1980" s="1" t="s">
        <v>28</v>
      </c>
      <c r="T1980" s="68" t="s">
        <v>27756</v>
      </c>
      <c r="U1980" s="68" t="s">
        <v>29438</v>
      </c>
      <c r="V1980" s="68" t="s">
        <v>29439</v>
      </c>
      <c r="W1980" s="68" t="s">
        <v>100</v>
      </c>
      <c r="X1980" s="68">
        <v>983</v>
      </c>
      <c r="AZ1980" s="44"/>
      <c r="BK1980" s="11"/>
    </row>
    <row r="1981" spans="1:63" ht="12" customHeight="1" x14ac:dyDescent="0.15">
      <c r="A1981" s="1" t="s">
        <v>19027</v>
      </c>
      <c r="B1981" s="68">
        <v>57</v>
      </c>
      <c r="C1981" s="1" t="s">
        <v>20</v>
      </c>
      <c r="D1981" s="1" t="s">
        <v>85</v>
      </c>
      <c r="E1981" s="1" t="s">
        <v>19028</v>
      </c>
      <c r="F1981" s="69">
        <v>42312</v>
      </c>
      <c r="G1981" s="1" t="s">
        <v>19029</v>
      </c>
      <c r="H1981" s="1" t="s">
        <v>723</v>
      </c>
      <c r="I1981" s="1" t="s">
        <v>73</v>
      </c>
      <c r="J1981" s="17" t="s">
        <v>19030</v>
      </c>
      <c r="K1981" s="8" t="s">
        <v>558</v>
      </c>
      <c r="L1981" s="1" t="s">
        <v>724</v>
      </c>
      <c r="M1981" s="1" t="s">
        <v>27</v>
      </c>
      <c r="N1981" s="1" t="s">
        <v>19031</v>
      </c>
      <c r="O1981" s="1" t="s">
        <v>4684</v>
      </c>
      <c r="P1981" s="1" t="s">
        <v>401</v>
      </c>
      <c r="Q1981" s="63" t="s">
        <v>19032</v>
      </c>
      <c r="R1981" s="1" t="s">
        <v>100</v>
      </c>
      <c r="S1981" s="1" t="s">
        <v>28</v>
      </c>
      <c r="T1981" s="68" t="s">
        <v>27756</v>
      </c>
      <c r="U1981" s="68" t="s">
        <v>29438</v>
      </c>
      <c r="V1981" s="68" t="s">
        <v>29437</v>
      </c>
      <c r="W1981" s="68" t="s">
        <v>100</v>
      </c>
      <c r="X1981" s="68">
        <v>978</v>
      </c>
      <c r="AX1981" s="44"/>
      <c r="AY1981" s="44"/>
      <c r="AZ1981" s="44"/>
      <c r="BA1981" s="44"/>
      <c r="BB1981" s="44"/>
      <c r="BC1981" s="44"/>
      <c r="BD1981" s="44"/>
      <c r="BE1981" s="44"/>
      <c r="BF1981" s="44"/>
      <c r="BG1981" s="44"/>
      <c r="BH1981" s="44"/>
      <c r="BI1981" s="44"/>
      <c r="BJ1981" s="44"/>
      <c r="BK1981" s="11"/>
    </row>
    <row r="1982" spans="1:63" ht="12" customHeight="1" x14ac:dyDescent="0.2">
      <c r="A1982" s="1" t="s">
        <v>19324</v>
      </c>
      <c r="B1982" s="68">
        <v>18</v>
      </c>
      <c r="C1982" s="1" t="s">
        <v>20</v>
      </c>
      <c r="D1982" s="1" t="s">
        <v>21</v>
      </c>
      <c r="E1982" s="1" t="s">
        <v>19356</v>
      </c>
      <c r="F1982" s="69">
        <v>42312</v>
      </c>
      <c r="G1982" s="1" t="s">
        <v>19325</v>
      </c>
      <c r="H1982" s="1" t="s">
        <v>1423</v>
      </c>
      <c r="I1982" s="1" t="s">
        <v>45</v>
      </c>
      <c r="J1982" s="17" t="s">
        <v>10213</v>
      </c>
      <c r="K1982" s="8" t="s">
        <v>1423</v>
      </c>
      <c r="L1982" s="1" t="s">
        <v>19326</v>
      </c>
      <c r="M1982" s="1" t="s">
        <v>27</v>
      </c>
      <c r="N1982" s="1" t="s">
        <v>21062</v>
      </c>
      <c r="P1982" s="1" t="s">
        <v>401</v>
      </c>
      <c r="Q1982" s="63" t="s">
        <v>19327</v>
      </c>
      <c r="R1982" s="1" t="s">
        <v>29</v>
      </c>
      <c r="S1982" s="11" t="s">
        <v>28</v>
      </c>
      <c r="T1982" s="68" t="s">
        <v>29493</v>
      </c>
      <c r="U1982" s="68" t="s">
        <v>29438</v>
      </c>
      <c r="V1982" s="68" t="s">
        <v>29440</v>
      </c>
      <c r="W1982" s="68" t="s">
        <v>100</v>
      </c>
      <c r="X1982" s="68">
        <v>979</v>
      </c>
      <c r="AW1982" s="70"/>
      <c r="AX1982" s="70"/>
      <c r="AY1982" s="70"/>
      <c r="AZ1982" s="44"/>
      <c r="BC1982" s="66"/>
      <c r="BD1982" s="66"/>
      <c r="BE1982" s="66"/>
      <c r="BF1982" s="66"/>
      <c r="BG1982" s="66"/>
      <c r="BH1982" s="66"/>
      <c r="BI1982" s="66"/>
      <c r="BJ1982" s="66"/>
      <c r="BK1982" s="11"/>
    </row>
    <row r="1983" spans="1:63" ht="12" customHeight="1" x14ac:dyDescent="0.15">
      <c r="A1983" s="1" t="s">
        <v>19331</v>
      </c>
      <c r="B1983" s="68">
        <v>30</v>
      </c>
      <c r="C1983" s="1" t="s">
        <v>20</v>
      </c>
      <c r="D1983" s="1" t="s">
        <v>37</v>
      </c>
      <c r="E1983" s="1" t="s">
        <v>19377</v>
      </c>
      <c r="F1983" s="69">
        <v>42312</v>
      </c>
      <c r="G1983" s="1" t="s">
        <v>19332</v>
      </c>
      <c r="H1983" s="1" t="s">
        <v>4182</v>
      </c>
      <c r="I1983" s="1" t="s">
        <v>431</v>
      </c>
      <c r="J1983" s="17" t="s">
        <v>22881</v>
      </c>
      <c r="K1983" s="8" t="s">
        <v>4946</v>
      </c>
      <c r="L1983" s="1" t="s">
        <v>4185</v>
      </c>
      <c r="M1983" s="1" t="s">
        <v>27</v>
      </c>
      <c r="N1983" s="1" t="s">
        <v>21163</v>
      </c>
      <c r="P1983" s="1" t="s">
        <v>401</v>
      </c>
      <c r="Q1983" s="63" t="s">
        <v>19333</v>
      </c>
      <c r="R1983" s="1" t="s">
        <v>29</v>
      </c>
      <c r="S1983" s="1" t="s">
        <v>28</v>
      </c>
      <c r="T1983" s="68" t="s">
        <v>27756</v>
      </c>
      <c r="U1983" s="68" t="s">
        <v>29438</v>
      </c>
      <c r="V1983" s="68" t="s">
        <v>29440</v>
      </c>
      <c r="W1983" s="68" t="s">
        <v>100</v>
      </c>
      <c r="X1983" s="68">
        <v>977</v>
      </c>
      <c r="AW1983" s="11"/>
      <c r="AZ1983" s="44"/>
      <c r="BK1983" s="11"/>
    </row>
    <row r="1984" spans="1:63" ht="12" customHeight="1" x14ac:dyDescent="0.15">
      <c r="A1984" s="1" t="s">
        <v>19328</v>
      </c>
      <c r="B1984" s="68">
        <v>47</v>
      </c>
      <c r="C1984" s="1" t="s">
        <v>20</v>
      </c>
      <c r="D1984" s="1" t="s">
        <v>37</v>
      </c>
      <c r="E1984" s="1" t="s">
        <v>19365</v>
      </c>
      <c r="F1984" s="69">
        <v>42312</v>
      </c>
      <c r="G1984" s="1" t="s">
        <v>19329</v>
      </c>
      <c r="H1984" s="1" t="s">
        <v>156</v>
      </c>
      <c r="I1984" s="1" t="s">
        <v>45</v>
      </c>
      <c r="J1984" s="17" t="s">
        <v>16353</v>
      </c>
      <c r="K1984" s="8" t="s">
        <v>156</v>
      </c>
      <c r="L1984" s="1" t="s">
        <v>157</v>
      </c>
      <c r="M1984" s="1" t="s">
        <v>27</v>
      </c>
      <c r="P1984" s="1" t="s">
        <v>401</v>
      </c>
      <c r="Q1984" s="63" t="s">
        <v>19330</v>
      </c>
      <c r="R1984" s="1" t="s">
        <v>29</v>
      </c>
      <c r="S1984" s="1" t="s">
        <v>18</v>
      </c>
      <c r="T1984" s="68" t="s">
        <v>28345</v>
      </c>
      <c r="U1984" s="68" t="s">
        <v>29436</v>
      </c>
      <c r="V1984" s="68" t="s">
        <v>29440</v>
      </c>
      <c r="W1984" s="68" t="s">
        <v>555</v>
      </c>
      <c r="X1984" s="68">
        <v>981</v>
      </c>
      <c r="AZ1984" s="44"/>
    </row>
    <row r="1985" spans="1:63" ht="12" customHeight="1" x14ac:dyDescent="0.2">
      <c r="A1985" s="1" t="s">
        <v>19334</v>
      </c>
      <c r="B1985" s="68">
        <v>6</v>
      </c>
      <c r="C1985" s="1" t="s">
        <v>20</v>
      </c>
      <c r="D1985" s="1" t="s">
        <v>37</v>
      </c>
      <c r="E1985" s="1" t="s">
        <v>19364</v>
      </c>
      <c r="F1985" s="69">
        <v>42311</v>
      </c>
      <c r="G1985" s="1" t="s">
        <v>19335</v>
      </c>
      <c r="H1985" s="1" t="s">
        <v>19336</v>
      </c>
      <c r="I1985" s="1" t="s">
        <v>25</v>
      </c>
      <c r="J1985" s="17" t="s">
        <v>22902</v>
      </c>
      <c r="K1985" s="8" t="s">
        <v>22903</v>
      </c>
      <c r="L1985" s="1" t="s">
        <v>20460</v>
      </c>
      <c r="M1985" s="1" t="s">
        <v>27</v>
      </c>
      <c r="N1985" s="1" t="s">
        <v>20459</v>
      </c>
      <c r="O1985" s="1" t="s">
        <v>29373</v>
      </c>
      <c r="P1985" s="1" t="s">
        <v>29372</v>
      </c>
      <c r="Q1985" s="63" t="s">
        <v>19337</v>
      </c>
      <c r="R1985" s="1" t="s">
        <v>29</v>
      </c>
      <c r="S1985" s="1" t="s">
        <v>18</v>
      </c>
      <c r="T1985" s="68" t="s">
        <v>28345</v>
      </c>
      <c r="U1985" s="68" t="s">
        <v>29436</v>
      </c>
      <c r="V1985" s="68" t="s">
        <v>29437</v>
      </c>
      <c r="W1985" s="68" t="s">
        <v>555</v>
      </c>
      <c r="X1985" s="68">
        <v>980</v>
      </c>
      <c r="AW1985" s="70"/>
      <c r="AZ1985" s="44"/>
    </row>
    <row r="1986" spans="1:63" ht="12" customHeight="1" x14ac:dyDescent="0.15">
      <c r="A1986" s="1" t="s">
        <v>19022</v>
      </c>
      <c r="B1986" s="68">
        <v>62</v>
      </c>
      <c r="C1986" s="1" t="s">
        <v>20</v>
      </c>
      <c r="D1986" s="1" t="s">
        <v>85</v>
      </c>
      <c r="F1986" s="69">
        <v>42310</v>
      </c>
      <c r="G1986" s="1" t="s">
        <v>19023</v>
      </c>
      <c r="H1986" s="1" t="s">
        <v>118</v>
      </c>
      <c r="I1986" s="1" t="s">
        <v>3664</v>
      </c>
      <c r="J1986" s="17" t="s">
        <v>8146</v>
      </c>
      <c r="K1986" s="8" t="s">
        <v>3666</v>
      </c>
      <c r="L1986" s="1" t="s">
        <v>19024</v>
      </c>
      <c r="M1986" s="1" t="s">
        <v>27</v>
      </c>
      <c r="N1986" s="1" t="s">
        <v>19025</v>
      </c>
      <c r="O1986" s="1" t="s">
        <v>400</v>
      </c>
      <c r="P1986" s="1" t="s">
        <v>401</v>
      </c>
      <c r="Q1986" s="63" t="s">
        <v>19026</v>
      </c>
      <c r="R1986" s="1" t="s">
        <v>100</v>
      </c>
      <c r="S1986" s="1" t="s">
        <v>28</v>
      </c>
      <c r="T1986" s="68" t="s">
        <v>27756</v>
      </c>
      <c r="U1986" s="68" t="s">
        <v>29438</v>
      </c>
      <c r="V1986" s="68" t="s">
        <v>29437</v>
      </c>
      <c r="W1986" s="68" t="s">
        <v>100</v>
      </c>
      <c r="X1986" s="68">
        <v>975</v>
      </c>
      <c r="AX1986" s="44"/>
      <c r="AY1986" s="44"/>
      <c r="AZ1986" s="44"/>
      <c r="BA1986" s="44"/>
      <c r="BB1986" s="44"/>
      <c r="BC1986" s="44"/>
      <c r="BD1986" s="44"/>
      <c r="BE1986" s="44"/>
      <c r="BF1986" s="44"/>
      <c r="BG1986" s="44"/>
      <c r="BH1986" s="44"/>
      <c r="BI1986" s="44"/>
      <c r="BJ1986" s="44"/>
      <c r="BK1986" s="11"/>
    </row>
    <row r="1987" spans="1:63" ht="12" customHeight="1" x14ac:dyDescent="0.15">
      <c r="A1987" s="1" t="s">
        <v>19338</v>
      </c>
      <c r="B1987" s="1">
        <v>28</v>
      </c>
      <c r="C1987" s="1" t="s">
        <v>20</v>
      </c>
      <c r="D1987" s="1" t="s">
        <v>37</v>
      </c>
      <c r="E1987" s="1" t="s">
        <v>19363</v>
      </c>
      <c r="F1987" s="72">
        <v>42310</v>
      </c>
      <c r="G1987" s="1" t="s">
        <v>19339</v>
      </c>
      <c r="H1987" s="1" t="s">
        <v>6001</v>
      </c>
      <c r="I1987" s="1" t="s">
        <v>117</v>
      </c>
      <c r="J1987" s="17" t="s">
        <v>14641</v>
      </c>
      <c r="K1987" s="8" t="s">
        <v>6003</v>
      </c>
      <c r="L1987" s="1" t="s">
        <v>19340</v>
      </c>
      <c r="M1987" s="1" t="s">
        <v>379</v>
      </c>
      <c r="P1987" s="1" t="s">
        <v>401</v>
      </c>
      <c r="Q1987" s="63" t="s">
        <v>19341</v>
      </c>
      <c r="R1987" s="1" t="s">
        <v>29</v>
      </c>
      <c r="S1987" s="1" t="s">
        <v>18</v>
      </c>
    </row>
    <row r="1988" spans="1:63" ht="12" customHeight="1" x14ac:dyDescent="0.15">
      <c r="A1988" s="1" t="s">
        <v>19016</v>
      </c>
      <c r="B1988" s="1">
        <v>27</v>
      </c>
      <c r="C1988" s="1" t="s">
        <v>20</v>
      </c>
      <c r="D1988" s="1" t="s">
        <v>85</v>
      </c>
      <c r="E1988" s="1" t="s">
        <v>19017</v>
      </c>
      <c r="F1988" s="72">
        <v>42309</v>
      </c>
      <c r="G1988" s="1" t="s">
        <v>19018</v>
      </c>
      <c r="H1988" s="1" t="s">
        <v>118</v>
      </c>
      <c r="I1988" s="1" t="s">
        <v>3664</v>
      </c>
      <c r="J1988" s="17">
        <v>20020</v>
      </c>
      <c r="K1988" s="8" t="s">
        <v>3666</v>
      </c>
      <c r="L1988" s="1" t="s">
        <v>19019</v>
      </c>
      <c r="M1988" s="1" t="s">
        <v>29</v>
      </c>
      <c r="N1988" s="1" t="s">
        <v>19020</v>
      </c>
      <c r="O1988" s="1" t="s">
        <v>400</v>
      </c>
      <c r="P1988" s="1" t="s">
        <v>401</v>
      </c>
      <c r="Q1988" s="63" t="s">
        <v>19021</v>
      </c>
      <c r="R1988" s="1" t="s">
        <v>100</v>
      </c>
      <c r="S1988" s="1" t="s">
        <v>18</v>
      </c>
      <c r="AU1988" s="11"/>
      <c r="AV1988" s="11"/>
      <c r="AW1988" s="44"/>
      <c r="AX1988" s="44"/>
      <c r="AY1988" s="44"/>
      <c r="BC1988" s="44"/>
      <c r="BD1988" s="44"/>
      <c r="BE1988" s="44"/>
      <c r="BF1988" s="44"/>
      <c r="BG1988" s="44"/>
      <c r="BH1988" s="44"/>
      <c r="BI1988" s="44"/>
      <c r="BJ1988" s="44"/>
    </row>
    <row r="1989" spans="1:63" ht="12" customHeight="1" x14ac:dyDescent="0.2">
      <c r="A1989" s="1" t="s">
        <v>19342</v>
      </c>
      <c r="B1989" s="68">
        <v>20</v>
      </c>
      <c r="C1989" s="1" t="s">
        <v>20</v>
      </c>
      <c r="D1989" s="1" t="s">
        <v>37</v>
      </c>
      <c r="E1989" s="1" t="s">
        <v>19376</v>
      </c>
      <c r="F1989" s="69">
        <v>42309</v>
      </c>
      <c r="G1989" s="1" t="s">
        <v>19343</v>
      </c>
      <c r="H1989" s="1" t="s">
        <v>7185</v>
      </c>
      <c r="I1989" s="1" t="s">
        <v>45</v>
      </c>
      <c r="J1989" s="17" t="s">
        <v>22892</v>
      </c>
      <c r="K1989" s="8" t="s">
        <v>5410</v>
      </c>
      <c r="L1989" s="1" t="s">
        <v>957</v>
      </c>
      <c r="M1989" s="1" t="s">
        <v>27</v>
      </c>
      <c r="N1989" s="1" t="s">
        <v>21164</v>
      </c>
      <c r="P1989" s="1" t="s">
        <v>401</v>
      </c>
      <c r="Q1989" s="63" t="s">
        <v>19344</v>
      </c>
      <c r="R1989" s="1" t="s">
        <v>29</v>
      </c>
      <c r="S1989" s="1" t="s">
        <v>28</v>
      </c>
      <c r="T1989" s="68" t="s">
        <v>27756</v>
      </c>
      <c r="U1989" s="68" t="s">
        <v>29438</v>
      </c>
      <c r="V1989" s="68" t="s">
        <v>29439</v>
      </c>
      <c r="W1989" s="68" t="s">
        <v>100</v>
      </c>
      <c r="X1989" s="68">
        <v>973</v>
      </c>
      <c r="AW1989" s="70"/>
      <c r="AZ1989" s="44"/>
      <c r="BK1989" s="11"/>
    </row>
    <row r="1990" spans="1:63" ht="12" customHeight="1" x14ac:dyDescent="0.15">
      <c r="A1990" s="1" t="s">
        <v>19345</v>
      </c>
      <c r="B1990" s="68">
        <v>62</v>
      </c>
      <c r="C1990" s="1" t="s">
        <v>20</v>
      </c>
      <c r="D1990" s="1" t="s">
        <v>37</v>
      </c>
      <c r="E1990" s="1" t="s">
        <v>19375</v>
      </c>
      <c r="F1990" s="69">
        <v>42309</v>
      </c>
      <c r="G1990" s="1" t="s">
        <v>19346</v>
      </c>
      <c r="H1990" s="1" t="s">
        <v>19347</v>
      </c>
      <c r="I1990" s="1" t="s">
        <v>790</v>
      </c>
      <c r="J1990" s="17" t="s">
        <v>22886</v>
      </c>
      <c r="K1990" s="8" t="s">
        <v>1924</v>
      </c>
      <c r="L1990" s="1" t="s">
        <v>10229</v>
      </c>
      <c r="M1990" s="1" t="s">
        <v>27</v>
      </c>
      <c r="N1990" s="1" t="s">
        <v>21165</v>
      </c>
      <c r="P1990" s="1" t="s">
        <v>401</v>
      </c>
      <c r="Q1990" s="63" t="s">
        <v>19348</v>
      </c>
      <c r="R1990" s="1" t="s">
        <v>29</v>
      </c>
      <c r="S1990" s="1" t="s">
        <v>28</v>
      </c>
      <c r="T1990" s="68" t="s">
        <v>27756</v>
      </c>
      <c r="U1990" s="68" t="s">
        <v>29441</v>
      </c>
      <c r="V1990" s="68" t="s">
        <v>29439</v>
      </c>
      <c r="W1990" s="68" t="s">
        <v>555</v>
      </c>
      <c r="X1990" s="68">
        <v>974</v>
      </c>
      <c r="AZ1990" s="44"/>
      <c r="BK1990" s="11"/>
    </row>
    <row r="1991" spans="1:63" ht="12" customHeight="1" x14ac:dyDescent="0.15">
      <c r="A1991" s="1" t="s">
        <v>19349</v>
      </c>
      <c r="B1991" s="68">
        <v>49</v>
      </c>
      <c r="C1991" s="1" t="s">
        <v>20</v>
      </c>
      <c r="D1991" s="1" t="s">
        <v>37</v>
      </c>
      <c r="E1991" s="1" t="s">
        <v>19355</v>
      </c>
      <c r="F1991" s="69">
        <v>42309</v>
      </c>
      <c r="G1991" s="1" t="s">
        <v>19350</v>
      </c>
      <c r="H1991" s="1" t="s">
        <v>1609</v>
      </c>
      <c r="I1991" s="1" t="s">
        <v>133</v>
      </c>
      <c r="J1991" s="17" t="s">
        <v>22895</v>
      </c>
      <c r="K1991" s="8" t="s">
        <v>22896</v>
      </c>
      <c r="L1991" s="1" t="s">
        <v>19351</v>
      </c>
      <c r="M1991" s="1" t="s">
        <v>27</v>
      </c>
      <c r="N1991" s="1" t="s">
        <v>21063</v>
      </c>
      <c r="P1991" s="1" t="s">
        <v>401</v>
      </c>
      <c r="Q1991" s="63" t="s">
        <v>19352</v>
      </c>
      <c r="R1991" s="1" t="s">
        <v>29</v>
      </c>
      <c r="S1991" s="2" t="s">
        <v>28</v>
      </c>
      <c r="T1991" s="68" t="s">
        <v>27756</v>
      </c>
      <c r="U1991" s="68" t="s">
        <v>29438</v>
      </c>
      <c r="V1991" s="68" t="s">
        <v>29439</v>
      </c>
      <c r="W1991" s="68" t="s">
        <v>100</v>
      </c>
      <c r="X1991" s="68">
        <v>972</v>
      </c>
      <c r="AZ1991" s="44"/>
      <c r="BK1991" s="11"/>
    </row>
    <row r="1992" spans="1:63" ht="12" customHeight="1" x14ac:dyDescent="0.15">
      <c r="A1992" s="1" t="s">
        <v>19009</v>
      </c>
      <c r="B1992" s="68">
        <v>56</v>
      </c>
      <c r="C1992" s="1" t="s">
        <v>20</v>
      </c>
      <c r="D1992" s="1" t="s">
        <v>85</v>
      </c>
      <c r="E1992" s="1" t="s">
        <v>19010</v>
      </c>
      <c r="F1992" s="69">
        <v>42308</v>
      </c>
      <c r="G1992" s="1" t="s">
        <v>24417</v>
      </c>
      <c r="H1992" s="1" t="s">
        <v>19011</v>
      </c>
      <c r="I1992" s="1" t="s">
        <v>94</v>
      </c>
      <c r="J1992" s="17" t="s">
        <v>19012</v>
      </c>
      <c r="K1992" s="8" t="s">
        <v>5538</v>
      </c>
      <c r="L1992" s="1" t="s">
        <v>19013</v>
      </c>
      <c r="M1992" s="1" t="s">
        <v>27</v>
      </c>
      <c r="N1992" s="1" t="s">
        <v>19014</v>
      </c>
      <c r="O1992" s="1" t="s">
        <v>400</v>
      </c>
      <c r="P1992" s="1" t="s">
        <v>401</v>
      </c>
      <c r="Q1992" s="63" t="s">
        <v>19015</v>
      </c>
      <c r="R1992" s="1" t="s">
        <v>964</v>
      </c>
      <c r="S1992" s="11" t="s">
        <v>28</v>
      </c>
      <c r="T1992" s="68" t="s">
        <v>27756</v>
      </c>
      <c r="U1992" s="68" t="s">
        <v>29436</v>
      </c>
      <c r="V1992" s="68" t="s">
        <v>29437</v>
      </c>
      <c r="W1992" s="68" t="s">
        <v>100</v>
      </c>
      <c r="X1992" s="68">
        <v>970</v>
      </c>
      <c r="AX1992" s="44"/>
      <c r="AY1992" s="44"/>
      <c r="AZ1992" s="44"/>
      <c r="BC1992" s="44"/>
      <c r="BD1992" s="44"/>
      <c r="BE1992" s="44"/>
      <c r="BF1992" s="44"/>
      <c r="BG1992" s="44"/>
      <c r="BH1992" s="44"/>
      <c r="BI1992" s="44"/>
      <c r="BJ1992" s="44"/>
    </row>
    <row r="1993" spans="1:63" ht="12" customHeight="1" x14ac:dyDescent="0.15">
      <c r="A1993" s="1" t="s">
        <v>18843</v>
      </c>
      <c r="B1993" s="68">
        <v>33</v>
      </c>
      <c r="C1993" s="1" t="s">
        <v>20</v>
      </c>
      <c r="D1993" s="1" t="s">
        <v>37</v>
      </c>
      <c r="E1993" s="1" t="s">
        <v>18923</v>
      </c>
      <c r="F1993" s="69">
        <v>42308</v>
      </c>
      <c r="G1993" s="1" t="s">
        <v>20067</v>
      </c>
      <c r="H1993" s="1" t="s">
        <v>20068</v>
      </c>
      <c r="I1993" s="1" t="s">
        <v>209</v>
      </c>
      <c r="J1993" s="4" t="s">
        <v>20069</v>
      </c>
      <c r="K1993" s="1" t="s">
        <v>857</v>
      </c>
      <c r="L1993" s="1" t="s">
        <v>20070</v>
      </c>
      <c r="M1993" s="1" t="s">
        <v>27</v>
      </c>
      <c r="N1993" s="1" t="s">
        <v>20071</v>
      </c>
      <c r="O1993" s="1" t="s">
        <v>400</v>
      </c>
      <c r="P1993" s="1" t="s">
        <v>401</v>
      </c>
      <c r="Q1993" s="63" t="s">
        <v>20072</v>
      </c>
      <c r="R1993" s="1" t="s">
        <v>100</v>
      </c>
      <c r="S1993" s="1" t="s">
        <v>28</v>
      </c>
      <c r="T1993" s="68" t="s">
        <v>27756</v>
      </c>
      <c r="U1993" s="68" t="s">
        <v>29438</v>
      </c>
      <c r="V1993" s="68" t="s">
        <v>29439</v>
      </c>
      <c r="W1993" s="68" t="s">
        <v>100</v>
      </c>
      <c r="X1993" s="68">
        <v>969</v>
      </c>
      <c r="AW1993" s="11"/>
      <c r="AZ1993" s="44"/>
      <c r="BA1993" s="44"/>
      <c r="BB1993" s="44"/>
      <c r="BK1993" s="11"/>
    </row>
    <row r="1994" spans="1:63" ht="12" customHeight="1" x14ac:dyDescent="0.15">
      <c r="A1994" s="1" t="s">
        <v>18719</v>
      </c>
      <c r="B1994" s="1">
        <v>33</v>
      </c>
      <c r="C1994" s="1" t="s">
        <v>20</v>
      </c>
      <c r="D1994" s="1" t="s">
        <v>85</v>
      </c>
      <c r="E1994" s="1" t="s">
        <v>20777</v>
      </c>
      <c r="F1994" s="72">
        <v>42308</v>
      </c>
      <c r="H1994" s="1" t="s">
        <v>20910</v>
      </c>
      <c r="I1994" s="1" t="s">
        <v>62</v>
      </c>
      <c r="J1994" s="4">
        <v>34141</v>
      </c>
      <c r="K1994" s="1" t="s">
        <v>18987</v>
      </c>
      <c r="L1994" s="1" t="s">
        <v>20909</v>
      </c>
      <c r="M1994" s="1" t="s">
        <v>379</v>
      </c>
      <c r="N1994" s="1" t="s">
        <v>19003</v>
      </c>
      <c r="O1994" s="1" t="s">
        <v>400</v>
      </c>
      <c r="P1994" s="1" t="s">
        <v>401</v>
      </c>
      <c r="Q1994" s="63" t="s">
        <v>18720</v>
      </c>
      <c r="R1994" s="1" t="s">
        <v>29</v>
      </c>
      <c r="S1994" s="66" t="s">
        <v>379</v>
      </c>
      <c r="T1994" s="66" t="s">
        <v>30738</v>
      </c>
      <c r="AX1994" s="44"/>
      <c r="AY1994" s="44"/>
      <c r="BC1994" s="44"/>
      <c r="BD1994" s="44"/>
      <c r="BE1994" s="44"/>
      <c r="BF1994" s="44"/>
      <c r="BG1994" s="44"/>
      <c r="BH1994" s="44"/>
      <c r="BI1994" s="44"/>
      <c r="BJ1994" s="44"/>
    </row>
    <row r="1995" spans="1:63" s="64" customFormat="1" ht="12" customHeight="1" x14ac:dyDescent="0.15">
      <c r="A1995" s="1" t="s">
        <v>20444</v>
      </c>
      <c r="B1995" s="68">
        <v>25</v>
      </c>
      <c r="C1995" s="1" t="s">
        <v>20</v>
      </c>
      <c r="D1995" s="1" t="s">
        <v>85</v>
      </c>
      <c r="E1995" s="1"/>
      <c r="F1995" s="69">
        <v>42307</v>
      </c>
      <c r="G1995" s="1" t="s">
        <v>20443</v>
      </c>
      <c r="H1995" s="1" t="s">
        <v>723</v>
      </c>
      <c r="I1995" s="1" t="s">
        <v>73</v>
      </c>
      <c r="J1995" s="4"/>
      <c r="K1995" s="1" t="s">
        <v>558</v>
      </c>
      <c r="L1995" s="1" t="s">
        <v>724</v>
      </c>
      <c r="M1995" s="1" t="s">
        <v>27</v>
      </c>
      <c r="N1995" s="1" t="s">
        <v>20442</v>
      </c>
      <c r="O1995" s="1"/>
      <c r="P1995" s="1" t="s">
        <v>401</v>
      </c>
      <c r="Q1995" s="63" t="s">
        <v>18818</v>
      </c>
      <c r="R1995" s="1" t="s">
        <v>100</v>
      </c>
      <c r="S1995" s="1" t="s">
        <v>28</v>
      </c>
      <c r="T1995" s="68" t="s">
        <v>27756</v>
      </c>
      <c r="U1995" s="68" t="s">
        <v>29436</v>
      </c>
      <c r="V1995" s="68" t="s">
        <v>29440</v>
      </c>
      <c r="W1995" s="68" t="s">
        <v>100</v>
      </c>
      <c r="X1995" s="68">
        <v>968</v>
      </c>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1"/>
      <c r="AX1995" s="44"/>
      <c r="AY1995" s="44"/>
      <c r="AZ1995" s="44"/>
      <c r="BA1995" s="44"/>
      <c r="BB1995" s="44"/>
      <c r="BC1995" s="44"/>
      <c r="BD1995" s="44"/>
      <c r="BE1995" s="44"/>
      <c r="BF1995" s="44"/>
      <c r="BG1995" s="44"/>
      <c r="BH1995" s="44"/>
      <c r="BI1995" s="44"/>
      <c r="BJ1995" s="44"/>
      <c r="BK1995" s="11"/>
    </row>
    <row r="1996" spans="1:63" ht="12" customHeight="1" x14ac:dyDescent="0.15">
      <c r="A1996" s="1" t="s">
        <v>20441</v>
      </c>
      <c r="B1996" s="1">
        <v>20</v>
      </c>
      <c r="C1996" s="1" t="s">
        <v>20</v>
      </c>
      <c r="D1996" s="1" t="s">
        <v>85</v>
      </c>
      <c r="F1996" s="72">
        <v>42307</v>
      </c>
      <c r="G1996" s="1" t="s">
        <v>20443</v>
      </c>
      <c r="H1996" s="1" t="s">
        <v>723</v>
      </c>
      <c r="I1996" s="1" t="s">
        <v>73</v>
      </c>
      <c r="K1996" s="1" t="s">
        <v>558</v>
      </c>
      <c r="L1996" s="1" t="s">
        <v>724</v>
      </c>
      <c r="M1996" s="1" t="s">
        <v>27</v>
      </c>
      <c r="N1996" s="1" t="s">
        <v>20442</v>
      </c>
      <c r="P1996" s="1" t="s">
        <v>401</v>
      </c>
      <c r="Q1996" s="63" t="s">
        <v>18818</v>
      </c>
      <c r="R1996" s="1" t="s">
        <v>100</v>
      </c>
      <c r="S1996" s="1" t="s">
        <v>28</v>
      </c>
      <c r="T1996" s="68"/>
      <c r="U1996" s="68"/>
      <c r="V1996" s="68"/>
      <c r="W1996" s="68"/>
      <c r="X1996" s="68"/>
      <c r="AX1996" s="44"/>
      <c r="AY1996" s="44"/>
      <c r="BC1996" s="44"/>
      <c r="BD1996" s="44"/>
      <c r="BE1996" s="44"/>
      <c r="BF1996" s="44"/>
      <c r="BG1996" s="44"/>
      <c r="BH1996" s="44"/>
      <c r="BI1996" s="44"/>
      <c r="BJ1996" s="44"/>
      <c r="BK1996" s="11"/>
    </row>
    <row r="1997" spans="1:63" ht="12" customHeight="1" x14ac:dyDescent="0.15">
      <c r="A1997" s="1" t="s">
        <v>18778</v>
      </c>
      <c r="B1997" s="68">
        <v>29</v>
      </c>
      <c r="C1997" s="1" t="s">
        <v>20</v>
      </c>
      <c r="D1997" s="1" t="s">
        <v>48</v>
      </c>
      <c r="F1997" s="69">
        <v>42307</v>
      </c>
      <c r="G1997" s="1" t="s">
        <v>18780</v>
      </c>
      <c r="H1997" s="1" t="s">
        <v>5786</v>
      </c>
      <c r="I1997" s="1" t="s">
        <v>73</v>
      </c>
      <c r="J1997" s="4" t="s">
        <v>20076</v>
      </c>
      <c r="K1997" s="1" t="s">
        <v>285</v>
      </c>
      <c r="L1997" s="1" t="s">
        <v>20077</v>
      </c>
      <c r="M1997" s="1" t="s">
        <v>27</v>
      </c>
      <c r="N1997" s="1" t="s">
        <v>20078</v>
      </c>
      <c r="O1997" s="1" t="s">
        <v>400</v>
      </c>
      <c r="P1997" s="1" t="s">
        <v>401</v>
      </c>
      <c r="Q1997" s="63" t="s">
        <v>18779</v>
      </c>
      <c r="R1997" s="1" t="s">
        <v>100</v>
      </c>
      <c r="S1997" s="1" t="s">
        <v>28</v>
      </c>
      <c r="T1997" s="68" t="s">
        <v>27756</v>
      </c>
      <c r="U1997" s="68" t="s">
        <v>29438</v>
      </c>
      <c r="V1997" s="68" t="s">
        <v>29437</v>
      </c>
      <c r="W1997" s="68" t="s">
        <v>100</v>
      </c>
      <c r="X1997" s="68">
        <v>967</v>
      </c>
      <c r="AW1997" s="44"/>
      <c r="AZ1997" s="44"/>
      <c r="BA1997" s="44"/>
      <c r="BB1997" s="44"/>
      <c r="BK1997" s="11"/>
    </row>
    <row r="1998" spans="1:63" s="64" customFormat="1" ht="12" customHeight="1" x14ac:dyDescent="0.15">
      <c r="A1998" s="1" t="s">
        <v>18844</v>
      </c>
      <c r="B1998" s="68">
        <v>62</v>
      </c>
      <c r="C1998" s="1" t="s">
        <v>20</v>
      </c>
      <c r="D1998" s="1" t="s">
        <v>37</v>
      </c>
      <c r="E1998" s="1" t="s">
        <v>18924</v>
      </c>
      <c r="F1998" s="69">
        <v>42307</v>
      </c>
      <c r="G1998" s="1" t="s">
        <v>18845</v>
      </c>
      <c r="H1998" s="1" t="s">
        <v>18846</v>
      </c>
      <c r="I1998" s="1" t="s">
        <v>315</v>
      </c>
      <c r="J1998" s="4" t="s">
        <v>20073</v>
      </c>
      <c r="K1998" s="1" t="s">
        <v>3152</v>
      </c>
      <c r="L1998" s="1" t="s">
        <v>18847</v>
      </c>
      <c r="M1998" s="1" t="s">
        <v>27</v>
      </c>
      <c r="N1998" s="1" t="s">
        <v>20074</v>
      </c>
      <c r="O1998" s="1" t="s">
        <v>400</v>
      </c>
      <c r="P1998" s="1" t="s">
        <v>401</v>
      </c>
      <c r="Q1998" s="63" t="s">
        <v>20075</v>
      </c>
      <c r="R1998" s="1" t="s">
        <v>100</v>
      </c>
      <c r="S1998" s="1" t="s">
        <v>28</v>
      </c>
      <c r="T1998" s="68" t="s">
        <v>27756</v>
      </c>
      <c r="U1998" s="68" t="s">
        <v>29438</v>
      </c>
      <c r="V1998" s="68" t="s">
        <v>21212</v>
      </c>
      <c r="W1998" s="68" t="s">
        <v>100</v>
      </c>
      <c r="X1998" s="68">
        <v>966</v>
      </c>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44"/>
      <c r="BA1998" s="11"/>
      <c r="BB1998" s="44"/>
      <c r="BC1998" s="1"/>
      <c r="BD1998" s="1"/>
      <c r="BE1998" s="1"/>
      <c r="BF1998" s="1"/>
      <c r="BG1998" s="1"/>
      <c r="BH1998" s="1"/>
      <c r="BI1998" s="1"/>
      <c r="BJ1998" s="1"/>
      <c r="BK1998" s="11"/>
    </row>
    <row r="1999" spans="1:63" ht="12" customHeight="1" x14ac:dyDescent="0.2">
      <c r="A1999" s="1" t="s">
        <v>20446</v>
      </c>
      <c r="B1999" s="68">
        <v>30</v>
      </c>
      <c r="C1999" s="1" t="s">
        <v>20</v>
      </c>
      <c r="D1999" s="1" t="s">
        <v>37</v>
      </c>
      <c r="E1999" s="1" t="s">
        <v>20445</v>
      </c>
      <c r="F1999" s="69">
        <v>42307</v>
      </c>
      <c r="G1999" s="44" t="s">
        <v>20912</v>
      </c>
      <c r="H1999" s="44" t="s">
        <v>20913</v>
      </c>
      <c r="I1999" s="44" t="s">
        <v>395</v>
      </c>
      <c r="K1999" s="1" t="s">
        <v>1575</v>
      </c>
      <c r="L1999" s="1" t="s">
        <v>20911</v>
      </c>
      <c r="M1999" s="68" t="s">
        <v>5411</v>
      </c>
      <c r="N1999" s="1" t="s">
        <v>21104</v>
      </c>
      <c r="P1999" s="1" t="s">
        <v>401</v>
      </c>
      <c r="Q1999" s="63" t="s">
        <v>18817</v>
      </c>
      <c r="R1999" s="1" t="s">
        <v>29</v>
      </c>
      <c r="S1999" s="1" t="s">
        <v>28</v>
      </c>
      <c r="T1999" s="68" t="s">
        <v>29493</v>
      </c>
      <c r="U1999" s="68" t="s">
        <v>29438</v>
      </c>
      <c r="V1999" s="68" t="s">
        <v>29440</v>
      </c>
      <c r="W1999" s="68" t="s">
        <v>100</v>
      </c>
      <c r="X1999" s="68">
        <v>971</v>
      </c>
      <c r="AW1999" s="11"/>
      <c r="AZ1999" s="44"/>
      <c r="BB1999" s="70"/>
    </row>
    <row r="2000" spans="1:63" ht="12" customHeight="1" x14ac:dyDescent="0.15">
      <c r="A2000" s="1" t="s">
        <v>18721</v>
      </c>
      <c r="B2000" s="1">
        <v>25</v>
      </c>
      <c r="C2000" s="1" t="s">
        <v>20</v>
      </c>
      <c r="D2000" s="1" t="s">
        <v>85</v>
      </c>
      <c r="E2000" s="1" t="s">
        <v>18958</v>
      </c>
      <c r="F2000" s="69">
        <v>42306</v>
      </c>
      <c r="G2000" s="1" t="s">
        <v>20085</v>
      </c>
      <c r="H2000" s="1" t="s">
        <v>1287</v>
      </c>
      <c r="I2000" s="1" t="s">
        <v>69</v>
      </c>
      <c r="J2000" s="4" t="s">
        <v>18981</v>
      </c>
      <c r="K2000" s="1" t="s">
        <v>1288</v>
      </c>
      <c r="L2000" s="1" t="s">
        <v>12562</v>
      </c>
      <c r="M2000" s="1" t="s">
        <v>27</v>
      </c>
      <c r="N2000" s="1" t="s">
        <v>19002</v>
      </c>
      <c r="O2000" s="1" t="s">
        <v>1010</v>
      </c>
      <c r="P2000" s="1" t="s">
        <v>401</v>
      </c>
      <c r="Q2000" s="63" t="s">
        <v>18722</v>
      </c>
      <c r="R2000" s="1" t="s">
        <v>100</v>
      </c>
      <c r="S2000" s="1" t="s">
        <v>28</v>
      </c>
      <c r="T2000" s="68" t="s">
        <v>27756</v>
      </c>
      <c r="U2000" s="68" t="s">
        <v>29436</v>
      </c>
      <c r="V2000" s="68" t="s">
        <v>29439</v>
      </c>
      <c r="W2000" s="68" t="s">
        <v>100</v>
      </c>
      <c r="X2000" s="68">
        <v>964</v>
      </c>
      <c r="AX2000" s="44"/>
      <c r="AY2000" s="44"/>
      <c r="AZ2000" s="44"/>
      <c r="BA2000" s="11"/>
      <c r="BB2000" s="44"/>
      <c r="BC2000" s="44"/>
      <c r="BD2000" s="44"/>
      <c r="BE2000" s="44"/>
      <c r="BF2000" s="44"/>
      <c r="BG2000" s="44"/>
      <c r="BH2000" s="44"/>
      <c r="BI2000" s="44"/>
      <c r="BJ2000" s="44"/>
      <c r="BK2000" s="11"/>
    </row>
    <row r="2001" spans="1:63" ht="12" customHeight="1" x14ac:dyDescent="0.15">
      <c r="A2001" s="1" t="s">
        <v>18819</v>
      </c>
      <c r="B2001" s="1">
        <v>52</v>
      </c>
      <c r="C2001" s="1" t="s">
        <v>20</v>
      </c>
      <c r="D2001" s="1" t="s">
        <v>37</v>
      </c>
      <c r="F2001" s="72">
        <v>42306</v>
      </c>
      <c r="G2001" s="1" t="s">
        <v>20086</v>
      </c>
      <c r="H2001" s="1" t="s">
        <v>13790</v>
      </c>
      <c r="I2001" s="1" t="s">
        <v>62</v>
      </c>
      <c r="J2001" s="4" t="s">
        <v>20087</v>
      </c>
      <c r="K2001" s="1" t="s">
        <v>8405</v>
      </c>
      <c r="L2001" s="1" t="s">
        <v>8406</v>
      </c>
      <c r="M2001" s="1" t="s">
        <v>27</v>
      </c>
      <c r="N2001" s="1" t="s">
        <v>20088</v>
      </c>
      <c r="O2001" s="1" t="s">
        <v>400</v>
      </c>
      <c r="P2001" s="1" t="s">
        <v>401</v>
      </c>
      <c r="Q2001" s="63" t="s">
        <v>20089</v>
      </c>
      <c r="R2001" s="1" t="s">
        <v>100</v>
      </c>
      <c r="S2001" s="1" t="s">
        <v>28</v>
      </c>
      <c r="T2001" s="68"/>
      <c r="U2001" s="68"/>
      <c r="V2001" s="68"/>
      <c r="W2001" s="68"/>
      <c r="X2001" s="68"/>
      <c r="BK2001" s="11"/>
    </row>
    <row r="2002" spans="1:63" ht="12" customHeight="1" x14ac:dyDescent="0.2">
      <c r="A2002" s="1" t="s">
        <v>18852</v>
      </c>
      <c r="B2002" s="68">
        <v>18</v>
      </c>
      <c r="C2002" s="1" t="s">
        <v>20</v>
      </c>
      <c r="D2002" s="1" t="s">
        <v>37</v>
      </c>
      <c r="F2002" s="69">
        <v>42306</v>
      </c>
      <c r="G2002" s="1" t="s">
        <v>20079</v>
      </c>
      <c r="H2002" s="1" t="s">
        <v>20080</v>
      </c>
      <c r="I2002" s="1" t="s">
        <v>319</v>
      </c>
      <c r="J2002" s="4" t="s">
        <v>20081</v>
      </c>
      <c r="K2002" s="1" t="s">
        <v>1543</v>
      </c>
      <c r="L2002" s="1" t="s">
        <v>20082</v>
      </c>
      <c r="M2002" s="1" t="s">
        <v>27</v>
      </c>
      <c r="N2002" s="1" t="s">
        <v>20083</v>
      </c>
      <c r="O2002" s="1" t="s">
        <v>4684</v>
      </c>
      <c r="P2002" s="1" t="s">
        <v>401</v>
      </c>
      <c r="Q2002" s="63" t="s">
        <v>20084</v>
      </c>
      <c r="R2002" s="1" t="s">
        <v>29</v>
      </c>
      <c r="S2002" s="1" t="s">
        <v>28</v>
      </c>
      <c r="T2002" s="68" t="s">
        <v>27756</v>
      </c>
      <c r="U2002" s="68" t="s">
        <v>29438</v>
      </c>
      <c r="V2002" s="68" t="s">
        <v>29439</v>
      </c>
      <c r="W2002" s="68" t="s">
        <v>100</v>
      </c>
      <c r="X2002" s="68">
        <v>965</v>
      </c>
      <c r="AW2002" s="70"/>
      <c r="AZ2002" s="44"/>
      <c r="BK2002" s="11"/>
    </row>
    <row r="2003" spans="1:63" ht="12" customHeight="1" x14ac:dyDescent="0.15">
      <c r="A2003" s="1" t="s">
        <v>18848</v>
      </c>
      <c r="B2003" s="1">
        <v>36</v>
      </c>
      <c r="C2003" s="1" t="s">
        <v>20</v>
      </c>
      <c r="D2003" s="1" t="s">
        <v>37</v>
      </c>
      <c r="E2003" s="1" t="s">
        <v>18925</v>
      </c>
      <c r="F2003" s="72">
        <v>42306</v>
      </c>
      <c r="G2003" s="8" t="s">
        <v>18850</v>
      </c>
      <c r="H2003" s="8" t="s">
        <v>18851</v>
      </c>
      <c r="I2003" s="8" t="s">
        <v>117</v>
      </c>
      <c r="J2003" s="17" t="s">
        <v>22912</v>
      </c>
      <c r="K2003" s="8" t="s">
        <v>118</v>
      </c>
      <c r="L2003" s="1" t="s">
        <v>29</v>
      </c>
      <c r="M2003" s="1" t="s">
        <v>27</v>
      </c>
      <c r="N2003" s="1" t="s">
        <v>21103</v>
      </c>
      <c r="P2003" s="1" t="s">
        <v>401</v>
      </c>
      <c r="Q2003" s="63" t="s">
        <v>18849</v>
      </c>
      <c r="R2003" s="1" t="s">
        <v>29</v>
      </c>
      <c r="S2003" s="1" t="s">
        <v>28</v>
      </c>
      <c r="T2003" s="68"/>
      <c r="U2003" s="68"/>
      <c r="V2003" s="68"/>
      <c r="W2003" s="68"/>
      <c r="X2003" s="68"/>
      <c r="BK2003" s="11"/>
    </row>
    <row r="2004" spans="1:63" ht="12" customHeight="1" x14ac:dyDescent="0.15">
      <c r="A2004" s="1" t="s">
        <v>18853</v>
      </c>
      <c r="B2004" s="68">
        <v>57</v>
      </c>
      <c r="C2004" s="1" t="s">
        <v>20</v>
      </c>
      <c r="D2004" s="1" t="s">
        <v>37</v>
      </c>
      <c r="E2004" s="1" t="s">
        <v>18926</v>
      </c>
      <c r="F2004" s="69">
        <v>42305</v>
      </c>
      <c r="G2004" s="1" t="s">
        <v>18855</v>
      </c>
      <c r="H2004" s="1" t="s">
        <v>18856</v>
      </c>
      <c r="I2004" s="1" t="s">
        <v>669</v>
      </c>
      <c r="J2004" s="4" t="s">
        <v>20090</v>
      </c>
      <c r="K2004" s="1" t="s">
        <v>1104</v>
      </c>
      <c r="L2004" s="1" t="s">
        <v>5167</v>
      </c>
      <c r="M2004" s="1" t="s">
        <v>27</v>
      </c>
      <c r="N2004" s="1" t="s">
        <v>20091</v>
      </c>
      <c r="O2004" s="1" t="s">
        <v>400</v>
      </c>
      <c r="P2004" s="1" t="s">
        <v>401</v>
      </c>
      <c r="Q2004" s="63" t="s">
        <v>18854</v>
      </c>
      <c r="R2004" s="1" t="s">
        <v>100</v>
      </c>
      <c r="S2004" s="1" t="s">
        <v>28</v>
      </c>
      <c r="T2004" s="68" t="s">
        <v>27756</v>
      </c>
      <c r="U2004" s="68" t="s">
        <v>29438</v>
      </c>
      <c r="V2004" s="68" t="s">
        <v>29439</v>
      </c>
      <c r="W2004" s="68" t="s">
        <v>100</v>
      </c>
      <c r="X2004" s="68">
        <v>959</v>
      </c>
      <c r="AZ2004" s="44"/>
      <c r="BA2004" s="11"/>
      <c r="BB2004" s="44"/>
      <c r="BK2004" s="11"/>
    </row>
    <row r="2005" spans="1:63" ht="12" customHeight="1" x14ac:dyDescent="0.15">
      <c r="A2005" s="1" t="s">
        <v>18729</v>
      </c>
      <c r="B2005" s="68">
        <v>29</v>
      </c>
      <c r="C2005" s="1" t="s">
        <v>20</v>
      </c>
      <c r="D2005" s="1" t="s">
        <v>85</v>
      </c>
      <c r="E2005" s="1" t="s">
        <v>18961</v>
      </c>
      <c r="F2005" s="69">
        <v>42305</v>
      </c>
      <c r="G2005" s="1" t="s">
        <v>18731</v>
      </c>
      <c r="H2005" s="1" t="s">
        <v>156</v>
      </c>
      <c r="I2005" s="1" t="s">
        <v>45</v>
      </c>
      <c r="J2005" s="17" t="s">
        <v>22915</v>
      </c>
      <c r="K2005" s="8" t="s">
        <v>156</v>
      </c>
      <c r="L2005" s="1" t="s">
        <v>18732</v>
      </c>
      <c r="M2005" s="1" t="s">
        <v>27</v>
      </c>
      <c r="N2005" s="1" t="s">
        <v>31039</v>
      </c>
      <c r="O2005" s="1" t="s">
        <v>400</v>
      </c>
      <c r="P2005" s="1" t="s">
        <v>401</v>
      </c>
      <c r="Q2005" s="63" t="s">
        <v>18730</v>
      </c>
      <c r="R2005" s="1" t="s">
        <v>29</v>
      </c>
      <c r="S2005" s="1" t="s">
        <v>18</v>
      </c>
      <c r="T2005" s="68" t="s">
        <v>28345</v>
      </c>
      <c r="U2005" s="68" t="s">
        <v>29438</v>
      </c>
      <c r="V2005" s="68" t="s">
        <v>29439</v>
      </c>
      <c r="W2005" s="68" t="s">
        <v>100</v>
      </c>
      <c r="X2005" s="68">
        <v>958</v>
      </c>
      <c r="AW2005" s="44"/>
      <c r="AX2005" s="11"/>
      <c r="AY2005" s="11"/>
      <c r="AZ2005" s="44"/>
      <c r="BC2005" s="44"/>
      <c r="BD2005" s="44"/>
      <c r="BE2005" s="44"/>
      <c r="BF2005" s="44"/>
      <c r="BG2005" s="44"/>
      <c r="BH2005" s="44"/>
      <c r="BI2005" s="44"/>
      <c r="BJ2005" s="44"/>
    </row>
    <row r="2006" spans="1:63" ht="12" customHeight="1" x14ac:dyDescent="0.15">
      <c r="A2006" s="1" t="s">
        <v>18723</v>
      </c>
      <c r="B2006" s="68">
        <v>34</v>
      </c>
      <c r="C2006" s="1" t="s">
        <v>20</v>
      </c>
      <c r="D2006" s="1" t="s">
        <v>85</v>
      </c>
      <c r="E2006" s="1" t="s">
        <v>18959</v>
      </c>
      <c r="F2006" s="69">
        <v>42305</v>
      </c>
      <c r="G2006" s="1" t="s">
        <v>18725</v>
      </c>
      <c r="H2006" s="1" t="s">
        <v>651</v>
      </c>
      <c r="I2006" s="1" t="s">
        <v>62</v>
      </c>
      <c r="J2006" s="17" t="s">
        <v>17930</v>
      </c>
      <c r="K2006" s="8" t="s">
        <v>652</v>
      </c>
      <c r="L2006" s="11" t="s">
        <v>653</v>
      </c>
      <c r="M2006" s="1" t="s">
        <v>27</v>
      </c>
      <c r="N2006" s="1" t="s">
        <v>21102</v>
      </c>
      <c r="O2006" s="1" t="s">
        <v>400</v>
      </c>
      <c r="P2006" s="1" t="s">
        <v>401</v>
      </c>
      <c r="Q2006" s="63" t="s">
        <v>18724</v>
      </c>
      <c r="R2006" s="1" t="s">
        <v>29</v>
      </c>
      <c r="S2006" s="1" t="s">
        <v>28</v>
      </c>
      <c r="T2006" s="68" t="s">
        <v>27756</v>
      </c>
      <c r="U2006" s="68" t="s">
        <v>29438</v>
      </c>
      <c r="V2006" s="68" t="s">
        <v>29439</v>
      </c>
      <c r="W2006" s="68" t="s">
        <v>100</v>
      </c>
      <c r="X2006" s="68">
        <v>961</v>
      </c>
      <c r="AW2006" s="11"/>
      <c r="AX2006" s="11"/>
      <c r="AY2006" s="11"/>
      <c r="AZ2006" s="44"/>
      <c r="BC2006" s="44"/>
      <c r="BD2006" s="44"/>
      <c r="BE2006" s="44"/>
      <c r="BF2006" s="44"/>
      <c r="BG2006" s="44"/>
      <c r="BH2006" s="44"/>
      <c r="BI2006" s="44"/>
      <c r="BJ2006" s="44"/>
      <c r="BK2006" s="11"/>
    </row>
    <row r="2007" spans="1:63" ht="12" customHeight="1" x14ac:dyDescent="0.15">
      <c r="A2007" s="1" t="s">
        <v>18857</v>
      </c>
      <c r="B2007" s="68">
        <v>35</v>
      </c>
      <c r="C2007" s="1" t="s">
        <v>20</v>
      </c>
      <c r="D2007" s="1" t="s">
        <v>37</v>
      </c>
      <c r="E2007" s="1" t="s">
        <v>18927</v>
      </c>
      <c r="F2007" s="69">
        <v>42305</v>
      </c>
      <c r="G2007" s="44" t="s">
        <v>20914</v>
      </c>
      <c r="H2007" s="44" t="s">
        <v>2651</v>
      </c>
      <c r="I2007" s="44" t="s">
        <v>117</v>
      </c>
      <c r="J2007" s="43"/>
      <c r="L2007" s="44" t="s">
        <v>2051</v>
      </c>
      <c r="M2007" s="1" t="s">
        <v>27</v>
      </c>
      <c r="N2007" s="1" t="s">
        <v>21101</v>
      </c>
      <c r="P2007" s="1" t="s">
        <v>401</v>
      </c>
      <c r="Q2007" s="63" t="s">
        <v>18858</v>
      </c>
      <c r="R2007" s="1" t="s">
        <v>29</v>
      </c>
      <c r="S2007" s="1" t="s">
        <v>28</v>
      </c>
      <c r="T2007" s="68" t="s">
        <v>27756</v>
      </c>
      <c r="U2007" s="68" t="s">
        <v>29438</v>
      </c>
      <c r="V2007" s="68" t="s">
        <v>29437</v>
      </c>
      <c r="W2007" s="68" t="s">
        <v>100</v>
      </c>
      <c r="X2007" s="68">
        <v>962</v>
      </c>
      <c r="AW2007" s="11"/>
      <c r="AZ2007" s="44"/>
      <c r="BK2007" s="11"/>
    </row>
    <row r="2008" spans="1:63" ht="12" customHeight="1" x14ac:dyDescent="0.15">
      <c r="A2008" s="1" t="s">
        <v>18726</v>
      </c>
      <c r="B2008" s="68">
        <v>25</v>
      </c>
      <c r="C2008" s="1" t="s">
        <v>20</v>
      </c>
      <c r="D2008" s="1" t="s">
        <v>85</v>
      </c>
      <c r="E2008" s="1" t="s">
        <v>18960</v>
      </c>
      <c r="F2008" s="69">
        <v>42304</v>
      </c>
      <c r="G2008" s="1" t="s">
        <v>18728</v>
      </c>
      <c r="H2008" s="1" t="s">
        <v>5158</v>
      </c>
      <c r="I2008" s="1" t="s">
        <v>173</v>
      </c>
      <c r="J2008" s="4" t="s">
        <v>7164</v>
      </c>
      <c r="K2008" s="1" t="s">
        <v>3736</v>
      </c>
      <c r="L2008" s="1" t="s">
        <v>7165</v>
      </c>
      <c r="M2008" s="1" t="s">
        <v>27</v>
      </c>
      <c r="N2008" s="1" t="s">
        <v>19001</v>
      </c>
      <c r="O2008" s="1" t="s">
        <v>400</v>
      </c>
      <c r="P2008" s="1" t="s">
        <v>401</v>
      </c>
      <c r="Q2008" s="63" t="s">
        <v>18727</v>
      </c>
      <c r="R2008" s="1" t="s">
        <v>100</v>
      </c>
      <c r="S2008" s="1" t="s">
        <v>28</v>
      </c>
      <c r="T2008" s="68" t="s">
        <v>27756</v>
      </c>
      <c r="U2008" s="68" t="s">
        <v>29438</v>
      </c>
      <c r="V2008" s="68" t="s">
        <v>29439</v>
      </c>
      <c r="W2008" s="68" t="s">
        <v>555</v>
      </c>
      <c r="X2008" s="68">
        <v>960</v>
      </c>
      <c r="AW2008" s="11"/>
      <c r="AX2008" s="44"/>
      <c r="AY2008" s="44"/>
      <c r="AZ2008" s="44"/>
      <c r="BA2008" s="11"/>
      <c r="BB2008" s="44"/>
      <c r="BC2008" s="44"/>
      <c r="BD2008" s="44"/>
      <c r="BE2008" s="44"/>
      <c r="BF2008" s="44"/>
      <c r="BG2008" s="44"/>
      <c r="BH2008" s="44"/>
      <c r="BI2008" s="44"/>
      <c r="BJ2008" s="44"/>
      <c r="BK2008" s="11"/>
    </row>
    <row r="2009" spans="1:63" ht="12" customHeight="1" x14ac:dyDescent="0.2">
      <c r="A2009" s="1" t="s">
        <v>18736</v>
      </c>
      <c r="B2009" s="68">
        <v>18</v>
      </c>
      <c r="C2009" s="1" t="s">
        <v>20</v>
      </c>
      <c r="D2009" s="1" t="s">
        <v>21</v>
      </c>
      <c r="E2009" s="1" t="s">
        <v>18963</v>
      </c>
      <c r="F2009" s="69">
        <v>42303</v>
      </c>
      <c r="G2009" s="1" t="s">
        <v>20093</v>
      </c>
      <c r="H2009" s="1" t="s">
        <v>1567</v>
      </c>
      <c r="I2009" s="1" t="s">
        <v>62</v>
      </c>
      <c r="J2009" s="4" t="s">
        <v>20094</v>
      </c>
      <c r="K2009" s="1" t="s">
        <v>638</v>
      </c>
      <c r="L2009" s="1" t="s">
        <v>1569</v>
      </c>
      <c r="M2009" s="1" t="s">
        <v>27</v>
      </c>
      <c r="N2009" s="1" t="s">
        <v>20095</v>
      </c>
      <c r="O2009" s="1" t="s">
        <v>400</v>
      </c>
      <c r="P2009" s="1" t="s">
        <v>401</v>
      </c>
      <c r="Q2009" s="63" t="s">
        <v>18737</v>
      </c>
      <c r="R2009" s="1" t="s">
        <v>100</v>
      </c>
      <c r="S2009" s="1" t="s">
        <v>18</v>
      </c>
      <c r="T2009" s="68" t="s">
        <v>28345</v>
      </c>
      <c r="U2009" s="68" t="s">
        <v>29438</v>
      </c>
      <c r="V2009" s="68" t="s">
        <v>29440</v>
      </c>
      <c r="W2009" s="68" t="s">
        <v>100</v>
      </c>
      <c r="X2009" s="68">
        <v>956</v>
      </c>
      <c r="AW2009" s="70"/>
      <c r="AX2009" s="70"/>
      <c r="AY2009" s="70"/>
      <c r="AZ2009" s="44"/>
      <c r="BA2009" s="11"/>
      <c r="BB2009" s="44"/>
      <c r="BC2009" s="66"/>
      <c r="BD2009" s="66"/>
      <c r="BE2009" s="66"/>
      <c r="BF2009" s="66"/>
      <c r="BG2009" s="66"/>
      <c r="BH2009" s="66"/>
      <c r="BI2009" s="66"/>
      <c r="BJ2009" s="66"/>
    </row>
    <row r="2010" spans="1:63" ht="12" customHeight="1" x14ac:dyDescent="0.15">
      <c r="A2010" s="1" t="s">
        <v>18738</v>
      </c>
      <c r="B2010" s="68">
        <v>45</v>
      </c>
      <c r="C2010" s="1" t="s">
        <v>20</v>
      </c>
      <c r="D2010" s="1" t="s">
        <v>85</v>
      </c>
      <c r="F2010" s="69">
        <v>42303</v>
      </c>
      <c r="G2010" s="1" t="s">
        <v>18740</v>
      </c>
      <c r="H2010" s="1" t="s">
        <v>3103</v>
      </c>
      <c r="I2010" s="1" t="s">
        <v>52</v>
      </c>
      <c r="J2010" s="4" t="s">
        <v>18479</v>
      </c>
      <c r="K2010" s="1" t="s">
        <v>3103</v>
      </c>
      <c r="L2010" s="1" t="s">
        <v>695</v>
      </c>
      <c r="M2010" s="1" t="s">
        <v>27</v>
      </c>
      <c r="N2010" s="1" t="s">
        <v>20092</v>
      </c>
      <c r="O2010" s="1" t="s">
        <v>400</v>
      </c>
      <c r="P2010" s="1" t="s">
        <v>401</v>
      </c>
      <c r="Q2010" s="63" t="s">
        <v>18739</v>
      </c>
      <c r="R2010" s="1" t="s">
        <v>100</v>
      </c>
      <c r="S2010" s="13" t="s">
        <v>379</v>
      </c>
      <c r="T2010" s="68" t="s">
        <v>379</v>
      </c>
      <c r="U2010" s="68" t="s">
        <v>29436</v>
      </c>
      <c r="V2010" s="68" t="s">
        <v>29439</v>
      </c>
      <c r="W2010" s="68" t="s">
        <v>100</v>
      </c>
      <c r="X2010" s="68">
        <v>954</v>
      </c>
      <c r="AX2010" s="44"/>
      <c r="AY2010" s="44"/>
      <c r="AZ2010" s="44"/>
      <c r="BA2010" s="11"/>
      <c r="BB2010" s="44"/>
      <c r="BC2010" s="44"/>
      <c r="BD2010" s="44"/>
      <c r="BE2010" s="44"/>
      <c r="BF2010" s="44"/>
      <c r="BG2010" s="44"/>
      <c r="BH2010" s="44"/>
      <c r="BI2010" s="44"/>
      <c r="BJ2010" s="44"/>
      <c r="BK2010" s="44"/>
    </row>
    <row r="2011" spans="1:63" ht="12" customHeight="1" x14ac:dyDescent="0.15">
      <c r="A2011" s="1" t="s">
        <v>18733</v>
      </c>
      <c r="B2011" s="68">
        <v>21</v>
      </c>
      <c r="C2011" s="1" t="s">
        <v>114</v>
      </c>
      <c r="D2011" s="1" t="s">
        <v>85</v>
      </c>
      <c r="E2011" s="1" t="s">
        <v>18962</v>
      </c>
      <c r="F2011" s="69">
        <v>42303</v>
      </c>
      <c r="G2011" s="1" t="s">
        <v>18735</v>
      </c>
      <c r="H2011" s="1" t="s">
        <v>118</v>
      </c>
      <c r="I2011" s="1" t="s">
        <v>3664</v>
      </c>
      <c r="J2011" s="4">
        <v>20012</v>
      </c>
      <c r="K2011" s="1" t="s">
        <v>3666</v>
      </c>
      <c r="L2011" s="1" t="s">
        <v>19405</v>
      </c>
      <c r="M2011" s="1" t="s">
        <v>27</v>
      </c>
      <c r="N2011" s="1" t="s">
        <v>21100</v>
      </c>
      <c r="O2011" s="1" t="s">
        <v>400</v>
      </c>
      <c r="P2011" s="1" t="s">
        <v>401</v>
      </c>
      <c r="Q2011" s="63" t="s">
        <v>18734</v>
      </c>
      <c r="R2011" s="1" t="s">
        <v>29</v>
      </c>
      <c r="S2011" s="1" t="s">
        <v>28</v>
      </c>
      <c r="T2011" s="68" t="s">
        <v>27756</v>
      </c>
      <c r="U2011" s="68" t="s">
        <v>29438</v>
      </c>
      <c r="V2011" s="68" t="s">
        <v>29439</v>
      </c>
      <c r="W2011" s="68" t="s">
        <v>100</v>
      </c>
      <c r="X2011" s="68">
        <v>955</v>
      </c>
      <c r="AW2011" s="44"/>
      <c r="AX2011" s="44"/>
      <c r="AY2011" s="44"/>
      <c r="AZ2011" s="44"/>
      <c r="BC2011" s="44"/>
      <c r="BD2011" s="44"/>
      <c r="BE2011" s="44"/>
      <c r="BF2011" s="44"/>
      <c r="BG2011" s="44"/>
      <c r="BH2011" s="44"/>
      <c r="BI2011" s="44"/>
      <c r="BJ2011" s="44"/>
      <c r="BK2011" s="11"/>
    </row>
    <row r="2012" spans="1:63" ht="12" customHeight="1" x14ac:dyDescent="0.15">
      <c r="A2012" s="1" t="s">
        <v>18781</v>
      </c>
      <c r="B2012" s="1">
        <v>24</v>
      </c>
      <c r="C2012" s="1" t="s">
        <v>20</v>
      </c>
      <c r="D2012" s="1" t="s">
        <v>48</v>
      </c>
      <c r="E2012" s="1" t="s">
        <v>18951</v>
      </c>
      <c r="F2012" s="72">
        <v>42303</v>
      </c>
      <c r="G2012" s="1" t="s">
        <v>18783</v>
      </c>
      <c r="H2012" s="1" t="s">
        <v>1100</v>
      </c>
      <c r="I2012" s="1" t="s">
        <v>404</v>
      </c>
      <c r="J2012" s="17" t="s">
        <v>22913</v>
      </c>
      <c r="K2012" s="8" t="s">
        <v>22914</v>
      </c>
      <c r="L2012" s="1" t="s">
        <v>18784</v>
      </c>
      <c r="M2012" s="1" t="s">
        <v>391</v>
      </c>
      <c r="P2012" s="1" t="s">
        <v>401</v>
      </c>
      <c r="Q2012" s="63" t="s">
        <v>18782</v>
      </c>
      <c r="R2012" s="1" t="s">
        <v>29</v>
      </c>
      <c r="S2012" s="1" t="s">
        <v>18</v>
      </c>
      <c r="AW2012" s="11"/>
    </row>
    <row r="2013" spans="1:63" ht="12" customHeight="1" x14ac:dyDescent="0.15">
      <c r="A2013" s="1" t="s">
        <v>18859</v>
      </c>
      <c r="B2013" s="1">
        <v>57</v>
      </c>
      <c r="C2013" s="1" t="s">
        <v>114</v>
      </c>
      <c r="D2013" s="1" t="s">
        <v>37</v>
      </c>
      <c r="E2013" s="1" t="s">
        <v>18928</v>
      </c>
      <c r="F2013" s="72">
        <v>42302</v>
      </c>
      <c r="G2013" s="1" t="s">
        <v>20107</v>
      </c>
      <c r="H2013" s="1" t="s">
        <v>15712</v>
      </c>
      <c r="I2013" s="1" t="s">
        <v>404</v>
      </c>
      <c r="J2013" s="4" t="s">
        <v>15713</v>
      </c>
      <c r="K2013" s="1" t="s">
        <v>1516</v>
      </c>
      <c r="L2013" s="1" t="s">
        <v>511</v>
      </c>
      <c r="M2013" s="1" t="s">
        <v>379</v>
      </c>
      <c r="N2013" s="1" t="s">
        <v>20108</v>
      </c>
      <c r="O2013" s="1" t="s">
        <v>4684</v>
      </c>
      <c r="P2013" s="1" t="s">
        <v>401</v>
      </c>
      <c r="Q2013" s="63" t="s">
        <v>18860</v>
      </c>
      <c r="R2013" s="1" t="s">
        <v>100</v>
      </c>
      <c r="S2013" s="1" t="s">
        <v>379</v>
      </c>
    </row>
    <row r="2014" spans="1:63" ht="12" customHeight="1" x14ac:dyDescent="0.15">
      <c r="A2014" s="1" t="s">
        <v>18861</v>
      </c>
      <c r="B2014" s="68">
        <v>36</v>
      </c>
      <c r="C2014" s="1" t="s">
        <v>20</v>
      </c>
      <c r="D2014" s="1" t="s">
        <v>37</v>
      </c>
      <c r="E2014" s="1" t="s">
        <v>18929</v>
      </c>
      <c r="F2014" s="69">
        <v>42302</v>
      </c>
      <c r="G2014" s="1" t="s">
        <v>18863</v>
      </c>
      <c r="H2014" s="1" t="s">
        <v>18864</v>
      </c>
      <c r="I2014" s="1" t="s">
        <v>173</v>
      </c>
      <c r="J2014" s="17" t="s">
        <v>22916</v>
      </c>
      <c r="K2014" s="8" t="s">
        <v>5100</v>
      </c>
      <c r="L2014" s="1" t="s">
        <v>5101</v>
      </c>
      <c r="M2014" s="1" t="s">
        <v>27</v>
      </c>
      <c r="N2014" s="1" t="s">
        <v>21097</v>
      </c>
      <c r="P2014" s="1" t="s">
        <v>401</v>
      </c>
      <c r="Q2014" s="63" t="s">
        <v>18862</v>
      </c>
      <c r="R2014" s="1" t="s">
        <v>29</v>
      </c>
      <c r="S2014" s="1" t="s">
        <v>28</v>
      </c>
      <c r="T2014" s="68" t="s">
        <v>27756</v>
      </c>
      <c r="U2014" s="68" t="s">
        <v>29438</v>
      </c>
      <c r="V2014" s="68" t="s">
        <v>29439</v>
      </c>
      <c r="W2014" s="68" t="s">
        <v>100</v>
      </c>
      <c r="X2014" s="68">
        <v>949</v>
      </c>
      <c r="AW2014" s="44"/>
      <c r="AZ2014" s="44"/>
      <c r="BK2014" s="11"/>
    </row>
    <row r="2015" spans="1:63" ht="12" customHeight="1" x14ac:dyDescent="0.15">
      <c r="A2015" s="1" t="s">
        <v>18741</v>
      </c>
      <c r="B2015" s="68">
        <v>34</v>
      </c>
      <c r="C2015" s="1" t="s">
        <v>20</v>
      </c>
      <c r="D2015" s="1" t="s">
        <v>85</v>
      </c>
      <c r="E2015" s="1" t="s">
        <v>18964</v>
      </c>
      <c r="F2015" s="69">
        <v>42301</v>
      </c>
      <c r="G2015" s="1" t="s">
        <v>18742</v>
      </c>
      <c r="H2015" s="1" t="s">
        <v>7722</v>
      </c>
      <c r="I2015" s="1" t="s">
        <v>62</v>
      </c>
      <c r="J2015" s="4" t="s">
        <v>7723</v>
      </c>
      <c r="K2015" s="1" t="s">
        <v>5538</v>
      </c>
      <c r="L2015" s="1" t="s">
        <v>15769</v>
      </c>
      <c r="M2015" s="1" t="s">
        <v>27</v>
      </c>
      <c r="N2015" s="1" t="s">
        <v>19000</v>
      </c>
      <c r="O2015" s="1" t="s">
        <v>400</v>
      </c>
      <c r="P2015" s="1" t="s">
        <v>401</v>
      </c>
      <c r="Q2015" s="63" t="s">
        <v>20106</v>
      </c>
      <c r="R2015" s="1" t="s">
        <v>100</v>
      </c>
      <c r="S2015" s="1" t="s">
        <v>28</v>
      </c>
      <c r="T2015" s="68" t="s">
        <v>27756</v>
      </c>
      <c r="U2015" s="68" t="s">
        <v>29438</v>
      </c>
      <c r="V2015" s="68" t="s">
        <v>29439</v>
      </c>
      <c r="W2015" s="68" t="s">
        <v>555</v>
      </c>
      <c r="X2015" s="68">
        <v>948</v>
      </c>
      <c r="AW2015" s="11"/>
      <c r="AX2015" s="11"/>
      <c r="AY2015" s="11"/>
      <c r="AZ2015" s="44"/>
      <c r="BA2015" s="44"/>
      <c r="BB2015" s="44"/>
      <c r="BC2015" s="44"/>
      <c r="BD2015" s="44"/>
      <c r="BE2015" s="44"/>
      <c r="BF2015" s="44"/>
      <c r="BG2015" s="44"/>
      <c r="BH2015" s="44"/>
      <c r="BI2015" s="44"/>
      <c r="BJ2015" s="44"/>
      <c r="BK2015" s="11"/>
    </row>
    <row r="2016" spans="1:63" ht="12" customHeight="1" x14ac:dyDescent="0.15">
      <c r="A2016" s="1" t="s">
        <v>18870</v>
      </c>
      <c r="B2016" s="68">
        <v>47</v>
      </c>
      <c r="C2016" s="1" t="s">
        <v>20</v>
      </c>
      <c r="D2016" s="1" t="s">
        <v>37</v>
      </c>
      <c r="F2016" s="69">
        <v>42301</v>
      </c>
      <c r="G2016" s="1" t="s">
        <v>18871</v>
      </c>
      <c r="H2016" s="1" t="s">
        <v>2651</v>
      </c>
      <c r="I2016" s="1" t="s">
        <v>438</v>
      </c>
      <c r="J2016" s="4" t="s">
        <v>20096</v>
      </c>
      <c r="K2016" s="1" t="s">
        <v>3621</v>
      </c>
      <c r="L2016" s="1" t="s">
        <v>20097</v>
      </c>
      <c r="M2016" s="1" t="s">
        <v>27</v>
      </c>
      <c r="N2016" s="1" t="s">
        <v>20098</v>
      </c>
      <c r="O2016" s="1" t="s">
        <v>400</v>
      </c>
      <c r="P2016" s="1" t="s">
        <v>401</v>
      </c>
      <c r="Q2016" s="63" t="s">
        <v>20099</v>
      </c>
      <c r="R2016" s="1" t="s">
        <v>100</v>
      </c>
      <c r="S2016" s="1" t="s">
        <v>28</v>
      </c>
      <c r="T2016" s="68" t="s">
        <v>27756</v>
      </c>
      <c r="U2016" s="68" t="s">
        <v>29438</v>
      </c>
      <c r="V2016" s="68" t="s">
        <v>29439</v>
      </c>
      <c r="W2016" s="68" t="s">
        <v>100</v>
      </c>
      <c r="X2016" s="68">
        <v>952</v>
      </c>
      <c r="AZ2016" s="44"/>
      <c r="BA2016" s="44"/>
      <c r="BB2016" s="44"/>
      <c r="BK2016" s="11"/>
    </row>
    <row r="2017" spans="1:63" ht="12" customHeight="1" x14ac:dyDescent="0.15">
      <c r="A2017" s="1" t="s">
        <v>18820</v>
      </c>
      <c r="B2017" s="68">
        <v>49</v>
      </c>
      <c r="C2017" s="1" t="s">
        <v>20</v>
      </c>
      <c r="D2017" s="1" t="s">
        <v>37</v>
      </c>
      <c r="F2017" s="69">
        <v>42301</v>
      </c>
      <c r="G2017" s="1" t="s">
        <v>20101</v>
      </c>
      <c r="H2017" s="1" t="s">
        <v>16377</v>
      </c>
      <c r="I2017" s="1" t="s">
        <v>330</v>
      </c>
      <c r="J2017" s="4" t="s">
        <v>20102</v>
      </c>
      <c r="K2017" s="1" t="s">
        <v>20103</v>
      </c>
      <c r="L2017" s="1" t="s">
        <v>11209</v>
      </c>
      <c r="M2017" s="1" t="s">
        <v>27</v>
      </c>
      <c r="N2017" s="1" t="s">
        <v>20104</v>
      </c>
      <c r="O2017" s="1" t="s">
        <v>400</v>
      </c>
      <c r="P2017" s="1" t="s">
        <v>401</v>
      </c>
      <c r="Q2017" s="63" t="s">
        <v>20105</v>
      </c>
      <c r="R2017" s="1" t="s">
        <v>100</v>
      </c>
      <c r="S2017" s="1" t="s">
        <v>35</v>
      </c>
      <c r="T2017" s="68" t="s">
        <v>29441</v>
      </c>
      <c r="U2017" s="68" t="s">
        <v>29438</v>
      </c>
      <c r="V2017" s="68" t="s">
        <v>29439</v>
      </c>
      <c r="W2017" s="68" t="s">
        <v>100</v>
      </c>
      <c r="X2017" s="68">
        <v>953</v>
      </c>
      <c r="AZ2017" s="44"/>
      <c r="BA2017" s="44"/>
      <c r="BB2017" s="44"/>
    </row>
    <row r="2018" spans="1:63" ht="12" customHeight="1" x14ac:dyDescent="0.15">
      <c r="A2018" s="1" t="s">
        <v>18743</v>
      </c>
      <c r="B2018" s="68">
        <v>30</v>
      </c>
      <c r="C2018" s="1" t="s">
        <v>20</v>
      </c>
      <c r="D2018" s="1" t="s">
        <v>85</v>
      </c>
      <c r="E2018" s="1" t="s">
        <v>18965</v>
      </c>
      <c r="F2018" s="69">
        <v>42301</v>
      </c>
      <c r="G2018" s="1" t="s">
        <v>18745</v>
      </c>
      <c r="H2018" s="1" t="s">
        <v>18746</v>
      </c>
      <c r="I2018" s="1" t="s">
        <v>45</v>
      </c>
      <c r="J2018" s="4" t="s">
        <v>20100</v>
      </c>
      <c r="K2018" s="1" t="s">
        <v>783</v>
      </c>
      <c r="L2018" s="1" t="s">
        <v>18747</v>
      </c>
      <c r="M2018" s="1" t="s">
        <v>27</v>
      </c>
      <c r="N2018" s="1" t="s">
        <v>30977</v>
      </c>
      <c r="O2018" s="1" t="s">
        <v>400</v>
      </c>
      <c r="P2018" s="1" t="s">
        <v>401</v>
      </c>
      <c r="Q2018" s="63" t="s">
        <v>18744</v>
      </c>
      <c r="R2018" s="1" t="s">
        <v>29</v>
      </c>
      <c r="S2018" s="1" t="s">
        <v>18</v>
      </c>
      <c r="T2018" s="68" t="s">
        <v>30978</v>
      </c>
      <c r="U2018" s="68" t="s">
        <v>29441</v>
      </c>
      <c r="V2018" s="68" t="s">
        <v>29439</v>
      </c>
      <c r="W2018" s="68" t="s">
        <v>100</v>
      </c>
      <c r="X2018" s="68">
        <v>950</v>
      </c>
      <c r="AW2018" s="11"/>
      <c r="AX2018" s="11"/>
      <c r="AY2018" s="11"/>
      <c r="AZ2018" s="44"/>
      <c r="BC2018" s="44"/>
      <c r="BD2018" s="44"/>
      <c r="BE2018" s="44"/>
      <c r="BF2018" s="44"/>
      <c r="BG2018" s="44"/>
      <c r="BH2018" s="44"/>
      <c r="BI2018" s="44"/>
      <c r="BJ2018" s="44"/>
    </row>
    <row r="2019" spans="1:63" ht="12" customHeight="1" x14ac:dyDescent="0.15">
      <c r="A2019" s="11" t="s">
        <v>23506</v>
      </c>
      <c r="B2019" s="11">
        <v>61</v>
      </c>
      <c r="C2019" s="11" t="s">
        <v>20</v>
      </c>
      <c r="D2019" s="11" t="s">
        <v>37</v>
      </c>
      <c r="E2019" s="44" t="s">
        <v>23565</v>
      </c>
      <c r="F2019" s="69">
        <v>42301</v>
      </c>
      <c r="G2019" s="11" t="s">
        <v>23570</v>
      </c>
      <c r="H2019" s="8" t="s">
        <v>23571</v>
      </c>
      <c r="I2019" s="11" t="s">
        <v>423</v>
      </c>
      <c r="J2019" s="43">
        <v>12561</v>
      </c>
      <c r="K2019" s="8" t="s">
        <v>23566</v>
      </c>
      <c r="L2019" s="8" t="s">
        <v>23567</v>
      </c>
      <c r="M2019" s="8" t="s">
        <v>27</v>
      </c>
      <c r="N2019" s="8" t="s">
        <v>23568</v>
      </c>
      <c r="O2019" s="8" t="s">
        <v>400</v>
      </c>
      <c r="P2019" s="11" t="s">
        <v>401</v>
      </c>
      <c r="Q2019" s="44" t="s">
        <v>23569</v>
      </c>
      <c r="R2019" s="8" t="s">
        <v>555</v>
      </c>
      <c r="S2019" s="8" t="s">
        <v>28</v>
      </c>
      <c r="T2019" s="68" t="s">
        <v>27756</v>
      </c>
      <c r="U2019" s="68" t="s">
        <v>29438</v>
      </c>
      <c r="V2019" s="68" t="s">
        <v>29439</v>
      </c>
      <c r="W2019" s="68" t="s">
        <v>100</v>
      </c>
      <c r="X2019" s="68">
        <v>1283</v>
      </c>
      <c r="Y2019" s="44"/>
      <c r="Z2019" s="44"/>
      <c r="AA2019" s="44"/>
      <c r="AB2019" s="44"/>
      <c r="AC2019" s="44"/>
      <c r="AD2019" s="44"/>
      <c r="AE2019" s="44"/>
      <c r="AF2019" s="44"/>
      <c r="AG2019" s="44"/>
      <c r="AH2019" s="44"/>
      <c r="AI2019" s="44"/>
      <c r="AJ2019" s="44"/>
      <c r="AK2019" s="44"/>
      <c r="AL2019" s="44"/>
      <c r="AZ2019" s="44"/>
      <c r="BK2019" s="11"/>
    </row>
    <row r="2020" spans="1:63" ht="12" customHeight="1" x14ac:dyDescent="0.15">
      <c r="A2020" s="1" t="s">
        <v>18865</v>
      </c>
      <c r="B2020" s="68">
        <v>28</v>
      </c>
      <c r="C2020" s="1" t="s">
        <v>20</v>
      </c>
      <c r="D2020" s="1" t="s">
        <v>37</v>
      </c>
      <c r="E2020" s="1" t="s">
        <v>18930</v>
      </c>
      <c r="F2020" s="69">
        <v>42301</v>
      </c>
      <c r="G2020" s="1" t="s">
        <v>18867</v>
      </c>
      <c r="H2020" s="1" t="s">
        <v>18868</v>
      </c>
      <c r="I2020" s="1" t="s">
        <v>69</v>
      </c>
      <c r="J2020" s="17" t="s">
        <v>22917</v>
      </c>
      <c r="K2020" s="8" t="s">
        <v>22918</v>
      </c>
      <c r="L2020" s="1" t="s">
        <v>18869</v>
      </c>
      <c r="M2020" s="1" t="s">
        <v>27</v>
      </c>
      <c r="N2020" s="1" t="s">
        <v>21098</v>
      </c>
      <c r="P2020" s="1" t="s">
        <v>401</v>
      </c>
      <c r="Q2020" s="63" t="s">
        <v>18866</v>
      </c>
      <c r="R2020" s="68" t="s">
        <v>555</v>
      </c>
      <c r="S2020" s="1" t="s">
        <v>28</v>
      </c>
      <c r="T2020" s="68" t="s">
        <v>27756</v>
      </c>
      <c r="U2020" s="68" t="s">
        <v>29438</v>
      </c>
      <c r="V2020" s="68" t="s">
        <v>29439</v>
      </c>
      <c r="W2020" s="68" t="s">
        <v>100</v>
      </c>
      <c r="X2020" s="68">
        <v>951</v>
      </c>
      <c r="AW2020" s="44"/>
      <c r="AZ2020" s="44"/>
      <c r="BA2020" s="44"/>
      <c r="BB2020" s="11"/>
      <c r="BK2020" s="11"/>
    </row>
    <row r="2021" spans="1:63" ht="12" customHeight="1" x14ac:dyDescent="0.15">
      <c r="A2021" s="1" t="s">
        <v>18785</v>
      </c>
      <c r="B2021" s="68">
        <v>34</v>
      </c>
      <c r="C2021" s="1" t="s">
        <v>20</v>
      </c>
      <c r="D2021" s="1" t="s">
        <v>48</v>
      </c>
      <c r="F2021" s="69">
        <v>42301</v>
      </c>
      <c r="G2021" s="1" t="s">
        <v>18787</v>
      </c>
      <c r="H2021" s="1" t="s">
        <v>783</v>
      </c>
      <c r="I2021" s="1" t="s">
        <v>45</v>
      </c>
      <c r="J2021" s="17" t="s">
        <v>12900</v>
      </c>
      <c r="K2021" s="8" t="s">
        <v>783</v>
      </c>
      <c r="L2021" s="1" t="s">
        <v>957</v>
      </c>
      <c r="M2021" s="1" t="s">
        <v>27</v>
      </c>
      <c r="N2021" s="1" t="s">
        <v>21099</v>
      </c>
      <c r="P2021" s="1" t="s">
        <v>401</v>
      </c>
      <c r="Q2021" s="63" t="s">
        <v>18786</v>
      </c>
      <c r="R2021" s="1" t="s">
        <v>29</v>
      </c>
      <c r="S2021" s="1" t="s">
        <v>28</v>
      </c>
      <c r="T2021" s="68" t="s">
        <v>27756</v>
      </c>
      <c r="U2021" s="68" t="s">
        <v>29438</v>
      </c>
      <c r="V2021" s="68" t="s">
        <v>29439</v>
      </c>
      <c r="W2021" s="68" t="s">
        <v>100</v>
      </c>
      <c r="X2021" s="68">
        <v>947</v>
      </c>
      <c r="AW2021" s="11"/>
      <c r="AZ2021" s="44"/>
      <c r="BK2021" s="11"/>
    </row>
    <row r="2022" spans="1:63" ht="12" customHeight="1" x14ac:dyDescent="0.15">
      <c r="A2022" s="1" t="s">
        <v>18748</v>
      </c>
      <c r="B2022" s="1">
        <v>18</v>
      </c>
      <c r="C2022" s="1" t="s">
        <v>20</v>
      </c>
      <c r="D2022" s="1" t="s">
        <v>85</v>
      </c>
      <c r="E2022" s="1" t="s">
        <v>18966</v>
      </c>
      <c r="F2022" s="72">
        <v>42300</v>
      </c>
      <c r="G2022" s="1" t="s">
        <v>18750</v>
      </c>
      <c r="H2022" s="1" t="s">
        <v>15942</v>
      </c>
      <c r="I2022" s="1" t="s">
        <v>395</v>
      </c>
      <c r="L2022" s="1" t="s">
        <v>1146</v>
      </c>
      <c r="M2022" s="1" t="s">
        <v>27</v>
      </c>
      <c r="N2022" s="1" t="s">
        <v>21095</v>
      </c>
      <c r="O2022" s="1" t="s">
        <v>400</v>
      </c>
      <c r="P2022" s="1" t="s">
        <v>401</v>
      </c>
      <c r="Q2022" s="63" t="s">
        <v>18749</v>
      </c>
      <c r="R2022" s="1" t="s">
        <v>29</v>
      </c>
      <c r="S2022" s="66" t="s">
        <v>28</v>
      </c>
      <c r="T2022" s="66" t="s">
        <v>27756</v>
      </c>
      <c r="U2022" s="66" t="s">
        <v>29438</v>
      </c>
      <c r="V2022" s="66" t="s">
        <v>29439</v>
      </c>
      <c r="W2022" s="66" t="s">
        <v>100</v>
      </c>
      <c r="X2022" s="66">
        <v>957</v>
      </c>
      <c r="AX2022" s="44"/>
      <c r="AY2022" s="44"/>
      <c r="BC2022" s="44"/>
      <c r="BD2022" s="44"/>
      <c r="BE2022" s="44"/>
      <c r="BF2022" s="44"/>
      <c r="BG2022" s="44"/>
      <c r="BH2022" s="44"/>
      <c r="BI2022" s="44"/>
      <c r="BJ2022" s="44"/>
      <c r="BK2022" s="11"/>
    </row>
    <row r="2023" spans="1:63" ht="12" customHeight="1" x14ac:dyDescent="0.15">
      <c r="A2023" s="1" t="s">
        <v>18788</v>
      </c>
      <c r="B2023" s="1">
        <v>22</v>
      </c>
      <c r="C2023" s="1" t="s">
        <v>20</v>
      </c>
      <c r="D2023" s="1" t="s">
        <v>48</v>
      </c>
      <c r="E2023" s="1" t="s">
        <v>18950</v>
      </c>
      <c r="F2023" s="72">
        <v>42300</v>
      </c>
      <c r="H2023" s="1" t="s">
        <v>20919</v>
      </c>
      <c r="I2023" s="1" t="s">
        <v>62</v>
      </c>
      <c r="L2023" s="1" t="s">
        <v>20923</v>
      </c>
      <c r="M2023" s="1" t="s">
        <v>379</v>
      </c>
      <c r="N2023" s="1" t="s">
        <v>20922</v>
      </c>
      <c r="P2023" s="1" t="s">
        <v>401</v>
      </c>
      <c r="Q2023" s="63" t="s">
        <v>18789</v>
      </c>
      <c r="R2023" s="1" t="s">
        <v>29</v>
      </c>
      <c r="S2023" s="1" t="s">
        <v>18</v>
      </c>
    </row>
    <row r="2024" spans="1:63" ht="12" customHeight="1" x14ac:dyDescent="0.15">
      <c r="A2024" s="1" t="s">
        <v>18751</v>
      </c>
      <c r="B2024" s="68">
        <v>36</v>
      </c>
      <c r="C2024" s="1" t="s">
        <v>20</v>
      </c>
      <c r="D2024" s="1" t="s">
        <v>85</v>
      </c>
      <c r="E2024" s="1" t="s">
        <v>18967</v>
      </c>
      <c r="F2024" s="69">
        <v>42299</v>
      </c>
      <c r="G2024" s="1" t="s">
        <v>20109</v>
      </c>
      <c r="H2024" s="1" t="s">
        <v>18752</v>
      </c>
      <c r="I2024" s="1" t="s">
        <v>45</v>
      </c>
      <c r="J2024" s="4" t="s">
        <v>18986</v>
      </c>
      <c r="K2024" s="1" t="s">
        <v>1642</v>
      </c>
      <c r="L2024" s="1" t="s">
        <v>11379</v>
      </c>
      <c r="M2024" s="1" t="s">
        <v>27</v>
      </c>
      <c r="N2024" s="1" t="s">
        <v>18998</v>
      </c>
      <c r="O2024" s="1" t="s">
        <v>400</v>
      </c>
      <c r="P2024" s="1" t="s">
        <v>401</v>
      </c>
      <c r="Q2024" s="63" t="s">
        <v>20110</v>
      </c>
      <c r="R2024" s="1" t="s">
        <v>100</v>
      </c>
      <c r="S2024" s="1" t="s">
        <v>28</v>
      </c>
      <c r="T2024" s="68" t="s">
        <v>27756</v>
      </c>
      <c r="U2024" s="68" t="s">
        <v>29438</v>
      </c>
      <c r="V2024" s="68" t="s">
        <v>29437</v>
      </c>
      <c r="W2024" s="68" t="s">
        <v>100</v>
      </c>
      <c r="X2024" s="68">
        <v>945</v>
      </c>
      <c r="AX2024" s="44"/>
      <c r="AY2024" s="44"/>
      <c r="AZ2024" s="44"/>
      <c r="BA2024" s="44"/>
      <c r="BB2024" s="44"/>
      <c r="BC2024" s="44"/>
      <c r="BD2024" s="44"/>
      <c r="BE2024" s="44"/>
      <c r="BF2024" s="44"/>
      <c r="BG2024" s="44"/>
      <c r="BH2024" s="44"/>
      <c r="BI2024" s="44"/>
      <c r="BJ2024" s="44"/>
      <c r="BK2024" s="11"/>
    </row>
    <row r="2025" spans="1:63" ht="12" customHeight="1" x14ac:dyDescent="0.15">
      <c r="A2025" s="1" t="s">
        <v>18753</v>
      </c>
      <c r="B2025" s="68">
        <v>38</v>
      </c>
      <c r="C2025" s="1" t="s">
        <v>20</v>
      </c>
      <c r="D2025" s="1" t="s">
        <v>85</v>
      </c>
      <c r="E2025" s="1" t="s">
        <v>18968</v>
      </c>
      <c r="F2025" s="69">
        <v>42299</v>
      </c>
      <c r="G2025" s="1" t="s">
        <v>18754</v>
      </c>
      <c r="H2025" s="1" t="s">
        <v>459</v>
      </c>
      <c r="I2025" s="1" t="s">
        <v>25</v>
      </c>
      <c r="J2025" s="4" t="s">
        <v>10106</v>
      </c>
      <c r="K2025" s="1" t="s">
        <v>5907</v>
      </c>
      <c r="L2025" s="1" t="s">
        <v>460</v>
      </c>
      <c r="M2025" s="1" t="s">
        <v>27</v>
      </c>
      <c r="N2025" s="1" t="s">
        <v>18999</v>
      </c>
      <c r="O2025" s="1" t="s">
        <v>400</v>
      </c>
      <c r="P2025" s="1" t="s">
        <v>401</v>
      </c>
      <c r="Q2025" s="63" t="s">
        <v>20111</v>
      </c>
      <c r="R2025" s="1" t="s">
        <v>100</v>
      </c>
      <c r="S2025" s="1" t="s">
        <v>28</v>
      </c>
      <c r="T2025" s="68" t="s">
        <v>29493</v>
      </c>
      <c r="U2025" s="68" t="s">
        <v>29438</v>
      </c>
      <c r="V2025" s="68" t="s">
        <v>29439</v>
      </c>
      <c r="W2025" s="68" t="s">
        <v>100</v>
      </c>
      <c r="X2025" s="68">
        <v>943</v>
      </c>
      <c r="AW2025" s="44"/>
      <c r="AX2025" s="44"/>
      <c r="AY2025" s="44"/>
      <c r="AZ2025" s="44"/>
      <c r="BA2025" s="44"/>
      <c r="BB2025" s="44"/>
      <c r="BC2025" s="44"/>
      <c r="BD2025" s="44"/>
      <c r="BE2025" s="44"/>
      <c r="BF2025" s="44"/>
      <c r="BG2025" s="44"/>
      <c r="BH2025" s="44"/>
      <c r="BI2025" s="44"/>
      <c r="BJ2025" s="44"/>
      <c r="BK2025" s="11"/>
    </row>
    <row r="2026" spans="1:63" ht="12" customHeight="1" x14ac:dyDescent="0.15">
      <c r="A2026" s="1" t="s">
        <v>18821</v>
      </c>
      <c r="B2026" s="68">
        <v>53</v>
      </c>
      <c r="C2026" s="1" t="s">
        <v>20</v>
      </c>
      <c r="D2026" s="1" t="s">
        <v>37</v>
      </c>
      <c r="E2026" s="1" t="s">
        <v>20745</v>
      </c>
      <c r="F2026" s="69">
        <v>42299</v>
      </c>
      <c r="G2026" s="1" t="s">
        <v>18822</v>
      </c>
      <c r="H2026" s="1" t="s">
        <v>18823</v>
      </c>
      <c r="I2026" s="1" t="s">
        <v>315</v>
      </c>
      <c r="J2026" s="4" t="s">
        <v>20112</v>
      </c>
      <c r="K2026" s="1" t="s">
        <v>20113</v>
      </c>
      <c r="L2026" s="1" t="s">
        <v>20114</v>
      </c>
      <c r="M2026" s="1" t="s">
        <v>27</v>
      </c>
      <c r="N2026" s="1" t="s">
        <v>20115</v>
      </c>
      <c r="O2026" s="1" t="s">
        <v>400</v>
      </c>
      <c r="P2026" s="1" t="s">
        <v>401</v>
      </c>
      <c r="Q2026" s="63" t="s">
        <v>20116</v>
      </c>
      <c r="R2026" s="1" t="s">
        <v>100</v>
      </c>
      <c r="S2026" s="1" t="s">
        <v>35</v>
      </c>
      <c r="T2026" s="68" t="s">
        <v>29441</v>
      </c>
      <c r="U2026" s="68" t="s">
        <v>29436</v>
      </c>
      <c r="V2026" s="68" t="s">
        <v>29439</v>
      </c>
      <c r="W2026" s="68" t="s">
        <v>100</v>
      </c>
      <c r="X2026" s="68">
        <v>946</v>
      </c>
      <c r="AI2026" s="64"/>
      <c r="AJ2026" s="64"/>
      <c r="AK2026" s="64"/>
      <c r="AL2026" s="64"/>
      <c r="AZ2026" s="44"/>
      <c r="BA2026" s="44"/>
      <c r="BB2026" s="44"/>
    </row>
    <row r="2027" spans="1:63" ht="12" customHeight="1" x14ac:dyDescent="0.15">
      <c r="A2027" s="1" t="s">
        <v>18790</v>
      </c>
      <c r="B2027" s="68">
        <v>35</v>
      </c>
      <c r="C2027" s="1" t="s">
        <v>20</v>
      </c>
      <c r="D2027" s="1" t="s">
        <v>48</v>
      </c>
      <c r="E2027" s="1" t="s">
        <v>18949</v>
      </c>
      <c r="F2027" s="69">
        <v>42298</v>
      </c>
      <c r="G2027" s="1" t="s">
        <v>18791</v>
      </c>
      <c r="H2027" s="1" t="s">
        <v>18792</v>
      </c>
      <c r="I2027" s="1" t="s">
        <v>45</v>
      </c>
      <c r="J2027" s="4" t="s">
        <v>20117</v>
      </c>
      <c r="K2027" s="1" t="s">
        <v>9909</v>
      </c>
      <c r="L2027" s="1" t="s">
        <v>20118</v>
      </c>
      <c r="M2027" s="1" t="s">
        <v>27</v>
      </c>
      <c r="N2027" s="1" t="s">
        <v>20119</v>
      </c>
      <c r="O2027" s="1" t="s">
        <v>400</v>
      </c>
      <c r="P2027" s="1" t="s">
        <v>401</v>
      </c>
      <c r="Q2027" s="63" t="s">
        <v>20120</v>
      </c>
      <c r="R2027" s="1" t="s">
        <v>100</v>
      </c>
      <c r="S2027" s="1" t="s">
        <v>28</v>
      </c>
      <c r="T2027" s="68" t="s">
        <v>29493</v>
      </c>
      <c r="U2027" s="68" t="s">
        <v>29436</v>
      </c>
      <c r="V2027" s="68" t="s">
        <v>21212</v>
      </c>
      <c r="W2027" s="68" t="s">
        <v>100</v>
      </c>
      <c r="X2027" s="68">
        <v>940</v>
      </c>
      <c r="AM2027" s="64"/>
      <c r="AN2027" s="64"/>
      <c r="AO2027" s="64"/>
      <c r="AP2027" s="64"/>
      <c r="AQ2027" s="64"/>
      <c r="AR2027" s="64"/>
      <c r="AS2027" s="64"/>
      <c r="AT2027" s="64"/>
      <c r="AW2027" s="11"/>
      <c r="BA2027" s="44"/>
      <c r="BB2027" s="44"/>
      <c r="BK2027" s="11"/>
    </row>
    <row r="2028" spans="1:63" ht="12" customHeight="1" x14ac:dyDescent="0.15">
      <c r="A2028" s="1" t="s">
        <v>18872</v>
      </c>
      <c r="B2028" s="68">
        <v>47</v>
      </c>
      <c r="C2028" s="1" t="s">
        <v>20</v>
      </c>
      <c r="D2028" s="1" t="s">
        <v>37</v>
      </c>
      <c r="E2028" s="1" t="s">
        <v>18931</v>
      </c>
      <c r="F2028" s="69">
        <v>42298</v>
      </c>
      <c r="G2028" s="1" t="s">
        <v>18873</v>
      </c>
      <c r="H2028" s="1" t="s">
        <v>18874</v>
      </c>
      <c r="I2028" s="1" t="s">
        <v>57</v>
      </c>
      <c r="J2028" s="4" t="s">
        <v>20125</v>
      </c>
      <c r="K2028" s="1" t="s">
        <v>2534</v>
      </c>
      <c r="L2028" s="1" t="s">
        <v>18875</v>
      </c>
      <c r="M2028" s="1" t="s">
        <v>27</v>
      </c>
      <c r="N2028" s="1" t="s">
        <v>20126</v>
      </c>
      <c r="O2028" s="1" t="s">
        <v>400</v>
      </c>
      <c r="P2028" s="1" t="s">
        <v>401</v>
      </c>
      <c r="Q2028" s="63" t="s">
        <v>20127</v>
      </c>
      <c r="R2028" s="1" t="s">
        <v>555</v>
      </c>
      <c r="S2028" s="1" t="s">
        <v>28</v>
      </c>
      <c r="T2028" s="68" t="s">
        <v>27756</v>
      </c>
      <c r="U2028" s="68" t="s">
        <v>29438</v>
      </c>
      <c r="V2028" s="68" t="s">
        <v>29439</v>
      </c>
      <c r="W2028" s="68" t="s">
        <v>100</v>
      </c>
      <c r="X2028" s="68">
        <v>944</v>
      </c>
      <c r="BA2028" s="11"/>
      <c r="BB2028" s="44"/>
      <c r="BK2028" s="11"/>
    </row>
    <row r="2029" spans="1:63" ht="12" customHeight="1" x14ac:dyDescent="0.2">
      <c r="A2029" s="1" t="s">
        <v>18793</v>
      </c>
      <c r="B2029" s="68">
        <v>21</v>
      </c>
      <c r="C2029" s="1" t="s">
        <v>20</v>
      </c>
      <c r="D2029" s="1" t="s">
        <v>48</v>
      </c>
      <c r="E2029" s="1" t="s">
        <v>18948</v>
      </c>
      <c r="F2029" s="69">
        <v>42298</v>
      </c>
      <c r="G2029" s="1" t="s">
        <v>24418</v>
      </c>
      <c r="H2029" s="1" t="s">
        <v>1747</v>
      </c>
      <c r="I2029" s="1" t="s">
        <v>45</v>
      </c>
      <c r="J2029" s="4" t="s">
        <v>20121</v>
      </c>
      <c r="K2029" s="1" t="s">
        <v>1163</v>
      </c>
      <c r="L2029" s="1" t="s">
        <v>20122</v>
      </c>
      <c r="M2029" s="1" t="s">
        <v>27</v>
      </c>
      <c r="N2029" s="1" t="s">
        <v>20123</v>
      </c>
      <c r="O2029" s="1" t="s">
        <v>400</v>
      </c>
      <c r="P2029" s="1" t="s">
        <v>401</v>
      </c>
      <c r="Q2029" s="63" t="s">
        <v>20124</v>
      </c>
      <c r="R2029" s="68" t="s">
        <v>555</v>
      </c>
      <c r="S2029" s="1" t="s">
        <v>18</v>
      </c>
      <c r="T2029" s="68" t="s">
        <v>28345</v>
      </c>
      <c r="U2029" s="68" t="s">
        <v>29438</v>
      </c>
      <c r="V2029" s="68" t="s">
        <v>29439</v>
      </c>
      <c r="W2029" s="68" t="s">
        <v>100</v>
      </c>
      <c r="X2029" s="68">
        <v>941</v>
      </c>
      <c r="AW2029" s="44"/>
      <c r="BA2029" s="70"/>
      <c r="BB2029" s="44"/>
    </row>
    <row r="2030" spans="1:63" ht="12" customHeight="1" x14ac:dyDescent="0.15">
      <c r="A2030" s="1" t="s">
        <v>18824</v>
      </c>
      <c r="B2030" s="1">
        <v>36</v>
      </c>
      <c r="C2030" s="1" t="s">
        <v>20</v>
      </c>
      <c r="D2030" s="1" t="s">
        <v>48</v>
      </c>
      <c r="E2030" s="1" t="s">
        <v>20746</v>
      </c>
      <c r="F2030" s="72">
        <v>42298</v>
      </c>
      <c r="G2030" s="1" t="s">
        <v>18826</v>
      </c>
      <c r="H2030" s="1" t="s">
        <v>12409</v>
      </c>
      <c r="I2030" s="1" t="s">
        <v>73</v>
      </c>
      <c r="L2030" s="1" t="s">
        <v>12412</v>
      </c>
      <c r="M2030" s="1" t="s">
        <v>391</v>
      </c>
      <c r="P2030" s="1" t="s">
        <v>401</v>
      </c>
      <c r="Q2030" s="63" t="s">
        <v>18825</v>
      </c>
      <c r="R2030" s="1" t="s">
        <v>29</v>
      </c>
      <c r="S2030" s="1" t="s">
        <v>18</v>
      </c>
      <c r="AI2030" s="64"/>
      <c r="AJ2030" s="64"/>
      <c r="AK2030" s="64"/>
      <c r="AL2030" s="64"/>
      <c r="AM2030" s="64"/>
      <c r="AN2030" s="64"/>
      <c r="AO2030" s="64"/>
      <c r="AP2030" s="64"/>
      <c r="AQ2030" s="64"/>
      <c r="AR2030" s="64"/>
      <c r="AS2030" s="64"/>
      <c r="AT2030" s="64"/>
      <c r="AW2030" s="11"/>
    </row>
    <row r="2031" spans="1:63" ht="12" customHeight="1" x14ac:dyDescent="0.15">
      <c r="A2031" s="1" t="s">
        <v>18755</v>
      </c>
      <c r="B2031" s="68">
        <v>39</v>
      </c>
      <c r="C2031" s="1" t="s">
        <v>20</v>
      </c>
      <c r="D2031" s="1" t="s">
        <v>85</v>
      </c>
      <c r="E2031" s="1" t="s">
        <v>18969</v>
      </c>
      <c r="F2031" s="69">
        <v>42297</v>
      </c>
      <c r="G2031" s="1" t="s">
        <v>18756</v>
      </c>
      <c r="H2031" s="1" t="s">
        <v>156</v>
      </c>
      <c r="I2031" s="1" t="s">
        <v>45</v>
      </c>
      <c r="J2031" s="4" t="s">
        <v>11434</v>
      </c>
      <c r="K2031" s="1" t="s">
        <v>156</v>
      </c>
      <c r="L2031" s="1" t="s">
        <v>157</v>
      </c>
      <c r="M2031" s="1" t="s">
        <v>27</v>
      </c>
      <c r="N2031" s="1" t="s">
        <v>18997</v>
      </c>
      <c r="O2031" s="1" t="s">
        <v>1010</v>
      </c>
      <c r="P2031" s="1" t="s">
        <v>401</v>
      </c>
      <c r="Q2031" s="63" t="s">
        <v>20136</v>
      </c>
      <c r="R2031" s="1" t="s">
        <v>100</v>
      </c>
      <c r="S2031" s="1" t="s">
        <v>18</v>
      </c>
      <c r="T2031" s="68" t="s">
        <v>29612</v>
      </c>
      <c r="U2031" s="68" t="s">
        <v>29438</v>
      </c>
      <c r="V2031" s="68" t="s">
        <v>29439</v>
      </c>
      <c r="W2031" s="68" t="s">
        <v>100</v>
      </c>
      <c r="X2031" s="68">
        <v>936</v>
      </c>
      <c r="AW2031" s="44"/>
      <c r="AX2031" s="44"/>
      <c r="AY2031" s="44"/>
      <c r="BA2031" s="44"/>
      <c r="BB2031" s="44"/>
      <c r="BC2031" s="44"/>
      <c r="BD2031" s="44"/>
      <c r="BE2031" s="44"/>
      <c r="BF2031" s="44"/>
      <c r="BG2031" s="44"/>
      <c r="BH2031" s="44"/>
      <c r="BI2031" s="44"/>
      <c r="BJ2031" s="44"/>
    </row>
    <row r="2032" spans="1:63" ht="12" customHeight="1" x14ac:dyDescent="0.15">
      <c r="A2032" s="1" t="s">
        <v>18876</v>
      </c>
      <c r="B2032" s="68">
        <v>21</v>
      </c>
      <c r="C2032" s="1" t="s">
        <v>20</v>
      </c>
      <c r="D2032" s="1" t="s">
        <v>37</v>
      </c>
      <c r="E2032" s="1" t="s">
        <v>18932</v>
      </c>
      <c r="F2032" s="69">
        <v>42297</v>
      </c>
      <c r="G2032" s="1" t="s">
        <v>18877</v>
      </c>
      <c r="H2032" s="1" t="s">
        <v>18878</v>
      </c>
      <c r="I2032" s="1" t="s">
        <v>370</v>
      </c>
      <c r="J2032" s="4" t="s">
        <v>20132</v>
      </c>
      <c r="K2032" s="1" t="s">
        <v>20133</v>
      </c>
      <c r="L2032" s="1" t="s">
        <v>18879</v>
      </c>
      <c r="M2032" s="1" t="s">
        <v>27</v>
      </c>
      <c r="N2032" s="1" t="s">
        <v>20134</v>
      </c>
      <c r="O2032" s="1" t="s">
        <v>400</v>
      </c>
      <c r="P2032" s="1" t="s">
        <v>401</v>
      </c>
      <c r="Q2032" s="63" t="s">
        <v>20135</v>
      </c>
      <c r="R2032" s="1" t="s">
        <v>100</v>
      </c>
      <c r="S2032" s="1" t="s">
        <v>28</v>
      </c>
      <c r="T2032" s="68" t="s">
        <v>27756</v>
      </c>
      <c r="U2032" s="68" t="s">
        <v>29438</v>
      </c>
      <c r="V2032" s="68" t="s">
        <v>29440</v>
      </c>
      <c r="W2032" s="68" t="s">
        <v>100</v>
      </c>
      <c r="X2032" s="68">
        <v>939</v>
      </c>
      <c r="AW2032" s="44"/>
      <c r="BA2032" s="44"/>
      <c r="BB2032" s="44"/>
      <c r="BK2032" s="11"/>
    </row>
    <row r="2033" spans="1:63" ht="12" customHeight="1" x14ac:dyDescent="0.15">
      <c r="A2033" s="1" t="s">
        <v>18880</v>
      </c>
      <c r="B2033" s="68">
        <v>30</v>
      </c>
      <c r="C2033" s="1" t="s">
        <v>20</v>
      </c>
      <c r="D2033" s="1" t="s">
        <v>37</v>
      </c>
      <c r="E2033" s="1" t="s">
        <v>18933</v>
      </c>
      <c r="F2033" s="69">
        <v>42297</v>
      </c>
      <c r="G2033" s="1" t="s">
        <v>20128</v>
      </c>
      <c r="H2033" s="1" t="s">
        <v>18881</v>
      </c>
      <c r="I2033" s="1" t="s">
        <v>25</v>
      </c>
      <c r="J2033" s="4" t="s">
        <v>20129</v>
      </c>
      <c r="K2033" s="1" t="s">
        <v>17686</v>
      </c>
      <c r="L2033" s="1" t="s">
        <v>17687</v>
      </c>
      <c r="M2033" s="1" t="s">
        <v>27</v>
      </c>
      <c r="N2033" s="1" t="s">
        <v>20130</v>
      </c>
      <c r="O2033" s="1" t="s">
        <v>400</v>
      </c>
      <c r="P2033" s="1" t="s">
        <v>401</v>
      </c>
      <c r="Q2033" s="63" t="s">
        <v>20131</v>
      </c>
      <c r="R2033" s="1" t="s">
        <v>100</v>
      </c>
      <c r="S2033" s="1" t="s">
        <v>28</v>
      </c>
      <c r="T2033" s="68" t="s">
        <v>29493</v>
      </c>
      <c r="U2033" s="68" t="s">
        <v>29438</v>
      </c>
      <c r="V2033" s="68" t="s">
        <v>29439</v>
      </c>
      <c r="W2033" s="68" t="s">
        <v>100</v>
      </c>
      <c r="X2033" s="68">
        <v>938</v>
      </c>
      <c r="AW2033" s="11"/>
      <c r="AZ2033" s="44"/>
      <c r="BA2033" s="44"/>
      <c r="BB2033" s="44"/>
      <c r="BK2033" s="11"/>
    </row>
    <row r="2034" spans="1:63" ht="12" customHeight="1" x14ac:dyDescent="0.15">
      <c r="A2034" s="1" t="s">
        <v>18886</v>
      </c>
      <c r="B2034" s="68">
        <v>30</v>
      </c>
      <c r="C2034" s="1" t="s">
        <v>20</v>
      </c>
      <c r="D2034" s="1" t="s">
        <v>37</v>
      </c>
      <c r="E2034" s="1" t="s">
        <v>18935</v>
      </c>
      <c r="F2034" s="69">
        <v>42297</v>
      </c>
      <c r="G2034" s="1" t="s">
        <v>20137</v>
      </c>
      <c r="H2034" s="1" t="s">
        <v>890</v>
      </c>
      <c r="I2034" s="1" t="s">
        <v>315</v>
      </c>
      <c r="J2034" s="4" t="s">
        <v>20138</v>
      </c>
      <c r="K2034" s="1" t="s">
        <v>1778</v>
      </c>
      <c r="L2034" s="1" t="s">
        <v>18887</v>
      </c>
      <c r="M2034" s="1" t="s">
        <v>27</v>
      </c>
      <c r="N2034" s="1" t="s">
        <v>20139</v>
      </c>
      <c r="O2034" s="1" t="s">
        <v>400</v>
      </c>
      <c r="P2034" s="1" t="s">
        <v>401</v>
      </c>
      <c r="Q2034" s="63" t="s">
        <v>20140</v>
      </c>
      <c r="R2034" s="1" t="s">
        <v>100</v>
      </c>
      <c r="S2034" s="1" t="s">
        <v>18</v>
      </c>
      <c r="T2034" s="68" t="s">
        <v>29612</v>
      </c>
      <c r="U2034" s="68" t="s">
        <v>29438</v>
      </c>
      <c r="V2034" s="68" t="s">
        <v>29439</v>
      </c>
      <c r="W2034" s="68" t="s">
        <v>100</v>
      </c>
      <c r="X2034" s="68">
        <v>935</v>
      </c>
      <c r="AW2034" s="11"/>
      <c r="BA2034" s="44"/>
      <c r="BB2034" s="44"/>
    </row>
    <row r="2035" spans="1:63" ht="12" customHeight="1" x14ac:dyDescent="0.15">
      <c r="A2035" s="1" t="s">
        <v>18794</v>
      </c>
      <c r="B2035" s="68">
        <v>40</v>
      </c>
      <c r="C2035" s="1" t="s">
        <v>20</v>
      </c>
      <c r="D2035" s="1" t="s">
        <v>48</v>
      </c>
      <c r="E2035" s="1" t="s">
        <v>18947</v>
      </c>
      <c r="F2035" s="69">
        <v>42297</v>
      </c>
      <c r="H2035" s="1" t="s">
        <v>18796</v>
      </c>
      <c r="I2035" s="1" t="s">
        <v>195</v>
      </c>
      <c r="L2035" s="1" t="s">
        <v>18797</v>
      </c>
      <c r="M2035" s="1" t="s">
        <v>27</v>
      </c>
      <c r="N2035" s="1" t="s">
        <v>21094</v>
      </c>
      <c r="P2035" s="1" t="s">
        <v>401</v>
      </c>
      <c r="Q2035" s="63" t="s">
        <v>18795</v>
      </c>
      <c r="R2035" s="1" t="s">
        <v>29</v>
      </c>
      <c r="S2035" s="1" t="s">
        <v>28</v>
      </c>
      <c r="T2035" s="68" t="s">
        <v>27756</v>
      </c>
      <c r="U2035" s="68" t="s">
        <v>29438</v>
      </c>
      <c r="V2035" s="68" t="s">
        <v>29439</v>
      </c>
      <c r="W2035" s="68" t="s">
        <v>100</v>
      </c>
      <c r="X2035" s="68">
        <v>937</v>
      </c>
      <c r="AW2035" s="44"/>
      <c r="BK2035" s="11"/>
    </row>
    <row r="2036" spans="1:63" ht="12" customHeight="1" x14ac:dyDescent="0.15">
      <c r="A2036" s="1" t="s">
        <v>18882</v>
      </c>
      <c r="B2036" s="1">
        <v>47</v>
      </c>
      <c r="C2036" s="1" t="s">
        <v>20</v>
      </c>
      <c r="D2036" s="1" t="s">
        <v>37</v>
      </c>
      <c r="E2036" s="1" t="s">
        <v>18934</v>
      </c>
      <c r="F2036" s="72">
        <v>42297</v>
      </c>
      <c r="G2036" s="1" t="s">
        <v>18884</v>
      </c>
      <c r="H2036" s="1" t="s">
        <v>18885</v>
      </c>
      <c r="I2036" s="1" t="s">
        <v>363</v>
      </c>
      <c r="L2036" s="1" t="s">
        <v>4154</v>
      </c>
      <c r="M2036" s="1" t="s">
        <v>391</v>
      </c>
      <c r="P2036" s="1" t="s">
        <v>401</v>
      </c>
      <c r="Q2036" s="63" t="s">
        <v>18883</v>
      </c>
      <c r="R2036" s="1" t="s">
        <v>29</v>
      </c>
      <c r="S2036" s="1" t="s">
        <v>18</v>
      </c>
      <c r="AW2036" s="11"/>
    </row>
    <row r="2037" spans="1:63" ht="12" customHeight="1" x14ac:dyDescent="0.15">
      <c r="A2037" s="1" t="s">
        <v>20065</v>
      </c>
      <c r="B2037" s="68">
        <v>53</v>
      </c>
      <c r="C2037" s="1" t="s">
        <v>20</v>
      </c>
      <c r="D2037" s="1" t="s">
        <v>85</v>
      </c>
      <c r="F2037" s="69">
        <v>42296</v>
      </c>
      <c r="G2037" s="1" t="s">
        <v>18827</v>
      </c>
      <c r="H2037" s="1" t="s">
        <v>98</v>
      </c>
      <c r="I2037" s="1" t="s">
        <v>45</v>
      </c>
      <c r="J2037" s="4" t="s">
        <v>20141</v>
      </c>
      <c r="K2037" s="1" t="s">
        <v>98</v>
      </c>
      <c r="L2037" s="11" t="s">
        <v>414</v>
      </c>
      <c r="M2037" s="1" t="s">
        <v>27</v>
      </c>
      <c r="N2037" s="1" t="s">
        <v>20142</v>
      </c>
      <c r="O2037" s="1" t="s">
        <v>400</v>
      </c>
      <c r="P2037" s="1" t="s">
        <v>401</v>
      </c>
      <c r="Q2037" s="63" t="s">
        <v>20143</v>
      </c>
      <c r="R2037" s="1" t="s">
        <v>29</v>
      </c>
      <c r="S2037" s="1" t="s">
        <v>379</v>
      </c>
      <c r="T2037" s="68" t="s">
        <v>379</v>
      </c>
      <c r="U2037" s="68" t="s">
        <v>29438</v>
      </c>
      <c r="V2037" s="68" t="s">
        <v>29439</v>
      </c>
      <c r="W2037" s="68" t="s">
        <v>100</v>
      </c>
      <c r="X2037" s="68">
        <v>934</v>
      </c>
      <c r="AX2037" s="44"/>
      <c r="AY2037" s="44"/>
      <c r="BC2037" s="44"/>
      <c r="BD2037" s="44"/>
      <c r="BE2037" s="44"/>
      <c r="BF2037" s="44"/>
      <c r="BG2037" s="44"/>
      <c r="BH2037" s="44"/>
      <c r="BI2037" s="44"/>
      <c r="BJ2037" s="44"/>
      <c r="BK2037" s="44"/>
    </row>
    <row r="2038" spans="1:63" ht="12" customHeight="1" x14ac:dyDescent="0.15">
      <c r="A2038" s="1" t="s">
        <v>18757</v>
      </c>
      <c r="B2038" s="68">
        <v>31</v>
      </c>
      <c r="C2038" s="1" t="s">
        <v>20</v>
      </c>
      <c r="D2038" s="1" t="s">
        <v>85</v>
      </c>
      <c r="E2038" s="1" t="s">
        <v>18970</v>
      </c>
      <c r="F2038" s="69">
        <v>42295</v>
      </c>
      <c r="G2038" s="1" t="s">
        <v>20144</v>
      </c>
      <c r="H2038" s="1" t="s">
        <v>5318</v>
      </c>
      <c r="I2038" s="1" t="s">
        <v>62</v>
      </c>
      <c r="J2038" s="4" t="s">
        <v>5529</v>
      </c>
      <c r="K2038" s="1" t="s">
        <v>5318</v>
      </c>
      <c r="L2038" s="1" t="s">
        <v>5530</v>
      </c>
      <c r="M2038" s="1" t="s">
        <v>27</v>
      </c>
      <c r="N2038" s="1" t="s">
        <v>18996</v>
      </c>
      <c r="O2038" s="1" t="s">
        <v>25476</v>
      </c>
      <c r="P2038" s="1" t="s">
        <v>1159</v>
      </c>
      <c r="Q2038" s="63" t="s">
        <v>20145</v>
      </c>
      <c r="R2038" s="1" t="s">
        <v>100</v>
      </c>
      <c r="S2038" s="1" t="s">
        <v>28</v>
      </c>
      <c r="T2038" s="68" t="s">
        <v>27756</v>
      </c>
      <c r="U2038" s="68" t="s">
        <v>29441</v>
      </c>
      <c r="V2038" s="68" t="s">
        <v>29439</v>
      </c>
      <c r="W2038" s="68" t="s">
        <v>100</v>
      </c>
      <c r="X2038" s="68">
        <v>931</v>
      </c>
      <c r="AW2038" s="11"/>
      <c r="AX2038" s="11"/>
      <c r="AY2038" s="11"/>
      <c r="BA2038" s="44"/>
      <c r="BB2038" s="44"/>
      <c r="BC2038" s="44"/>
      <c r="BD2038" s="44"/>
      <c r="BE2038" s="44"/>
      <c r="BF2038" s="44"/>
      <c r="BG2038" s="44"/>
      <c r="BH2038" s="44"/>
      <c r="BI2038" s="44"/>
      <c r="BJ2038" s="44"/>
      <c r="BK2038" s="11"/>
    </row>
    <row r="2039" spans="1:63" ht="12" customHeight="1" x14ac:dyDescent="0.2">
      <c r="A2039" s="1" t="s">
        <v>18890</v>
      </c>
      <c r="B2039" s="68">
        <v>28</v>
      </c>
      <c r="C2039" s="1" t="s">
        <v>20</v>
      </c>
      <c r="D2039" s="1" t="s">
        <v>37</v>
      </c>
      <c r="E2039" s="1" t="s">
        <v>18937</v>
      </c>
      <c r="F2039" s="69">
        <v>42295</v>
      </c>
      <c r="G2039" s="1" t="s">
        <v>24419</v>
      </c>
      <c r="H2039" s="1" t="s">
        <v>200</v>
      </c>
      <c r="I2039" s="1" t="s">
        <v>45</v>
      </c>
      <c r="J2039" s="4" t="s">
        <v>20146</v>
      </c>
      <c r="K2039" s="1" t="s">
        <v>200</v>
      </c>
      <c r="L2039" s="1" t="s">
        <v>201</v>
      </c>
      <c r="M2039" s="1" t="s">
        <v>27</v>
      </c>
      <c r="N2039" s="1" t="s">
        <v>20147</v>
      </c>
      <c r="O2039" s="1" t="s">
        <v>400</v>
      </c>
      <c r="P2039" s="1" t="s">
        <v>401</v>
      </c>
      <c r="Q2039" s="63" t="s">
        <v>20148</v>
      </c>
      <c r="R2039" s="68" t="s">
        <v>555</v>
      </c>
      <c r="S2039" s="11" t="s">
        <v>28</v>
      </c>
      <c r="T2039" s="68" t="s">
        <v>29493</v>
      </c>
      <c r="U2039" s="68" t="s">
        <v>29438</v>
      </c>
      <c r="V2039" s="68" t="s">
        <v>29439</v>
      </c>
      <c r="W2039" s="68" t="s">
        <v>100</v>
      </c>
      <c r="X2039" s="68">
        <v>932</v>
      </c>
      <c r="AW2039" s="44"/>
      <c r="BA2039" s="70"/>
      <c r="BB2039" s="44"/>
      <c r="BK2039" s="11"/>
    </row>
    <row r="2040" spans="1:63" ht="12" customHeight="1" x14ac:dyDescent="0.15">
      <c r="A2040" s="1" t="s">
        <v>18888</v>
      </c>
      <c r="B2040" s="1">
        <v>50</v>
      </c>
      <c r="C2040" s="1" t="s">
        <v>20</v>
      </c>
      <c r="D2040" s="1" t="s">
        <v>37</v>
      </c>
      <c r="E2040" s="1" t="s">
        <v>18936</v>
      </c>
      <c r="F2040" s="72">
        <v>42295</v>
      </c>
      <c r="H2040" s="1" t="s">
        <v>15417</v>
      </c>
      <c r="I2040" s="1" t="s">
        <v>133</v>
      </c>
      <c r="K2040" s="1" t="s">
        <v>20924</v>
      </c>
      <c r="L2040" s="1" t="s">
        <v>20921</v>
      </c>
      <c r="M2040" s="1" t="s">
        <v>27</v>
      </c>
      <c r="P2040" s="1" t="s">
        <v>401</v>
      </c>
      <c r="Q2040" s="63" t="s">
        <v>18889</v>
      </c>
      <c r="R2040" s="1" t="s">
        <v>29</v>
      </c>
      <c r="S2040" s="1" t="s">
        <v>28</v>
      </c>
      <c r="T2040" s="68"/>
      <c r="U2040" s="68"/>
      <c r="V2040" s="68"/>
      <c r="W2040" s="68"/>
      <c r="X2040" s="68"/>
      <c r="BK2040" s="11"/>
    </row>
    <row r="2041" spans="1:63" ht="12" customHeight="1" x14ac:dyDescent="0.15">
      <c r="A2041" s="1" t="s">
        <v>18798</v>
      </c>
      <c r="B2041" s="1">
        <v>37</v>
      </c>
      <c r="C2041" s="1" t="s">
        <v>20</v>
      </c>
      <c r="D2041" s="1" t="s">
        <v>48</v>
      </c>
      <c r="E2041" s="1" t="s">
        <v>18921</v>
      </c>
      <c r="F2041" s="72">
        <v>42295</v>
      </c>
      <c r="H2041" s="1" t="s">
        <v>18104</v>
      </c>
      <c r="I2041" s="1" t="s">
        <v>73</v>
      </c>
      <c r="L2041" s="1" t="s">
        <v>18106</v>
      </c>
      <c r="M2041" s="1" t="s">
        <v>391</v>
      </c>
      <c r="P2041" s="1" t="s">
        <v>401</v>
      </c>
      <c r="Q2041" s="63" t="s">
        <v>20920</v>
      </c>
      <c r="R2041" s="1" t="s">
        <v>29</v>
      </c>
      <c r="S2041" s="1" t="s">
        <v>18</v>
      </c>
      <c r="AW2041" s="11"/>
    </row>
    <row r="2042" spans="1:63" ht="12" customHeight="1" x14ac:dyDescent="0.15">
      <c r="A2042" s="1" t="s">
        <v>18763</v>
      </c>
      <c r="B2042" s="1">
        <v>18</v>
      </c>
      <c r="C2042" s="1" t="s">
        <v>20</v>
      </c>
      <c r="D2042" s="1" t="s">
        <v>85</v>
      </c>
      <c r="E2042" s="1" t="s">
        <v>18957</v>
      </c>
      <c r="F2042" s="72">
        <v>42294</v>
      </c>
      <c r="G2042" s="1" t="s">
        <v>18765</v>
      </c>
      <c r="H2042" s="1" t="s">
        <v>874</v>
      </c>
      <c r="I2042" s="1" t="s">
        <v>244</v>
      </c>
      <c r="J2042" s="4" t="s">
        <v>18983</v>
      </c>
      <c r="K2042" s="1" t="s">
        <v>18984</v>
      </c>
      <c r="L2042" s="1" t="s">
        <v>875</v>
      </c>
      <c r="M2042" s="1" t="s">
        <v>27</v>
      </c>
      <c r="N2042" s="1" t="s">
        <v>18994</v>
      </c>
      <c r="O2042" s="1" t="s">
        <v>29641</v>
      </c>
      <c r="P2042" s="1" t="s">
        <v>29642</v>
      </c>
      <c r="Q2042" s="63" t="s">
        <v>18764</v>
      </c>
      <c r="R2042" s="1" t="s">
        <v>100</v>
      </c>
      <c r="S2042" s="1" t="s">
        <v>18</v>
      </c>
      <c r="T2042" s="68"/>
      <c r="U2042" s="68"/>
      <c r="V2042" s="68"/>
      <c r="W2042" s="68" t="s">
        <v>29622</v>
      </c>
      <c r="X2042" s="68"/>
      <c r="AX2042" s="44"/>
      <c r="AY2042" s="44"/>
      <c r="BC2042" s="44"/>
      <c r="BD2042" s="44"/>
      <c r="BE2042" s="44"/>
      <c r="BF2042" s="44"/>
      <c r="BG2042" s="44"/>
      <c r="BH2042" s="44"/>
      <c r="BI2042" s="44"/>
      <c r="BJ2042" s="44"/>
    </row>
    <row r="2043" spans="1:63" ht="12" customHeight="1" x14ac:dyDescent="0.15">
      <c r="A2043" s="1" t="s">
        <v>18799</v>
      </c>
      <c r="B2043" s="68">
        <v>22</v>
      </c>
      <c r="C2043" s="1" t="s">
        <v>20</v>
      </c>
      <c r="D2043" s="1" t="s">
        <v>48</v>
      </c>
      <c r="E2043" s="1" t="s">
        <v>18920</v>
      </c>
      <c r="F2043" s="69">
        <v>42294</v>
      </c>
      <c r="G2043" s="1" t="s">
        <v>18800</v>
      </c>
      <c r="H2043" s="1" t="s">
        <v>10247</v>
      </c>
      <c r="I2043" s="1" t="s">
        <v>45</v>
      </c>
      <c r="J2043" s="4" t="s">
        <v>3203</v>
      </c>
      <c r="K2043" s="1" t="s">
        <v>3204</v>
      </c>
      <c r="L2043" s="1" t="s">
        <v>10249</v>
      </c>
      <c r="M2043" s="1" t="s">
        <v>27</v>
      </c>
      <c r="N2043" s="1" t="s">
        <v>20151</v>
      </c>
      <c r="O2043" s="1" t="s">
        <v>400</v>
      </c>
      <c r="P2043" s="1" t="s">
        <v>401</v>
      </c>
      <c r="Q2043" s="63" t="s">
        <v>20152</v>
      </c>
      <c r="R2043" s="1" t="s">
        <v>100</v>
      </c>
      <c r="S2043" s="1" t="s">
        <v>18</v>
      </c>
      <c r="T2043" s="68" t="s">
        <v>29612</v>
      </c>
      <c r="U2043" s="68" t="s">
        <v>29438</v>
      </c>
      <c r="V2043" s="68" t="s">
        <v>29439</v>
      </c>
      <c r="W2043" s="68" t="s">
        <v>100</v>
      </c>
      <c r="X2043" s="68">
        <v>929</v>
      </c>
      <c r="AW2043" s="44"/>
      <c r="BA2043" s="44"/>
      <c r="BB2043" s="44"/>
    </row>
    <row r="2044" spans="1:63" ht="12" customHeight="1" x14ac:dyDescent="0.2">
      <c r="A2044" s="1" t="s">
        <v>18758</v>
      </c>
      <c r="B2044" s="68">
        <v>28</v>
      </c>
      <c r="C2044" s="1" t="s">
        <v>20</v>
      </c>
      <c r="D2044" s="1" t="s">
        <v>85</v>
      </c>
      <c r="E2044" s="1" t="s">
        <v>18971</v>
      </c>
      <c r="F2044" s="69">
        <v>42294</v>
      </c>
      <c r="G2044" s="1" t="s">
        <v>20149</v>
      </c>
      <c r="H2044" s="1" t="s">
        <v>1604</v>
      </c>
      <c r="I2044" s="1" t="s">
        <v>404</v>
      </c>
      <c r="J2044" s="4" t="s">
        <v>18985</v>
      </c>
      <c r="K2044" s="1" t="s">
        <v>1604</v>
      </c>
      <c r="L2044" s="1" t="s">
        <v>18759</v>
      </c>
      <c r="M2044" s="68" t="s">
        <v>5411</v>
      </c>
      <c r="N2044" s="1" t="s">
        <v>18995</v>
      </c>
      <c r="O2044" s="1" t="s">
        <v>400</v>
      </c>
      <c r="P2044" s="1" t="s">
        <v>401</v>
      </c>
      <c r="Q2044" s="63" t="s">
        <v>20150</v>
      </c>
      <c r="R2044" s="68" t="s">
        <v>555</v>
      </c>
      <c r="S2044" s="1" t="s">
        <v>28</v>
      </c>
      <c r="T2044" s="68" t="s">
        <v>29493</v>
      </c>
      <c r="U2044" s="68" t="s">
        <v>29436</v>
      </c>
      <c r="V2044" s="68" t="s">
        <v>29439</v>
      </c>
      <c r="W2044" s="68" t="s">
        <v>100</v>
      </c>
      <c r="X2044" s="68">
        <v>930</v>
      </c>
      <c r="AW2044" s="44"/>
      <c r="AX2044" s="11"/>
      <c r="AY2044" s="11"/>
      <c r="BA2044" s="70"/>
      <c r="BB2044" s="70"/>
      <c r="BC2044" s="44"/>
      <c r="BD2044" s="44"/>
      <c r="BE2044" s="44"/>
      <c r="BF2044" s="44"/>
      <c r="BG2044" s="44"/>
      <c r="BH2044" s="44"/>
      <c r="BI2044" s="44"/>
      <c r="BJ2044" s="44"/>
    </row>
    <row r="2045" spans="1:63" ht="12" customHeight="1" x14ac:dyDescent="0.15">
      <c r="A2045" s="1" t="s">
        <v>18760</v>
      </c>
      <c r="B2045" s="1">
        <v>30</v>
      </c>
      <c r="C2045" s="1" t="s">
        <v>20</v>
      </c>
      <c r="D2045" s="1" t="s">
        <v>85</v>
      </c>
      <c r="E2045" s="1" t="s">
        <v>18972</v>
      </c>
      <c r="F2045" s="72">
        <v>42294</v>
      </c>
      <c r="G2045" s="1" t="s">
        <v>18762</v>
      </c>
      <c r="H2045" s="1" t="s">
        <v>6031</v>
      </c>
      <c r="I2045" s="1" t="s">
        <v>45</v>
      </c>
      <c r="L2045" s="1" t="s">
        <v>19413</v>
      </c>
      <c r="M2045" s="1" t="s">
        <v>27</v>
      </c>
      <c r="N2045" s="1" t="s">
        <v>20778</v>
      </c>
      <c r="O2045" s="1" t="s">
        <v>16787</v>
      </c>
      <c r="P2045" s="1" t="s">
        <v>401</v>
      </c>
      <c r="Q2045" s="63" t="s">
        <v>18761</v>
      </c>
      <c r="R2045" s="1" t="s">
        <v>29</v>
      </c>
      <c r="S2045" s="1" t="s">
        <v>18</v>
      </c>
      <c r="T2045" s="68"/>
      <c r="U2045" s="68"/>
      <c r="V2045" s="68"/>
      <c r="W2045" s="68"/>
      <c r="X2045" s="68"/>
      <c r="AX2045" s="44"/>
      <c r="AY2045" s="44"/>
      <c r="BC2045" s="44"/>
      <c r="BD2045" s="44"/>
      <c r="BE2045" s="44"/>
      <c r="BF2045" s="44"/>
      <c r="BG2045" s="44"/>
      <c r="BH2045" s="44"/>
      <c r="BI2045" s="44"/>
      <c r="BJ2045" s="44"/>
    </row>
    <row r="2046" spans="1:63" ht="12" customHeight="1" x14ac:dyDescent="0.15">
      <c r="A2046" s="1" t="s">
        <v>18801</v>
      </c>
      <c r="B2046" s="68">
        <v>27</v>
      </c>
      <c r="C2046" s="1" t="s">
        <v>20</v>
      </c>
      <c r="D2046" s="1" t="s">
        <v>48</v>
      </c>
      <c r="F2046" s="69">
        <v>42293</v>
      </c>
      <c r="G2046" s="1" t="s">
        <v>24420</v>
      </c>
      <c r="H2046" s="1" t="s">
        <v>15803</v>
      </c>
      <c r="I2046" s="1" t="s">
        <v>45</v>
      </c>
      <c r="J2046" s="4" t="s">
        <v>15804</v>
      </c>
      <c r="K2046" s="1" t="s">
        <v>98</v>
      </c>
      <c r="L2046" s="11" t="s">
        <v>414</v>
      </c>
      <c r="M2046" s="1" t="s">
        <v>27</v>
      </c>
      <c r="N2046" s="1" t="s">
        <v>20153</v>
      </c>
      <c r="O2046" s="1" t="s">
        <v>400</v>
      </c>
      <c r="P2046" s="1" t="s">
        <v>401</v>
      </c>
      <c r="Q2046" s="63" t="s">
        <v>20154</v>
      </c>
      <c r="R2046" s="1" t="s">
        <v>100</v>
      </c>
      <c r="S2046" s="1" t="s">
        <v>18</v>
      </c>
      <c r="T2046" s="68" t="s">
        <v>28345</v>
      </c>
      <c r="U2046" s="68" t="s">
        <v>29438</v>
      </c>
      <c r="V2046" s="68" t="s">
        <v>29439</v>
      </c>
      <c r="W2046" s="68" t="s">
        <v>100</v>
      </c>
      <c r="X2046" s="68">
        <v>924</v>
      </c>
      <c r="AW2046" s="44"/>
      <c r="BA2046" s="44"/>
      <c r="BB2046" s="44"/>
    </row>
    <row r="2047" spans="1:63" ht="12" customHeight="1" x14ac:dyDescent="0.15">
      <c r="A2047" s="1" t="s">
        <v>18766</v>
      </c>
      <c r="B2047" s="68">
        <v>33</v>
      </c>
      <c r="C2047" s="1" t="s">
        <v>20</v>
      </c>
      <c r="D2047" s="1" t="s">
        <v>85</v>
      </c>
      <c r="E2047" s="1" t="s">
        <v>18956</v>
      </c>
      <c r="F2047" s="69">
        <v>42293</v>
      </c>
      <c r="G2047" s="1" t="s">
        <v>18767</v>
      </c>
      <c r="H2047" s="1" t="s">
        <v>1287</v>
      </c>
      <c r="I2047" s="1" t="s">
        <v>669</v>
      </c>
      <c r="J2047" s="4" t="s">
        <v>18982</v>
      </c>
      <c r="K2047" s="1" t="s">
        <v>3000</v>
      </c>
      <c r="L2047" s="1" t="s">
        <v>3402</v>
      </c>
      <c r="M2047" s="1" t="s">
        <v>27</v>
      </c>
      <c r="N2047" s="1" t="s">
        <v>18993</v>
      </c>
      <c r="O2047" s="1" t="s">
        <v>400</v>
      </c>
      <c r="P2047" s="1" t="s">
        <v>401</v>
      </c>
      <c r="Q2047" s="63" t="s">
        <v>20155</v>
      </c>
      <c r="R2047" s="1" t="s">
        <v>100</v>
      </c>
      <c r="S2047" s="1" t="s">
        <v>35</v>
      </c>
      <c r="T2047" s="68" t="s">
        <v>29441</v>
      </c>
      <c r="U2047" s="68" t="s">
        <v>29441</v>
      </c>
      <c r="V2047" s="68" t="s">
        <v>29440</v>
      </c>
      <c r="W2047" s="68" t="s">
        <v>100</v>
      </c>
      <c r="X2047" s="68">
        <v>927</v>
      </c>
      <c r="AW2047" s="11"/>
      <c r="AX2047" s="11"/>
      <c r="AY2047" s="11"/>
      <c r="BA2047" s="44"/>
      <c r="BB2047" s="44"/>
      <c r="BC2047" s="44"/>
      <c r="BD2047" s="44"/>
      <c r="BE2047" s="44"/>
      <c r="BF2047" s="44"/>
      <c r="BG2047" s="44"/>
      <c r="BH2047" s="44"/>
      <c r="BI2047" s="44"/>
      <c r="BJ2047" s="44"/>
    </row>
    <row r="2048" spans="1:63" ht="12" customHeight="1" x14ac:dyDescent="0.15">
      <c r="A2048" s="1" t="s">
        <v>18828</v>
      </c>
      <c r="B2048" s="68">
        <v>45</v>
      </c>
      <c r="C2048" s="1" t="s">
        <v>20</v>
      </c>
      <c r="D2048" s="1" t="s">
        <v>30</v>
      </c>
      <c r="F2048" s="69">
        <v>42293</v>
      </c>
      <c r="G2048" s="44" t="s">
        <v>20915</v>
      </c>
      <c r="H2048" s="44" t="s">
        <v>20916</v>
      </c>
      <c r="I2048" s="44" t="s">
        <v>173</v>
      </c>
      <c r="J2048" s="43"/>
      <c r="K2048" s="1" t="s">
        <v>20918</v>
      </c>
      <c r="L2048" s="44" t="s">
        <v>20917</v>
      </c>
      <c r="M2048" s="1" t="s">
        <v>27</v>
      </c>
      <c r="N2048" s="1" t="s">
        <v>21096</v>
      </c>
      <c r="P2048" s="1" t="s">
        <v>401</v>
      </c>
      <c r="Q2048" s="63" t="s">
        <v>18829</v>
      </c>
      <c r="R2048" s="1" t="s">
        <v>29</v>
      </c>
      <c r="S2048" s="1" t="s">
        <v>28</v>
      </c>
      <c r="T2048" s="68" t="s">
        <v>27756</v>
      </c>
      <c r="U2048" s="68" t="s">
        <v>29438</v>
      </c>
      <c r="V2048" s="68" t="s">
        <v>29439</v>
      </c>
      <c r="W2048" s="68" t="s">
        <v>100</v>
      </c>
      <c r="X2048" s="68">
        <v>926</v>
      </c>
      <c r="BK2048" s="11"/>
    </row>
    <row r="2049" spans="1:63" ht="12" customHeight="1" x14ac:dyDescent="0.15">
      <c r="A2049" s="1" t="s">
        <v>18830</v>
      </c>
      <c r="B2049" s="1">
        <v>27</v>
      </c>
      <c r="C2049" s="1" t="s">
        <v>20</v>
      </c>
      <c r="D2049" s="1" t="s">
        <v>37</v>
      </c>
      <c r="F2049" s="72">
        <v>42293</v>
      </c>
      <c r="G2049" s="1" t="s">
        <v>20926</v>
      </c>
      <c r="H2049" s="1" t="s">
        <v>20925</v>
      </c>
      <c r="I2049" s="1" t="s">
        <v>269</v>
      </c>
      <c r="K2049" s="1" t="s">
        <v>938</v>
      </c>
      <c r="L2049" s="1" t="s">
        <v>1629</v>
      </c>
      <c r="M2049" s="1" t="s">
        <v>27</v>
      </c>
      <c r="P2049" s="1" t="s">
        <v>401</v>
      </c>
      <c r="Q2049" s="63" t="s">
        <v>18831</v>
      </c>
      <c r="R2049" s="1" t="s">
        <v>29</v>
      </c>
      <c r="S2049" s="1" t="s">
        <v>28</v>
      </c>
      <c r="T2049" s="68"/>
      <c r="U2049" s="68"/>
      <c r="V2049" s="68"/>
      <c r="W2049" s="68"/>
      <c r="X2049" s="68"/>
      <c r="BK2049" s="11"/>
    </row>
    <row r="2050" spans="1:63" ht="12" customHeight="1" x14ac:dyDescent="0.15">
      <c r="A2050" s="1" t="s">
        <v>20747</v>
      </c>
      <c r="B2050" s="1">
        <v>27</v>
      </c>
      <c r="C2050" s="1" t="s">
        <v>20</v>
      </c>
      <c r="D2050" s="1" t="s">
        <v>37</v>
      </c>
      <c r="F2050" s="72">
        <v>42293</v>
      </c>
      <c r="G2050" s="1" t="s">
        <v>18833</v>
      </c>
      <c r="H2050" s="1" t="s">
        <v>723</v>
      </c>
      <c r="I2050" s="1" t="s">
        <v>73</v>
      </c>
      <c r="L2050" s="1" t="s">
        <v>724</v>
      </c>
      <c r="M2050" s="1" t="s">
        <v>27</v>
      </c>
      <c r="N2050" s="1" t="s">
        <v>21093</v>
      </c>
      <c r="P2050" s="1" t="s">
        <v>401</v>
      </c>
      <c r="Q2050" s="63" t="s">
        <v>18832</v>
      </c>
      <c r="R2050" s="1" t="s">
        <v>29</v>
      </c>
      <c r="S2050" s="1" t="s">
        <v>28</v>
      </c>
      <c r="T2050" s="68"/>
      <c r="U2050" s="68"/>
      <c r="V2050" s="68"/>
      <c r="W2050" s="68"/>
      <c r="X2050" s="68"/>
      <c r="BK2050" s="11"/>
    </row>
    <row r="2051" spans="1:63" ht="12" customHeight="1" x14ac:dyDescent="0.15">
      <c r="A2051" s="1" t="s">
        <v>18768</v>
      </c>
      <c r="B2051" s="68">
        <v>25</v>
      </c>
      <c r="C2051" s="1" t="s">
        <v>20</v>
      </c>
      <c r="D2051" s="1" t="s">
        <v>85</v>
      </c>
      <c r="E2051" s="1" t="s">
        <v>18955</v>
      </c>
      <c r="F2051" s="69">
        <v>42292</v>
      </c>
      <c r="G2051" s="1" t="s">
        <v>18769</v>
      </c>
      <c r="H2051" s="1" t="s">
        <v>1287</v>
      </c>
      <c r="I2051" s="1" t="s">
        <v>69</v>
      </c>
      <c r="J2051" s="4" t="s">
        <v>18981</v>
      </c>
      <c r="K2051" s="1" t="s">
        <v>1288</v>
      </c>
      <c r="L2051" s="1" t="s">
        <v>12562</v>
      </c>
      <c r="M2051" s="1" t="s">
        <v>27</v>
      </c>
      <c r="N2051" s="1" t="s">
        <v>18992</v>
      </c>
      <c r="O2051" s="1" t="s">
        <v>1010</v>
      </c>
      <c r="P2051" s="1" t="s">
        <v>401</v>
      </c>
      <c r="Q2051" s="63" t="s">
        <v>20159</v>
      </c>
      <c r="R2051" s="1" t="s">
        <v>100</v>
      </c>
      <c r="S2051" s="1" t="s">
        <v>28</v>
      </c>
      <c r="T2051" s="68" t="s">
        <v>27756</v>
      </c>
      <c r="U2051" s="68" t="s">
        <v>29438</v>
      </c>
      <c r="V2051" s="68" t="s">
        <v>29439</v>
      </c>
      <c r="W2051" s="68" t="s">
        <v>100</v>
      </c>
      <c r="X2051" s="68">
        <v>917</v>
      </c>
      <c r="AW2051" s="11"/>
      <c r="AX2051" s="44"/>
      <c r="AY2051" s="44"/>
      <c r="BA2051" s="44"/>
      <c r="BB2051" s="44"/>
      <c r="BC2051" s="44"/>
      <c r="BD2051" s="44"/>
      <c r="BE2051" s="44"/>
      <c r="BF2051" s="44"/>
      <c r="BG2051" s="44"/>
      <c r="BH2051" s="44"/>
      <c r="BI2051" s="44"/>
      <c r="BJ2051" s="44"/>
      <c r="BK2051" s="11"/>
    </row>
    <row r="2052" spans="1:63" ht="12" customHeight="1" x14ac:dyDescent="0.15">
      <c r="A2052" s="1" t="s">
        <v>18802</v>
      </c>
      <c r="B2052" s="68">
        <v>27</v>
      </c>
      <c r="C2052" s="1" t="s">
        <v>20</v>
      </c>
      <c r="D2052" s="1" t="s">
        <v>48</v>
      </c>
      <c r="F2052" s="69">
        <v>42292</v>
      </c>
      <c r="G2052" s="1" t="s">
        <v>18803</v>
      </c>
      <c r="H2052" s="1" t="s">
        <v>945</v>
      </c>
      <c r="I2052" s="1" t="s">
        <v>45</v>
      </c>
      <c r="J2052" s="4" t="s">
        <v>20156</v>
      </c>
      <c r="K2052" s="1" t="s">
        <v>945</v>
      </c>
      <c r="L2052" s="1" t="s">
        <v>946</v>
      </c>
      <c r="M2052" s="1" t="s">
        <v>27</v>
      </c>
      <c r="N2052" s="1" t="s">
        <v>20157</v>
      </c>
      <c r="O2052" s="1" t="s">
        <v>400</v>
      </c>
      <c r="P2052" s="1" t="s">
        <v>401</v>
      </c>
      <c r="Q2052" s="63" t="s">
        <v>20158</v>
      </c>
      <c r="R2052" s="1" t="s">
        <v>100</v>
      </c>
      <c r="S2052" s="1" t="s">
        <v>28</v>
      </c>
      <c r="T2052" s="68" t="s">
        <v>27756</v>
      </c>
      <c r="U2052" s="68" t="s">
        <v>29438</v>
      </c>
      <c r="V2052" s="68" t="s">
        <v>29439</v>
      </c>
      <c r="W2052" s="68" t="s">
        <v>100</v>
      </c>
      <c r="X2052" s="68">
        <v>922</v>
      </c>
      <c r="AW2052" s="44"/>
      <c r="BA2052" s="44"/>
      <c r="BB2052" s="44"/>
      <c r="BK2052" s="11"/>
    </row>
    <row r="2053" spans="1:63" ht="12" customHeight="1" x14ac:dyDescent="0.2">
      <c r="A2053" s="1" t="s">
        <v>18804</v>
      </c>
      <c r="B2053" s="68">
        <v>15</v>
      </c>
      <c r="C2053" s="1" t="s">
        <v>20</v>
      </c>
      <c r="D2053" s="1" t="s">
        <v>48</v>
      </c>
      <c r="E2053" s="1" t="s">
        <v>18919</v>
      </c>
      <c r="F2053" s="69">
        <v>42292</v>
      </c>
      <c r="G2053" s="1" t="s">
        <v>18806</v>
      </c>
      <c r="H2053" s="1" t="s">
        <v>1224</v>
      </c>
      <c r="I2053" s="1" t="s">
        <v>62</v>
      </c>
      <c r="J2053" s="4" t="s">
        <v>6980</v>
      </c>
      <c r="K2053" s="1" t="s">
        <v>161</v>
      </c>
      <c r="L2053" s="1" t="s">
        <v>162</v>
      </c>
      <c r="M2053" s="1" t="s">
        <v>27</v>
      </c>
      <c r="N2053" s="1" t="s">
        <v>19969</v>
      </c>
      <c r="O2053" s="1" t="s">
        <v>400</v>
      </c>
      <c r="P2053" s="1" t="s">
        <v>401</v>
      </c>
      <c r="Q2053" s="63" t="s">
        <v>18805</v>
      </c>
      <c r="R2053" s="1" t="s">
        <v>100</v>
      </c>
      <c r="S2053" s="1" t="s">
        <v>28</v>
      </c>
      <c r="T2053" s="68" t="s">
        <v>27756</v>
      </c>
      <c r="U2053" s="68" t="s">
        <v>29438</v>
      </c>
      <c r="V2053" s="68" t="s">
        <v>29437</v>
      </c>
      <c r="W2053" s="68" t="s">
        <v>100</v>
      </c>
      <c r="X2053" s="68">
        <v>916</v>
      </c>
      <c r="AW2053" s="70"/>
      <c r="BA2053" s="44"/>
      <c r="BB2053" s="44"/>
      <c r="BK2053" s="11"/>
    </row>
    <row r="2054" spans="1:63" ht="12" customHeight="1" x14ac:dyDescent="0.15">
      <c r="A2054" s="1" t="s">
        <v>18892</v>
      </c>
      <c r="B2054" s="68">
        <v>31</v>
      </c>
      <c r="C2054" s="1" t="s">
        <v>20</v>
      </c>
      <c r="D2054" s="1" t="s">
        <v>37</v>
      </c>
      <c r="E2054" s="1" t="s">
        <v>18939</v>
      </c>
      <c r="F2054" s="69">
        <v>42292</v>
      </c>
      <c r="G2054" s="1" t="s">
        <v>20164</v>
      </c>
      <c r="H2054" s="1" t="s">
        <v>984</v>
      </c>
      <c r="I2054" s="1" t="s">
        <v>69</v>
      </c>
      <c r="J2054" s="4" t="s">
        <v>20165</v>
      </c>
      <c r="K2054" s="1" t="s">
        <v>105</v>
      </c>
      <c r="L2054" s="1" t="s">
        <v>20166</v>
      </c>
      <c r="M2054" s="1" t="s">
        <v>27</v>
      </c>
      <c r="N2054" s="1" t="s">
        <v>20167</v>
      </c>
      <c r="O2054" s="1" t="s">
        <v>400</v>
      </c>
      <c r="P2054" s="1" t="s">
        <v>401</v>
      </c>
      <c r="Q2054" s="63" t="s">
        <v>20168</v>
      </c>
      <c r="R2054" s="1" t="s">
        <v>100</v>
      </c>
      <c r="S2054" s="11" t="s">
        <v>18</v>
      </c>
      <c r="T2054" s="68" t="s">
        <v>29612</v>
      </c>
      <c r="U2054" s="68" t="s">
        <v>29438</v>
      </c>
      <c r="V2054" s="68" t="s">
        <v>29437</v>
      </c>
      <c r="W2054" s="68" t="s">
        <v>100</v>
      </c>
      <c r="X2054" s="68">
        <v>920</v>
      </c>
      <c r="AW2054" s="11"/>
      <c r="BA2054" s="44"/>
      <c r="BB2054" s="44"/>
    </row>
    <row r="2055" spans="1:63" ht="12" customHeight="1" x14ac:dyDescent="0.15">
      <c r="A2055" s="1" t="s">
        <v>18893</v>
      </c>
      <c r="B2055" s="68">
        <v>35</v>
      </c>
      <c r="C2055" s="1" t="s">
        <v>20</v>
      </c>
      <c r="D2055" s="1" t="s">
        <v>37</v>
      </c>
      <c r="E2055" s="1" t="s">
        <v>18940</v>
      </c>
      <c r="F2055" s="69">
        <v>42292</v>
      </c>
      <c r="G2055" s="1" t="s">
        <v>18894</v>
      </c>
      <c r="H2055" s="1" t="s">
        <v>18895</v>
      </c>
      <c r="I2055" s="1" t="s">
        <v>303</v>
      </c>
      <c r="J2055" s="4" t="s">
        <v>20169</v>
      </c>
      <c r="K2055" s="1" t="s">
        <v>1209</v>
      </c>
      <c r="L2055" s="1" t="s">
        <v>18896</v>
      </c>
      <c r="M2055" s="1" t="s">
        <v>27</v>
      </c>
      <c r="N2055" s="1" t="s">
        <v>20170</v>
      </c>
      <c r="O2055" s="1" t="s">
        <v>400</v>
      </c>
      <c r="P2055" s="1" t="s">
        <v>401</v>
      </c>
      <c r="Q2055" s="63" t="s">
        <v>20171</v>
      </c>
      <c r="R2055" s="1" t="s">
        <v>29</v>
      </c>
      <c r="S2055" s="1" t="s">
        <v>28</v>
      </c>
      <c r="T2055" s="68" t="s">
        <v>27756</v>
      </c>
      <c r="U2055" s="68" t="s">
        <v>29438</v>
      </c>
      <c r="V2055" s="68" t="s">
        <v>29440</v>
      </c>
      <c r="W2055" s="68" t="s">
        <v>100</v>
      </c>
      <c r="X2055" s="68">
        <v>921</v>
      </c>
      <c r="AW2055" s="11"/>
      <c r="BK2055" s="11"/>
    </row>
    <row r="2056" spans="1:63" ht="12" customHeight="1" x14ac:dyDescent="0.2">
      <c r="A2056" s="1" t="s">
        <v>18891</v>
      </c>
      <c r="B2056" s="68">
        <v>50</v>
      </c>
      <c r="C2056" s="1" t="s">
        <v>114</v>
      </c>
      <c r="D2056" s="1" t="s">
        <v>37</v>
      </c>
      <c r="E2056" s="1" t="s">
        <v>18938</v>
      </c>
      <c r="F2056" s="69">
        <v>42292</v>
      </c>
      <c r="G2056" s="1" t="s">
        <v>20160</v>
      </c>
      <c r="H2056" s="1" t="s">
        <v>655</v>
      </c>
      <c r="I2056" s="1" t="s">
        <v>269</v>
      </c>
      <c r="J2056" s="4" t="s">
        <v>20161</v>
      </c>
      <c r="K2056" s="1" t="s">
        <v>570</v>
      </c>
      <c r="L2056" s="1" t="s">
        <v>571</v>
      </c>
      <c r="M2056" s="1" t="s">
        <v>27</v>
      </c>
      <c r="N2056" s="1" t="s">
        <v>20162</v>
      </c>
      <c r="O2056" s="1" t="s">
        <v>1010</v>
      </c>
      <c r="P2056" s="1" t="s">
        <v>401</v>
      </c>
      <c r="Q2056" s="63" t="s">
        <v>20163</v>
      </c>
      <c r="R2056" s="68" t="s">
        <v>555</v>
      </c>
      <c r="S2056" s="1" t="s">
        <v>28</v>
      </c>
      <c r="T2056" s="68" t="s">
        <v>27756</v>
      </c>
      <c r="U2056" s="68" t="s">
        <v>29438</v>
      </c>
      <c r="V2056" s="68" t="s">
        <v>29437</v>
      </c>
      <c r="W2056" s="68" t="s">
        <v>100</v>
      </c>
      <c r="X2056" s="68">
        <v>919</v>
      </c>
      <c r="BA2056" s="70"/>
      <c r="BB2056" s="44"/>
      <c r="BK2056" s="11"/>
    </row>
    <row r="2057" spans="1:63" ht="12" customHeight="1" x14ac:dyDescent="0.2">
      <c r="A2057" s="1" t="s">
        <v>18770</v>
      </c>
      <c r="B2057" s="68">
        <v>20</v>
      </c>
      <c r="C2057" s="1" t="s">
        <v>20</v>
      </c>
      <c r="D2057" s="1" t="s">
        <v>85</v>
      </c>
      <c r="E2057" s="1" t="s">
        <v>18954</v>
      </c>
      <c r="F2057" s="69">
        <v>42292</v>
      </c>
      <c r="G2057" s="1" t="s">
        <v>18772</v>
      </c>
      <c r="H2057" s="1" t="s">
        <v>723</v>
      </c>
      <c r="I2057" s="1" t="s">
        <v>73</v>
      </c>
      <c r="L2057" s="1" t="s">
        <v>724</v>
      </c>
      <c r="M2057" s="1" t="s">
        <v>27</v>
      </c>
      <c r="N2057" s="1" t="s">
        <v>21092</v>
      </c>
      <c r="O2057" s="1" t="s">
        <v>400</v>
      </c>
      <c r="P2057" s="1" t="s">
        <v>401</v>
      </c>
      <c r="Q2057" s="63" t="s">
        <v>18771</v>
      </c>
      <c r="R2057" s="1" t="s">
        <v>29</v>
      </c>
      <c r="S2057" s="1" t="s">
        <v>28</v>
      </c>
      <c r="T2057" s="68" t="s">
        <v>27756</v>
      </c>
      <c r="U2057" s="68" t="s">
        <v>29438</v>
      </c>
      <c r="V2057" s="68" t="s">
        <v>29439</v>
      </c>
      <c r="W2057" s="68" t="s">
        <v>100</v>
      </c>
      <c r="X2057" s="68">
        <v>923</v>
      </c>
      <c r="AW2057" s="70"/>
      <c r="AX2057" s="70"/>
      <c r="AY2057" s="70"/>
      <c r="BC2057" s="44"/>
      <c r="BD2057" s="44"/>
      <c r="BE2057" s="44"/>
      <c r="BF2057" s="44"/>
      <c r="BG2057" s="44"/>
      <c r="BH2057" s="44"/>
      <c r="BI2057" s="44"/>
      <c r="BJ2057" s="44"/>
      <c r="BK2057" s="11"/>
    </row>
    <row r="2058" spans="1:63" ht="12" customHeight="1" x14ac:dyDescent="0.15">
      <c r="A2058" s="1" t="s">
        <v>18807</v>
      </c>
      <c r="B2058" s="1">
        <v>27</v>
      </c>
      <c r="C2058" s="1" t="s">
        <v>20</v>
      </c>
      <c r="D2058" s="1" t="s">
        <v>48</v>
      </c>
      <c r="E2058" s="1" t="s">
        <v>18918</v>
      </c>
      <c r="F2058" s="72">
        <v>42292</v>
      </c>
      <c r="G2058" s="1" t="s">
        <v>18809</v>
      </c>
      <c r="H2058" s="1" t="s">
        <v>10587</v>
      </c>
      <c r="I2058" s="1" t="s">
        <v>45</v>
      </c>
      <c r="K2058" s="1" t="s">
        <v>98</v>
      </c>
      <c r="L2058" s="18" t="s">
        <v>414</v>
      </c>
      <c r="M2058" s="1" t="s">
        <v>379</v>
      </c>
      <c r="P2058" s="1" t="s">
        <v>401</v>
      </c>
      <c r="Q2058" s="63" t="s">
        <v>18808</v>
      </c>
      <c r="R2058" s="1" t="s">
        <v>29</v>
      </c>
      <c r="S2058" s="1" t="s">
        <v>18</v>
      </c>
    </row>
    <row r="2059" spans="1:63" ht="12" customHeight="1" x14ac:dyDescent="0.15">
      <c r="A2059" s="1" t="s">
        <v>18897</v>
      </c>
      <c r="B2059" s="1">
        <v>54</v>
      </c>
      <c r="C2059" s="1" t="s">
        <v>20</v>
      </c>
      <c r="D2059" s="1" t="s">
        <v>37</v>
      </c>
      <c r="E2059" s="1" t="s">
        <v>18941</v>
      </c>
      <c r="F2059" s="72">
        <v>42292</v>
      </c>
      <c r="H2059" s="1" t="s">
        <v>5002</v>
      </c>
      <c r="I2059" s="1" t="s">
        <v>45</v>
      </c>
      <c r="K2059" s="1" t="s">
        <v>7808</v>
      </c>
      <c r="L2059" s="1" t="s">
        <v>20927</v>
      </c>
      <c r="M2059" s="1" t="s">
        <v>2291</v>
      </c>
      <c r="N2059" s="1" t="s">
        <v>20928</v>
      </c>
      <c r="P2059" s="1" t="s">
        <v>401</v>
      </c>
      <c r="Q2059" s="63" t="s">
        <v>18898</v>
      </c>
      <c r="R2059" s="1" t="s">
        <v>29</v>
      </c>
      <c r="S2059" s="1" t="s">
        <v>18</v>
      </c>
    </row>
    <row r="2060" spans="1:63" ht="12" customHeight="1" x14ac:dyDescent="0.15">
      <c r="A2060" s="1" t="s">
        <v>18773</v>
      </c>
      <c r="B2060" s="68">
        <v>57</v>
      </c>
      <c r="C2060" s="1" t="s">
        <v>20</v>
      </c>
      <c r="D2060" s="1" t="s">
        <v>85</v>
      </c>
      <c r="F2060" s="69">
        <v>42291</v>
      </c>
      <c r="G2060" s="1" t="s">
        <v>20177</v>
      </c>
      <c r="H2060" s="1" t="s">
        <v>18774</v>
      </c>
      <c r="I2060" s="1" t="s">
        <v>94</v>
      </c>
      <c r="J2060" s="4" t="s">
        <v>18979</v>
      </c>
      <c r="K2060" s="1" t="s">
        <v>18980</v>
      </c>
      <c r="L2060" s="1" t="s">
        <v>18775</v>
      </c>
      <c r="M2060" s="1" t="s">
        <v>27</v>
      </c>
      <c r="N2060" s="1" t="s">
        <v>18991</v>
      </c>
      <c r="O2060" s="1" t="s">
        <v>400</v>
      </c>
      <c r="P2060" s="1" t="s">
        <v>401</v>
      </c>
      <c r="Q2060" s="63" t="s">
        <v>20178</v>
      </c>
      <c r="R2060" s="1" t="s">
        <v>100</v>
      </c>
      <c r="S2060" s="1" t="s">
        <v>28</v>
      </c>
      <c r="T2060" s="68" t="s">
        <v>27756</v>
      </c>
      <c r="U2060" s="68" t="s">
        <v>29438</v>
      </c>
      <c r="V2060" s="68" t="s">
        <v>29439</v>
      </c>
      <c r="W2060" s="68" t="s">
        <v>100</v>
      </c>
      <c r="X2060" s="68">
        <v>918</v>
      </c>
      <c r="AX2060" s="44"/>
      <c r="AY2060" s="44"/>
      <c r="BA2060" s="44"/>
      <c r="BB2060" s="44"/>
      <c r="BC2060" s="44"/>
      <c r="BD2060" s="44"/>
      <c r="BE2060" s="44"/>
      <c r="BF2060" s="44"/>
      <c r="BG2060" s="44"/>
      <c r="BH2060" s="44"/>
      <c r="BI2060" s="44"/>
      <c r="BJ2060" s="44"/>
      <c r="BK2060" s="11"/>
    </row>
    <row r="2061" spans="1:63" ht="12" customHeight="1" x14ac:dyDescent="0.15">
      <c r="A2061" s="1" t="s">
        <v>18834</v>
      </c>
      <c r="B2061" s="68">
        <v>59</v>
      </c>
      <c r="C2061" s="1" t="s">
        <v>20</v>
      </c>
      <c r="D2061" s="1" t="s">
        <v>30</v>
      </c>
      <c r="F2061" s="69">
        <v>42291</v>
      </c>
      <c r="G2061" s="1" t="s">
        <v>18835</v>
      </c>
      <c r="H2061" s="1" t="s">
        <v>5849</v>
      </c>
      <c r="I2061" s="1" t="s">
        <v>45</v>
      </c>
      <c r="J2061" s="4" t="s">
        <v>5850</v>
      </c>
      <c r="K2061" s="1" t="s">
        <v>65</v>
      </c>
      <c r="L2061" s="1" t="s">
        <v>5851</v>
      </c>
      <c r="M2061" s="1" t="s">
        <v>27</v>
      </c>
      <c r="N2061" s="1" t="s">
        <v>20179</v>
      </c>
      <c r="O2061" s="1" t="s">
        <v>400</v>
      </c>
      <c r="P2061" s="1" t="s">
        <v>401</v>
      </c>
      <c r="Q2061" s="63" t="s">
        <v>20180</v>
      </c>
      <c r="R2061" s="1" t="s">
        <v>100</v>
      </c>
      <c r="S2061" s="1" t="s">
        <v>28</v>
      </c>
      <c r="T2061" s="68" t="s">
        <v>27756</v>
      </c>
      <c r="U2061" s="68" t="s">
        <v>29438</v>
      </c>
      <c r="V2061" s="68" t="s">
        <v>29439</v>
      </c>
      <c r="W2061" s="68" t="s">
        <v>100</v>
      </c>
      <c r="X2061" s="68">
        <v>915</v>
      </c>
      <c r="BA2061" s="44"/>
      <c r="BB2061" s="44"/>
      <c r="BK2061" s="11"/>
    </row>
    <row r="2062" spans="1:63" ht="12" customHeight="1" x14ac:dyDescent="0.15">
      <c r="A2062" s="1" t="s">
        <v>18899</v>
      </c>
      <c r="B2062" s="68">
        <v>27</v>
      </c>
      <c r="C2062" s="1" t="s">
        <v>20</v>
      </c>
      <c r="D2062" s="1" t="s">
        <v>37</v>
      </c>
      <c r="E2062" s="1" t="s">
        <v>18942</v>
      </c>
      <c r="F2062" s="69">
        <v>42291</v>
      </c>
      <c r="G2062" s="1" t="s">
        <v>20172</v>
      </c>
      <c r="H2062" s="1" t="s">
        <v>20173</v>
      </c>
      <c r="I2062" s="1" t="s">
        <v>173</v>
      </c>
      <c r="J2062" s="4" t="s">
        <v>20174</v>
      </c>
      <c r="K2062" s="1" t="s">
        <v>1117</v>
      </c>
      <c r="L2062" s="1" t="s">
        <v>18900</v>
      </c>
      <c r="M2062" s="1" t="s">
        <v>27</v>
      </c>
      <c r="N2062" s="1" t="s">
        <v>20175</v>
      </c>
      <c r="O2062" s="1" t="s">
        <v>400</v>
      </c>
      <c r="P2062" s="1" t="s">
        <v>401</v>
      </c>
      <c r="Q2062" s="63" t="s">
        <v>20176</v>
      </c>
      <c r="R2062" s="1" t="s">
        <v>100</v>
      </c>
      <c r="S2062" s="1" t="s">
        <v>28</v>
      </c>
      <c r="T2062" s="68" t="s">
        <v>27756</v>
      </c>
      <c r="U2062" s="68" t="s">
        <v>29438</v>
      </c>
      <c r="V2062" s="68" t="s">
        <v>29439</v>
      </c>
      <c r="W2062" s="68" t="s">
        <v>100</v>
      </c>
      <c r="X2062" s="68">
        <v>912</v>
      </c>
      <c r="AW2062" s="44"/>
      <c r="BA2062" s="44"/>
      <c r="BB2062" s="44"/>
      <c r="BK2062" s="11"/>
    </row>
    <row r="2063" spans="1:63" ht="12" customHeight="1" x14ac:dyDescent="0.2">
      <c r="A2063" s="1" t="s">
        <v>18810</v>
      </c>
      <c r="B2063" s="68">
        <v>18</v>
      </c>
      <c r="C2063" s="1" t="s">
        <v>20</v>
      </c>
      <c r="D2063" s="1" t="s">
        <v>48</v>
      </c>
      <c r="F2063" s="69">
        <v>42291</v>
      </c>
      <c r="G2063" s="1" t="s">
        <v>20181</v>
      </c>
      <c r="H2063" s="1" t="s">
        <v>6305</v>
      </c>
      <c r="I2063" s="1" t="s">
        <v>45</v>
      </c>
      <c r="J2063" s="4" t="s">
        <v>6306</v>
      </c>
      <c r="K2063" s="1" t="s">
        <v>783</v>
      </c>
      <c r="L2063" s="1" t="s">
        <v>6307</v>
      </c>
      <c r="M2063" s="1" t="s">
        <v>27</v>
      </c>
      <c r="N2063" s="1" t="s">
        <v>20182</v>
      </c>
      <c r="O2063" s="1" t="s">
        <v>400</v>
      </c>
      <c r="P2063" s="1" t="s">
        <v>401</v>
      </c>
      <c r="Q2063" s="63" t="s">
        <v>20183</v>
      </c>
      <c r="R2063" s="1" t="s">
        <v>100</v>
      </c>
      <c r="S2063" s="1" t="s">
        <v>379</v>
      </c>
      <c r="T2063" s="68" t="s">
        <v>379</v>
      </c>
      <c r="U2063" s="68" t="s">
        <v>29436</v>
      </c>
      <c r="V2063" s="68" t="s">
        <v>29437</v>
      </c>
      <c r="W2063" s="68" t="s">
        <v>100</v>
      </c>
      <c r="X2063" s="68">
        <v>914</v>
      </c>
      <c r="AW2063" s="70"/>
      <c r="BA2063" s="44"/>
      <c r="BB2063" s="44"/>
      <c r="BK2063" s="44"/>
    </row>
    <row r="2064" spans="1:63" ht="12" customHeight="1" x14ac:dyDescent="0.15">
      <c r="A2064" s="1" t="s">
        <v>18901</v>
      </c>
      <c r="B2064" s="68">
        <v>46</v>
      </c>
      <c r="C2064" s="1" t="s">
        <v>114</v>
      </c>
      <c r="D2064" s="1" t="s">
        <v>37</v>
      </c>
      <c r="E2064" s="1" t="s">
        <v>18943</v>
      </c>
      <c r="F2064" s="69">
        <v>42291</v>
      </c>
      <c r="G2064" s="1" t="s">
        <v>18903</v>
      </c>
      <c r="H2064" s="1" t="s">
        <v>18904</v>
      </c>
      <c r="I2064" s="1" t="s">
        <v>62</v>
      </c>
      <c r="L2064" s="1" t="s">
        <v>18905</v>
      </c>
      <c r="M2064" s="1" t="s">
        <v>27</v>
      </c>
      <c r="N2064" s="1" t="s">
        <v>21064</v>
      </c>
      <c r="P2064" s="1" t="s">
        <v>401</v>
      </c>
      <c r="Q2064" s="63" t="s">
        <v>18902</v>
      </c>
      <c r="R2064" s="68" t="s">
        <v>555</v>
      </c>
      <c r="S2064" s="1" t="s">
        <v>28</v>
      </c>
      <c r="T2064" s="68" t="s">
        <v>27756</v>
      </c>
      <c r="U2064" s="68" t="s">
        <v>29438</v>
      </c>
      <c r="V2064" s="68" t="s">
        <v>29437</v>
      </c>
      <c r="W2064" s="68" t="s">
        <v>100</v>
      </c>
      <c r="X2064" s="68">
        <v>913</v>
      </c>
      <c r="BA2064" s="44"/>
      <c r="BB2064" s="44"/>
      <c r="BK2064" s="11"/>
    </row>
    <row r="2065" spans="1:63" ht="12" customHeight="1" x14ac:dyDescent="0.15">
      <c r="A2065" s="1" t="s">
        <v>18777</v>
      </c>
      <c r="B2065" s="1">
        <v>40</v>
      </c>
      <c r="C2065" s="1" t="s">
        <v>20</v>
      </c>
      <c r="D2065" s="1" t="s">
        <v>85</v>
      </c>
      <c r="E2065" s="1" t="s">
        <v>18952</v>
      </c>
      <c r="F2065" s="69">
        <v>42289</v>
      </c>
      <c r="G2065" s="1" t="s">
        <v>20184</v>
      </c>
      <c r="H2065" s="1" t="s">
        <v>11058</v>
      </c>
      <c r="I2065" s="1" t="s">
        <v>395</v>
      </c>
      <c r="J2065" s="4" t="s">
        <v>11059</v>
      </c>
      <c r="K2065" s="1" t="s">
        <v>18978</v>
      </c>
      <c r="L2065" s="1" t="s">
        <v>11061</v>
      </c>
      <c r="M2065" s="1" t="s">
        <v>27</v>
      </c>
      <c r="N2065" s="1" t="s">
        <v>18990</v>
      </c>
      <c r="O2065" s="1" t="s">
        <v>400</v>
      </c>
      <c r="P2065" s="1" t="s">
        <v>401</v>
      </c>
      <c r="Q2065" s="63" t="s">
        <v>20185</v>
      </c>
      <c r="R2065" s="1" t="s">
        <v>100</v>
      </c>
      <c r="S2065" s="2" t="s">
        <v>28</v>
      </c>
      <c r="T2065" s="68" t="s">
        <v>27756</v>
      </c>
      <c r="U2065" s="68" t="s">
        <v>29438</v>
      </c>
      <c r="V2065" s="68" t="s">
        <v>29439</v>
      </c>
      <c r="W2065" s="68" t="s">
        <v>100</v>
      </c>
      <c r="X2065" s="68">
        <v>908</v>
      </c>
      <c r="AX2065" s="44"/>
      <c r="AY2065" s="44"/>
      <c r="BA2065" s="44"/>
      <c r="BB2065" s="44"/>
      <c r="BC2065" s="44"/>
      <c r="BD2065" s="44"/>
      <c r="BE2065" s="44"/>
      <c r="BF2065" s="44"/>
      <c r="BG2065" s="44"/>
      <c r="BH2065" s="44"/>
      <c r="BI2065" s="44"/>
      <c r="BJ2065" s="44"/>
      <c r="BK2065" s="11"/>
    </row>
    <row r="2066" spans="1:63" ht="12" customHeight="1" x14ac:dyDescent="0.15">
      <c r="A2066" s="1" t="s">
        <v>18906</v>
      </c>
      <c r="B2066" s="68">
        <v>31</v>
      </c>
      <c r="C2066" s="1" t="s">
        <v>20</v>
      </c>
      <c r="D2066" s="1" t="s">
        <v>37</v>
      </c>
      <c r="E2066" s="1" t="s">
        <v>18944</v>
      </c>
      <c r="F2066" s="69">
        <v>42289</v>
      </c>
      <c r="G2066" s="1" t="s">
        <v>20186</v>
      </c>
      <c r="H2066" s="1" t="s">
        <v>18907</v>
      </c>
      <c r="I2066" s="1" t="s">
        <v>57</v>
      </c>
      <c r="J2066" s="4" t="s">
        <v>20187</v>
      </c>
      <c r="K2066" s="1" t="s">
        <v>2316</v>
      </c>
      <c r="L2066" s="1" t="s">
        <v>18908</v>
      </c>
      <c r="M2066" s="1" t="s">
        <v>27</v>
      </c>
      <c r="N2066" s="1" t="s">
        <v>20188</v>
      </c>
      <c r="O2066" s="1" t="s">
        <v>400</v>
      </c>
      <c r="P2066" s="1" t="s">
        <v>401</v>
      </c>
      <c r="Q2066" s="63" t="s">
        <v>20189</v>
      </c>
      <c r="R2066" s="1" t="s">
        <v>100</v>
      </c>
      <c r="S2066" s="1" t="s">
        <v>28</v>
      </c>
      <c r="T2066" s="68" t="s">
        <v>27756</v>
      </c>
      <c r="U2066" s="68" t="s">
        <v>29438</v>
      </c>
      <c r="V2066" s="68" t="s">
        <v>29439</v>
      </c>
      <c r="W2066" s="68" t="s">
        <v>100</v>
      </c>
      <c r="X2066" s="68">
        <v>909</v>
      </c>
      <c r="AW2066" s="11"/>
      <c r="BA2066" s="44"/>
      <c r="BB2066" s="44"/>
      <c r="BK2066" s="11"/>
    </row>
    <row r="2067" spans="1:63" ht="12" customHeight="1" x14ac:dyDescent="0.2">
      <c r="A2067" s="1" t="s">
        <v>19</v>
      </c>
      <c r="B2067" s="68">
        <v>44</v>
      </c>
      <c r="C2067" s="1" t="s">
        <v>20</v>
      </c>
      <c r="D2067" s="1" t="s">
        <v>21</v>
      </c>
      <c r="E2067" s="1" t="s">
        <v>22</v>
      </c>
      <c r="F2067" s="69">
        <v>42288</v>
      </c>
      <c r="G2067" s="1" t="s">
        <v>23</v>
      </c>
      <c r="H2067" s="1" t="s">
        <v>24</v>
      </c>
      <c r="I2067" s="1" t="s">
        <v>25</v>
      </c>
      <c r="J2067" s="4" t="s">
        <v>20195</v>
      </c>
      <c r="K2067" s="1" t="s">
        <v>20196</v>
      </c>
      <c r="L2067" s="1" t="s">
        <v>26</v>
      </c>
      <c r="M2067" s="1" t="s">
        <v>27</v>
      </c>
      <c r="N2067" s="1" t="s">
        <v>20197</v>
      </c>
      <c r="O2067" s="1" t="s">
        <v>400</v>
      </c>
      <c r="P2067" s="1" t="s">
        <v>401</v>
      </c>
      <c r="Q2067" s="63" t="s">
        <v>20198</v>
      </c>
      <c r="R2067" s="1" t="s">
        <v>100</v>
      </c>
      <c r="S2067" s="1" t="s">
        <v>28</v>
      </c>
      <c r="T2067" s="68" t="s">
        <v>27756</v>
      </c>
      <c r="U2067" s="68" t="s">
        <v>29438</v>
      </c>
      <c r="V2067" s="68" t="s">
        <v>29439</v>
      </c>
      <c r="W2067" s="68" t="s">
        <v>100</v>
      </c>
      <c r="X2067" s="68">
        <v>900</v>
      </c>
      <c r="AX2067" s="70"/>
      <c r="AY2067" s="70"/>
      <c r="BA2067" s="44"/>
      <c r="BB2067" s="44"/>
      <c r="BC2067" s="66"/>
      <c r="BD2067" s="66"/>
      <c r="BE2067" s="66"/>
      <c r="BF2067" s="66"/>
      <c r="BG2067" s="66"/>
      <c r="BH2067" s="66"/>
      <c r="BI2067" s="66"/>
      <c r="BJ2067" s="66"/>
      <c r="BK2067" s="11"/>
    </row>
    <row r="2068" spans="1:63" ht="12" customHeight="1" x14ac:dyDescent="0.15">
      <c r="A2068" s="1" t="s">
        <v>18776</v>
      </c>
      <c r="B2068" s="68">
        <v>23</v>
      </c>
      <c r="C2068" s="1" t="s">
        <v>20</v>
      </c>
      <c r="D2068" s="1" t="s">
        <v>85</v>
      </c>
      <c r="E2068" s="1" t="s">
        <v>18953</v>
      </c>
      <c r="F2068" s="69">
        <v>42288</v>
      </c>
      <c r="G2068" s="1" t="s">
        <v>31</v>
      </c>
      <c r="H2068" s="1" t="s">
        <v>20190</v>
      </c>
      <c r="I2068" s="1" t="s">
        <v>32</v>
      </c>
      <c r="J2068" s="4" t="s">
        <v>20191</v>
      </c>
      <c r="K2068" s="1" t="s">
        <v>33</v>
      </c>
      <c r="L2068" s="1" t="s">
        <v>34</v>
      </c>
      <c r="M2068" s="1" t="s">
        <v>27</v>
      </c>
      <c r="N2068" s="1" t="s">
        <v>18989</v>
      </c>
      <c r="O2068" s="1" t="s">
        <v>400</v>
      </c>
      <c r="P2068" s="1" t="s">
        <v>401</v>
      </c>
      <c r="Q2068" s="63" t="s">
        <v>20192</v>
      </c>
      <c r="R2068" s="1" t="s">
        <v>100</v>
      </c>
      <c r="S2068" s="1" t="s">
        <v>28</v>
      </c>
      <c r="T2068" s="68" t="s">
        <v>27756</v>
      </c>
      <c r="U2068" s="68" t="s">
        <v>29438</v>
      </c>
      <c r="V2068" s="68" t="s">
        <v>29439</v>
      </c>
      <c r="W2068" s="68" t="s">
        <v>100</v>
      </c>
      <c r="X2068" s="68">
        <v>901</v>
      </c>
      <c r="AW2068" s="11"/>
      <c r="AX2068" s="44"/>
      <c r="AY2068" s="44"/>
      <c r="BA2068" s="44"/>
      <c r="BB2068" s="44"/>
      <c r="BC2068" s="44"/>
      <c r="BD2068" s="44"/>
      <c r="BE2068" s="44"/>
      <c r="BF2068" s="44"/>
      <c r="BG2068" s="44"/>
      <c r="BH2068" s="44"/>
      <c r="BI2068" s="44"/>
      <c r="BJ2068" s="44"/>
      <c r="BK2068" s="11"/>
    </row>
    <row r="2069" spans="1:63" ht="12" customHeight="1" x14ac:dyDescent="0.15">
      <c r="A2069" s="1" t="s">
        <v>18811</v>
      </c>
      <c r="B2069" s="68">
        <v>43</v>
      </c>
      <c r="C2069" s="1" t="s">
        <v>20</v>
      </c>
      <c r="D2069" s="1" t="s">
        <v>48</v>
      </c>
      <c r="E2069" s="1" t="s">
        <v>18917</v>
      </c>
      <c r="F2069" s="69">
        <v>42288</v>
      </c>
      <c r="G2069" s="1" t="s">
        <v>24421</v>
      </c>
      <c r="H2069" s="1" t="s">
        <v>795</v>
      </c>
      <c r="I2069" s="1" t="s">
        <v>73</v>
      </c>
      <c r="J2069" s="4" t="s">
        <v>20199</v>
      </c>
      <c r="K2069" s="1" t="s">
        <v>796</v>
      </c>
      <c r="L2069" s="1" t="s">
        <v>18813</v>
      </c>
      <c r="M2069" s="1" t="s">
        <v>27</v>
      </c>
      <c r="N2069" s="1" t="s">
        <v>20200</v>
      </c>
      <c r="O2069" s="1" t="s">
        <v>400</v>
      </c>
      <c r="P2069" s="1" t="s">
        <v>401</v>
      </c>
      <c r="Q2069" s="63" t="s">
        <v>18812</v>
      </c>
      <c r="R2069" s="1" t="s">
        <v>100</v>
      </c>
      <c r="S2069" s="1" t="s">
        <v>28</v>
      </c>
      <c r="T2069" s="68" t="s">
        <v>29459</v>
      </c>
      <c r="U2069" s="68" t="s">
        <v>29436</v>
      </c>
      <c r="V2069" s="68" t="s">
        <v>29437</v>
      </c>
      <c r="W2069" s="68" t="s">
        <v>100</v>
      </c>
      <c r="X2069" s="68">
        <v>907</v>
      </c>
      <c r="AU2069" s="64"/>
      <c r="AV2069" s="64"/>
      <c r="BA2069" s="44"/>
      <c r="BB2069" s="44"/>
      <c r="BK2069" s="11"/>
    </row>
    <row r="2070" spans="1:63" s="64" customFormat="1" ht="12" customHeight="1" x14ac:dyDescent="0.15">
      <c r="A2070" s="1" t="s">
        <v>18814</v>
      </c>
      <c r="B2070" s="68">
        <v>34</v>
      </c>
      <c r="C2070" s="1" t="s">
        <v>20</v>
      </c>
      <c r="D2070" s="1" t="s">
        <v>48</v>
      </c>
      <c r="E2070" s="1"/>
      <c r="F2070" s="69">
        <v>42288</v>
      </c>
      <c r="G2070" s="1" t="s">
        <v>20193</v>
      </c>
      <c r="H2070" s="1" t="s">
        <v>309</v>
      </c>
      <c r="I2070" s="1" t="s">
        <v>45</v>
      </c>
      <c r="J2070" s="4" t="s">
        <v>6873</v>
      </c>
      <c r="K2070" s="1" t="s">
        <v>309</v>
      </c>
      <c r="L2070" s="1" t="s">
        <v>4320</v>
      </c>
      <c r="M2070" s="1" t="s">
        <v>27</v>
      </c>
      <c r="N2070" s="1" t="s">
        <v>20194</v>
      </c>
      <c r="O2070" s="1" t="s">
        <v>400</v>
      </c>
      <c r="P2070" s="1" t="s">
        <v>401</v>
      </c>
      <c r="Q2070" s="63" t="s">
        <v>18815</v>
      </c>
      <c r="R2070" s="1" t="s">
        <v>100</v>
      </c>
      <c r="S2070" s="1" t="s">
        <v>35</v>
      </c>
      <c r="T2070" s="68" t="s">
        <v>29441</v>
      </c>
      <c r="U2070" s="68" t="s">
        <v>29441</v>
      </c>
      <c r="V2070" s="68" t="s">
        <v>21212</v>
      </c>
      <c r="W2070" s="68" t="s">
        <v>100</v>
      </c>
      <c r="X2070" s="68">
        <v>899</v>
      </c>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1"/>
      <c r="AX2070" s="1"/>
      <c r="AY2070" s="1"/>
      <c r="AZ2070" s="1"/>
      <c r="BA2070" s="44"/>
      <c r="BB2070" s="44"/>
      <c r="BC2070" s="1"/>
      <c r="BD2070" s="1"/>
      <c r="BE2070" s="1"/>
      <c r="BF2070" s="1"/>
      <c r="BG2070" s="1"/>
      <c r="BH2070" s="1"/>
      <c r="BI2070" s="1"/>
      <c r="BJ2070" s="1"/>
      <c r="BK2070" s="1"/>
    </row>
    <row r="2071" spans="1:63" ht="12" customHeight="1" x14ac:dyDescent="0.15">
      <c r="A2071" s="1" t="s">
        <v>18816</v>
      </c>
      <c r="B2071" s="1">
        <v>38</v>
      </c>
      <c r="C2071" s="1" t="s">
        <v>20</v>
      </c>
      <c r="D2071" s="1" t="s">
        <v>30</v>
      </c>
      <c r="F2071" s="72">
        <v>42288</v>
      </c>
      <c r="G2071" s="1" t="s">
        <v>20749</v>
      </c>
      <c r="H2071" s="1" t="s">
        <v>20748</v>
      </c>
      <c r="I2071" s="1" t="s">
        <v>46</v>
      </c>
      <c r="K2071" s="1" t="s">
        <v>1699</v>
      </c>
      <c r="L2071" s="1" t="s">
        <v>20750</v>
      </c>
      <c r="M2071" s="1" t="s">
        <v>2291</v>
      </c>
      <c r="N2071" s="1" t="s">
        <v>20751</v>
      </c>
      <c r="O2071" s="1" t="s">
        <v>400</v>
      </c>
      <c r="P2071" s="1" t="s">
        <v>401</v>
      </c>
      <c r="Q2071" s="63" t="s">
        <v>18836</v>
      </c>
      <c r="R2071" s="1" t="s">
        <v>555</v>
      </c>
      <c r="S2071" s="1" t="s">
        <v>18</v>
      </c>
      <c r="BA2071" s="11"/>
      <c r="BB2071" s="11"/>
    </row>
    <row r="2072" spans="1:63" ht="12" customHeight="1" x14ac:dyDescent="0.15">
      <c r="A2072" s="1" t="s">
        <v>36</v>
      </c>
      <c r="B2072" s="68">
        <v>31</v>
      </c>
      <c r="C2072" s="1" t="s">
        <v>20</v>
      </c>
      <c r="D2072" s="1" t="s">
        <v>37</v>
      </c>
      <c r="E2072" s="1" t="s">
        <v>38</v>
      </c>
      <c r="F2072" s="69">
        <v>42287</v>
      </c>
      <c r="G2072" s="1" t="s">
        <v>39</v>
      </c>
      <c r="H2072" s="1" t="s">
        <v>40</v>
      </c>
      <c r="I2072" s="1" t="s">
        <v>41</v>
      </c>
      <c r="J2072" s="4" t="s">
        <v>20208</v>
      </c>
      <c r="K2072" s="1" t="s">
        <v>42</v>
      </c>
      <c r="L2072" s="1" t="s">
        <v>43</v>
      </c>
      <c r="M2072" s="1" t="s">
        <v>27</v>
      </c>
      <c r="N2072" s="1" t="s">
        <v>20209</v>
      </c>
      <c r="O2072" s="1" t="s">
        <v>400</v>
      </c>
      <c r="P2072" s="1" t="s">
        <v>401</v>
      </c>
      <c r="Q2072" s="63" t="s">
        <v>20210</v>
      </c>
      <c r="R2072" s="1" t="s">
        <v>100</v>
      </c>
      <c r="S2072" s="1" t="s">
        <v>28</v>
      </c>
      <c r="T2072" s="68" t="s">
        <v>27756</v>
      </c>
      <c r="U2072" s="68" t="s">
        <v>29438</v>
      </c>
      <c r="V2072" s="68" t="s">
        <v>29439</v>
      </c>
      <c r="W2072" s="68" t="s">
        <v>100</v>
      </c>
      <c r="X2072" s="68">
        <v>903</v>
      </c>
      <c r="AW2072" s="11"/>
      <c r="BA2072" s="44"/>
      <c r="BB2072" s="44"/>
      <c r="BK2072" s="11"/>
    </row>
    <row r="2073" spans="1:63" ht="12" customHeight="1" x14ac:dyDescent="0.15">
      <c r="A2073" s="1" t="s">
        <v>55</v>
      </c>
      <c r="B2073" s="68">
        <v>40</v>
      </c>
      <c r="C2073" s="1" t="s">
        <v>20</v>
      </c>
      <c r="D2073" s="1" t="s">
        <v>37</v>
      </c>
      <c r="E2073" s="1" t="s">
        <v>56</v>
      </c>
      <c r="F2073" s="69">
        <v>42287</v>
      </c>
      <c r="G2073" s="1" t="s">
        <v>20220</v>
      </c>
      <c r="H2073" s="1" t="s">
        <v>11919</v>
      </c>
      <c r="I2073" s="1" t="s">
        <v>57</v>
      </c>
      <c r="J2073" s="4" t="s">
        <v>20221</v>
      </c>
      <c r="K2073" s="1" t="s">
        <v>58</v>
      </c>
      <c r="L2073" s="1" t="s">
        <v>3953</v>
      </c>
      <c r="M2073" s="1" t="s">
        <v>27</v>
      </c>
      <c r="N2073" s="1" t="s">
        <v>20222</v>
      </c>
      <c r="O2073" s="1" t="s">
        <v>400</v>
      </c>
      <c r="P2073" s="1" t="s">
        <v>401</v>
      </c>
      <c r="Q2073" s="63" t="s">
        <v>59</v>
      </c>
      <c r="R2073" s="1" t="s">
        <v>100</v>
      </c>
      <c r="S2073" s="1" t="s">
        <v>28</v>
      </c>
      <c r="T2073" s="68" t="s">
        <v>29453</v>
      </c>
      <c r="U2073" s="68" t="s">
        <v>29438</v>
      </c>
      <c r="V2073" s="68" t="s">
        <v>29439</v>
      </c>
      <c r="W2073" s="68" t="s">
        <v>100</v>
      </c>
      <c r="X2073" s="68">
        <v>905</v>
      </c>
      <c r="AW2073" s="44"/>
      <c r="BA2073" s="44"/>
      <c r="BB2073" s="44"/>
      <c r="BK2073" s="11"/>
    </row>
    <row r="2074" spans="1:63" ht="12" customHeight="1" x14ac:dyDescent="0.2">
      <c r="A2074" s="1" t="s">
        <v>18837</v>
      </c>
      <c r="B2074" s="68">
        <v>35</v>
      </c>
      <c r="C2074" s="1" t="s">
        <v>20</v>
      </c>
      <c r="D2074" s="1" t="s">
        <v>48</v>
      </c>
      <c r="E2074" s="1" t="s">
        <v>18922</v>
      </c>
      <c r="F2074" s="69">
        <v>42287</v>
      </c>
      <c r="G2074" s="1" t="s">
        <v>24422</v>
      </c>
      <c r="H2074" s="1" t="s">
        <v>18838</v>
      </c>
      <c r="I2074" s="1" t="s">
        <v>44</v>
      </c>
      <c r="J2074" s="4" t="s">
        <v>20201</v>
      </c>
      <c r="K2074" s="1" t="s">
        <v>20202</v>
      </c>
      <c r="L2074" s="1" t="s">
        <v>18839</v>
      </c>
      <c r="M2074" s="68" t="s">
        <v>5411</v>
      </c>
      <c r="N2074" s="1" t="s">
        <v>20203</v>
      </c>
      <c r="O2074" s="1" t="s">
        <v>400</v>
      </c>
      <c r="P2074" s="1" t="s">
        <v>401</v>
      </c>
      <c r="Q2074" s="63" t="s">
        <v>20204</v>
      </c>
      <c r="R2074" s="1" t="s">
        <v>100</v>
      </c>
      <c r="S2074" s="1" t="s">
        <v>35</v>
      </c>
      <c r="T2074" s="68" t="s">
        <v>29442</v>
      </c>
      <c r="U2074" s="68" t="s">
        <v>29441</v>
      </c>
      <c r="V2074" s="68" t="s">
        <v>29439</v>
      </c>
      <c r="W2074" s="68" t="s">
        <v>100</v>
      </c>
      <c r="X2074" s="68">
        <v>906</v>
      </c>
      <c r="AU2074" s="64"/>
      <c r="AV2074" s="64"/>
      <c r="AW2074" s="11"/>
      <c r="BA2074" s="44"/>
      <c r="BB2074" s="70"/>
      <c r="BK2074" s="11"/>
    </row>
    <row r="2075" spans="1:63" ht="12" customHeight="1" x14ac:dyDescent="0.2">
      <c r="A2075" s="1" t="s">
        <v>18909</v>
      </c>
      <c r="B2075" s="68">
        <v>38</v>
      </c>
      <c r="C2075" s="1" t="s">
        <v>20</v>
      </c>
      <c r="D2075" s="1" t="s">
        <v>37</v>
      </c>
      <c r="E2075" s="1" t="s">
        <v>18945</v>
      </c>
      <c r="F2075" s="69">
        <v>42287</v>
      </c>
      <c r="G2075" s="1" t="s">
        <v>20211</v>
      </c>
      <c r="H2075" s="1" t="s">
        <v>18910</v>
      </c>
      <c r="I2075" s="1" t="s">
        <v>45</v>
      </c>
      <c r="J2075" s="4" t="s">
        <v>20212</v>
      </c>
      <c r="K2075" s="1" t="s">
        <v>309</v>
      </c>
      <c r="L2075" s="1" t="s">
        <v>310</v>
      </c>
      <c r="M2075" s="1" t="s">
        <v>27</v>
      </c>
      <c r="N2075" s="1" t="s">
        <v>20213</v>
      </c>
      <c r="O2075" s="1" t="s">
        <v>400</v>
      </c>
      <c r="P2075" s="1" t="s">
        <v>401</v>
      </c>
      <c r="Q2075" s="63" t="s">
        <v>20214</v>
      </c>
      <c r="R2075" s="68" t="s">
        <v>555</v>
      </c>
      <c r="S2075" s="68" t="s">
        <v>379</v>
      </c>
      <c r="T2075" s="68" t="s">
        <v>379</v>
      </c>
      <c r="U2075" s="68" t="s">
        <v>29436</v>
      </c>
      <c r="V2075" s="68" t="s">
        <v>29437</v>
      </c>
      <c r="W2075" s="68" t="s">
        <v>100</v>
      </c>
      <c r="X2075" s="68">
        <v>904</v>
      </c>
      <c r="AW2075" s="44"/>
      <c r="BA2075" s="70"/>
      <c r="BB2075" s="44"/>
      <c r="BK2075" s="44"/>
    </row>
    <row r="2076" spans="1:63" ht="12" customHeight="1" x14ac:dyDescent="0.15">
      <c r="A2076" s="1" t="s">
        <v>18911</v>
      </c>
      <c r="B2076" s="68">
        <v>49</v>
      </c>
      <c r="C2076" s="1" t="s">
        <v>20</v>
      </c>
      <c r="D2076" s="1" t="s">
        <v>37</v>
      </c>
      <c r="E2076" s="1" t="s">
        <v>18946</v>
      </c>
      <c r="F2076" s="69">
        <v>42287</v>
      </c>
      <c r="G2076" s="1" t="s">
        <v>18912</v>
      </c>
      <c r="H2076" s="1" t="s">
        <v>703</v>
      </c>
      <c r="I2076" s="1" t="s">
        <v>46</v>
      </c>
      <c r="J2076" s="4" t="s">
        <v>20205</v>
      </c>
      <c r="K2076" s="1" t="s">
        <v>528</v>
      </c>
      <c r="L2076" s="1" t="s">
        <v>18913</v>
      </c>
      <c r="M2076" s="1" t="s">
        <v>27</v>
      </c>
      <c r="N2076" s="1" t="s">
        <v>20206</v>
      </c>
      <c r="O2076" s="1" t="s">
        <v>400</v>
      </c>
      <c r="P2076" s="1" t="s">
        <v>401</v>
      </c>
      <c r="Q2076" s="63" t="s">
        <v>20207</v>
      </c>
      <c r="R2076" s="68" t="s">
        <v>555</v>
      </c>
      <c r="S2076" s="1" t="s">
        <v>379</v>
      </c>
      <c r="T2076" s="68" t="s">
        <v>379</v>
      </c>
      <c r="U2076" s="68" t="s">
        <v>29438</v>
      </c>
      <c r="V2076" s="68" t="s">
        <v>29439</v>
      </c>
      <c r="W2076" s="68" t="s">
        <v>100</v>
      </c>
      <c r="X2076" s="68">
        <v>902</v>
      </c>
      <c r="BA2076" s="44"/>
      <c r="BB2076" s="11"/>
      <c r="BK2076" s="44"/>
    </row>
    <row r="2077" spans="1:63" ht="12" customHeight="1" x14ac:dyDescent="0.2">
      <c r="A2077" s="1" t="s">
        <v>47</v>
      </c>
      <c r="B2077" s="68">
        <v>19</v>
      </c>
      <c r="C2077" s="1" t="s">
        <v>20</v>
      </c>
      <c r="D2077" s="1" t="s">
        <v>48</v>
      </c>
      <c r="E2077" s="1" t="s">
        <v>49</v>
      </c>
      <c r="F2077" s="69">
        <v>42286</v>
      </c>
      <c r="G2077" s="1" t="s">
        <v>50</v>
      </c>
      <c r="H2077" s="1" t="s">
        <v>51</v>
      </c>
      <c r="I2077" s="1" t="s">
        <v>52</v>
      </c>
      <c r="J2077" s="4" t="s">
        <v>20215</v>
      </c>
      <c r="K2077" s="1" t="s">
        <v>53</v>
      </c>
      <c r="L2077" s="1" t="s">
        <v>54</v>
      </c>
      <c r="M2077" s="1" t="s">
        <v>27</v>
      </c>
      <c r="N2077" s="1" t="s">
        <v>20216</v>
      </c>
      <c r="O2077" s="1" t="s">
        <v>400</v>
      </c>
      <c r="P2077" s="1" t="s">
        <v>401</v>
      </c>
      <c r="Q2077" s="63" t="s">
        <v>20217</v>
      </c>
      <c r="R2077" s="1" t="s">
        <v>100</v>
      </c>
      <c r="S2077" s="1" t="s">
        <v>28</v>
      </c>
      <c r="T2077" s="68" t="s">
        <v>29493</v>
      </c>
      <c r="U2077" s="68" t="s">
        <v>29436</v>
      </c>
      <c r="V2077" s="68" t="s">
        <v>29439</v>
      </c>
      <c r="W2077" s="68" t="s">
        <v>100</v>
      </c>
      <c r="X2077" s="68">
        <v>898</v>
      </c>
      <c r="AW2077" s="70"/>
      <c r="BA2077" s="44"/>
      <c r="BB2077" s="44"/>
      <c r="BK2077" s="11"/>
    </row>
    <row r="2078" spans="1:63" ht="12" customHeight="1" x14ac:dyDescent="0.15">
      <c r="A2078" s="1" t="s">
        <v>18840</v>
      </c>
      <c r="B2078" s="68">
        <v>62</v>
      </c>
      <c r="C2078" s="1" t="s">
        <v>114</v>
      </c>
      <c r="D2078" s="1" t="s">
        <v>37</v>
      </c>
      <c r="F2078" s="69">
        <v>42286</v>
      </c>
      <c r="G2078" s="1" t="s">
        <v>24423</v>
      </c>
      <c r="H2078" s="1" t="s">
        <v>18842</v>
      </c>
      <c r="I2078" s="1" t="s">
        <v>45</v>
      </c>
      <c r="J2078" s="4" t="s">
        <v>20218</v>
      </c>
      <c r="K2078" s="1" t="s">
        <v>783</v>
      </c>
      <c r="L2078" s="1" t="s">
        <v>4452</v>
      </c>
      <c r="M2078" s="1" t="s">
        <v>27</v>
      </c>
      <c r="N2078" s="1" t="s">
        <v>20219</v>
      </c>
      <c r="O2078" s="1" t="s">
        <v>1010</v>
      </c>
      <c r="P2078" s="1" t="s">
        <v>401</v>
      </c>
      <c r="Q2078" s="63" t="s">
        <v>18841</v>
      </c>
      <c r="R2078" s="1" t="s">
        <v>29</v>
      </c>
      <c r="S2078" s="1" t="s">
        <v>28</v>
      </c>
      <c r="T2078" s="68" t="s">
        <v>27756</v>
      </c>
      <c r="U2078" s="68" t="s">
        <v>29438</v>
      </c>
      <c r="V2078" s="68" t="s">
        <v>29439</v>
      </c>
      <c r="W2078" s="68" t="s">
        <v>100</v>
      </c>
      <c r="X2078" s="68">
        <v>910</v>
      </c>
      <c r="BK2078" s="11"/>
    </row>
    <row r="2079" spans="1:63" ht="12" customHeight="1" x14ac:dyDescent="0.15">
      <c r="A2079" s="1" t="s">
        <v>60</v>
      </c>
      <c r="B2079" s="68">
        <v>46</v>
      </c>
      <c r="C2079" s="1" t="s">
        <v>20</v>
      </c>
      <c r="D2079" s="1" t="s">
        <v>48</v>
      </c>
      <c r="F2079" s="69">
        <v>42284</v>
      </c>
      <c r="G2079" s="1" t="s">
        <v>24424</v>
      </c>
      <c r="H2079" s="1" t="s">
        <v>61</v>
      </c>
      <c r="I2079" s="1" t="s">
        <v>62</v>
      </c>
      <c r="J2079" s="4" t="s">
        <v>17465</v>
      </c>
      <c r="K2079" s="1" t="s">
        <v>5318</v>
      </c>
      <c r="L2079" s="1" t="s">
        <v>63</v>
      </c>
      <c r="M2079" s="1" t="s">
        <v>27</v>
      </c>
      <c r="N2079" s="1" t="s">
        <v>20223</v>
      </c>
      <c r="O2079" s="1" t="s">
        <v>1010</v>
      </c>
      <c r="P2079" s="1" t="s">
        <v>401</v>
      </c>
      <c r="Q2079" s="63" t="s">
        <v>20224</v>
      </c>
      <c r="R2079" s="1" t="s">
        <v>100</v>
      </c>
      <c r="S2079" s="1" t="s">
        <v>28</v>
      </c>
      <c r="T2079" s="68" t="s">
        <v>29459</v>
      </c>
      <c r="U2079" s="68" t="s">
        <v>29438</v>
      </c>
      <c r="V2079" s="68" t="s">
        <v>29439</v>
      </c>
      <c r="W2079" s="68" t="s">
        <v>100</v>
      </c>
      <c r="X2079" s="68">
        <v>897</v>
      </c>
      <c r="BA2079" s="44"/>
      <c r="BB2079" s="44"/>
      <c r="BK2079" s="11"/>
    </row>
    <row r="2080" spans="1:63" ht="12" customHeight="1" x14ac:dyDescent="0.15">
      <c r="A2080" s="1" t="s">
        <v>64</v>
      </c>
      <c r="B2080" s="68">
        <v>39</v>
      </c>
      <c r="C2080" s="1" t="s">
        <v>20</v>
      </c>
      <c r="D2080" s="1" t="s">
        <v>37</v>
      </c>
      <c r="F2080" s="69">
        <v>42283</v>
      </c>
      <c r="G2080" s="1" t="s">
        <v>20225</v>
      </c>
      <c r="H2080" s="1" t="s">
        <v>65</v>
      </c>
      <c r="I2080" s="1" t="s">
        <v>45</v>
      </c>
      <c r="J2080" s="4" t="s">
        <v>20226</v>
      </c>
      <c r="K2080" s="1" t="s">
        <v>65</v>
      </c>
      <c r="L2080" s="1" t="s">
        <v>66</v>
      </c>
      <c r="M2080" s="1" t="s">
        <v>27</v>
      </c>
      <c r="N2080" s="1" t="s">
        <v>20227</v>
      </c>
      <c r="O2080" s="1" t="s">
        <v>400</v>
      </c>
      <c r="P2080" s="1" t="s">
        <v>401</v>
      </c>
      <c r="Q2080" s="63" t="s">
        <v>20228</v>
      </c>
      <c r="R2080" s="1" t="s">
        <v>555</v>
      </c>
      <c r="S2080" s="2" t="s">
        <v>18</v>
      </c>
      <c r="T2080" s="68" t="s">
        <v>29612</v>
      </c>
      <c r="U2080" s="68" t="s">
        <v>29438</v>
      </c>
      <c r="V2080" s="68" t="s">
        <v>29439</v>
      </c>
      <c r="W2080" s="68" t="s">
        <v>100</v>
      </c>
      <c r="X2080" s="68">
        <v>896</v>
      </c>
      <c r="AW2080" s="44"/>
      <c r="BA2080" s="11"/>
      <c r="BB2080" s="44"/>
    </row>
    <row r="2081" spans="1:63" ht="12" customHeight="1" x14ac:dyDescent="0.15">
      <c r="A2081" s="1" t="s">
        <v>77</v>
      </c>
      <c r="B2081" s="68">
        <v>50</v>
      </c>
      <c r="C2081" s="1" t="s">
        <v>20</v>
      </c>
      <c r="D2081" s="1" t="s">
        <v>37</v>
      </c>
      <c r="E2081" s="1" t="s">
        <v>78</v>
      </c>
      <c r="F2081" s="69">
        <v>42282</v>
      </c>
      <c r="G2081" s="1" t="s">
        <v>79</v>
      </c>
      <c r="H2081" s="1" t="s">
        <v>80</v>
      </c>
      <c r="I2081" s="1" t="s">
        <v>81</v>
      </c>
      <c r="J2081" s="4" t="s">
        <v>20231</v>
      </c>
      <c r="K2081" s="1" t="s">
        <v>42</v>
      </c>
      <c r="L2081" s="1" t="s">
        <v>82</v>
      </c>
      <c r="M2081" s="1" t="s">
        <v>27</v>
      </c>
      <c r="N2081" s="1" t="s">
        <v>20232</v>
      </c>
      <c r="O2081" s="1" t="s">
        <v>400</v>
      </c>
      <c r="P2081" s="1" t="s">
        <v>401</v>
      </c>
      <c r="Q2081" s="63" t="s">
        <v>83</v>
      </c>
      <c r="R2081" s="1" t="s">
        <v>100</v>
      </c>
      <c r="S2081" s="1" t="s">
        <v>28</v>
      </c>
      <c r="T2081" s="68" t="s">
        <v>27756</v>
      </c>
      <c r="U2081" s="68" t="s">
        <v>29438</v>
      </c>
      <c r="V2081" s="68" t="s">
        <v>29439</v>
      </c>
      <c r="W2081" s="68" t="s">
        <v>100</v>
      </c>
      <c r="X2081" s="68">
        <v>894</v>
      </c>
      <c r="BA2081" s="44"/>
      <c r="BB2081" s="44"/>
      <c r="BK2081" s="11"/>
    </row>
    <row r="2082" spans="1:63" ht="12" customHeight="1" x14ac:dyDescent="0.15">
      <c r="A2082" s="1" t="s">
        <v>71</v>
      </c>
      <c r="B2082" s="68">
        <v>51</v>
      </c>
      <c r="C2082" s="1" t="s">
        <v>20</v>
      </c>
      <c r="D2082" s="1" t="s">
        <v>37</v>
      </c>
      <c r="E2082" s="1" t="s">
        <v>18914</v>
      </c>
      <c r="F2082" s="69">
        <v>42282</v>
      </c>
      <c r="G2082" s="1" t="s">
        <v>24425</v>
      </c>
      <c r="H2082" s="1" t="s">
        <v>72</v>
      </c>
      <c r="I2082" s="1" t="s">
        <v>73</v>
      </c>
      <c r="J2082" s="4" t="s">
        <v>20229</v>
      </c>
      <c r="K2082" s="1" t="s">
        <v>74</v>
      </c>
      <c r="L2082" s="1" t="s">
        <v>75</v>
      </c>
      <c r="M2082" s="1" t="s">
        <v>27</v>
      </c>
      <c r="N2082" s="1" t="s">
        <v>20230</v>
      </c>
      <c r="O2082" s="1" t="s">
        <v>400</v>
      </c>
      <c r="P2082" s="1" t="s">
        <v>401</v>
      </c>
      <c r="Q2082" s="63" t="s">
        <v>76</v>
      </c>
      <c r="R2082" s="1" t="s">
        <v>100</v>
      </c>
      <c r="S2082" s="1" t="s">
        <v>28</v>
      </c>
      <c r="T2082" s="68" t="s">
        <v>27756</v>
      </c>
      <c r="U2082" s="68" t="s">
        <v>29438</v>
      </c>
      <c r="V2082" s="68" t="s">
        <v>29440</v>
      </c>
      <c r="W2082" s="68" t="s">
        <v>100</v>
      </c>
      <c r="X2082" s="68">
        <v>893</v>
      </c>
      <c r="BA2082" s="44"/>
      <c r="BB2082" s="44"/>
      <c r="BK2082" s="11"/>
    </row>
    <row r="2083" spans="1:63" ht="12" customHeight="1" x14ac:dyDescent="0.2">
      <c r="A2083" s="1" t="s">
        <v>67</v>
      </c>
      <c r="B2083" s="68">
        <v>27</v>
      </c>
      <c r="C2083" s="1" t="s">
        <v>20</v>
      </c>
      <c r="D2083" s="1" t="s">
        <v>21</v>
      </c>
      <c r="E2083" s="1" t="s">
        <v>68</v>
      </c>
      <c r="F2083" s="69">
        <v>42282</v>
      </c>
      <c r="G2083" s="1" t="s">
        <v>19886</v>
      </c>
      <c r="H2083" s="1" t="s">
        <v>204</v>
      </c>
      <c r="I2083" s="1" t="s">
        <v>69</v>
      </c>
      <c r="J2083" s="4" t="s">
        <v>19887</v>
      </c>
      <c r="K2083" s="1" t="s">
        <v>3466</v>
      </c>
      <c r="L2083" s="1" t="s">
        <v>205</v>
      </c>
      <c r="M2083" s="1" t="s">
        <v>27</v>
      </c>
      <c r="N2083" s="1" t="s">
        <v>19888</v>
      </c>
      <c r="O2083" s="1" t="s">
        <v>400</v>
      </c>
      <c r="P2083" s="1" t="s">
        <v>401</v>
      </c>
      <c r="Q2083" s="63" t="s">
        <v>70</v>
      </c>
      <c r="R2083" s="1" t="s">
        <v>100</v>
      </c>
      <c r="S2083" s="1" t="s">
        <v>18</v>
      </c>
      <c r="T2083" s="68" t="s">
        <v>28345</v>
      </c>
      <c r="U2083" s="68" t="s">
        <v>29436</v>
      </c>
      <c r="V2083" s="68" t="s">
        <v>29439</v>
      </c>
      <c r="W2083" s="68" t="s">
        <v>100</v>
      </c>
      <c r="X2083" s="68">
        <v>895</v>
      </c>
      <c r="AW2083" s="44"/>
      <c r="AX2083" s="70"/>
      <c r="AY2083" s="70"/>
      <c r="BA2083" s="44"/>
      <c r="BB2083" s="44"/>
      <c r="BC2083" s="66"/>
      <c r="BD2083" s="66"/>
      <c r="BE2083" s="66"/>
      <c r="BF2083" s="66"/>
      <c r="BG2083" s="66"/>
      <c r="BH2083" s="66"/>
      <c r="BI2083" s="66"/>
      <c r="BJ2083" s="66"/>
    </row>
    <row r="2084" spans="1:63" ht="12" customHeight="1" x14ac:dyDescent="0.15">
      <c r="A2084" s="1" t="s">
        <v>84</v>
      </c>
      <c r="B2084" s="68">
        <v>31</v>
      </c>
      <c r="C2084" s="1" t="s">
        <v>20</v>
      </c>
      <c r="D2084" s="1" t="s">
        <v>85</v>
      </c>
      <c r="E2084" s="1" t="s">
        <v>86</v>
      </c>
      <c r="F2084" s="69">
        <v>42281</v>
      </c>
      <c r="G2084" s="1" t="s">
        <v>24426</v>
      </c>
      <c r="H2084" s="1" t="s">
        <v>87</v>
      </c>
      <c r="I2084" s="1" t="s">
        <v>44</v>
      </c>
      <c r="J2084" s="4" t="s">
        <v>6594</v>
      </c>
      <c r="K2084" s="1" t="s">
        <v>88</v>
      </c>
      <c r="L2084" s="1" t="s">
        <v>89</v>
      </c>
      <c r="M2084" s="1" t="s">
        <v>27</v>
      </c>
      <c r="N2084" s="1" t="s">
        <v>20235</v>
      </c>
      <c r="O2084" s="1" t="s">
        <v>400</v>
      </c>
      <c r="P2084" s="1" t="s">
        <v>401</v>
      </c>
      <c r="Q2084" s="63" t="s">
        <v>20236</v>
      </c>
      <c r="R2084" s="1" t="s">
        <v>100</v>
      </c>
      <c r="S2084" s="1" t="s">
        <v>28</v>
      </c>
      <c r="T2084" s="68" t="s">
        <v>27756</v>
      </c>
      <c r="U2084" s="68" t="s">
        <v>29438</v>
      </c>
      <c r="V2084" s="68" t="s">
        <v>29439</v>
      </c>
      <c r="W2084" s="68" t="s">
        <v>100</v>
      </c>
      <c r="X2084" s="68">
        <v>891</v>
      </c>
      <c r="AW2084" s="11"/>
      <c r="AX2084" s="11"/>
      <c r="AY2084" s="11"/>
      <c r="BA2084" s="44"/>
      <c r="BB2084" s="44"/>
      <c r="BC2084" s="44"/>
      <c r="BD2084" s="44"/>
      <c r="BE2084" s="44"/>
      <c r="BF2084" s="44"/>
      <c r="BG2084" s="44"/>
      <c r="BH2084" s="44"/>
      <c r="BI2084" s="44"/>
      <c r="BJ2084" s="44"/>
      <c r="BK2084" s="11"/>
    </row>
    <row r="2085" spans="1:63" ht="12" customHeight="1" x14ac:dyDescent="0.15">
      <c r="A2085" s="1" t="s">
        <v>20066</v>
      </c>
      <c r="B2085" s="68">
        <v>45</v>
      </c>
      <c r="C2085" s="1" t="s">
        <v>20</v>
      </c>
      <c r="D2085" s="1" t="s">
        <v>37</v>
      </c>
      <c r="F2085" s="69">
        <v>42281</v>
      </c>
      <c r="G2085" s="1" t="s">
        <v>97</v>
      </c>
      <c r="H2085" s="1" t="s">
        <v>98</v>
      </c>
      <c r="I2085" s="1" t="s">
        <v>45</v>
      </c>
      <c r="J2085" s="4" t="s">
        <v>20237</v>
      </c>
      <c r="K2085" s="1" t="s">
        <v>98</v>
      </c>
      <c r="L2085" s="1" t="s">
        <v>99</v>
      </c>
      <c r="M2085" s="1" t="s">
        <v>27</v>
      </c>
      <c r="N2085" s="1" t="s">
        <v>20238</v>
      </c>
      <c r="O2085" s="1" t="s">
        <v>400</v>
      </c>
      <c r="P2085" s="1" t="s">
        <v>401</v>
      </c>
      <c r="Q2085" s="63" t="s">
        <v>20239</v>
      </c>
      <c r="R2085" s="1" t="s">
        <v>29</v>
      </c>
      <c r="S2085" s="1" t="s">
        <v>35</v>
      </c>
      <c r="T2085" s="68" t="s">
        <v>29449</v>
      </c>
      <c r="U2085" s="68" t="s">
        <v>29441</v>
      </c>
      <c r="V2085" s="68" t="s">
        <v>29439</v>
      </c>
      <c r="W2085" s="68" t="s">
        <v>100</v>
      </c>
      <c r="X2085" s="68">
        <v>886</v>
      </c>
    </row>
    <row r="2086" spans="1:63" ht="12" customHeight="1" x14ac:dyDescent="0.15">
      <c r="A2086" s="1" t="s">
        <v>90</v>
      </c>
      <c r="B2086" s="68">
        <v>27</v>
      </c>
      <c r="C2086" s="1" t="s">
        <v>20</v>
      </c>
      <c r="D2086" s="1" t="s">
        <v>37</v>
      </c>
      <c r="E2086" s="1" t="s">
        <v>91</v>
      </c>
      <c r="F2086" s="69">
        <v>42281</v>
      </c>
      <c r="G2086" s="1" t="s">
        <v>92</v>
      </c>
      <c r="H2086" s="1" t="s">
        <v>93</v>
      </c>
      <c r="I2086" s="1" t="s">
        <v>94</v>
      </c>
      <c r="J2086" s="4" t="s">
        <v>7893</v>
      </c>
      <c r="K2086" s="1" t="s">
        <v>95</v>
      </c>
      <c r="L2086" s="1" t="s">
        <v>96</v>
      </c>
      <c r="M2086" s="1" t="s">
        <v>27</v>
      </c>
      <c r="N2086" s="1" t="s">
        <v>20233</v>
      </c>
      <c r="O2086" s="1" t="s">
        <v>400</v>
      </c>
      <c r="P2086" s="1" t="s">
        <v>401</v>
      </c>
      <c r="Q2086" s="63" t="s">
        <v>20234</v>
      </c>
      <c r="R2086" s="1" t="s">
        <v>555</v>
      </c>
      <c r="S2086" s="1" t="s">
        <v>28</v>
      </c>
      <c r="T2086" s="68" t="s">
        <v>27756</v>
      </c>
      <c r="U2086" s="68" t="s">
        <v>29438</v>
      </c>
      <c r="V2086" s="68" t="s">
        <v>29440</v>
      </c>
      <c r="W2086" s="68" t="s">
        <v>100</v>
      </c>
      <c r="X2086" s="68">
        <v>887</v>
      </c>
      <c r="AW2086" s="44"/>
      <c r="BA2086" s="11"/>
      <c r="BB2086" s="11"/>
      <c r="BK2086" s="11"/>
    </row>
    <row r="2087" spans="1:63" ht="12" customHeight="1" x14ac:dyDescent="0.15">
      <c r="A2087" s="1" t="s">
        <v>101</v>
      </c>
      <c r="B2087" s="1">
        <v>22</v>
      </c>
      <c r="C2087" s="1" t="s">
        <v>20</v>
      </c>
      <c r="D2087" s="1" t="s">
        <v>85</v>
      </c>
      <c r="E2087" s="1" t="s">
        <v>102</v>
      </c>
      <c r="F2087" s="72">
        <v>42280</v>
      </c>
      <c r="G2087" s="1" t="s">
        <v>103</v>
      </c>
      <c r="H2087" s="1" t="s">
        <v>104</v>
      </c>
      <c r="I2087" s="1" t="s">
        <v>69</v>
      </c>
      <c r="J2087" s="4">
        <v>44112</v>
      </c>
      <c r="K2087" s="1" t="s">
        <v>105</v>
      </c>
      <c r="L2087" s="1" t="s">
        <v>106</v>
      </c>
      <c r="M2087" s="1" t="s">
        <v>379</v>
      </c>
      <c r="N2087" s="1" t="s">
        <v>31040</v>
      </c>
      <c r="O2087" s="1" t="s">
        <v>400</v>
      </c>
      <c r="P2087" s="1" t="s">
        <v>401</v>
      </c>
      <c r="Q2087" s="63" t="s">
        <v>107</v>
      </c>
      <c r="R2087" s="1" t="s">
        <v>29</v>
      </c>
      <c r="S2087" s="1" t="s">
        <v>18</v>
      </c>
      <c r="AX2087" s="44"/>
      <c r="AY2087" s="44"/>
      <c r="BC2087" s="44"/>
      <c r="BD2087" s="44"/>
      <c r="BE2087" s="44"/>
      <c r="BF2087" s="44"/>
      <c r="BG2087" s="44"/>
      <c r="BH2087" s="44"/>
      <c r="BI2087" s="44"/>
      <c r="BJ2087" s="44"/>
    </row>
    <row r="2088" spans="1:63" ht="12" customHeight="1" x14ac:dyDescent="0.15">
      <c r="A2088" s="1" t="s">
        <v>120</v>
      </c>
      <c r="B2088" s="68">
        <v>28</v>
      </c>
      <c r="C2088" s="1" t="s">
        <v>20</v>
      </c>
      <c r="D2088" s="1" t="s">
        <v>48</v>
      </c>
      <c r="E2088" s="1" t="s">
        <v>121</v>
      </c>
      <c r="F2088" s="69">
        <v>42279</v>
      </c>
      <c r="G2088" s="1" t="s">
        <v>20240</v>
      </c>
      <c r="H2088" s="1" t="s">
        <v>122</v>
      </c>
      <c r="I2088" s="1" t="s">
        <v>123</v>
      </c>
      <c r="J2088" s="4" t="s">
        <v>12194</v>
      </c>
      <c r="K2088" s="1" t="s">
        <v>124</v>
      </c>
      <c r="M2088" s="1" t="s">
        <v>27</v>
      </c>
      <c r="N2088" s="1" t="s">
        <v>20241</v>
      </c>
      <c r="O2088" s="1" t="s">
        <v>400</v>
      </c>
      <c r="P2088" s="1" t="s">
        <v>401</v>
      </c>
      <c r="Q2088" s="63" t="s">
        <v>20242</v>
      </c>
      <c r="R2088" s="1" t="s">
        <v>100</v>
      </c>
      <c r="S2088" s="1" t="s">
        <v>28</v>
      </c>
      <c r="T2088" s="68" t="s">
        <v>27756</v>
      </c>
      <c r="U2088" s="68" t="s">
        <v>29438</v>
      </c>
      <c r="V2088" s="68" t="s">
        <v>29437</v>
      </c>
      <c r="W2088" s="68" t="s">
        <v>100</v>
      </c>
      <c r="X2088" s="68">
        <v>888</v>
      </c>
      <c r="AW2088" s="44"/>
      <c r="BA2088" s="44"/>
      <c r="BK2088" s="11"/>
    </row>
    <row r="2089" spans="1:63" ht="12" customHeight="1" x14ac:dyDescent="0.15">
      <c r="A2089" s="1" t="s">
        <v>125</v>
      </c>
      <c r="B2089" s="68">
        <v>29</v>
      </c>
      <c r="C2089" s="1" t="s">
        <v>20</v>
      </c>
      <c r="D2089" s="1" t="s">
        <v>37</v>
      </c>
      <c r="E2089" s="1" t="s">
        <v>18916</v>
      </c>
      <c r="F2089" s="69">
        <v>42279</v>
      </c>
      <c r="G2089" s="1" t="s">
        <v>126</v>
      </c>
      <c r="H2089" s="1" t="s">
        <v>127</v>
      </c>
      <c r="I2089" s="1" t="s">
        <v>73</v>
      </c>
      <c r="J2089" s="4" t="s">
        <v>20243</v>
      </c>
      <c r="K2089" s="1" t="s">
        <v>128</v>
      </c>
      <c r="L2089" s="1" t="s">
        <v>129</v>
      </c>
      <c r="M2089" s="1" t="s">
        <v>27</v>
      </c>
      <c r="N2089" s="1" t="s">
        <v>20244</v>
      </c>
      <c r="O2089" s="1" t="s">
        <v>550</v>
      </c>
      <c r="P2089" s="1" t="s">
        <v>401</v>
      </c>
      <c r="Q2089" s="63" t="s">
        <v>20245</v>
      </c>
      <c r="R2089" s="1" t="s">
        <v>100</v>
      </c>
      <c r="S2089" s="13" t="s">
        <v>18</v>
      </c>
      <c r="T2089" s="68" t="s">
        <v>28345</v>
      </c>
      <c r="U2089" s="68" t="s">
        <v>29441</v>
      </c>
      <c r="V2089" s="68" t="s">
        <v>29439</v>
      </c>
      <c r="W2089" s="68" t="s">
        <v>100</v>
      </c>
      <c r="X2089" s="68">
        <v>892</v>
      </c>
      <c r="AW2089" s="44"/>
      <c r="BA2089" s="44"/>
    </row>
    <row r="2090" spans="1:63" ht="12" customHeight="1" x14ac:dyDescent="0.15">
      <c r="A2090" s="1" t="s">
        <v>113</v>
      </c>
      <c r="B2090" s="68">
        <v>55</v>
      </c>
      <c r="C2090" s="1" t="s">
        <v>114</v>
      </c>
      <c r="D2090" s="1" t="s">
        <v>37</v>
      </c>
      <c r="E2090" s="1" t="s">
        <v>18915</v>
      </c>
      <c r="F2090" s="69">
        <v>42279</v>
      </c>
      <c r="G2090" s="1" t="s">
        <v>115</v>
      </c>
      <c r="H2090" s="1" t="s">
        <v>116</v>
      </c>
      <c r="I2090" s="1" t="s">
        <v>117</v>
      </c>
      <c r="J2090" s="4" t="s">
        <v>5153</v>
      </c>
      <c r="K2090" s="1" t="s">
        <v>118</v>
      </c>
      <c r="L2090" s="1" t="s">
        <v>119</v>
      </c>
      <c r="M2090" s="1" t="s">
        <v>27</v>
      </c>
      <c r="N2090" s="1" t="s">
        <v>20246</v>
      </c>
      <c r="O2090" s="1" t="s">
        <v>400</v>
      </c>
      <c r="P2090" s="1" t="s">
        <v>401</v>
      </c>
      <c r="Q2090" s="63" t="s">
        <v>20247</v>
      </c>
      <c r="R2090" s="1" t="s">
        <v>555</v>
      </c>
      <c r="S2090" s="1" t="s">
        <v>28</v>
      </c>
      <c r="T2090" s="68" t="s">
        <v>29493</v>
      </c>
      <c r="U2090" s="68" t="s">
        <v>29436</v>
      </c>
      <c r="V2090" s="68" t="s">
        <v>29439</v>
      </c>
      <c r="W2090" s="68" t="s">
        <v>100</v>
      </c>
      <c r="X2090" s="68">
        <v>890</v>
      </c>
      <c r="BA2090" s="11"/>
      <c r="BB2090" s="44"/>
      <c r="BK2090" s="11"/>
    </row>
    <row r="2091" spans="1:63" ht="12" customHeight="1" x14ac:dyDescent="0.2">
      <c r="A2091" s="1" t="s">
        <v>21111</v>
      </c>
      <c r="B2091" s="68">
        <v>26</v>
      </c>
      <c r="C2091" s="1" t="s">
        <v>20</v>
      </c>
      <c r="D2091" s="1" t="s">
        <v>48</v>
      </c>
      <c r="F2091" s="69">
        <v>42279</v>
      </c>
      <c r="G2091" s="1" t="s">
        <v>108</v>
      </c>
      <c r="H2091" s="1" t="s">
        <v>109</v>
      </c>
      <c r="I2091" s="1" t="s">
        <v>45</v>
      </c>
      <c r="J2091" s="4">
        <v>92376</v>
      </c>
      <c r="K2091" s="1" t="s">
        <v>110</v>
      </c>
      <c r="L2091" s="1" t="s">
        <v>111</v>
      </c>
      <c r="M2091" s="68" t="s">
        <v>5411</v>
      </c>
      <c r="P2091" s="1" t="s">
        <v>401</v>
      </c>
      <c r="Q2091" s="63" t="s">
        <v>112</v>
      </c>
      <c r="R2091" s="1" t="s">
        <v>29</v>
      </c>
      <c r="S2091" s="1" t="s">
        <v>28</v>
      </c>
      <c r="T2091" s="68" t="s">
        <v>29493</v>
      </c>
      <c r="U2091" s="68" t="s">
        <v>29438</v>
      </c>
      <c r="V2091" s="68" t="s">
        <v>29439</v>
      </c>
      <c r="W2091" s="68" t="s">
        <v>100</v>
      </c>
      <c r="X2091" s="68">
        <v>889</v>
      </c>
      <c r="AW2091" s="44"/>
      <c r="BB2091" s="70"/>
    </row>
    <row r="2092" spans="1:63" ht="12" customHeight="1" x14ac:dyDescent="0.15">
      <c r="A2092" s="1" t="s">
        <v>146</v>
      </c>
      <c r="B2092" s="68">
        <v>28</v>
      </c>
      <c r="C2092" s="1" t="s">
        <v>20</v>
      </c>
      <c r="D2092" s="1" t="s">
        <v>85</v>
      </c>
      <c r="E2092" s="1" t="s">
        <v>147</v>
      </c>
      <c r="F2092" s="69">
        <v>42277</v>
      </c>
      <c r="G2092" s="1" t="s">
        <v>148</v>
      </c>
      <c r="H2092" s="1" t="s">
        <v>149</v>
      </c>
      <c r="I2092" s="1" t="s">
        <v>150</v>
      </c>
      <c r="J2092" s="4" t="s">
        <v>19794</v>
      </c>
      <c r="K2092" s="1" t="s">
        <v>151</v>
      </c>
      <c r="L2092" s="1" t="s">
        <v>152</v>
      </c>
      <c r="M2092" s="1" t="s">
        <v>27</v>
      </c>
      <c r="N2092" s="1" t="s">
        <v>18988</v>
      </c>
      <c r="O2092" s="1" t="s">
        <v>1010</v>
      </c>
      <c r="P2092" s="1" t="s">
        <v>401</v>
      </c>
      <c r="Q2092" s="63" t="s">
        <v>19795</v>
      </c>
      <c r="R2092" s="1" t="s">
        <v>100</v>
      </c>
      <c r="S2092" s="1" t="s">
        <v>28</v>
      </c>
      <c r="T2092" s="68" t="s">
        <v>27756</v>
      </c>
      <c r="U2092" s="68" t="s">
        <v>29438</v>
      </c>
      <c r="V2092" s="68" t="s">
        <v>29437</v>
      </c>
      <c r="W2092" s="68" t="s">
        <v>100</v>
      </c>
      <c r="X2092" s="68">
        <v>876</v>
      </c>
      <c r="AW2092" s="44"/>
      <c r="AX2092" s="11"/>
      <c r="AY2092" s="11"/>
      <c r="BA2092" s="44"/>
      <c r="BC2092" s="44"/>
      <c r="BD2092" s="44"/>
      <c r="BE2092" s="44"/>
      <c r="BF2092" s="44"/>
      <c r="BG2092" s="44"/>
      <c r="BH2092" s="44"/>
      <c r="BI2092" s="44"/>
      <c r="BJ2092" s="44"/>
      <c r="BK2092" s="11"/>
    </row>
    <row r="2093" spans="1:63" ht="12" customHeight="1" x14ac:dyDescent="0.15">
      <c r="A2093" s="1" t="s">
        <v>136</v>
      </c>
      <c r="B2093" s="1">
        <v>40</v>
      </c>
      <c r="C2093" s="1" t="s">
        <v>20</v>
      </c>
      <c r="D2093" s="1" t="s">
        <v>37</v>
      </c>
      <c r="E2093" s="1" t="s">
        <v>137</v>
      </c>
      <c r="F2093" s="72">
        <v>42277</v>
      </c>
      <c r="G2093" s="1" t="s">
        <v>20932</v>
      </c>
      <c r="H2093" s="1" t="s">
        <v>20931</v>
      </c>
      <c r="I2093" s="1" t="s">
        <v>73</v>
      </c>
      <c r="J2093" s="4">
        <v>78382</v>
      </c>
      <c r="K2093" s="1" t="s">
        <v>20930</v>
      </c>
      <c r="L2093" s="1" t="s">
        <v>15627</v>
      </c>
      <c r="M2093" s="1" t="s">
        <v>2291</v>
      </c>
      <c r="N2093" s="1" t="s">
        <v>20929</v>
      </c>
      <c r="P2093" s="1" t="s">
        <v>401</v>
      </c>
      <c r="Q2093" s="7" t="str">
        <f>HYPERLINK("http://www.kristv.com/story/30147782/texas-rangers-investigating-aransas-co-death","http://www.kristv.com/story/30147782/texas-rangers-investigating-aransas-co-death")</f>
        <v>http://www.kristv.com/story/30147782/texas-rangers-investigating-aransas-co-death</v>
      </c>
      <c r="R2093" s="1" t="s">
        <v>29</v>
      </c>
      <c r="S2093" s="1" t="s">
        <v>28</v>
      </c>
      <c r="AX2093" s="44"/>
      <c r="AY2093" s="44"/>
      <c r="AZ2093" s="44"/>
    </row>
    <row r="2094" spans="1:63" ht="12" customHeight="1" x14ac:dyDescent="0.15">
      <c r="A2094" s="1" t="s">
        <v>130</v>
      </c>
      <c r="B2094" s="68">
        <v>37</v>
      </c>
      <c r="C2094" s="1" t="s">
        <v>20</v>
      </c>
      <c r="D2094" s="1" t="s">
        <v>37</v>
      </c>
      <c r="E2094" s="1" t="s">
        <v>131</v>
      </c>
      <c r="F2094" s="69">
        <v>42276</v>
      </c>
      <c r="G2094" s="1" t="s">
        <v>24427</v>
      </c>
      <c r="H2094" s="1" t="s">
        <v>132</v>
      </c>
      <c r="I2094" s="1" t="s">
        <v>133</v>
      </c>
      <c r="J2094" s="4" t="s">
        <v>19791</v>
      </c>
      <c r="K2094" s="1" t="s">
        <v>134</v>
      </c>
      <c r="L2094" s="1" t="s">
        <v>135</v>
      </c>
      <c r="M2094" s="1" t="s">
        <v>27</v>
      </c>
      <c r="N2094" s="1" t="s">
        <v>19792</v>
      </c>
      <c r="O2094" s="1" t="s">
        <v>400</v>
      </c>
      <c r="P2094" s="1" t="s">
        <v>401</v>
      </c>
      <c r="Q2094" s="63" t="s">
        <v>19793</v>
      </c>
      <c r="R2094" s="1" t="s">
        <v>100</v>
      </c>
      <c r="S2094" s="1" t="s">
        <v>18</v>
      </c>
      <c r="T2094" s="68" t="s">
        <v>28345</v>
      </c>
      <c r="U2094" s="68" t="s">
        <v>29438</v>
      </c>
      <c r="V2094" s="68" t="s">
        <v>29439</v>
      </c>
      <c r="W2094" s="68" t="s">
        <v>100</v>
      </c>
      <c r="X2094" s="68">
        <v>880</v>
      </c>
      <c r="AW2094" s="11"/>
      <c r="BA2094" s="44"/>
    </row>
    <row r="2095" spans="1:63" ht="12" customHeight="1" x14ac:dyDescent="0.15">
      <c r="A2095" s="1" t="s">
        <v>138</v>
      </c>
      <c r="B2095" s="68">
        <v>46</v>
      </c>
      <c r="C2095" s="1" t="s">
        <v>20</v>
      </c>
      <c r="D2095" s="1" t="s">
        <v>139</v>
      </c>
      <c r="E2095" s="1" t="s">
        <v>140</v>
      </c>
      <c r="F2095" s="69">
        <v>42276</v>
      </c>
      <c r="G2095" s="1" t="s">
        <v>141</v>
      </c>
      <c r="H2095" s="1" t="s">
        <v>142</v>
      </c>
      <c r="I2095" s="1" t="s">
        <v>143</v>
      </c>
      <c r="J2095" s="4" t="s">
        <v>5385</v>
      </c>
      <c r="K2095" s="1" t="s">
        <v>144</v>
      </c>
      <c r="L2095" s="1" t="s">
        <v>145</v>
      </c>
      <c r="M2095" s="1" t="s">
        <v>27</v>
      </c>
      <c r="N2095" s="1" t="s">
        <v>19796</v>
      </c>
      <c r="O2095" s="1" t="s">
        <v>400</v>
      </c>
      <c r="P2095" s="1" t="s">
        <v>401</v>
      </c>
      <c r="Q2095" s="63" t="s">
        <v>19797</v>
      </c>
      <c r="R2095" s="1" t="s">
        <v>100</v>
      </c>
      <c r="S2095" s="1" t="s">
        <v>35</v>
      </c>
      <c r="T2095" s="68" t="s">
        <v>29457</v>
      </c>
      <c r="U2095" s="68" t="s">
        <v>29438</v>
      </c>
      <c r="V2095" s="68" t="s">
        <v>29439</v>
      </c>
      <c r="W2095" s="68" t="s">
        <v>100</v>
      </c>
      <c r="X2095" s="68">
        <v>877</v>
      </c>
      <c r="BA2095" s="44"/>
    </row>
    <row r="2096" spans="1:63" ht="12" customHeight="1" x14ac:dyDescent="0.2">
      <c r="A2096" s="1" t="s">
        <v>158</v>
      </c>
      <c r="B2096" s="68">
        <v>31</v>
      </c>
      <c r="C2096" s="1" t="s">
        <v>20</v>
      </c>
      <c r="D2096" s="1" t="s">
        <v>85</v>
      </c>
      <c r="E2096" s="1" t="s">
        <v>159</v>
      </c>
      <c r="F2096" s="69">
        <v>42275</v>
      </c>
      <c r="G2096" s="1" t="s">
        <v>19800</v>
      </c>
      <c r="H2096" s="1" t="s">
        <v>160</v>
      </c>
      <c r="I2096" s="1" t="s">
        <v>62</v>
      </c>
      <c r="J2096" s="4" t="s">
        <v>19801</v>
      </c>
      <c r="K2096" s="1" t="s">
        <v>161</v>
      </c>
      <c r="L2096" s="1" t="s">
        <v>162</v>
      </c>
      <c r="M2096" s="68" t="s">
        <v>5411</v>
      </c>
      <c r="N2096" s="1" t="s">
        <v>19802</v>
      </c>
      <c r="O2096" s="1" t="s">
        <v>400</v>
      </c>
      <c r="P2096" s="1" t="s">
        <v>401</v>
      </c>
      <c r="Q2096" s="63" t="s">
        <v>19803</v>
      </c>
      <c r="R2096" s="1" t="s">
        <v>100</v>
      </c>
      <c r="S2096" s="1" t="s">
        <v>18</v>
      </c>
      <c r="T2096" s="68" t="s">
        <v>28345</v>
      </c>
      <c r="U2096" s="68" t="s">
        <v>29438</v>
      </c>
      <c r="V2096" s="68" t="s">
        <v>29440</v>
      </c>
      <c r="W2096" s="68" t="s">
        <v>100</v>
      </c>
      <c r="X2096" s="68">
        <v>872</v>
      </c>
      <c r="AW2096" s="11"/>
      <c r="AX2096" s="11"/>
      <c r="AY2096" s="11"/>
      <c r="BA2096" s="44"/>
      <c r="BB2096" s="70"/>
      <c r="BC2096" s="44"/>
      <c r="BD2096" s="44"/>
      <c r="BE2096" s="44"/>
      <c r="BF2096" s="44"/>
      <c r="BG2096" s="44"/>
      <c r="BH2096" s="44"/>
      <c r="BI2096" s="44"/>
      <c r="BJ2096" s="44"/>
    </row>
    <row r="2097" spans="1:63" ht="12" customHeight="1" x14ac:dyDescent="0.15">
      <c r="A2097" s="1" t="s">
        <v>155</v>
      </c>
      <c r="B2097" s="68">
        <v>59</v>
      </c>
      <c r="C2097" s="1" t="s">
        <v>20</v>
      </c>
      <c r="D2097" s="1" t="s">
        <v>48</v>
      </c>
      <c r="F2097" s="69">
        <v>42275</v>
      </c>
      <c r="G2097" s="1" t="s">
        <v>24428</v>
      </c>
      <c r="H2097" s="1" t="s">
        <v>156</v>
      </c>
      <c r="I2097" s="1" t="s">
        <v>45</v>
      </c>
      <c r="J2097" s="4" t="s">
        <v>13004</v>
      </c>
      <c r="K2097" s="1" t="s">
        <v>156</v>
      </c>
      <c r="L2097" s="1" t="s">
        <v>157</v>
      </c>
      <c r="M2097" s="1" t="s">
        <v>27</v>
      </c>
      <c r="N2097" s="1" t="s">
        <v>19798</v>
      </c>
      <c r="O2097" s="1" t="s">
        <v>1010</v>
      </c>
      <c r="P2097" s="1" t="s">
        <v>401</v>
      </c>
      <c r="Q2097" s="63" t="s">
        <v>19799</v>
      </c>
      <c r="R2097" s="1" t="s">
        <v>100</v>
      </c>
      <c r="S2097" s="1" t="s">
        <v>18</v>
      </c>
      <c r="T2097" s="68" t="s">
        <v>29612</v>
      </c>
      <c r="U2097" s="68" t="s">
        <v>29438</v>
      </c>
      <c r="V2097" s="68" t="s">
        <v>29439</v>
      </c>
      <c r="W2097" s="68" t="s">
        <v>555</v>
      </c>
      <c r="X2097" s="68">
        <v>873</v>
      </c>
      <c r="BA2097" s="44"/>
    </row>
    <row r="2098" spans="1:63" ht="12" customHeight="1" x14ac:dyDescent="0.15">
      <c r="A2098" s="1" t="s">
        <v>153</v>
      </c>
      <c r="B2098" s="1">
        <v>33</v>
      </c>
      <c r="C2098" s="1" t="s">
        <v>20</v>
      </c>
      <c r="D2098" s="1" t="s">
        <v>48</v>
      </c>
      <c r="E2098" s="1" t="s">
        <v>154</v>
      </c>
      <c r="F2098" s="72">
        <v>42275</v>
      </c>
      <c r="H2098" s="1" t="s">
        <v>606</v>
      </c>
      <c r="I2098" s="1" t="s">
        <v>45</v>
      </c>
      <c r="K2098" s="1" t="s">
        <v>607</v>
      </c>
      <c r="L2098" s="1" t="s">
        <v>20933</v>
      </c>
      <c r="M2098" s="1" t="s">
        <v>5628</v>
      </c>
      <c r="P2098" s="1" t="s">
        <v>401</v>
      </c>
      <c r="Q2098" s="63"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2098" s="1" t="s">
        <v>29</v>
      </c>
      <c r="S2098" s="1" t="s">
        <v>28</v>
      </c>
    </row>
    <row r="2099" spans="1:63" ht="12" customHeight="1" x14ac:dyDescent="0.15">
      <c r="A2099" s="1" t="s">
        <v>163</v>
      </c>
      <c r="B2099" s="68">
        <v>40</v>
      </c>
      <c r="C2099" s="1" t="s">
        <v>20</v>
      </c>
      <c r="D2099" s="1" t="s">
        <v>48</v>
      </c>
      <c r="E2099" s="1" t="s">
        <v>164</v>
      </c>
      <c r="F2099" s="69">
        <v>42274</v>
      </c>
      <c r="G2099" s="1" t="s">
        <v>24429</v>
      </c>
      <c r="H2099" s="1" t="s">
        <v>165</v>
      </c>
      <c r="I2099" s="1" t="s">
        <v>73</v>
      </c>
      <c r="J2099" s="4" t="s">
        <v>19811</v>
      </c>
      <c r="K2099" s="1" t="s">
        <v>166</v>
      </c>
      <c r="L2099" s="1" t="s">
        <v>167</v>
      </c>
      <c r="M2099" s="1" t="s">
        <v>27</v>
      </c>
      <c r="N2099" s="1" t="s">
        <v>19812</v>
      </c>
      <c r="O2099" s="1" t="s">
        <v>400</v>
      </c>
      <c r="P2099" s="1" t="s">
        <v>401</v>
      </c>
      <c r="Q2099" s="63" t="s">
        <v>19813</v>
      </c>
      <c r="R2099" s="1" t="s">
        <v>100</v>
      </c>
      <c r="S2099" s="1" t="s">
        <v>28</v>
      </c>
      <c r="T2099" s="68" t="s">
        <v>27756</v>
      </c>
      <c r="U2099" s="68" t="s">
        <v>29438</v>
      </c>
      <c r="V2099" s="68" t="s">
        <v>29439</v>
      </c>
      <c r="W2099" s="68" t="s">
        <v>100</v>
      </c>
      <c r="X2099" s="68">
        <v>875</v>
      </c>
      <c r="AW2099" s="44"/>
      <c r="BA2099" s="44"/>
      <c r="BK2099" s="11"/>
    </row>
    <row r="2100" spans="1:63" ht="12" customHeight="1" x14ac:dyDescent="0.15">
      <c r="A2100" s="1" t="s">
        <v>171</v>
      </c>
      <c r="B2100" s="68">
        <v>43</v>
      </c>
      <c r="C2100" s="1" t="s">
        <v>20</v>
      </c>
      <c r="D2100" s="1" t="s">
        <v>37</v>
      </c>
      <c r="E2100" s="1" t="s">
        <v>20752</v>
      </c>
      <c r="F2100" s="69">
        <v>42274</v>
      </c>
      <c r="G2100" s="1" t="s">
        <v>19804</v>
      </c>
      <c r="H2100" s="1" t="s">
        <v>172</v>
      </c>
      <c r="I2100" s="1" t="s">
        <v>173</v>
      </c>
      <c r="J2100" s="4" t="s">
        <v>19805</v>
      </c>
      <c r="K2100" s="1" t="s">
        <v>174</v>
      </c>
      <c r="L2100" s="1" t="s">
        <v>175</v>
      </c>
      <c r="M2100" s="1" t="s">
        <v>27</v>
      </c>
      <c r="N2100" s="1" t="s">
        <v>19806</v>
      </c>
      <c r="O2100" s="1" t="s">
        <v>400</v>
      </c>
      <c r="P2100" s="1" t="s">
        <v>401</v>
      </c>
      <c r="Q2100" s="63" t="s">
        <v>19807</v>
      </c>
      <c r="R2100" s="1" t="s">
        <v>100</v>
      </c>
      <c r="S2100" s="1" t="s">
        <v>28</v>
      </c>
      <c r="T2100" s="68" t="s">
        <v>27756</v>
      </c>
      <c r="U2100" s="68" t="s">
        <v>29438</v>
      </c>
      <c r="V2100" s="68" t="s">
        <v>29439</v>
      </c>
      <c r="W2100" s="68" t="s">
        <v>100</v>
      </c>
      <c r="X2100" s="68">
        <v>874</v>
      </c>
      <c r="AW2100" s="64"/>
      <c r="BA2100" s="44"/>
      <c r="BB2100" s="44"/>
      <c r="BK2100" s="11"/>
    </row>
    <row r="2101" spans="1:63" ht="12" customHeight="1" x14ac:dyDescent="0.15">
      <c r="A2101" s="1" t="s">
        <v>168</v>
      </c>
      <c r="B2101" s="68">
        <v>37</v>
      </c>
      <c r="C2101" s="1" t="s">
        <v>114</v>
      </c>
      <c r="D2101" s="1" t="s">
        <v>48</v>
      </c>
      <c r="E2101" s="1" t="s">
        <v>169</v>
      </c>
      <c r="F2101" s="69">
        <v>42274</v>
      </c>
      <c r="G2101" s="1" t="s">
        <v>170</v>
      </c>
      <c r="H2101" s="1" t="s">
        <v>98</v>
      </c>
      <c r="I2101" s="1" t="s">
        <v>45</v>
      </c>
      <c r="J2101" s="4" t="s">
        <v>19808</v>
      </c>
      <c r="K2101" s="1" t="s">
        <v>98</v>
      </c>
      <c r="L2101" s="1" t="s">
        <v>99</v>
      </c>
      <c r="M2101" s="1" t="s">
        <v>27</v>
      </c>
      <c r="N2101" s="1" t="s">
        <v>19809</v>
      </c>
      <c r="O2101" s="1" t="s">
        <v>400</v>
      </c>
      <c r="P2101" s="1" t="s">
        <v>401</v>
      </c>
      <c r="Q2101" s="63" t="s">
        <v>19810</v>
      </c>
      <c r="R2101" s="68" t="s">
        <v>555</v>
      </c>
      <c r="S2101" s="1" t="s">
        <v>28</v>
      </c>
      <c r="T2101" s="68" t="s">
        <v>29493</v>
      </c>
      <c r="U2101" s="68" t="s">
        <v>29436</v>
      </c>
      <c r="V2101" s="68" t="s">
        <v>29439</v>
      </c>
      <c r="W2101" s="68" t="s">
        <v>555</v>
      </c>
      <c r="X2101" s="68">
        <v>871</v>
      </c>
      <c r="AI2101" s="64"/>
      <c r="AJ2101" s="64"/>
      <c r="AK2101" s="64"/>
      <c r="AL2101" s="64"/>
      <c r="AW2101" s="44"/>
      <c r="BA2101" s="44"/>
      <c r="BB2101" s="11"/>
      <c r="BK2101" s="11"/>
    </row>
    <row r="2102" spans="1:63" ht="12" customHeight="1" x14ac:dyDescent="0.15">
      <c r="A2102" s="1" t="s">
        <v>187</v>
      </c>
      <c r="B2102" s="68">
        <v>46</v>
      </c>
      <c r="C2102" s="1" t="s">
        <v>20</v>
      </c>
      <c r="D2102" s="1" t="s">
        <v>85</v>
      </c>
      <c r="E2102" s="1" t="s">
        <v>188</v>
      </c>
      <c r="F2102" s="69">
        <v>42273</v>
      </c>
      <c r="G2102" s="1" t="s">
        <v>19816</v>
      </c>
      <c r="H2102" s="1" t="s">
        <v>189</v>
      </c>
      <c r="I2102" s="1" t="s">
        <v>25</v>
      </c>
      <c r="J2102" s="4" t="s">
        <v>19817</v>
      </c>
      <c r="K2102" s="1" t="s">
        <v>3743</v>
      </c>
      <c r="L2102" s="1" t="s">
        <v>190</v>
      </c>
      <c r="M2102" s="1" t="s">
        <v>27</v>
      </c>
      <c r="N2102" s="1" t="s">
        <v>19818</v>
      </c>
      <c r="O2102" s="1" t="s">
        <v>400</v>
      </c>
      <c r="P2102" s="1" t="s">
        <v>401</v>
      </c>
      <c r="Q2102" s="63" t="s">
        <v>19819</v>
      </c>
      <c r="R2102" s="1" t="s">
        <v>100</v>
      </c>
      <c r="S2102" s="1" t="s">
        <v>28</v>
      </c>
      <c r="T2102" s="68" t="s">
        <v>29493</v>
      </c>
      <c r="U2102" s="68" t="s">
        <v>29438</v>
      </c>
      <c r="V2102" s="68" t="s">
        <v>29439</v>
      </c>
      <c r="W2102" s="68" t="s">
        <v>100</v>
      </c>
      <c r="X2102" s="68">
        <v>869</v>
      </c>
      <c r="AX2102" s="44"/>
      <c r="AY2102" s="44"/>
      <c r="BA2102" s="44"/>
      <c r="BC2102" s="44"/>
      <c r="BD2102" s="44"/>
      <c r="BE2102" s="44"/>
      <c r="BF2102" s="44"/>
      <c r="BG2102" s="44"/>
      <c r="BH2102" s="44"/>
      <c r="BI2102" s="44"/>
      <c r="BJ2102" s="44"/>
      <c r="BK2102" s="11"/>
    </row>
    <row r="2103" spans="1:63" ht="12" customHeight="1" x14ac:dyDescent="0.15">
      <c r="A2103" s="1" t="s">
        <v>191</v>
      </c>
      <c r="B2103" s="68">
        <v>23</v>
      </c>
      <c r="C2103" s="1" t="s">
        <v>20</v>
      </c>
      <c r="D2103" s="1" t="s">
        <v>48</v>
      </c>
      <c r="E2103" s="1" t="s">
        <v>192</v>
      </c>
      <c r="F2103" s="69">
        <v>42273</v>
      </c>
      <c r="G2103" s="1" t="s">
        <v>193</v>
      </c>
      <c r="H2103" s="1" t="s">
        <v>194</v>
      </c>
      <c r="I2103" s="1" t="s">
        <v>195</v>
      </c>
      <c r="J2103" s="4" t="s">
        <v>13356</v>
      </c>
      <c r="K2103" s="1" t="s">
        <v>786</v>
      </c>
      <c r="L2103" s="1" t="s">
        <v>196</v>
      </c>
      <c r="M2103" s="1" t="s">
        <v>27</v>
      </c>
      <c r="N2103" s="1" t="s">
        <v>19814</v>
      </c>
      <c r="O2103" s="1" t="s">
        <v>400</v>
      </c>
      <c r="P2103" s="1" t="s">
        <v>401</v>
      </c>
      <c r="Q2103" s="63" t="s">
        <v>19815</v>
      </c>
      <c r="R2103" s="1" t="s">
        <v>100</v>
      </c>
      <c r="S2103" s="1" t="s">
        <v>28</v>
      </c>
      <c r="T2103" s="68" t="s">
        <v>27756</v>
      </c>
      <c r="U2103" s="68" t="s">
        <v>29438</v>
      </c>
      <c r="V2103" s="68" t="s">
        <v>29439</v>
      </c>
      <c r="W2103" s="68" t="s">
        <v>100</v>
      </c>
      <c r="X2103" s="68">
        <v>870</v>
      </c>
      <c r="AW2103" s="11"/>
      <c r="BA2103" s="44"/>
      <c r="BK2103" s="11"/>
    </row>
    <row r="2104" spans="1:63" ht="12" customHeight="1" x14ac:dyDescent="0.15">
      <c r="A2104" s="1" t="s">
        <v>183</v>
      </c>
      <c r="B2104" s="1">
        <v>16</v>
      </c>
      <c r="C2104" s="1" t="s">
        <v>114</v>
      </c>
      <c r="D2104" s="1" t="s">
        <v>37</v>
      </c>
      <c r="E2104" s="1" t="s">
        <v>184</v>
      </c>
      <c r="F2104" s="72">
        <v>42273</v>
      </c>
      <c r="G2104" s="1" t="s">
        <v>19820</v>
      </c>
      <c r="H2104" s="1" t="s">
        <v>2080</v>
      </c>
      <c r="I2104" s="1" t="s">
        <v>173</v>
      </c>
      <c r="J2104" s="4" t="s">
        <v>2081</v>
      </c>
      <c r="K2104" s="1" t="s">
        <v>2082</v>
      </c>
      <c r="L2104" s="1" t="s">
        <v>19821</v>
      </c>
      <c r="M2104" s="1" t="s">
        <v>379</v>
      </c>
      <c r="N2104" s="1" t="s">
        <v>19822</v>
      </c>
      <c r="O2104" s="1" t="s">
        <v>400</v>
      </c>
      <c r="P2104" s="1" t="s">
        <v>401</v>
      </c>
      <c r="Q2104" s="63" t="s">
        <v>19823</v>
      </c>
      <c r="R2104" s="1" t="s">
        <v>100</v>
      </c>
      <c r="S2104" s="66" t="s">
        <v>379</v>
      </c>
      <c r="T2104" s="66" t="s">
        <v>30738</v>
      </c>
      <c r="AM2104" s="64"/>
      <c r="AN2104" s="64"/>
      <c r="AO2104" s="64"/>
      <c r="AP2104" s="64"/>
      <c r="AQ2104" s="64"/>
      <c r="AR2104" s="64"/>
      <c r="AS2104" s="64"/>
      <c r="AT2104" s="64"/>
    </row>
    <row r="2105" spans="1:63" ht="12" customHeight="1" x14ac:dyDescent="0.15">
      <c r="A2105" s="1" t="s">
        <v>181</v>
      </c>
      <c r="B2105" s="1">
        <v>17</v>
      </c>
      <c r="C2105" s="1" t="s">
        <v>114</v>
      </c>
      <c r="D2105" s="1" t="s">
        <v>37</v>
      </c>
      <c r="E2105" s="1" t="s">
        <v>182</v>
      </c>
      <c r="F2105" s="72">
        <v>42273</v>
      </c>
      <c r="G2105" s="1" t="s">
        <v>19820</v>
      </c>
      <c r="H2105" s="1" t="s">
        <v>2080</v>
      </c>
      <c r="I2105" s="1" t="s">
        <v>173</v>
      </c>
      <c r="J2105" s="4" t="s">
        <v>2081</v>
      </c>
      <c r="K2105" s="1" t="s">
        <v>2082</v>
      </c>
      <c r="L2105" s="1" t="s">
        <v>19821</v>
      </c>
      <c r="M2105" s="1" t="s">
        <v>379</v>
      </c>
      <c r="N2105" s="1" t="s">
        <v>19824</v>
      </c>
      <c r="O2105" s="1" t="s">
        <v>400</v>
      </c>
      <c r="P2105" s="1" t="s">
        <v>401</v>
      </c>
      <c r="Q2105" s="63" t="s">
        <v>19823</v>
      </c>
      <c r="R2105" s="1" t="s">
        <v>100</v>
      </c>
      <c r="S2105" s="66" t="s">
        <v>379</v>
      </c>
      <c r="T2105" s="66" t="s">
        <v>30738</v>
      </c>
      <c r="AU2105" s="44"/>
      <c r="AV2105" s="44"/>
      <c r="AW2105" s="44"/>
    </row>
    <row r="2106" spans="1:63" ht="12" customHeight="1" x14ac:dyDescent="0.2">
      <c r="A2106" s="1" t="s">
        <v>185</v>
      </c>
      <c r="B2106" s="68">
        <v>33</v>
      </c>
      <c r="C2106" s="1" t="s">
        <v>20</v>
      </c>
      <c r="D2106" s="1" t="s">
        <v>85</v>
      </c>
      <c r="F2106" s="69">
        <v>42272</v>
      </c>
      <c r="G2106" s="1" t="s">
        <v>186</v>
      </c>
      <c r="H2106" s="1" t="s">
        <v>87</v>
      </c>
      <c r="I2106" s="1" t="s">
        <v>44</v>
      </c>
      <c r="J2106" s="4" t="s">
        <v>19825</v>
      </c>
      <c r="K2106" s="1" t="s">
        <v>88</v>
      </c>
      <c r="L2106" s="1" t="s">
        <v>89</v>
      </c>
      <c r="M2106" s="68" t="s">
        <v>5411</v>
      </c>
      <c r="N2106" s="1" t="s">
        <v>19826</v>
      </c>
      <c r="O2106" s="1" t="s">
        <v>400</v>
      </c>
      <c r="P2106" s="1" t="s">
        <v>401</v>
      </c>
      <c r="Q2106" s="63" t="s">
        <v>19827</v>
      </c>
      <c r="R2106" s="1" t="s">
        <v>100</v>
      </c>
      <c r="S2106" s="1" t="s">
        <v>28</v>
      </c>
      <c r="T2106" s="68" t="s">
        <v>29478</v>
      </c>
      <c r="U2106" s="68" t="s">
        <v>29436</v>
      </c>
      <c r="V2106" s="68" t="s">
        <v>29439</v>
      </c>
      <c r="W2106" s="68" t="s">
        <v>100</v>
      </c>
      <c r="X2106" s="68">
        <v>867</v>
      </c>
      <c r="AW2106" s="11"/>
      <c r="AX2106" s="11"/>
      <c r="AY2106" s="11"/>
      <c r="BA2106" s="44"/>
      <c r="BB2106" s="70"/>
      <c r="BC2106" s="44"/>
      <c r="BD2106" s="44"/>
      <c r="BE2106" s="44"/>
      <c r="BF2106" s="44"/>
      <c r="BG2106" s="44"/>
      <c r="BH2106" s="44"/>
      <c r="BI2106" s="44"/>
      <c r="BJ2106" s="44"/>
    </row>
    <row r="2107" spans="1:63" ht="12" customHeight="1" x14ac:dyDescent="0.15">
      <c r="A2107" s="1" t="s">
        <v>176</v>
      </c>
      <c r="B2107" s="68">
        <v>45</v>
      </c>
      <c r="C2107" s="1" t="s">
        <v>20</v>
      </c>
      <c r="D2107" s="1" t="s">
        <v>37</v>
      </c>
      <c r="E2107" s="1" t="s">
        <v>177</v>
      </c>
      <c r="F2107" s="69">
        <v>42272</v>
      </c>
      <c r="G2107" s="1" t="s">
        <v>24431</v>
      </c>
      <c r="H2107" s="1" t="s">
        <v>178</v>
      </c>
      <c r="I2107" s="1" t="s">
        <v>123</v>
      </c>
      <c r="J2107" s="4" t="s">
        <v>19828</v>
      </c>
      <c r="K2107" s="1" t="s">
        <v>179</v>
      </c>
      <c r="L2107" s="1" t="s">
        <v>180</v>
      </c>
      <c r="M2107" s="1" t="s">
        <v>27</v>
      </c>
      <c r="N2107" s="1" t="s">
        <v>19829</v>
      </c>
      <c r="O2107" s="1" t="s">
        <v>400</v>
      </c>
      <c r="P2107" s="1" t="s">
        <v>401</v>
      </c>
      <c r="Q2107" s="63" t="s">
        <v>19830</v>
      </c>
      <c r="R2107" s="1" t="s">
        <v>100</v>
      </c>
      <c r="S2107" s="1" t="s">
        <v>28</v>
      </c>
      <c r="T2107" s="68" t="s">
        <v>27756</v>
      </c>
      <c r="U2107" s="68" t="s">
        <v>29438</v>
      </c>
      <c r="V2107" s="68" t="s">
        <v>29439</v>
      </c>
      <c r="W2107" s="68" t="s">
        <v>100</v>
      </c>
      <c r="X2107" s="68">
        <v>868</v>
      </c>
      <c r="BA2107" s="44"/>
      <c r="BK2107" s="11"/>
    </row>
    <row r="2108" spans="1:63" ht="12" customHeight="1" x14ac:dyDescent="0.15">
      <c r="A2108" s="1" t="s">
        <v>202</v>
      </c>
      <c r="B2108" s="68">
        <v>21</v>
      </c>
      <c r="C2108" s="1" t="s">
        <v>20</v>
      </c>
      <c r="D2108" s="1" t="s">
        <v>37</v>
      </c>
      <c r="E2108" s="1" t="s">
        <v>203</v>
      </c>
      <c r="F2108" s="69">
        <v>42272</v>
      </c>
      <c r="G2108" s="1" t="s">
        <v>24430</v>
      </c>
      <c r="H2108" s="1" t="s">
        <v>204</v>
      </c>
      <c r="I2108" s="1" t="s">
        <v>69</v>
      </c>
      <c r="J2108" s="4" t="s">
        <v>19831</v>
      </c>
      <c r="K2108" s="1" t="s">
        <v>3466</v>
      </c>
      <c r="L2108" s="1" t="s">
        <v>205</v>
      </c>
      <c r="M2108" s="1" t="s">
        <v>27</v>
      </c>
      <c r="N2108" s="1" t="s">
        <v>19832</v>
      </c>
      <c r="O2108" s="1" t="s">
        <v>400</v>
      </c>
      <c r="P2108" s="1" t="s">
        <v>401</v>
      </c>
      <c r="Q2108" s="63" t="s">
        <v>19833</v>
      </c>
      <c r="R2108" s="1" t="s">
        <v>100</v>
      </c>
      <c r="S2108" s="1" t="s">
        <v>18</v>
      </c>
      <c r="T2108" s="68" t="s">
        <v>28345</v>
      </c>
      <c r="U2108" s="68" t="s">
        <v>29441</v>
      </c>
      <c r="V2108" s="68" t="s">
        <v>21212</v>
      </c>
      <c r="W2108" s="68" t="s">
        <v>100</v>
      </c>
      <c r="X2108" s="68">
        <v>866</v>
      </c>
      <c r="AW2108" s="44"/>
      <c r="BA2108" s="44"/>
    </row>
    <row r="2109" spans="1:63" ht="12" customHeight="1" x14ac:dyDescent="0.15">
      <c r="A2109" s="1" t="s">
        <v>197</v>
      </c>
      <c r="B2109" s="1">
        <v>40</v>
      </c>
      <c r="C2109" s="1" t="s">
        <v>20</v>
      </c>
      <c r="D2109" s="1" t="s">
        <v>48</v>
      </c>
      <c r="E2109" s="1" t="s">
        <v>198</v>
      </c>
      <c r="F2109" s="72">
        <v>42272</v>
      </c>
      <c r="G2109" s="1" t="s">
        <v>199</v>
      </c>
      <c r="H2109" s="1" t="s">
        <v>200</v>
      </c>
      <c r="I2109" s="1" t="s">
        <v>45</v>
      </c>
      <c r="J2109" s="4" t="s">
        <v>15514</v>
      </c>
      <c r="K2109" s="1" t="s">
        <v>200</v>
      </c>
      <c r="L2109" s="1" t="s">
        <v>201</v>
      </c>
      <c r="M2109" s="1" t="s">
        <v>27</v>
      </c>
      <c r="N2109" s="1" t="s">
        <v>20252</v>
      </c>
      <c r="O2109" s="1" t="s">
        <v>400</v>
      </c>
      <c r="P2109" s="1" t="s">
        <v>401</v>
      </c>
      <c r="Q2109" s="7" t="str">
        <f>HYPERLINK("http://www.fresnobee.com/news/local/crime/article37140321.html","http://www.fresnobee.com/news/local/crime/article37140321.html")</f>
        <v>http://www.fresnobee.com/news/local/crime/article37140321.html</v>
      </c>
      <c r="R2109" s="1" t="s">
        <v>555</v>
      </c>
      <c r="S2109" s="1" t="s">
        <v>18</v>
      </c>
      <c r="T2109" s="66" t="s">
        <v>28345</v>
      </c>
      <c r="U2109" s="66" t="s">
        <v>29438</v>
      </c>
      <c r="V2109" s="66" t="s">
        <v>29439</v>
      </c>
      <c r="W2109" s="66" t="s">
        <v>555</v>
      </c>
      <c r="X2109" s="66">
        <v>1409</v>
      </c>
    </row>
    <row r="2110" spans="1:63" ht="12" customHeight="1" x14ac:dyDescent="0.2">
      <c r="A2110" s="1" t="s">
        <v>206</v>
      </c>
      <c r="B2110" s="68">
        <v>17</v>
      </c>
      <c r="C2110" s="1" t="s">
        <v>20</v>
      </c>
      <c r="D2110" s="1" t="s">
        <v>37</v>
      </c>
      <c r="E2110" s="1" t="s">
        <v>207</v>
      </c>
      <c r="F2110" s="69">
        <v>42271</v>
      </c>
      <c r="G2110" s="1" t="s">
        <v>19838</v>
      </c>
      <c r="H2110" s="1" t="s">
        <v>208</v>
      </c>
      <c r="I2110" s="1" t="s">
        <v>209</v>
      </c>
      <c r="J2110" s="4" t="s">
        <v>13120</v>
      </c>
      <c r="K2110" s="1" t="s">
        <v>857</v>
      </c>
      <c r="L2110" s="1" t="s">
        <v>210</v>
      </c>
      <c r="M2110" s="1" t="s">
        <v>27</v>
      </c>
      <c r="N2110" s="1" t="s">
        <v>19839</v>
      </c>
      <c r="O2110" s="1" t="s">
        <v>400</v>
      </c>
      <c r="P2110" s="1" t="s">
        <v>401</v>
      </c>
      <c r="Q2110" s="63" t="s">
        <v>19840</v>
      </c>
      <c r="R2110" s="1" t="s">
        <v>100</v>
      </c>
      <c r="S2110" s="1" t="s">
        <v>28</v>
      </c>
      <c r="T2110" s="68" t="s">
        <v>27756</v>
      </c>
      <c r="U2110" s="68" t="s">
        <v>29438</v>
      </c>
      <c r="V2110" s="68" t="s">
        <v>29439</v>
      </c>
      <c r="W2110" s="68" t="s">
        <v>100</v>
      </c>
      <c r="X2110" s="68">
        <v>863</v>
      </c>
      <c r="AW2110" s="70"/>
      <c r="BA2110" s="44"/>
      <c r="BK2110" s="11"/>
    </row>
    <row r="2111" spans="1:63" ht="12" customHeight="1" x14ac:dyDescent="0.15">
      <c r="A2111" s="1" t="s">
        <v>214</v>
      </c>
      <c r="B2111" s="1">
        <v>53</v>
      </c>
      <c r="C2111" s="1" t="s">
        <v>20</v>
      </c>
      <c r="D2111" s="1" t="s">
        <v>37</v>
      </c>
      <c r="F2111" s="72">
        <v>42271</v>
      </c>
      <c r="G2111" s="1" t="s">
        <v>215</v>
      </c>
      <c r="H2111" s="1" t="s">
        <v>216</v>
      </c>
      <c r="I2111" s="1" t="s">
        <v>217</v>
      </c>
      <c r="J2111" s="4" t="s">
        <v>19844</v>
      </c>
      <c r="K2111" s="1" t="s">
        <v>420</v>
      </c>
      <c r="L2111" s="1" t="s">
        <v>218</v>
      </c>
      <c r="M2111" s="1" t="s">
        <v>379</v>
      </c>
      <c r="N2111" s="1" t="s">
        <v>19845</v>
      </c>
      <c r="O2111" s="1" t="s">
        <v>400</v>
      </c>
      <c r="P2111" s="1" t="s">
        <v>401</v>
      </c>
      <c r="Q2111" s="63" t="s">
        <v>19846</v>
      </c>
      <c r="R2111" s="1" t="s">
        <v>100</v>
      </c>
      <c r="S2111" s="1" t="s">
        <v>18</v>
      </c>
    </row>
    <row r="2112" spans="1:63" ht="12" customHeight="1" x14ac:dyDescent="0.15">
      <c r="A2112" s="1" t="s">
        <v>211</v>
      </c>
      <c r="B2112" s="68">
        <v>42</v>
      </c>
      <c r="C2112" s="1" t="s">
        <v>20</v>
      </c>
      <c r="D2112" s="1" t="s">
        <v>85</v>
      </c>
      <c r="E2112" s="1" t="s">
        <v>212</v>
      </c>
      <c r="F2112" s="69">
        <v>42271</v>
      </c>
      <c r="G2112" s="1" t="s">
        <v>19834</v>
      </c>
      <c r="H2112" s="1" t="s">
        <v>213</v>
      </c>
      <c r="I2112" s="1" t="s">
        <v>62</v>
      </c>
      <c r="J2112" s="4" t="s">
        <v>19835</v>
      </c>
      <c r="K2112" s="1" t="s">
        <v>161</v>
      </c>
      <c r="L2112" s="1" t="s">
        <v>162</v>
      </c>
      <c r="M2112" s="1" t="s">
        <v>27</v>
      </c>
      <c r="N2112" s="1" t="s">
        <v>19836</v>
      </c>
      <c r="O2112" s="1" t="s">
        <v>400</v>
      </c>
      <c r="P2112" s="1" t="s">
        <v>401</v>
      </c>
      <c r="Q2112" s="63" t="s">
        <v>19837</v>
      </c>
      <c r="R2112" s="1" t="s">
        <v>555</v>
      </c>
      <c r="S2112" s="1" t="s">
        <v>28</v>
      </c>
      <c r="T2112" s="68" t="s">
        <v>29493</v>
      </c>
      <c r="U2112" s="68" t="s">
        <v>29438</v>
      </c>
      <c r="V2112" s="68" t="s">
        <v>29439</v>
      </c>
      <c r="W2112" s="68" t="s">
        <v>100</v>
      </c>
      <c r="X2112" s="68">
        <v>860</v>
      </c>
      <c r="AX2112" s="44"/>
      <c r="AY2112" s="44"/>
      <c r="BC2112" s="44"/>
      <c r="BD2112" s="44"/>
      <c r="BE2112" s="44"/>
      <c r="BF2112" s="44"/>
      <c r="BG2112" s="44"/>
      <c r="BH2112" s="44"/>
      <c r="BI2112" s="44"/>
      <c r="BJ2112" s="44"/>
      <c r="BK2112" s="11"/>
    </row>
    <row r="2113" spans="1:63" ht="12" customHeight="1" x14ac:dyDescent="0.15">
      <c r="A2113" s="1" t="s">
        <v>219</v>
      </c>
      <c r="B2113" s="68">
        <v>30</v>
      </c>
      <c r="C2113" s="1" t="s">
        <v>20</v>
      </c>
      <c r="D2113" s="1" t="s">
        <v>139</v>
      </c>
      <c r="E2113" s="1" t="s">
        <v>220</v>
      </c>
      <c r="F2113" s="69">
        <v>42271</v>
      </c>
      <c r="G2113" s="1" t="s">
        <v>24432</v>
      </c>
      <c r="H2113" s="1" t="s">
        <v>221</v>
      </c>
      <c r="I2113" s="1" t="s">
        <v>133</v>
      </c>
      <c r="J2113" s="4" t="s">
        <v>19841</v>
      </c>
      <c r="K2113" s="1" t="s">
        <v>3594</v>
      </c>
      <c r="L2113" s="1" t="s">
        <v>4914</v>
      </c>
      <c r="M2113" s="1" t="s">
        <v>27</v>
      </c>
      <c r="N2113" s="1" t="s">
        <v>19842</v>
      </c>
      <c r="O2113" s="1" t="s">
        <v>400</v>
      </c>
      <c r="P2113" s="1" t="s">
        <v>401</v>
      </c>
      <c r="Q2113" s="63" t="s">
        <v>19843</v>
      </c>
      <c r="R2113" s="1" t="s">
        <v>555</v>
      </c>
      <c r="S2113" s="2" t="s">
        <v>35</v>
      </c>
      <c r="T2113" s="68" t="s">
        <v>29452</v>
      </c>
      <c r="U2113" s="68" t="s">
        <v>29436</v>
      </c>
      <c r="V2113" s="68" t="s">
        <v>29439</v>
      </c>
      <c r="W2113" s="68" t="s">
        <v>100</v>
      </c>
      <c r="X2113" s="68">
        <v>865</v>
      </c>
      <c r="AW2113" s="11"/>
      <c r="BA2113" s="11"/>
      <c r="BB2113" s="44"/>
    </row>
    <row r="2114" spans="1:63" ht="12" customHeight="1" x14ac:dyDescent="0.2">
      <c r="A2114" s="1" t="s">
        <v>227</v>
      </c>
      <c r="B2114" s="68">
        <v>19</v>
      </c>
      <c r="C2114" s="1" t="s">
        <v>20</v>
      </c>
      <c r="D2114" s="1" t="s">
        <v>85</v>
      </c>
      <c r="E2114" s="1" t="s">
        <v>228</v>
      </c>
      <c r="F2114" s="69">
        <v>42270</v>
      </c>
      <c r="G2114" s="1" t="s">
        <v>229</v>
      </c>
      <c r="H2114" s="1" t="s">
        <v>230</v>
      </c>
      <c r="I2114" s="1" t="s">
        <v>52</v>
      </c>
      <c r="J2114" s="4" t="s">
        <v>19854</v>
      </c>
      <c r="K2114" s="1" t="s">
        <v>1592</v>
      </c>
      <c r="L2114" s="1" t="s">
        <v>231</v>
      </c>
      <c r="M2114" s="1" t="s">
        <v>27</v>
      </c>
      <c r="N2114" s="1" t="s">
        <v>19855</v>
      </c>
      <c r="O2114" s="1" t="s">
        <v>400</v>
      </c>
      <c r="P2114" s="1" t="s">
        <v>401</v>
      </c>
      <c r="Q2114" s="63" t="s">
        <v>19856</v>
      </c>
      <c r="R2114" s="1" t="s">
        <v>100</v>
      </c>
      <c r="S2114" s="1" t="s">
        <v>18</v>
      </c>
      <c r="T2114" s="68" t="s">
        <v>28345</v>
      </c>
      <c r="U2114" s="68" t="s">
        <v>29436</v>
      </c>
      <c r="V2114" s="68" t="s">
        <v>29440</v>
      </c>
      <c r="W2114" s="68" t="s">
        <v>100</v>
      </c>
      <c r="X2114" s="68">
        <v>859</v>
      </c>
      <c r="AW2114" s="70"/>
      <c r="AX2114" s="70"/>
      <c r="AY2114" s="70"/>
      <c r="BA2114" s="44"/>
      <c r="BC2114" s="44"/>
      <c r="BD2114" s="44"/>
      <c r="BE2114" s="44"/>
      <c r="BF2114" s="44"/>
      <c r="BG2114" s="44"/>
      <c r="BH2114" s="44"/>
      <c r="BI2114" s="44"/>
      <c r="BJ2114" s="44"/>
    </row>
    <row r="2115" spans="1:63" ht="12" customHeight="1" x14ac:dyDescent="0.15">
      <c r="A2115" s="1" t="s">
        <v>237</v>
      </c>
      <c r="B2115" s="68">
        <v>48</v>
      </c>
      <c r="C2115" s="1" t="s">
        <v>20</v>
      </c>
      <c r="D2115" s="1" t="s">
        <v>85</v>
      </c>
      <c r="E2115" s="1" t="s">
        <v>238</v>
      </c>
      <c r="F2115" s="69">
        <v>42270</v>
      </c>
      <c r="G2115" s="1" t="s">
        <v>19861</v>
      </c>
      <c r="H2115" s="1" t="s">
        <v>239</v>
      </c>
      <c r="I2115" s="1" t="s">
        <v>240</v>
      </c>
      <c r="J2115" s="4" t="s">
        <v>10311</v>
      </c>
      <c r="K2115" s="1" t="s">
        <v>611</v>
      </c>
      <c r="L2115" s="1" t="s">
        <v>241</v>
      </c>
      <c r="M2115" s="1" t="s">
        <v>27</v>
      </c>
      <c r="N2115" s="1" t="s">
        <v>19862</v>
      </c>
      <c r="O2115" s="1" t="s">
        <v>400</v>
      </c>
      <c r="P2115" s="1" t="s">
        <v>401</v>
      </c>
      <c r="Q2115" s="63" t="s">
        <v>19863</v>
      </c>
      <c r="R2115" s="1" t="s">
        <v>100</v>
      </c>
      <c r="S2115" s="1" t="s">
        <v>28</v>
      </c>
      <c r="T2115" s="68" t="s">
        <v>29493</v>
      </c>
      <c r="U2115" s="68" t="s">
        <v>29438</v>
      </c>
      <c r="V2115" s="68" t="s">
        <v>29439</v>
      </c>
      <c r="W2115" s="68" t="s">
        <v>100</v>
      </c>
      <c r="X2115" s="68">
        <v>857</v>
      </c>
      <c r="AX2115" s="11"/>
      <c r="AY2115" s="11"/>
      <c r="BA2115" s="44"/>
      <c r="BC2115" s="44"/>
      <c r="BD2115" s="44"/>
      <c r="BE2115" s="44"/>
      <c r="BF2115" s="44"/>
      <c r="BG2115" s="44"/>
      <c r="BH2115" s="44"/>
      <c r="BI2115" s="44"/>
      <c r="BJ2115" s="44"/>
      <c r="BK2115" s="11"/>
    </row>
    <row r="2116" spans="1:63" ht="12" customHeight="1" x14ac:dyDescent="0.15">
      <c r="A2116" s="1" t="s">
        <v>232</v>
      </c>
      <c r="B2116" s="68">
        <v>35</v>
      </c>
      <c r="C2116" s="1" t="s">
        <v>20</v>
      </c>
      <c r="D2116" s="1" t="s">
        <v>37</v>
      </c>
      <c r="E2116" s="1" t="s">
        <v>233</v>
      </c>
      <c r="F2116" s="69">
        <v>42270</v>
      </c>
      <c r="G2116" s="1" t="s">
        <v>234</v>
      </c>
      <c r="H2116" s="1" t="s">
        <v>235</v>
      </c>
      <c r="I2116" s="1" t="s">
        <v>73</v>
      </c>
      <c r="J2116" s="4" t="s">
        <v>19850</v>
      </c>
      <c r="K2116" s="1" t="s">
        <v>19851</v>
      </c>
      <c r="L2116" s="1" t="s">
        <v>236</v>
      </c>
      <c r="M2116" s="1" t="s">
        <v>27</v>
      </c>
      <c r="N2116" s="1" t="s">
        <v>19852</v>
      </c>
      <c r="O2116" s="1" t="s">
        <v>400</v>
      </c>
      <c r="P2116" s="1" t="s">
        <v>401</v>
      </c>
      <c r="Q2116" s="63" t="s">
        <v>19853</v>
      </c>
      <c r="R2116" s="1" t="s">
        <v>100</v>
      </c>
      <c r="S2116" s="1" t="s">
        <v>28</v>
      </c>
      <c r="T2116" s="68" t="s">
        <v>27756</v>
      </c>
      <c r="U2116" s="68" t="s">
        <v>29438</v>
      </c>
      <c r="V2116" s="68" t="s">
        <v>29439</v>
      </c>
      <c r="W2116" s="68" t="s">
        <v>100</v>
      </c>
      <c r="X2116" s="68">
        <v>858</v>
      </c>
      <c r="AW2116" s="11"/>
      <c r="BA2116" s="44"/>
      <c r="BK2116" s="11"/>
    </row>
    <row r="2117" spans="1:63" ht="12" customHeight="1" x14ac:dyDescent="0.15">
      <c r="A2117" s="1" t="s">
        <v>242</v>
      </c>
      <c r="B2117" s="68">
        <v>45</v>
      </c>
      <c r="C2117" s="1" t="s">
        <v>20</v>
      </c>
      <c r="D2117" s="1" t="s">
        <v>37</v>
      </c>
      <c r="F2117" s="69">
        <v>42270</v>
      </c>
      <c r="G2117" s="1" t="s">
        <v>24433</v>
      </c>
      <c r="H2117" s="1" t="s">
        <v>243</v>
      </c>
      <c r="I2117" s="1" t="s">
        <v>244</v>
      </c>
      <c r="J2117" s="4" t="s">
        <v>19857</v>
      </c>
      <c r="K2117" s="1" t="s">
        <v>19858</v>
      </c>
      <c r="L2117" s="1" t="s">
        <v>245</v>
      </c>
      <c r="M2117" s="1" t="s">
        <v>27</v>
      </c>
      <c r="N2117" s="1" t="s">
        <v>19859</v>
      </c>
      <c r="O2117" s="1" t="s">
        <v>400</v>
      </c>
      <c r="P2117" s="1" t="s">
        <v>401</v>
      </c>
      <c r="Q2117" s="63" t="s">
        <v>19860</v>
      </c>
      <c r="R2117" s="1" t="s">
        <v>100</v>
      </c>
      <c r="S2117" s="1" t="s">
        <v>28</v>
      </c>
      <c r="T2117" s="68" t="s">
        <v>27756</v>
      </c>
      <c r="U2117" s="68" t="s">
        <v>29438</v>
      </c>
      <c r="V2117" s="68" t="s">
        <v>29439</v>
      </c>
      <c r="W2117" s="68" t="s">
        <v>100</v>
      </c>
      <c r="X2117" s="68">
        <v>861</v>
      </c>
      <c r="AW2117" s="64"/>
      <c r="BA2117" s="44"/>
      <c r="BK2117" s="11"/>
    </row>
    <row r="2118" spans="1:63" ht="12" customHeight="1" x14ac:dyDescent="0.2">
      <c r="A2118" s="1" t="s">
        <v>222</v>
      </c>
      <c r="B2118" s="68">
        <v>28</v>
      </c>
      <c r="C2118" s="1" t="s">
        <v>20</v>
      </c>
      <c r="D2118" s="1" t="s">
        <v>85</v>
      </c>
      <c r="E2118" s="1" t="s">
        <v>223</v>
      </c>
      <c r="F2118" s="69">
        <v>42270</v>
      </c>
      <c r="G2118" s="1" t="s">
        <v>24434</v>
      </c>
      <c r="H2118" s="1" t="s">
        <v>224</v>
      </c>
      <c r="I2118" s="1" t="s">
        <v>225</v>
      </c>
      <c r="J2118" s="4" t="s">
        <v>19847</v>
      </c>
      <c r="K2118" s="1" t="s">
        <v>3810</v>
      </c>
      <c r="L2118" s="1" t="s">
        <v>226</v>
      </c>
      <c r="M2118" s="1" t="s">
        <v>27</v>
      </c>
      <c r="N2118" s="1" t="s">
        <v>19848</v>
      </c>
      <c r="O2118" s="1" t="s">
        <v>400</v>
      </c>
      <c r="P2118" s="1" t="s">
        <v>401</v>
      </c>
      <c r="Q2118" s="63" t="s">
        <v>19849</v>
      </c>
      <c r="R2118" s="68" t="s">
        <v>555</v>
      </c>
      <c r="S2118" s="1" t="s">
        <v>28</v>
      </c>
      <c r="T2118" s="68" t="s">
        <v>27756</v>
      </c>
      <c r="U2118" s="68" t="s">
        <v>29441</v>
      </c>
      <c r="V2118" s="68" t="s">
        <v>29439</v>
      </c>
      <c r="W2118" s="68" t="s">
        <v>100</v>
      </c>
      <c r="X2118" s="68">
        <v>862</v>
      </c>
      <c r="AW2118" s="44"/>
      <c r="AX2118" s="11"/>
      <c r="AY2118" s="11"/>
      <c r="BA2118" s="70"/>
      <c r="BB2118" s="44"/>
      <c r="BC2118" s="44"/>
      <c r="BD2118" s="44"/>
      <c r="BE2118" s="44"/>
      <c r="BF2118" s="44"/>
      <c r="BG2118" s="44"/>
      <c r="BH2118" s="44"/>
      <c r="BI2118" s="44"/>
      <c r="BJ2118" s="44"/>
      <c r="BK2118" s="11"/>
    </row>
    <row r="2119" spans="1:63" ht="12" customHeight="1" x14ac:dyDescent="0.15">
      <c r="A2119" s="1" t="s">
        <v>246</v>
      </c>
      <c r="B2119" s="68">
        <v>32</v>
      </c>
      <c r="C2119" s="1" t="s">
        <v>20</v>
      </c>
      <c r="D2119" s="1" t="s">
        <v>85</v>
      </c>
      <c r="E2119" s="1" t="s">
        <v>247</v>
      </c>
      <c r="F2119" s="69">
        <v>42269</v>
      </c>
      <c r="G2119" s="1" t="s">
        <v>19864</v>
      </c>
      <c r="H2119" s="1" t="s">
        <v>719</v>
      </c>
      <c r="I2119" s="1" t="s">
        <v>45</v>
      </c>
      <c r="J2119" s="4" t="s">
        <v>8719</v>
      </c>
      <c r="K2119" s="1" t="s">
        <v>602</v>
      </c>
      <c r="L2119" s="1" t="s">
        <v>249</v>
      </c>
      <c r="M2119" s="1" t="s">
        <v>27</v>
      </c>
      <c r="N2119" s="1" t="s">
        <v>19865</v>
      </c>
      <c r="O2119" s="1" t="s">
        <v>1010</v>
      </c>
      <c r="P2119" s="1" t="s">
        <v>401</v>
      </c>
      <c r="Q2119" s="63" t="s">
        <v>19866</v>
      </c>
      <c r="R2119" s="1" t="s">
        <v>100</v>
      </c>
      <c r="S2119" s="1" t="s">
        <v>28</v>
      </c>
      <c r="T2119" s="68" t="s">
        <v>27756</v>
      </c>
      <c r="U2119" s="68" t="s">
        <v>29438</v>
      </c>
      <c r="V2119" s="68" t="s">
        <v>29437</v>
      </c>
      <c r="W2119" s="68" t="s">
        <v>100</v>
      </c>
      <c r="X2119" s="68">
        <v>853</v>
      </c>
      <c r="AW2119" s="11"/>
      <c r="AX2119" s="11"/>
      <c r="AY2119" s="11"/>
      <c r="BA2119" s="44"/>
      <c r="BC2119" s="44"/>
      <c r="BD2119" s="44"/>
      <c r="BE2119" s="44"/>
      <c r="BF2119" s="44"/>
      <c r="BG2119" s="44"/>
      <c r="BH2119" s="44"/>
      <c r="BI2119" s="44"/>
      <c r="BJ2119" s="44"/>
      <c r="BK2119" s="11"/>
    </row>
    <row r="2120" spans="1:63" ht="12" customHeight="1" x14ac:dyDescent="0.15">
      <c r="A2120" s="1" t="s">
        <v>267</v>
      </c>
      <c r="B2120" s="68">
        <v>26</v>
      </c>
      <c r="C2120" s="1" t="s">
        <v>20</v>
      </c>
      <c r="D2120" s="1" t="s">
        <v>37</v>
      </c>
      <c r="F2120" s="69">
        <v>42269</v>
      </c>
      <c r="G2120" s="1" t="s">
        <v>24435</v>
      </c>
      <c r="H2120" s="1" t="s">
        <v>268</v>
      </c>
      <c r="I2120" s="1" t="s">
        <v>269</v>
      </c>
      <c r="J2120" s="4" t="s">
        <v>8478</v>
      </c>
      <c r="K2120" s="1" t="s">
        <v>570</v>
      </c>
      <c r="L2120" s="1" t="s">
        <v>270</v>
      </c>
      <c r="M2120" s="1" t="s">
        <v>27</v>
      </c>
      <c r="N2120" s="1" t="s">
        <v>19867</v>
      </c>
      <c r="O2120" s="1" t="s">
        <v>400</v>
      </c>
      <c r="P2120" s="1" t="s">
        <v>401</v>
      </c>
      <c r="Q2120" s="63" t="s">
        <v>19868</v>
      </c>
      <c r="R2120" s="1" t="s">
        <v>100</v>
      </c>
      <c r="S2120" s="1" t="s">
        <v>28</v>
      </c>
      <c r="T2120" s="68" t="s">
        <v>27756</v>
      </c>
      <c r="U2120" s="68" t="s">
        <v>29438</v>
      </c>
      <c r="V2120" s="68" t="s">
        <v>29439</v>
      </c>
      <c r="W2120" s="68" t="s">
        <v>100</v>
      </c>
      <c r="X2120" s="68">
        <v>856</v>
      </c>
      <c r="AW2120" s="44"/>
      <c r="BA2120" s="44"/>
      <c r="BK2120" s="11"/>
    </row>
    <row r="2121" spans="1:63" ht="12" customHeight="1" x14ac:dyDescent="0.15">
      <c r="A2121" s="1" t="s">
        <v>250</v>
      </c>
      <c r="B2121" s="68">
        <v>55</v>
      </c>
      <c r="C2121" s="1" t="s">
        <v>20</v>
      </c>
      <c r="D2121" s="1" t="s">
        <v>37</v>
      </c>
      <c r="E2121" s="1" t="s">
        <v>20753</v>
      </c>
      <c r="F2121" s="69">
        <v>42269</v>
      </c>
      <c r="G2121" s="1" t="s">
        <v>251</v>
      </c>
      <c r="H2121" s="1" t="s">
        <v>252</v>
      </c>
      <c r="I2121" s="1" t="s">
        <v>45</v>
      </c>
      <c r="J2121" s="4">
        <v>96007</v>
      </c>
      <c r="K2121" s="1" t="s">
        <v>7542</v>
      </c>
      <c r="L2121" s="1" t="s">
        <v>253</v>
      </c>
      <c r="M2121" s="1" t="s">
        <v>27</v>
      </c>
      <c r="N2121" s="1" t="s">
        <v>21065</v>
      </c>
      <c r="O2121" s="1" t="s">
        <v>400</v>
      </c>
      <c r="P2121" s="1" t="s">
        <v>401</v>
      </c>
      <c r="Q2121" s="7" t="str">
        <f>HYPERLINK("http://www.redding.com/news/local-news/happy-valley-road-closing-in-search-for-armed-suspect","http://www.redding.com/news/local-news/happy-valley-road-closing-in-search-for-armed-suspect")</f>
        <v>http://www.redding.com/news/local-news/happy-valley-road-closing-in-search-for-armed-suspect</v>
      </c>
      <c r="R2121" s="68" t="s">
        <v>555</v>
      </c>
      <c r="S2121" s="1" t="s">
        <v>28</v>
      </c>
      <c r="T2121" s="68" t="s">
        <v>27756</v>
      </c>
      <c r="U2121" s="68" t="s">
        <v>29438</v>
      </c>
      <c r="V2121" s="68" t="s">
        <v>29439</v>
      </c>
      <c r="W2121" s="68" t="s">
        <v>100</v>
      </c>
      <c r="X2121" s="68">
        <v>855</v>
      </c>
      <c r="BA2121" s="44"/>
      <c r="BB2121" s="44"/>
      <c r="BK2121" s="11"/>
    </row>
    <row r="2122" spans="1:63" ht="12" customHeight="1" x14ac:dyDescent="0.2">
      <c r="A2122" s="1" t="s">
        <v>262</v>
      </c>
      <c r="B2122" s="68">
        <v>33</v>
      </c>
      <c r="C2122" s="1" t="s">
        <v>20</v>
      </c>
      <c r="D2122" s="1" t="s">
        <v>37</v>
      </c>
      <c r="E2122" s="1" t="s">
        <v>263</v>
      </c>
      <c r="F2122" s="69">
        <v>42269</v>
      </c>
      <c r="G2122" s="1" t="s">
        <v>264</v>
      </c>
      <c r="H2122" s="1" t="s">
        <v>265</v>
      </c>
      <c r="I2122" s="1" t="s">
        <v>62</v>
      </c>
      <c r="J2122" s="4" t="s">
        <v>19869</v>
      </c>
      <c r="K2122" s="1" t="s">
        <v>12251</v>
      </c>
      <c r="L2122" s="1" t="s">
        <v>266</v>
      </c>
      <c r="M2122" s="1" t="s">
        <v>27</v>
      </c>
      <c r="N2122" s="1" t="s">
        <v>19870</v>
      </c>
      <c r="O2122" s="1" t="s">
        <v>1010</v>
      </c>
      <c r="P2122" s="1" t="s">
        <v>401</v>
      </c>
      <c r="Q2122" s="63" t="s">
        <v>19871</v>
      </c>
      <c r="R2122" s="68" t="s">
        <v>555</v>
      </c>
      <c r="S2122" s="1" t="s">
        <v>28</v>
      </c>
      <c r="T2122" s="68" t="s">
        <v>27756</v>
      </c>
      <c r="U2122" s="68" t="s">
        <v>29438</v>
      </c>
      <c r="V2122" s="68" t="s">
        <v>29439</v>
      </c>
      <c r="W2122" s="68" t="s">
        <v>100</v>
      </c>
      <c r="X2122" s="68">
        <v>854</v>
      </c>
      <c r="AW2122" s="11"/>
      <c r="BA2122" s="70"/>
      <c r="BB2122" s="44"/>
      <c r="BK2122" s="11"/>
    </row>
    <row r="2123" spans="1:63" ht="12" customHeight="1" x14ac:dyDescent="0.15">
      <c r="A2123" s="1" t="s">
        <v>271</v>
      </c>
      <c r="B2123" s="68">
        <v>23</v>
      </c>
      <c r="C2123" s="1" t="s">
        <v>114</v>
      </c>
      <c r="D2123" s="1" t="s">
        <v>37</v>
      </c>
      <c r="E2123" s="1" t="s">
        <v>272</v>
      </c>
      <c r="F2123" s="69">
        <v>42268</v>
      </c>
      <c r="G2123" s="1" t="s">
        <v>273</v>
      </c>
      <c r="H2123" s="1" t="s">
        <v>274</v>
      </c>
      <c r="I2123" s="1" t="s">
        <v>45</v>
      </c>
      <c r="J2123" s="4" t="s">
        <v>5850</v>
      </c>
      <c r="K2123" s="1" t="s">
        <v>65</v>
      </c>
      <c r="L2123" s="1" t="s">
        <v>275</v>
      </c>
      <c r="M2123" s="1" t="s">
        <v>27</v>
      </c>
      <c r="N2123" s="1" t="s">
        <v>19889</v>
      </c>
      <c r="O2123" s="1" t="s">
        <v>400</v>
      </c>
      <c r="P2123" s="1" t="s">
        <v>401</v>
      </c>
      <c r="Q2123" s="63" t="s">
        <v>19890</v>
      </c>
      <c r="R2123" s="1" t="s">
        <v>100</v>
      </c>
      <c r="S2123" s="1" t="s">
        <v>28</v>
      </c>
      <c r="T2123" s="68" t="s">
        <v>27756</v>
      </c>
      <c r="U2123" s="68" t="s">
        <v>29438</v>
      </c>
      <c r="V2123" s="68" t="s">
        <v>29439</v>
      </c>
      <c r="W2123" s="68" t="s">
        <v>100</v>
      </c>
      <c r="X2123" s="68">
        <v>849</v>
      </c>
      <c r="AW2123" s="11"/>
      <c r="BA2123" s="44"/>
      <c r="BK2123" s="11"/>
    </row>
    <row r="2124" spans="1:63" ht="12" customHeight="1" x14ac:dyDescent="0.15">
      <c r="A2124" s="1" t="s">
        <v>276</v>
      </c>
      <c r="B2124" s="68">
        <v>27</v>
      </c>
      <c r="C2124" s="1" t="s">
        <v>20</v>
      </c>
      <c r="D2124" s="1" t="s">
        <v>37</v>
      </c>
      <c r="E2124" s="1" t="s">
        <v>277</v>
      </c>
      <c r="F2124" s="69">
        <v>42268</v>
      </c>
      <c r="G2124" s="1" t="s">
        <v>273</v>
      </c>
      <c r="H2124" s="1" t="s">
        <v>274</v>
      </c>
      <c r="I2124" s="1" t="s">
        <v>45</v>
      </c>
      <c r="J2124" s="4" t="s">
        <v>5850</v>
      </c>
      <c r="K2124" s="1" t="s">
        <v>65</v>
      </c>
      <c r="L2124" s="1" t="s">
        <v>275</v>
      </c>
      <c r="M2124" s="1" t="s">
        <v>27</v>
      </c>
      <c r="N2124" s="1" t="s">
        <v>19891</v>
      </c>
      <c r="O2124" s="1" t="s">
        <v>400</v>
      </c>
      <c r="P2124" s="1" t="s">
        <v>401</v>
      </c>
      <c r="Q2124" s="63" t="s">
        <v>19890</v>
      </c>
      <c r="R2124" s="1" t="s">
        <v>100</v>
      </c>
      <c r="S2124" s="1" t="s">
        <v>28</v>
      </c>
      <c r="T2124" s="68" t="s">
        <v>27756</v>
      </c>
      <c r="U2124" s="68" t="s">
        <v>29438</v>
      </c>
      <c r="V2124" s="68" t="s">
        <v>29439</v>
      </c>
      <c r="W2124" s="68" t="s">
        <v>100</v>
      </c>
      <c r="X2124" s="68">
        <v>848</v>
      </c>
      <c r="AW2124" s="44"/>
      <c r="BA2124" s="44"/>
      <c r="BK2124" s="11"/>
    </row>
    <row r="2125" spans="1:63" ht="12" customHeight="1" x14ac:dyDescent="0.15">
      <c r="A2125" s="1" t="s">
        <v>258</v>
      </c>
      <c r="B2125" s="68">
        <v>26</v>
      </c>
      <c r="C2125" s="1" t="s">
        <v>20</v>
      </c>
      <c r="D2125" s="1" t="s">
        <v>37</v>
      </c>
      <c r="E2125" s="1" t="s">
        <v>259</v>
      </c>
      <c r="F2125" s="69">
        <v>42268</v>
      </c>
      <c r="G2125" s="1" t="s">
        <v>19872</v>
      </c>
      <c r="H2125" s="1" t="s">
        <v>260</v>
      </c>
      <c r="I2125" s="1" t="s">
        <v>62</v>
      </c>
      <c r="J2125" s="4" t="s">
        <v>19873</v>
      </c>
      <c r="K2125" s="1" t="s">
        <v>3891</v>
      </c>
      <c r="L2125" s="1" t="s">
        <v>261</v>
      </c>
      <c r="M2125" s="1" t="s">
        <v>27</v>
      </c>
      <c r="N2125" s="1" t="s">
        <v>19874</v>
      </c>
      <c r="O2125" s="1" t="s">
        <v>400</v>
      </c>
      <c r="P2125" s="1" t="s">
        <v>401</v>
      </c>
      <c r="Q2125" s="63" t="s">
        <v>19875</v>
      </c>
      <c r="R2125" s="1" t="s">
        <v>100</v>
      </c>
      <c r="S2125" s="1" t="s">
        <v>28</v>
      </c>
      <c r="T2125" s="68" t="s">
        <v>27756</v>
      </c>
      <c r="U2125" s="68" t="s">
        <v>29438</v>
      </c>
      <c r="V2125" s="68" t="s">
        <v>29439</v>
      </c>
      <c r="W2125" s="68" t="s">
        <v>100</v>
      </c>
      <c r="X2125" s="68">
        <v>851</v>
      </c>
      <c r="AW2125" s="44"/>
      <c r="BA2125" s="44"/>
      <c r="BK2125" s="11"/>
    </row>
    <row r="2126" spans="1:63" ht="12" customHeight="1" x14ac:dyDescent="0.15">
      <c r="A2126" s="1" t="s">
        <v>254</v>
      </c>
      <c r="B2126" s="68">
        <v>34</v>
      </c>
      <c r="C2126" s="1" t="s">
        <v>20</v>
      </c>
      <c r="D2126" s="1" t="s">
        <v>48</v>
      </c>
      <c r="E2126" s="1" t="s">
        <v>255</v>
      </c>
      <c r="F2126" s="69">
        <v>42268</v>
      </c>
      <c r="G2126" s="1" t="s">
        <v>19876</v>
      </c>
      <c r="H2126" s="1" t="s">
        <v>256</v>
      </c>
      <c r="I2126" s="1" t="s">
        <v>62</v>
      </c>
      <c r="J2126" s="4" t="s">
        <v>19877</v>
      </c>
      <c r="K2126" s="1" t="s">
        <v>1864</v>
      </c>
      <c r="L2126" s="1" t="s">
        <v>257</v>
      </c>
      <c r="M2126" s="1" t="s">
        <v>27</v>
      </c>
      <c r="N2126" s="1" t="s">
        <v>19878</v>
      </c>
      <c r="O2126" s="1" t="s">
        <v>400</v>
      </c>
      <c r="P2126" s="1" t="s">
        <v>401</v>
      </c>
      <c r="Q2126" s="63" t="s">
        <v>19879</v>
      </c>
      <c r="R2126" s="1" t="s">
        <v>100</v>
      </c>
      <c r="S2126" s="1" t="s">
        <v>18</v>
      </c>
      <c r="T2126" s="68" t="s">
        <v>29499</v>
      </c>
      <c r="U2126" s="68" t="s">
        <v>29436</v>
      </c>
      <c r="V2126" s="68" t="s">
        <v>29440</v>
      </c>
      <c r="W2126" s="68" t="s">
        <v>100</v>
      </c>
      <c r="X2126" s="68">
        <v>852</v>
      </c>
      <c r="AW2126" s="11"/>
      <c r="BA2126" s="44"/>
    </row>
    <row r="2127" spans="1:63" ht="12" customHeight="1" x14ac:dyDescent="0.2">
      <c r="A2127" s="1" t="s">
        <v>278</v>
      </c>
      <c r="B2127" s="68">
        <v>21</v>
      </c>
      <c r="C2127" s="1" t="s">
        <v>20</v>
      </c>
      <c r="D2127" s="1" t="s">
        <v>37</v>
      </c>
      <c r="E2127" s="1" t="s">
        <v>279</v>
      </c>
      <c r="F2127" s="69">
        <v>42268</v>
      </c>
      <c r="G2127" s="1" t="s">
        <v>19880</v>
      </c>
      <c r="H2127" s="1" t="s">
        <v>280</v>
      </c>
      <c r="I2127" s="1" t="s">
        <v>73</v>
      </c>
      <c r="J2127" s="4" t="s">
        <v>16966</v>
      </c>
      <c r="K2127" s="1" t="s">
        <v>7010</v>
      </c>
      <c r="L2127" s="1" t="s">
        <v>281</v>
      </c>
      <c r="M2127" s="68" t="s">
        <v>5411</v>
      </c>
      <c r="N2127" s="1" t="s">
        <v>19881</v>
      </c>
      <c r="O2127" s="1" t="s">
        <v>400</v>
      </c>
      <c r="P2127" s="1" t="s">
        <v>401</v>
      </c>
      <c r="Q2127" s="63" t="s">
        <v>19882</v>
      </c>
      <c r="R2127" s="1" t="s">
        <v>100</v>
      </c>
      <c r="S2127" s="11" t="s">
        <v>18</v>
      </c>
      <c r="T2127" s="68" t="s">
        <v>28345</v>
      </c>
      <c r="U2127" s="68" t="s">
        <v>29438</v>
      </c>
      <c r="V2127" s="68" t="s">
        <v>29439</v>
      </c>
      <c r="W2127" s="68" t="s">
        <v>100</v>
      </c>
      <c r="X2127" s="68">
        <v>850</v>
      </c>
      <c r="AW2127" s="44"/>
      <c r="BA2127" s="44"/>
      <c r="BB2127" s="70"/>
    </row>
    <row r="2128" spans="1:63" ht="12" customHeight="1" x14ac:dyDescent="0.15">
      <c r="A2128" s="1" t="s">
        <v>282</v>
      </c>
      <c r="B2128" s="68">
        <v>24</v>
      </c>
      <c r="C2128" s="1" t="s">
        <v>20</v>
      </c>
      <c r="D2128" s="1" t="s">
        <v>48</v>
      </c>
      <c r="E2128" s="1" t="s">
        <v>283</v>
      </c>
      <c r="F2128" s="69">
        <v>42268</v>
      </c>
      <c r="G2128" s="1" t="s">
        <v>284</v>
      </c>
      <c r="H2128" s="1" t="s">
        <v>285</v>
      </c>
      <c r="I2128" s="1" t="s">
        <v>73</v>
      </c>
      <c r="J2128" s="4" t="s">
        <v>19883</v>
      </c>
      <c r="K2128" s="1" t="s">
        <v>285</v>
      </c>
      <c r="L2128" s="1" t="s">
        <v>286</v>
      </c>
      <c r="M2128" s="1" t="s">
        <v>27</v>
      </c>
      <c r="N2128" s="1" t="s">
        <v>19884</v>
      </c>
      <c r="O2128" s="1" t="s">
        <v>400</v>
      </c>
      <c r="P2128" s="1" t="s">
        <v>401</v>
      </c>
      <c r="Q2128" s="63" t="s">
        <v>19885</v>
      </c>
      <c r="R2128" s="1" t="s">
        <v>555</v>
      </c>
      <c r="S2128" s="1" t="s">
        <v>28</v>
      </c>
      <c r="T2128" s="68" t="s">
        <v>27756</v>
      </c>
      <c r="U2128" s="68" t="s">
        <v>29438</v>
      </c>
      <c r="V2128" s="68" t="s">
        <v>29439</v>
      </c>
      <c r="W2128" s="68" t="s">
        <v>100</v>
      </c>
      <c r="X2128" s="68">
        <v>840</v>
      </c>
      <c r="AW2128" s="11"/>
      <c r="BA2128" s="11"/>
      <c r="BB2128" s="44"/>
      <c r="BK2128" s="11"/>
    </row>
    <row r="2129" spans="1:63" ht="12" customHeight="1" x14ac:dyDescent="0.15">
      <c r="A2129" s="1" t="s">
        <v>287</v>
      </c>
      <c r="B2129" s="68">
        <v>56</v>
      </c>
      <c r="C2129" s="1" t="s">
        <v>20</v>
      </c>
      <c r="D2129" s="1" t="s">
        <v>37</v>
      </c>
      <c r="E2129" s="1" t="s">
        <v>288</v>
      </c>
      <c r="F2129" s="69">
        <v>42267</v>
      </c>
      <c r="G2129" s="1" t="s">
        <v>24437</v>
      </c>
      <c r="H2129" s="1" t="s">
        <v>289</v>
      </c>
      <c r="I2129" s="1" t="s">
        <v>217</v>
      </c>
      <c r="J2129" s="4" t="s">
        <v>19892</v>
      </c>
      <c r="K2129" s="1" t="s">
        <v>1193</v>
      </c>
      <c r="L2129" s="1" t="s">
        <v>20249</v>
      </c>
      <c r="M2129" s="1" t="s">
        <v>27</v>
      </c>
      <c r="N2129" s="1" t="s">
        <v>19893</v>
      </c>
      <c r="O2129" s="1" t="s">
        <v>400</v>
      </c>
      <c r="P2129" s="1" t="s">
        <v>401</v>
      </c>
      <c r="Q2129" s="63" t="s">
        <v>19894</v>
      </c>
      <c r="R2129" s="1" t="s">
        <v>100</v>
      </c>
      <c r="S2129" s="1" t="s">
        <v>28</v>
      </c>
      <c r="T2129" s="68" t="s">
        <v>27756</v>
      </c>
      <c r="U2129" s="68" t="s">
        <v>29438</v>
      </c>
      <c r="V2129" s="68" t="s">
        <v>29439</v>
      </c>
      <c r="W2129" s="68" t="s">
        <v>100</v>
      </c>
      <c r="X2129" s="68">
        <v>847</v>
      </c>
      <c r="BA2129" s="44"/>
      <c r="BK2129" s="11"/>
    </row>
    <row r="2130" spans="1:63" ht="12" customHeight="1" x14ac:dyDescent="0.15">
      <c r="A2130" s="1" t="s">
        <v>293</v>
      </c>
      <c r="B2130" s="68">
        <v>23</v>
      </c>
      <c r="C2130" s="1" t="s">
        <v>20</v>
      </c>
      <c r="D2130" s="1" t="s">
        <v>37</v>
      </c>
      <c r="E2130" s="1" t="s">
        <v>294</v>
      </c>
      <c r="F2130" s="69">
        <v>42267</v>
      </c>
      <c r="G2130" s="1" t="s">
        <v>295</v>
      </c>
      <c r="H2130" s="1" t="s">
        <v>296</v>
      </c>
      <c r="I2130" s="1" t="s">
        <v>244</v>
      </c>
      <c r="J2130" s="4" t="s">
        <v>19897</v>
      </c>
      <c r="K2130" s="1" t="s">
        <v>4759</v>
      </c>
      <c r="L2130" s="1" t="s">
        <v>297</v>
      </c>
      <c r="M2130" s="1" t="s">
        <v>27</v>
      </c>
      <c r="N2130" s="1" t="s">
        <v>19898</v>
      </c>
      <c r="O2130" s="1" t="s">
        <v>400</v>
      </c>
      <c r="P2130" s="1" t="s">
        <v>401</v>
      </c>
      <c r="Q2130" s="63" t="s">
        <v>19899</v>
      </c>
      <c r="R2130" s="1" t="s">
        <v>100</v>
      </c>
      <c r="S2130" s="1" t="s">
        <v>28</v>
      </c>
      <c r="T2130" s="68" t="s">
        <v>27756</v>
      </c>
      <c r="U2130" s="68" t="s">
        <v>29438</v>
      </c>
      <c r="V2130" s="68" t="s">
        <v>29439</v>
      </c>
      <c r="W2130" s="68" t="s">
        <v>555</v>
      </c>
      <c r="X2130" s="68">
        <v>845</v>
      </c>
      <c r="AW2130" s="11"/>
      <c r="BA2130" s="44"/>
      <c r="BK2130" s="11"/>
    </row>
    <row r="2131" spans="1:63" ht="12" customHeight="1" x14ac:dyDescent="0.15">
      <c r="A2131" s="1" t="s">
        <v>290</v>
      </c>
      <c r="B2131" s="1">
        <v>48</v>
      </c>
      <c r="C2131" s="1" t="s">
        <v>114</v>
      </c>
      <c r="D2131" s="1" t="s">
        <v>37</v>
      </c>
      <c r="F2131" s="72">
        <v>42267</v>
      </c>
      <c r="G2131" s="1" t="s">
        <v>24436</v>
      </c>
      <c r="H2131" s="1" t="s">
        <v>291</v>
      </c>
      <c r="I2131" s="1" t="s">
        <v>57</v>
      </c>
      <c r="J2131" s="4" t="s">
        <v>19076</v>
      </c>
      <c r="K2131" s="1" t="s">
        <v>10125</v>
      </c>
      <c r="L2131" s="1" t="s">
        <v>292</v>
      </c>
      <c r="M2131" s="1" t="s">
        <v>379</v>
      </c>
      <c r="N2131" s="1" t="s">
        <v>19895</v>
      </c>
      <c r="O2131" s="1" t="s">
        <v>400</v>
      </c>
      <c r="P2131" s="1" t="s">
        <v>401</v>
      </c>
      <c r="Q2131" s="63" t="s">
        <v>19896</v>
      </c>
      <c r="R2131" s="1" t="s">
        <v>100</v>
      </c>
      <c r="S2131" s="1" t="s">
        <v>18</v>
      </c>
    </row>
    <row r="2132" spans="1:63" ht="12" customHeight="1" x14ac:dyDescent="0.2">
      <c r="A2132" s="1" t="s">
        <v>300</v>
      </c>
      <c r="B2132" s="1">
        <v>50</v>
      </c>
      <c r="C2132" s="1" t="s">
        <v>20</v>
      </c>
      <c r="D2132" s="1" t="s">
        <v>139</v>
      </c>
      <c r="E2132" s="1" t="s">
        <v>301</v>
      </c>
      <c r="F2132" s="72">
        <v>42266</v>
      </c>
      <c r="G2132" s="1" t="s">
        <v>19900</v>
      </c>
      <c r="H2132" s="1" t="s">
        <v>302</v>
      </c>
      <c r="I2132" s="1" t="s">
        <v>303</v>
      </c>
      <c r="J2132" s="4" t="s">
        <v>19901</v>
      </c>
      <c r="K2132" s="1" t="s">
        <v>2150</v>
      </c>
      <c r="L2132" s="1" t="s">
        <v>304</v>
      </c>
      <c r="M2132" s="1" t="s">
        <v>3154</v>
      </c>
      <c r="N2132" s="1" t="s">
        <v>19902</v>
      </c>
      <c r="O2132" s="1" t="s">
        <v>400</v>
      </c>
      <c r="P2132" s="1" t="s">
        <v>401</v>
      </c>
      <c r="Q2132" s="63" t="s">
        <v>19903</v>
      </c>
      <c r="R2132" s="1" t="s">
        <v>100</v>
      </c>
      <c r="S2132" s="1" t="s">
        <v>18</v>
      </c>
      <c r="AT2132" s="70"/>
      <c r="AU2132" s="70"/>
      <c r="AV2132" s="70"/>
      <c r="BK2132" s="78"/>
    </row>
    <row r="2133" spans="1:63" ht="12" customHeight="1" x14ac:dyDescent="0.15">
      <c r="A2133" s="1" t="s">
        <v>298</v>
      </c>
      <c r="B2133" s="68">
        <v>46</v>
      </c>
      <c r="C2133" s="1" t="s">
        <v>20</v>
      </c>
      <c r="D2133" s="1" t="s">
        <v>37</v>
      </c>
      <c r="E2133" s="1" t="s">
        <v>299</v>
      </c>
      <c r="F2133" s="69">
        <v>42266</v>
      </c>
      <c r="G2133" s="1" t="s">
        <v>19904</v>
      </c>
      <c r="H2133" s="1" t="s">
        <v>19905</v>
      </c>
      <c r="I2133" s="1" t="s">
        <v>25</v>
      </c>
      <c r="J2133" s="4" t="s">
        <v>19906</v>
      </c>
      <c r="K2133" s="1" t="s">
        <v>17686</v>
      </c>
      <c r="L2133" s="1" t="s">
        <v>19907</v>
      </c>
      <c r="M2133" s="1" t="s">
        <v>27</v>
      </c>
      <c r="N2133" s="1" t="s">
        <v>19908</v>
      </c>
      <c r="O2133" s="1" t="s">
        <v>400</v>
      </c>
      <c r="P2133" s="1" t="s">
        <v>401</v>
      </c>
      <c r="Q2133" s="63" t="s">
        <v>19909</v>
      </c>
      <c r="R2133" s="1" t="s">
        <v>29</v>
      </c>
      <c r="S2133" s="1" t="s">
        <v>28</v>
      </c>
      <c r="T2133" s="68" t="s">
        <v>27756</v>
      </c>
      <c r="U2133" s="68" t="s">
        <v>29438</v>
      </c>
      <c r="V2133" s="68" t="s">
        <v>29437</v>
      </c>
      <c r="W2133" s="68" t="s">
        <v>100</v>
      </c>
      <c r="X2133" s="68">
        <v>842</v>
      </c>
      <c r="BK2133" s="11"/>
    </row>
    <row r="2134" spans="1:63" ht="12" customHeight="1" x14ac:dyDescent="0.15">
      <c r="A2134" s="1" t="s">
        <v>305</v>
      </c>
      <c r="B2134" s="68">
        <v>57</v>
      </c>
      <c r="C2134" s="1" t="s">
        <v>20</v>
      </c>
      <c r="D2134" s="1" t="s">
        <v>37</v>
      </c>
      <c r="E2134" s="1" t="s">
        <v>306</v>
      </c>
      <c r="F2134" s="69">
        <v>42266</v>
      </c>
      <c r="G2134" s="1" t="s">
        <v>19915</v>
      </c>
      <c r="H2134" s="1" t="s">
        <v>19916</v>
      </c>
      <c r="I2134" s="1" t="s">
        <v>94</v>
      </c>
      <c r="J2134" s="4" t="s">
        <v>19917</v>
      </c>
      <c r="K2134" s="1" t="s">
        <v>118</v>
      </c>
      <c r="L2134" s="1" t="s">
        <v>19918</v>
      </c>
      <c r="M2134" s="1" t="s">
        <v>27</v>
      </c>
      <c r="N2134" s="1" t="s">
        <v>19919</v>
      </c>
      <c r="O2134" s="1" t="s">
        <v>400</v>
      </c>
      <c r="P2134" s="1" t="s">
        <v>401</v>
      </c>
      <c r="Q2134" s="63" t="s">
        <v>19920</v>
      </c>
      <c r="R2134" s="68" t="s">
        <v>555</v>
      </c>
      <c r="S2134" s="1" t="s">
        <v>28</v>
      </c>
      <c r="T2134" s="68" t="s">
        <v>27756</v>
      </c>
      <c r="U2134" s="68" t="s">
        <v>29438</v>
      </c>
      <c r="V2134" s="68" t="s">
        <v>29439</v>
      </c>
      <c r="W2134" s="68" t="s">
        <v>555</v>
      </c>
      <c r="X2134" s="68">
        <v>846</v>
      </c>
      <c r="BA2134" s="44"/>
      <c r="BB2134" s="11"/>
      <c r="BK2134" s="11"/>
    </row>
    <row r="2135" spans="1:63" ht="12" customHeight="1" x14ac:dyDescent="0.15">
      <c r="A2135" s="1" t="s">
        <v>316</v>
      </c>
      <c r="B2135" s="68">
        <v>47</v>
      </c>
      <c r="C2135" s="1" t="s">
        <v>20</v>
      </c>
      <c r="D2135" s="1" t="s">
        <v>37</v>
      </c>
      <c r="E2135" s="1" t="s">
        <v>317</v>
      </c>
      <c r="F2135" s="69">
        <v>42265</v>
      </c>
      <c r="G2135" s="1" t="s">
        <v>19910</v>
      </c>
      <c r="H2135" s="1" t="s">
        <v>318</v>
      </c>
      <c r="I2135" s="1" t="s">
        <v>319</v>
      </c>
      <c r="J2135" s="4" t="s">
        <v>19911</v>
      </c>
      <c r="K2135" s="1" t="s">
        <v>19912</v>
      </c>
      <c r="L2135" s="1" t="s">
        <v>320</v>
      </c>
      <c r="M2135" s="1" t="s">
        <v>27</v>
      </c>
      <c r="N2135" s="1" t="s">
        <v>19913</v>
      </c>
      <c r="O2135" s="1" t="s">
        <v>400</v>
      </c>
      <c r="P2135" s="1" t="s">
        <v>401</v>
      </c>
      <c r="Q2135" s="63" t="s">
        <v>19914</v>
      </c>
      <c r="R2135" s="1" t="s">
        <v>100</v>
      </c>
      <c r="S2135" s="1" t="s">
        <v>35</v>
      </c>
      <c r="T2135" s="68" t="s">
        <v>29441</v>
      </c>
      <c r="U2135" s="68" t="s">
        <v>29441</v>
      </c>
      <c r="V2135" s="68" t="s">
        <v>29439</v>
      </c>
      <c r="W2135" s="68" t="s">
        <v>100</v>
      </c>
      <c r="X2135" s="68">
        <v>844</v>
      </c>
      <c r="BA2135" s="44"/>
    </row>
    <row r="2136" spans="1:63" ht="12" customHeight="1" x14ac:dyDescent="0.15">
      <c r="A2136" s="1" t="s">
        <v>307</v>
      </c>
      <c r="B2136" s="68">
        <v>32</v>
      </c>
      <c r="C2136" s="1" t="s">
        <v>20</v>
      </c>
      <c r="D2136" s="1" t="s">
        <v>37</v>
      </c>
      <c r="E2136" s="1" t="s">
        <v>308</v>
      </c>
      <c r="F2136" s="69">
        <v>42265</v>
      </c>
      <c r="G2136" s="1" t="s">
        <v>19921</v>
      </c>
      <c r="H2136" s="1" t="s">
        <v>309</v>
      </c>
      <c r="I2136" s="1" t="s">
        <v>45</v>
      </c>
      <c r="J2136" s="4" t="s">
        <v>4319</v>
      </c>
      <c r="K2136" s="1" t="s">
        <v>309</v>
      </c>
      <c r="L2136" s="1" t="s">
        <v>310</v>
      </c>
      <c r="M2136" s="1" t="s">
        <v>27</v>
      </c>
      <c r="N2136" s="1" t="s">
        <v>19922</v>
      </c>
      <c r="O2136" s="1" t="s">
        <v>400</v>
      </c>
      <c r="P2136" s="1" t="s">
        <v>401</v>
      </c>
      <c r="Q2136" s="63" t="s">
        <v>19923</v>
      </c>
      <c r="R2136" s="1" t="s">
        <v>100</v>
      </c>
      <c r="S2136" s="68" t="s">
        <v>379</v>
      </c>
      <c r="T2136" s="68" t="s">
        <v>379</v>
      </c>
      <c r="U2136" s="68" t="s">
        <v>29441</v>
      </c>
      <c r="V2136" s="68" t="s">
        <v>29437</v>
      </c>
      <c r="W2136" s="68" t="s">
        <v>100</v>
      </c>
      <c r="X2136" s="68">
        <v>843</v>
      </c>
      <c r="AW2136" s="11"/>
      <c r="BA2136" s="44"/>
      <c r="BK2136" s="44"/>
    </row>
    <row r="2137" spans="1:63" ht="12" customHeight="1" x14ac:dyDescent="0.15">
      <c r="A2137" s="1" t="s">
        <v>322</v>
      </c>
      <c r="B2137" s="68">
        <v>50</v>
      </c>
      <c r="C2137" s="1" t="s">
        <v>20</v>
      </c>
      <c r="D2137" s="1" t="s">
        <v>37</v>
      </c>
      <c r="E2137" s="1" t="s">
        <v>323</v>
      </c>
      <c r="F2137" s="69">
        <v>42264</v>
      </c>
      <c r="G2137" s="1" t="s">
        <v>324</v>
      </c>
      <c r="H2137" s="1" t="s">
        <v>325</v>
      </c>
      <c r="I2137" s="1" t="s">
        <v>57</v>
      </c>
      <c r="J2137" s="4" t="s">
        <v>19929</v>
      </c>
      <c r="K2137" s="1" t="s">
        <v>19930</v>
      </c>
      <c r="L2137" s="1" t="s">
        <v>3953</v>
      </c>
      <c r="M2137" s="1" t="s">
        <v>27</v>
      </c>
      <c r="N2137" s="1" t="s">
        <v>19931</v>
      </c>
      <c r="O2137" s="1" t="s">
        <v>1010</v>
      </c>
      <c r="P2137" s="1" t="s">
        <v>401</v>
      </c>
      <c r="Q2137" s="63" t="s">
        <v>19932</v>
      </c>
      <c r="R2137" s="11" t="s">
        <v>964</v>
      </c>
      <c r="S2137" s="1" t="s">
        <v>28</v>
      </c>
      <c r="T2137" s="68" t="s">
        <v>27756</v>
      </c>
      <c r="U2137" s="68" t="s">
        <v>29438</v>
      </c>
      <c r="V2137" s="68" t="s">
        <v>29439</v>
      </c>
      <c r="W2137" s="68" t="s">
        <v>100</v>
      </c>
      <c r="X2137" s="68">
        <v>838</v>
      </c>
      <c r="BA2137" s="44"/>
      <c r="BB2137" s="44"/>
      <c r="BK2137" s="11"/>
    </row>
    <row r="2138" spans="1:63" ht="12" customHeight="1" x14ac:dyDescent="0.15">
      <c r="A2138" s="1" t="s">
        <v>311</v>
      </c>
      <c r="B2138" s="1">
        <v>61</v>
      </c>
      <c r="C2138" s="1" t="s">
        <v>20</v>
      </c>
      <c r="D2138" s="1" t="s">
        <v>37</v>
      </c>
      <c r="E2138" s="1" t="s">
        <v>312</v>
      </c>
      <c r="F2138" s="69">
        <v>42264</v>
      </c>
      <c r="G2138" s="1" t="s">
        <v>313</v>
      </c>
      <c r="H2138" s="1" t="s">
        <v>314</v>
      </c>
      <c r="I2138" s="1" t="s">
        <v>315</v>
      </c>
      <c r="J2138" s="4" t="s">
        <v>19924</v>
      </c>
      <c r="K2138" s="1" t="s">
        <v>19925</v>
      </c>
      <c r="L2138" s="1" t="s">
        <v>19926</v>
      </c>
      <c r="M2138" s="1" t="s">
        <v>27</v>
      </c>
      <c r="N2138" s="1" t="s">
        <v>19927</v>
      </c>
      <c r="O2138" s="1" t="s">
        <v>400</v>
      </c>
      <c r="P2138" s="1" t="s">
        <v>401</v>
      </c>
      <c r="Q2138" s="63" t="s">
        <v>19928</v>
      </c>
      <c r="R2138" s="1" t="s">
        <v>100</v>
      </c>
      <c r="S2138" s="1" t="s">
        <v>28</v>
      </c>
      <c r="T2138" s="68" t="s">
        <v>27756</v>
      </c>
      <c r="U2138" s="68" t="s">
        <v>29438</v>
      </c>
      <c r="V2138" s="68" t="s">
        <v>29439</v>
      </c>
      <c r="W2138" s="68" t="s">
        <v>100</v>
      </c>
      <c r="X2138" s="68">
        <v>839</v>
      </c>
      <c r="BA2138" s="44"/>
      <c r="BK2138" s="11"/>
    </row>
    <row r="2139" spans="1:63" ht="12" customHeight="1" x14ac:dyDescent="0.2">
      <c r="A2139" s="1" t="s">
        <v>340</v>
      </c>
      <c r="B2139" s="68">
        <v>31</v>
      </c>
      <c r="C2139" s="1" t="s">
        <v>20</v>
      </c>
      <c r="D2139" s="1" t="s">
        <v>37</v>
      </c>
      <c r="E2139" s="1" t="s">
        <v>341</v>
      </c>
      <c r="F2139" s="69">
        <v>42263</v>
      </c>
      <c r="G2139" s="1" t="s">
        <v>342</v>
      </c>
      <c r="H2139" s="1" t="s">
        <v>343</v>
      </c>
      <c r="I2139" s="1" t="s">
        <v>143</v>
      </c>
      <c r="J2139" s="4" t="s">
        <v>19939</v>
      </c>
      <c r="K2139" s="1" t="s">
        <v>2069</v>
      </c>
      <c r="L2139" s="1" t="s">
        <v>344</v>
      </c>
      <c r="M2139" s="1" t="s">
        <v>27</v>
      </c>
      <c r="N2139" s="1" t="s">
        <v>19940</v>
      </c>
      <c r="O2139" s="1" t="s">
        <v>1010</v>
      </c>
      <c r="P2139" s="1" t="s">
        <v>401</v>
      </c>
      <c r="Q2139" s="63" t="s">
        <v>19941</v>
      </c>
      <c r="R2139" s="68" t="s">
        <v>555</v>
      </c>
      <c r="S2139" s="1" t="s">
        <v>28</v>
      </c>
      <c r="T2139" s="68" t="s">
        <v>27756</v>
      </c>
      <c r="U2139" s="68" t="s">
        <v>29438</v>
      </c>
      <c r="V2139" s="68" t="s">
        <v>29440</v>
      </c>
      <c r="W2139" s="68" t="s">
        <v>100</v>
      </c>
      <c r="X2139" s="68">
        <v>835</v>
      </c>
      <c r="AW2139" s="11"/>
      <c r="BA2139" s="70"/>
      <c r="BB2139" s="44"/>
      <c r="BK2139" s="11"/>
    </row>
    <row r="2140" spans="1:63" ht="12" customHeight="1" x14ac:dyDescent="0.15">
      <c r="A2140" s="1" t="s">
        <v>332</v>
      </c>
      <c r="B2140" s="1">
        <v>19</v>
      </c>
      <c r="C2140" s="1" t="s">
        <v>20</v>
      </c>
      <c r="D2140" s="1" t="s">
        <v>48</v>
      </c>
      <c r="E2140" s="1" t="s">
        <v>333</v>
      </c>
      <c r="F2140" s="72">
        <v>42263</v>
      </c>
      <c r="G2140" s="1" t="s">
        <v>334</v>
      </c>
      <c r="H2140" s="1" t="s">
        <v>109</v>
      </c>
      <c r="I2140" s="1" t="s">
        <v>45</v>
      </c>
      <c r="J2140" s="4">
        <v>92376</v>
      </c>
      <c r="K2140" s="1" t="s">
        <v>309</v>
      </c>
      <c r="L2140" s="1" t="s">
        <v>111</v>
      </c>
      <c r="M2140" s="1" t="s">
        <v>379</v>
      </c>
      <c r="P2140" s="1" t="s">
        <v>401</v>
      </c>
      <c r="Q2140" s="63" t="str">
        <f>HYPERLINK("http://www.pe.com/articles/camacho-780442-anda-police.html","http://www.pe.com/articles/camacho-780442-anda-police.html")</f>
        <v>http://www.pe.com/articles/camacho-780442-anda-police.html</v>
      </c>
      <c r="R2140" s="1" t="s">
        <v>29</v>
      </c>
      <c r="S2140" s="1" t="s">
        <v>18</v>
      </c>
    </row>
    <row r="2141" spans="1:63" ht="12" customHeight="1" x14ac:dyDescent="0.15">
      <c r="A2141" s="1" t="s">
        <v>321</v>
      </c>
      <c r="B2141" s="68">
        <v>39</v>
      </c>
      <c r="C2141" s="1" t="s">
        <v>20</v>
      </c>
      <c r="D2141" s="1" t="s">
        <v>48</v>
      </c>
      <c r="F2141" s="69">
        <v>42262</v>
      </c>
      <c r="G2141" s="1" t="s">
        <v>24438</v>
      </c>
      <c r="H2141" s="1" t="s">
        <v>98</v>
      </c>
      <c r="I2141" s="1" t="s">
        <v>45</v>
      </c>
      <c r="J2141" s="4" t="s">
        <v>19936</v>
      </c>
      <c r="K2141" s="1" t="s">
        <v>98</v>
      </c>
      <c r="L2141" s="1" t="s">
        <v>99</v>
      </c>
      <c r="M2141" s="1" t="s">
        <v>27</v>
      </c>
      <c r="N2141" s="1" t="s">
        <v>19937</v>
      </c>
      <c r="O2141" s="1" t="s">
        <v>1010</v>
      </c>
      <c r="P2141" s="1" t="s">
        <v>401</v>
      </c>
      <c r="Q2141" s="63" t="s">
        <v>19938</v>
      </c>
      <c r="R2141" s="1" t="s">
        <v>100</v>
      </c>
      <c r="S2141" s="1" t="s">
        <v>28</v>
      </c>
      <c r="T2141" s="68" t="s">
        <v>27756</v>
      </c>
      <c r="U2141" s="68" t="s">
        <v>29438</v>
      </c>
      <c r="V2141" s="68" t="s">
        <v>29439</v>
      </c>
      <c r="W2141" s="68" t="s">
        <v>100</v>
      </c>
      <c r="X2141" s="68">
        <v>834</v>
      </c>
      <c r="AW2141" s="44"/>
      <c r="BA2141" s="44"/>
      <c r="BK2141" s="11"/>
    </row>
    <row r="2142" spans="1:63" ht="12" customHeight="1" x14ac:dyDescent="0.15">
      <c r="A2142" s="1" t="s">
        <v>337</v>
      </c>
      <c r="B2142" s="68">
        <v>27</v>
      </c>
      <c r="C2142" s="1" t="s">
        <v>20</v>
      </c>
      <c r="D2142" s="1" t="s">
        <v>85</v>
      </c>
      <c r="E2142" s="1" t="s">
        <v>338</v>
      </c>
      <c r="F2142" s="69">
        <v>42262</v>
      </c>
      <c r="G2142" s="1" t="s">
        <v>24439</v>
      </c>
      <c r="H2142" s="1" t="s">
        <v>339</v>
      </c>
      <c r="I2142" s="1" t="s">
        <v>25</v>
      </c>
      <c r="J2142" s="4" t="s">
        <v>19933</v>
      </c>
      <c r="K2142" s="1" t="s">
        <v>3127</v>
      </c>
      <c r="L2142" s="1" t="s">
        <v>20248</v>
      </c>
      <c r="M2142" s="1" t="s">
        <v>27</v>
      </c>
      <c r="N2142" s="1" t="s">
        <v>19934</v>
      </c>
      <c r="O2142" s="1" t="s">
        <v>400</v>
      </c>
      <c r="P2142" s="1" t="s">
        <v>401</v>
      </c>
      <c r="Q2142" s="63" t="s">
        <v>19935</v>
      </c>
      <c r="R2142" s="1" t="s">
        <v>29</v>
      </c>
      <c r="S2142" s="1" t="s">
        <v>28</v>
      </c>
      <c r="T2142" s="68" t="s">
        <v>27756</v>
      </c>
      <c r="U2142" s="68" t="s">
        <v>29436</v>
      </c>
      <c r="V2142" s="68" t="s">
        <v>29439</v>
      </c>
      <c r="W2142" s="68" t="s">
        <v>100</v>
      </c>
      <c r="X2142" s="68">
        <v>837</v>
      </c>
      <c r="AW2142" s="44"/>
      <c r="AX2142" s="11"/>
      <c r="AY2142" s="11"/>
      <c r="BC2142" s="44"/>
      <c r="BD2142" s="44"/>
      <c r="BE2142" s="44"/>
      <c r="BF2142" s="44"/>
      <c r="BG2142" s="44"/>
      <c r="BH2142" s="44"/>
      <c r="BI2142" s="44"/>
      <c r="BJ2142" s="44"/>
      <c r="BK2142" s="11"/>
    </row>
    <row r="2143" spans="1:63" ht="12" customHeight="1" x14ac:dyDescent="0.15">
      <c r="A2143" s="1" t="s">
        <v>355</v>
      </c>
      <c r="B2143" s="68">
        <v>21</v>
      </c>
      <c r="C2143" s="1" t="s">
        <v>20</v>
      </c>
      <c r="D2143" s="1" t="s">
        <v>85</v>
      </c>
      <c r="E2143" s="1" t="s">
        <v>356</v>
      </c>
      <c r="F2143" s="69">
        <v>42262</v>
      </c>
      <c r="G2143" s="1" t="s">
        <v>19942</v>
      </c>
      <c r="H2143" s="1" t="s">
        <v>357</v>
      </c>
      <c r="I2143" s="1" t="s">
        <v>25</v>
      </c>
      <c r="J2143" s="4" t="s">
        <v>19943</v>
      </c>
      <c r="K2143" s="1" t="s">
        <v>19944</v>
      </c>
      <c r="L2143" s="1" t="s">
        <v>19945</v>
      </c>
      <c r="M2143" s="1" t="s">
        <v>27</v>
      </c>
      <c r="N2143" s="1" t="s">
        <v>19946</v>
      </c>
      <c r="O2143" s="1" t="s">
        <v>400</v>
      </c>
      <c r="P2143" s="1" t="s">
        <v>401</v>
      </c>
      <c r="Q2143" s="63" t="s">
        <v>19947</v>
      </c>
      <c r="R2143" s="1" t="s">
        <v>29</v>
      </c>
      <c r="S2143" s="11" t="s">
        <v>28</v>
      </c>
      <c r="T2143" s="68" t="s">
        <v>30976</v>
      </c>
      <c r="U2143" s="68" t="s">
        <v>29438</v>
      </c>
      <c r="V2143" s="68" t="s">
        <v>29439</v>
      </c>
      <c r="W2143" s="68" t="s">
        <v>100</v>
      </c>
      <c r="X2143" s="68">
        <v>830</v>
      </c>
      <c r="AW2143" s="44"/>
      <c r="AX2143" s="44"/>
      <c r="AY2143" s="44"/>
      <c r="BC2143" s="44"/>
      <c r="BD2143" s="44"/>
      <c r="BE2143" s="44"/>
      <c r="BF2143" s="44"/>
      <c r="BG2143" s="44"/>
      <c r="BH2143" s="44"/>
      <c r="BI2143" s="44"/>
      <c r="BJ2143" s="44"/>
    </row>
    <row r="2144" spans="1:63" ht="12" customHeight="1" x14ac:dyDescent="0.15">
      <c r="A2144" s="1" t="s">
        <v>335</v>
      </c>
      <c r="B2144" s="68">
        <v>51</v>
      </c>
      <c r="C2144" s="1" t="s">
        <v>20</v>
      </c>
      <c r="D2144" s="1" t="s">
        <v>48</v>
      </c>
      <c r="F2144" s="69">
        <v>42262</v>
      </c>
      <c r="G2144" s="1" t="s">
        <v>336</v>
      </c>
      <c r="H2144" s="1" t="s">
        <v>213</v>
      </c>
      <c r="I2144" s="1" t="s">
        <v>62</v>
      </c>
      <c r="J2144" s="4">
        <v>33185</v>
      </c>
      <c r="K2144" s="1" t="s">
        <v>161</v>
      </c>
      <c r="L2144" s="1" t="s">
        <v>162</v>
      </c>
      <c r="M2144" s="1" t="s">
        <v>27</v>
      </c>
      <c r="N2144" s="1" t="s">
        <v>21066</v>
      </c>
      <c r="O2144" s="1" t="s">
        <v>400</v>
      </c>
      <c r="P2144" s="1" t="s">
        <v>401</v>
      </c>
      <c r="Q2144" s="63" t="str">
        <f>HYPERLINK("http://www.local10.com/news/man-killed-in-policeinvolved-shooting-in-sw-miamidade/35298042","http://www.local10.com/news/man-killed-in-policeinvolved-shooting-in-sw-miamidade/35298042")</f>
        <v>http://www.local10.com/news/man-killed-in-policeinvolved-shooting-in-sw-miamidade/35298042</v>
      </c>
      <c r="R2144" s="68" t="s">
        <v>555</v>
      </c>
      <c r="S2144" s="2" t="s">
        <v>28</v>
      </c>
      <c r="T2144" s="68" t="s">
        <v>27756</v>
      </c>
      <c r="U2144" s="68" t="s">
        <v>29441</v>
      </c>
      <c r="V2144" s="68" t="s">
        <v>29437</v>
      </c>
      <c r="W2144" s="68" t="s">
        <v>100</v>
      </c>
      <c r="X2144" s="68">
        <v>833</v>
      </c>
      <c r="BA2144" s="44"/>
      <c r="BB2144" s="44"/>
      <c r="BK2144" s="11"/>
    </row>
    <row r="2145" spans="1:63" ht="12" customHeight="1" x14ac:dyDescent="0.15">
      <c r="A2145" s="1" t="s">
        <v>350</v>
      </c>
      <c r="B2145" s="68">
        <v>32</v>
      </c>
      <c r="C2145" s="1" t="s">
        <v>20</v>
      </c>
      <c r="D2145" s="1" t="s">
        <v>48</v>
      </c>
      <c r="F2145" s="69">
        <v>42262</v>
      </c>
      <c r="G2145" s="1" t="s">
        <v>351</v>
      </c>
      <c r="H2145" s="1" t="s">
        <v>98</v>
      </c>
      <c r="I2145" s="1" t="s">
        <v>45</v>
      </c>
      <c r="J2145" s="4">
        <v>91402</v>
      </c>
      <c r="K2145" s="1" t="s">
        <v>98</v>
      </c>
      <c r="L2145" s="1" t="s">
        <v>99</v>
      </c>
      <c r="M2145" s="1" t="s">
        <v>27</v>
      </c>
      <c r="N2145" s="1" t="s">
        <v>21087</v>
      </c>
      <c r="P2145" s="1" t="s">
        <v>401</v>
      </c>
      <c r="Q2145" s="63" t="str">
        <f>HYPERLINK("http://abc7.com/news/suspect-killed-in-panorama-city-officer-involved-shooting/986303/","http://abc7.com/news/suspect-killed-in-panorama-city-officer-involved-shooting/986303/")</f>
        <v>http://abc7.com/news/suspect-killed-in-panorama-city-officer-involved-shooting/986303/</v>
      </c>
      <c r="R2145" s="1" t="s">
        <v>29</v>
      </c>
      <c r="S2145" s="1" t="s">
        <v>28</v>
      </c>
      <c r="T2145" s="68" t="s">
        <v>27756</v>
      </c>
      <c r="U2145" s="68" t="s">
        <v>29438</v>
      </c>
      <c r="V2145" s="68" t="s">
        <v>29439</v>
      </c>
      <c r="W2145" s="68" t="s">
        <v>555</v>
      </c>
      <c r="X2145" s="68">
        <v>832</v>
      </c>
      <c r="AW2145" s="11"/>
      <c r="BK2145" s="11"/>
    </row>
    <row r="2146" spans="1:63" ht="12" customHeight="1" x14ac:dyDescent="0.15">
      <c r="A2146" s="1" t="s">
        <v>345</v>
      </c>
      <c r="B2146" s="68">
        <v>28</v>
      </c>
      <c r="C2146" s="1" t="s">
        <v>20</v>
      </c>
      <c r="D2146" s="68" t="s">
        <v>37</v>
      </c>
      <c r="E2146" s="1" t="s">
        <v>346</v>
      </c>
      <c r="F2146" s="69">
        <v>42261</v>
      </c>
      <c r="G2146" s="1" t="s">
        <v>347</v>
      </c>
      <c r="H2146" s="1" t="s">
        <v>348</v>
      </c>
      <c r="I2146" s="1" t="s">
        <v>45</v>
      </c>
      <c r="J2146" s="4">
        <v>92311</v>
      </c>
      <c r="K2146" s="1" t="s">
        <v>309</v>
      </c>
      <c r="L2146" s="1" t="s">
        <v>349</v>
      </c>
      <c r="M2146" s="1" t="s">
        <v>27</v>
      </c>
      <c r="N2146" s="1" t="s">
        <v>21068</v>
      </c>
      <c r="O2146" s="1" t="s">
        <v>400</v>
      </c>
      <c r="P2146" s="1" t="s">
        <v>401</v>
      </c>
      <c r="Q2146" s="63" t="str">
        <f>HYPERLINK("http://www.vvng.com/barstow-man-killed-in-officer-involved-shooting/","http://www.vvng.com/barstow-man-killed-in-officer-involved-shooting/")</f>
        <v>http://www.vvng.com/barstow-man-killed-in-officer-involved-shooting/</v>
      </c>
      <c r="R2146" s="68" t="s">
        <v>555</v>
      </c>
      <c r="S2146" s="13" t="s">
        <v>18</v>
      </c>
      <c r="T2146" s="68" t="s">
        <v>28345</v>
      </c>
      <c r="U2146" s="68" t="s">
        <v>29438</v>
      </c>
      <c r="V2146" s="68" t="s">
        <v>29439</v>
      </c>
      <c r="W2146" s="68" t="s">
        <v>100</v>
      </c>
      <c r="X2146" s="68">
        <v>829</v>
      </c>
      <c r="AW2146" s="44"/>
      <c r="BA2146" s="44"/>
      <c r="BB2146" s="44"/>
    </row>
    <row r="2147" spans="1:63" ht="12" customHeight="1" x14ac:dyDescent="0.15">
      <c r="A2147" s="1" t="s">
        <v>371</v>
      </c>
      <c r="B2147" s="68">
        <v>25</v>
      </c>
      <c r="C2147" s="1" t="s">
        <v>20</v>
      </c>
      <c r="D2147" s="1" t="s">
        <v>85</v>
      </c>
      <c r="E2147" s="1" t="s">
        <v>372</v>
      </c>
      <c r="F2147" s="69">
        <v>42261</v>
      </c>
      <c r="G2147" s="1" t="s">
        <v>373</v>
      </c>
      <c r="H2147" s="1" t="s">
        <v>374</v>
      </c>
      <c r="I2147" s="1" t="s">
        <v>315</v>
      </c>
      <c r="J2147" s="4">
        <v>42038</v>
      </c>
      <c r="K2147" s="1" t="s">
        <v>18190</v>
      </c>
      <c r="L2147" s="1" t="s">
        <v>29</v>
      </c>
      <c r="M2147" s="1" t="s">
        <v>27</v>
      </c>
      <c r="N2147" s="1" t="s">
        <v>21089</v>
      </c>
      <c r="O2147" s="1" t="s">
        <v>400</v>
      </c>
      <c r="P2147" s="1" t="s">
        <v>401</v>
      </c>
      <c r="Q2147" s="6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2147" s="1" t="s">
        <v>29</v>
      </c>
      <c r="S2147" s="1" t="s">
        <v>28</v>
      </c>
      <c r="T2147" s="68" t="s">
        <v>27756</v>
      </c>
      <c r="U2147" s="68" t="s">
        <v>29438</v>
      </c>
      <c r="V2147" s="68" t="s">
        <v>29437</v>
      </c>
      <c r="W2147" s="68" t="s">
        <v>100</v>
      </c>
      <c r="X2147" s="68">
        <v>828</v>
      </c>
      <c r="AW2147" s="11"/>
      <c r="AX2147" s="44"/>
      <c r="AY2147" s="44"/>
      <c r="BC2147" s="44"/>
      <c r="BD2147" s="44"/>
      <c r="BE2147" s="44"/>
      <c r="BF2147" s="44"/>
      <c r="BG2147" s="44"/>
      <c r="BH2147" s="44"/>
      <c r="BI2147" s="44"/>
      <c r="BJ2147" s="44"/>
      <c r="BK2147" s="11"/>
    </row>
    <row r="2148" spans="1:63" ht="12" customHeight="1" x14ac:dyDescent="0.15">
      <c r="A2148" s="1" t="s">
        <v>364</v>
      </c>
      <c r="B2148" s="1">
        <v>52</v>
      </c>
      <c r="C2148" s="1" t="s">
        <v>20</v>
      </c>
      <c r="D2148" s="1" t="s">
        <v>85</v>
      </c>
      <c r="E2148" s="1" t="s">
        <v>365</v>
      </c>
      <c r="F2148" s="72">
        <v>42261</v>
      </c>
      <c r="G2148" s="1" t="s">
        <v>19008</v>
      </c>
      <c r="H2148" s="1" t="s">
        <v>151</v>
      </c>
      <c r="I2148" s="1" t="s">
        <v>366</v>
      </c>
      <c r="J2148" s="4">
        <v>27610</v>
      </c>
      <c r="K2148" s="1" t="s">
        <v>690</v>
      </c>
      <c r="L2148" s="1" t="s">
        <v>17337</v>
      </c>
      <c r="M2148" s="1" t="s">
        <v>2291</v>
      </c>
      <c r="N2148" s="1" t="s">
        <v>19004</v>
      </c>
      <c r="O2148" s="1" t="s">
        <v>400</v>
      </c>
      <c r="P2148" s="1" t="s">
        <v>401</v>
      </c>
      <c r="Q2148" s="63" t="str">
        <f>HYPERLINK("http://wncn.com/2015/09/14/man-dies-while-in-custody-of-raleigh-police-investigation-underway/","http://wncn.com/2015/09/14/man-dies-while-in-custody-of-raleigh-police-investigation-underway/")</f>
        <v>http://wncn.com/2015/09/14/man-dies-while-in-custody-of-raleigh-police-investigation-underway/</v>
      </c>
      <c r="R2148" s="1" t="s">
        <v>29</v>
      </c>
      <c r="S2148" s="1" t="s">
        <v>28</v>
      </c>
      <c r="AX2148" s="11"/>
      <c r="AY2148" s="11"/>
      <c r="BC2148" s="44"/>
      <c r="BD2148" s="44"/>
      <c r="BE2148" s="44"/>
      <c r="BF2148" s="44"/>
      <c r="BG2148" s="44"/>
      <c r="BH2148" s="44"/>
      <c r="BI2148" s="44"/>
      <c r="BJ2148" s="44"/>
    </row>
    <row r="2149" spans="1:63" ht="12" customHeight="1" x14ac:dyDescent="0.15">
      <c r="A2149" s="1" t="s">
        <v>361</v>
      </c>
      <c r="B2149" s="1">
        <v>49</v>
      </c>
      <c r="C2149" s="1" t="s">
        <v>20</v>
      </c>
      <c r="D2149" s="1" t="s">
        <v>85</v>
      </c>
      <c r="E2149" s="1" t="s">
        <v>362</v>
      </c>
      <c r="F2149" s="72">
        <v>42261</v>
      </c>
      <c r="G2149" s="1" t="s">
        <v>19006</v>
      </c>
      <c r="H2149" s="1" t="s">
        <v>1609</v>
      </c>
      <c r="I2149" s="1" t="s">
        <v>363</v>
      </c>
      <c r="J2149" s="4">
        <v>67501</v>
      </c>
      <c r="K2149" s="1" t="s">
        <v>1611</v>
      </c>
      <c r="L2149" s="1" t="s">
        <v>19007</v>
      </c>
      <c r="M2149" s="1" t="s">
        <v>29</v>
      </c>
      <c r="N2149" s="1" t="s">
        <v>19005</v>
      </c>
      <c r="O2149" s="1" t="s">
        <v>400</v>
      </c>
      <c r="P2149" s="1" t="s">
        <v>401</v>
      </c>
      <c r="Q2149" s="63" t="str">
        <f>HYPERLINK("http://ksn.com/2015/09/14/inmate-death-reported-at-hutchinson-correctional-facility/","http://ksn.com/2015/09/14/inmate-death-reported-at-hutchinson-correctional-facility/")</f>
        <v>http://ksn.com/2015/09/14/inmate-death-reported-at-hutchinson-correctional-facility/</v>
      </c>
      <c r="R2149" s="1" t="s">
        <v>29</v>
      </c>
      <c r="S2149" s="1" t="s">
        <v>28</v>
      </c>
      <c r="AU2149" s="11"/>
      <c r="AV2149" s="11"/>
      <c r="AW2149" s="44"/>
      <c r="AX2149" s="44"/>
      <c r="AY2149" s="44"/>
      <c r="BC2149" s="44"/>
      <c r="BD2149" s="44"/>
      <c r="BE2149" s="44"/>
      <c r="BF2149" s="44"/>
      <c r="BG2149" s="44"/>
      <c r="BH2149" s="44"/>
      <c r="BI2149" s="44"/>
      <c r="BJ2149" s="44"/>
    </row>
    <row r="2150" spans="1:63" ht="12" customHeight="1" x14ac:dyDescent="0.15">
      <c r="A2150" s="1" t="s">
        <v>20938</v>
      </c>
      <c r="B2150" s="1">
        <v>35</v>
      </c>
      <c r="C2150" s="1" t="s">
        <v>20</v>
      </c>
      <c r="D2150" s="1" t="s">
        <v>85</v>
      </c>
      <c r="F2150" s="72">
        <v>42260</v>
      </c>
      <c r="G2150" s="1" t="s">
        <v>20939</v>
      </c>
      <c r="H2150" s="1" t="s">
        <v>20940</v>
      </c>
      <c r="I2150" s="1" t="s">
        <v>62</v>
      </c>
      <c r="J2150" s="4" t="s">
        <v>20941</v>
      </c>
      <c r="K2150" s="1" t="s">
        <v>20942</v>
      </c>
      <c r="L2150" s="1" t="s">
        <v>5438</v>
      </c>
      <c r="M2150" s="1" t="s">
        <v>379</v>
      </c>
      <c r="N2150" s="1" t="s">
        <v>20943</v>
      </c>
      <c r="O2150" s="1" t="s">
        <v>400</v>
      </c>
      <c r="P2150" s="1" t="s">
        <v>401</v>
      </c>
      <c r="Q2150" s="1" t="s">
        <v>20944</v>
      </c>
      <c r="R2150" s="1" t="s">
        <v>29</v>
      </c>
      <c r="S2150" s="13" t="s">
        <v>379</v>
      </c>
      <c r="AX2150" s="44"/>
      <c r="AY2150" s="44"/>
      <c r="BC2150" s="44"/>
      <c r="BD2150" s="44"/>
      <c r="BE2150" s="44"/>
      <c r="BF2150" s="44"/>
      <c r="BG2150" s="44"/>
      <c r="BH2150" s="44"/>
      <c r="BI2150" s="44"/>
      <c r="BJ2150" s="44"/>
    </row>
    <row r="2151" spans="1:63" ht="12" customHeight="1" x14ac:dyDescent="0.15">
      <c r="A2151" s="1" t="s">
        <v>392</v>
      </c>
      <c r="B2151" s="68">
        <v>67</v>
      </c>
      <c r="C2151" s="1" t="s">
        <v>20</v>
      </c>
      <c r="D2151" s="1" t="s">
        <v>85</v>
      </c>
      <c r="E2151" s="1" t="s">
        <v>385</v>
      </c>
      <c r="F2151" s="69">
        <v>42260</v>
      </c>
      <c r="G2151" s="1" t="s">
        <v>393</v>
      </c>
      <c r="H2151" s="1" t="s">
        <v>394</v>
      </c>
      <c r="I2151" s="1" t="s">
        <v>395</v>
      </c>
      <c r="J2151" s="4" t="s">
        <v>396</v>
      </c>
      <c r="K2151" s="1" t="s">
        <v>397</v>
      </c>
      <c r="L2151" s="1" t="s">
        <v>398</v>
      </c>
      <c r="M2151" s="1" t="s">
        <v>27</v>
      </c>
      <c r="N2151" s="1" t="s">
        <v>399</v>
      </c>
      <c r="O2151" s="1" t="s">
        <v>400</v>
      </c>
      <c r="P2151" s="1" t="s">
        <v>401</v>
      </c>
      <c r="Q2151" s="63" t="s">
        <v>402</v>
      </c>
      <c r="R2151" s="68" t="s">
        <v>555</v>
      </c>
      <c r="S2151" s="13" t="s">
        <v>28</v>
      </c>
      <c r="T2151" s="68" t="s">
        <v>27756</v>
      </c>
      <c r="U2151" s="68" t="s">
        <v>29438</v>
      </c>
      <c r="V2151" s="68" t="s">
        <v>29439</v>
      </c>
      <c r="W2151" s="68" t="s">
        <v>100</v>
      </c>
      <c r="X2151" s="68">
        <v>825</v>
      </c>
      <c r="AX2151" s="44"/>
      <c r="AY2151" s="44"/>
      <c r="BA2151" s="44"/>
      <c r="BB2151" s="44"/>
      <c r="BC2151" s="44"/>
      <c r="BD2151" s="44"/>
      <c r="BE2151" s="44"/>
      <c r="BF2151" s="44"/>
      <c r="BG2151" s="44"/>
      <c r="BH2151" s="44"/>
      <c r="BI2151" s="44"/>
      <c r="BJ2151" s="44"/>
      <c r="BK2151" s="11"/>
    </row>
    <row r="2152" spans="1:63" ht="12" customHeight="1" x14ac:dyDescent="0.15">
      <c r="A2152" s="1" t="s">
        <v>367</v>
      </c>
      <c r="B2152" s="68">
        <v>39</v>
      </c>
      <c r="C2152" s="1" t="s">
        <v>20</v>
      </c>
      <c r="D2152" s="1" t="s">
        <v>37</v>
      </c>
      <c r="F2152" s="69">
        <v>42260</v>
      </c>
      <c r="G2152" s="1" t="s">
        <v>368</v>
      </c>
      <c r="H2152" s="1" t="s">
        <v>369</v>
      </c>
      <c r="I2152" s="1" t="s">
        <v>370</v>
      </c>
      <c r="J2152" s="4">
        <v>52356</v>
      </c>
      <c r="K2152" s="1" t="s">
        <v>118</v>
      </c>
      <c r="L2152" s="1" t="s">
        <v>119</v>
      </c>
      <c r="M2152" s="1" t="s">
        <v>27</v>
      </c>
      <c r="N2152" s="1" t="s">
        <v>21090</v>
      </c>
      <c r="P2152" s="1" t="s">
        <v>401</v>
      </c>
      <c r="Q2152" s="6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152" s="68" t="s">
        <v>555</v>
      </c>
      <c r="S2152" s="1" t="s">
        <v>28</v>
      </c>
      <c r="T2152" s="68" t="s">
        <v>27756</v>
      </c>
      <c r="U2152" s="68" t="s">
        <v>29438</v>
      </c>
      <c r="V2152" s="68" t="s">
        <v>29439</v>
      </c>
      <c r="W2152" s="68" t="s">
        <v>100</v>
      </c>
      <c r="X2152" s="68">
        <v>821</v>
      </c>
      <c r="AW2152" s="44"/>
      <c r="BA2152" s="44"/>
      <c r="BB2152" s="44"/>
      <c r="BK2152" s="11"/>
    </row>
    <row r="2153" spans="1:63" ht="12" customHeight="1" x14ac:dyDescent="0.15">
      <c r="A2153" s="1" t="s">
        <v>375</v>
      </c>
      <c r="B2153" s="68">
        <v>29</v>
      </c>
      <c r="C2153" s="1" t="s">
        <v>20</v>
      </c>
      <c r="D2153" s="1" t="s">
        <v>37</v>
      </c>
      <c r="E2153" s="1" t="s">
        <v>376</v>
      </c>
      <c r="F2153" s="69">
        <v>42260</v>
      </c>
      <c r="G2153" s="1" t="s">
        <v>29</v>
      </c>
      <c r="H2153" s="1" t="s">
        <v>377</v>
      </c>
      <c r="I2153" s="1" t="s">
        <v>73</v>
      </c>
      <c r="J2153" s="4">
        <v>77531</v>
      </c>
      <c r="K2153" s="1" t="s">
        <v>4929</v>
      </c>
      <c r="L2153" s="1" t="s">
        <v>378</v>
      </c>
      <c r="M2153" s="1" t="s">
        <v>27</v>
      </c>
      <c r="N2153" s="1" t="s">
        <v>21088</v>
      </c>
      <c r="P2153" s="1" t="s">
        <v>401</v>
      </c>
      <c r="Q2153" s="6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2153" s="1" t="s">
        <v>29</v>
      </c>
      <c r="S2153" s="1" t="s">
        <v>28</v>
      </c>
      <c r="T2153" s="68" t="s">
        <v>27756</v>
      </c>
      <c r="U2153" s="68" t="s">
        <v>29438</v>
      </c>
      <c r="V2153" s="68" t="s">
        <v>29437</v>
      </c>
      <c r="W2153" s="68" t="s">
        <v>100</v>
      </c>
      <c r="X2153" s="68">
        <v>827</v>
      </c>
      <c r="AW2153" s="44"/>
      <c r="BK2153" s="11"/>
    </row>
    <row r="2154" spans="1:63" ht="12" customHeight="1" x14ac:dyDescent="0.15">
      <c r="A2154" s="1" t="s">
        <v>384</v>
      </c>
      <c r="B2154" s="68">
        <v>45</v>
      </c>
      <c r="C2154" s="1" t="s">
        <v>20</v>
      </c>
      <c r="D2154" s="1" t="s">
        <v>37</v>
      </c>
      <c r="E2154" s="1" t="s">
        <v>385</v>
      </c>
      <c r="F2154" s="69">
        <v>42259</v>
      </c>
      <c r="G2154" s="1" t="s">
        <v>386</v>
      </c>
      <c r="H2154" s="1" t="s">
        <v>387</v>
      </c>
      <c r="I2154" s="1" t="s">
        <v>319</v>
      </c>
      <c r="J2154" s="4" t="s">
        <v>19953</v>
      </c>
      <c r="K2154" s="1" t="s">
        <v>2681</v>
      </c>
      <c r="L2154" s="1" t="s">
        <v>2682</v>
      </c>
      <c r="M2154" s="1" t="s">
        <v>27</v>
      </c>
      <c r="N2154" s="1" t="s">
        <v>19954</v>
      </c>
      <c r="O2154" s="1" t="s">
        <v>400</v>
      </c>
      <c r="P2154" s="1" t="s">
        <v>401</v>
      </c>
      <c r="Q2154" s="63" t="s">
        <v>19955</v>
      </c>
      <c r="R2154" s="1" t="s">
        <v>100</v>
      </c>
      <c r="S2154" s="1" t="s">
        <v>28</v>
      </c>
      <c r="T2154" s="68" t="s">
        <v>27756</v>
      </c>
      <c r="U2154" s="68" t="s">
        <v>29438</v>
      </c>
      <c r="V2154" s="68" t="s">
        <v>29439</v>
      </c>
      <c r="W2154" s="68" t="s">
        <v>100</v>
      </c>
      <c r="X2154" s="68">
        <v>878</v>
      </c>
      <c r="BA2154" s="44"/>
      <c r="BK2154" s="11"/>
    </row>
    <row r="2155" spans="1:63" ht="12" customHeight="1" x14ac:dyDescent="0.15">
      <c r="A2155" s="1" t="s">
        <v>380</v>
      </c>
      <c r="B2155" s="68">
        <v>23</v>
      </c>
      <c r="C2155" s="1" t="s">
        <v>20</v>
      </c>
      <c r="D2155" s="1" t="s">
        <v>37</v>
      </c>
      <c r="E2155" s="1" t="s">
        <v>381</v>
      </c>
      <c r="F2155" s="69">
        <v>42259</v>
      </c>
      <c r="G2155" s="1" t="s">
        <v>19948</v>
      </c>
      <c r="H2155" s="1" t="s">
        <v>382</v>
      </c>
      <c r="I2155" s="1" t="s">
        <v>94</v>
      </c>
      <c r="J2155" s="4" t="s">
        <v>19949</v>
      </c>
      <c r="K2155" s="1" t="s">
        <v>19950</v>
      </c>
      <c r="L2155" s="1" t="s">
        <v>383</v>
      </c>
      <c r="M2155" s="1" t="s">
        <v>27</v>
      </c>
      <c r="N2155" s="1" t="s">
        <v>19951</v>
      </c>
      <c r="O2155" s="1" t="s">
        <v>400</v>
      </c>
      <c r="P2155" s="1" t="s">
        <v>401</v>
      </c>
      <c r="Q2155" s="63" t="s">
        <v>19952</v>
      </c>
      <c r="R2155" s="1" t="s">
        <v>29</v>
      </c>
      <c r="S2155" s="1" t="s">
        <v>35</v>
      </c>
      <c r="T2155" s="68" t="s">
        <v>29441</v>
      </c>
      <c r="U2155" s="68" t="s">
        <v>29441</v>
      </c>
      <c r="V2155" s="68" t="s">
        <v>21212</v>
      </c>
      <c r="W2155" s="68" t="s">
        <v>100</v>
      </c>
      <c r="X2155" s="68">
        <v>822</v>
      </c>
      <c r="AW2155" s="11"/>
    </row>
    <row r="2156" spans="1:63" ht="12" customHeight="1" x14ac:dyDescent="0.15">
      <c r="A2156" s="1" t="s">
        <v>352</v>
      </c>
      <c r="B2156" s="68">
        <v>44</v>
      </c>
      <c r="C2156" s="1" t="s">
        <v>20</v>
      </c>
      <c r="D2156" s="1" t="s">
        <v>37</v>
      </c>
      <c r="F2156" s="69">
        <v>42258</v>
      </c>
      <c r="G2156" s="1" t="s">
        <v>19956</v>
      </c>
      <c r="H2156" s="1" t="s">
        <v>353</v>
      </c>
      <c r="I2156" s="1" t="s">
        <v>209</v>
      </c>
      <c r="J2156" s="4" t="s">
        <v>19957</v>
      </c>
      <c r="K2156" s="1" t="s">
        <v>996</v>
      </c>
      <c r="L2156" s="1" t="s">
        <v>354</v>
      </c>
      <c r="M2156" s="1" t="s">
        <v>27</v>
      </c>
      <c r="N2156" s="1" t="s">
        <v>19958</v>
      </c>
      <c r="O2156" s="1" t="s">
        <v>400</v>
      </c>
      <c r="P2156" s="1" t="s">
        <v>401</v>
      </c>
      <c r="Q2156" s="63" t="s">
        <v>19959</v>
      </c>
      <c r="R2156" s="1" t="s">
        <v>100</v>
      </c>
      <c r="S2156" s="1" t="s">
        <v>28</v>
      </c>
      <c r="T2156" s="68" t="s">
        <v>27756</v>
      </c>
      <c r="U2156" s="68" t="s">
        <v>29438</v>
      </c>
      <c r="V2156" s="68" t="s">
        <v>29437</v>
      </c>
      <c r="W2156" s="68" t="s">
        <v>100</v>
      </c>
      <c r="X2156" s="68">
        <v>831</v>
      </c>
      <c r="BA2156" s="44"/>
      <c r="BK2156" s="11"/>
    </row>
    <row r="2157" spans="1:63" ht="12" customHeight="1" x14ac:dyDescent="0.15">
      <c r="A2157" s="1" t="s">
        <v>4924</v>
      </c>
      <c r="B2157" s="68">
        <v>31</v>
      </c>
      <c r="C2157" s="1" t="s">
        <v>20</v>
      </c>
      <c r="D2157" s="68" t="s">
        <v>37</v>
      </c>
      <c r="F2157" s="69">
        <v>42258</v>
      </c>
      <c r="G2157" s="1" t="s">
        <v>20012</v>
      </c>
      <c r="H2157" s="1" t="s">
        <v>403</v>
      </c>
      <c r="I2157" s="1" t="s">
        <v>404</v>
      </c>
      <c r="J2157" s="4" t="s">
        <v>1960</v>
      </c>
      <c r="K2157" s="1" t="s">
        <v>906</v>
      </c>
      <c r="L2157" s="1" t="s">
        <v>405</v>
      </c>
      <c r="M2157" s="1" t="s">
        <v>27</v>
      </c>
      <c r="N2157" s="1" t="s">
        <v>20013</v>
      </c>
      <c r="O2157" s="1" t="s">
        <v>400</v>
      </c>
      <c r="P2157" s="1" t="s">
        <v>401</v>
      </c>
      <c r="Q2157" s="63" t="s">
        <v>20014</v>
      </c>
      <c r="R2157" s="1" t="s">
        <v>100</v>
      </c>
      <c r="S2157" s="2" t="s">
        <v>28</v>
      </c>
      <c r="T2157" s="68" t="s">
        <v>27756</v>
      </c>
      <c r="U2157" s="68" t="s">
        <v>29438</v>
      </c>
      <c r="V2157" s="68" t="s">
        <v>29439</v>
      </c>
      <c r="W2157" s="68" t="s">
        <v>100</v>
      </c>
      <c r="X2157" s="68">
        <v>824</v>
      </c>
      <c r="AW2157" s="11"/>
      <c r="BA2157" s="44"/>
      <c r="BK2157" s="11"/>
    </row>
    <row r="2158" spans="1:63" ht="12" customHeight="1" x14ac:dyDescent="0.15">
      <c r="A2158" s="1" t="s">
        <v>417</v>
      </c>
      <c r="B2158" s="68">
        <v>29</v>
      </c>
      <c r="C2158" s="1" t="s">
        <v>20</v>
      </c>
      <c r="D2158" s="1" t="s">
        <v>85</v>
      </c>
      <c r="E2158" s="1" t="s">
        <v>418</v>
      </c>
      <c r="F2158" s="69">
        <v>42257</v>
      </c>
      <c r="G2158" s="1" t="s">
        <v>19964</v>
      </c>
      <c r="H2158" s="1" t="s">
        <v>216</v>
      </c>
      <c r="I2158" s="1" t="s">
        <v>217</v>
      </c>
      <c r="J2158" s="4" t="s">
        <v>419</v>
      </c>
      <c r="K2158" s="1" t="s">
        <v>420</v>
      </c>
      <c r="L2158" s="1" t="s">
        <v>19965</v>
      </c>
      <c r="M2158" s="1" t="s">
        <v>27</v>
      </c>
      <c r="N2158" s="1" t="s">
        <v>19966</v>
      </c>
      <c r="O2158" s="1" t="s">
        <v>1010</v>
      </c>
      <c r="P2158" s="1" t="s">
        <v>401</v>
      </c>
      <c r="Q2158" s="63" t="s">
        <v>19967</v>
      </c>
      <c r="R2158" s="1" t="s">
        <v>100</v>
      </c>
      <c r="S2158" s="13" t="s">
        <v>28</v>
      </c>
      <c r="T2158" s="68" t="s">
        <v>27756</v>
      </c>
      <c r="U2158" s="68" t="s">
        <v>29438</v>
      </c>
      <c r="V2158" s="68" t="s">
        <v>29439</v>
      </c>
      <c r="W2158" s="68" t="s">
        <v>100</v>
      </c>
      <c r="X2158" s="68">
        <v>819</v>
      </c>
      <c r="AW2158" s="44"/>
      <c r="AX2158" s="11"/>
      <c r="AY2158" s="11"/>
      <c r="BA2158" s="44"/>
      <c r="BC2158" s="44"/>
      <c r="BD2158" s="44"/>
      <c r="BE2158" s="44"/>
      <c r="BF2158" s="44"/>
      <c r="BG2158" s="44"/>
      <c r="BH2158" s="44"/>
      <c r="BI2158" s="44"/>
      <c r="BJ2158" s="44"/>
      <c r="BK2158" s="11"/>
    </row>
    <row r="2159" spans="1:63" ht="12" customHeight="1" x14ac:dyDescent="0.15">
      <c r="A2159" s="1" t="s">
        <v>410</v>
      </c>
      <c r="B2159" s="68">
        <v>41</v>
      </c>
      <c r="C2159" s="1" t="s">
        <v>20</v>
      </c>
      <c r="D2159" s="1" t="s">
        <v>48</v>
      </c>
      <c r="E2159" s="1" t="s">
        <v>411</v>
      </c>
      <c r="F2159" s="69">
        <v>42257</v>
      </c>
      <c r="G2159" s="1" t="s">
        <v>412</v>
      </c>
      <c r="H2159" s="1" t="s">
        <v>413</v>
      </c>
      <c r="I2159" s="1" t="s">
        <v>45</v>
      </c>
      <c r="J2159" s="4" t="s">
        <v>19968</v>
      </c>
      <c r="K2159" s="1" t="s">
        <v>98</v>
      </c>
      <c r="L2159" s="11" t="s">
        <v>414</v>
      </c>
      <c r="M2159" s="1" t="s">
        <v>27</v>
      </c>
      <c r="N2159" s="1" t="s">
        <v>19969</v>
      </c>
      <c r="O2159" s="1" t="s">
        <v>400</v>
      </c>
      <c r="P2159" s="1" t="s">
        <v>401</v>
      </c>
      <c r="Q2159" s="63" t="s">
        <v>19970</v>
      </c>
      <c r="R2159" s="1" t="s">
        <v>100</v>
      </c>
      <c r="S2159" s="1" t="s">
        <v>28</v>
      </c>
      <c r="T2159" s="68" t="s">
        <v>27756</v>
      </c>
      <c r="U2159" s="68" t="s">
        <v>29438</v>
      </c>
      <c r="V2159" s="68" t="s">
        <v>29437</v>
      </c>
      <c r="W2159" s="68" t="s">
        <v>100</v>
      </c>
      <c r="X2159" s="68">
        <v>823</v>
      </c>
      <c r="BA2159" s="44"/>
      <c r="BK2159" s="11"/>
    </row>
    <row r="2160" spans="1:63" ht="12" customHeight="1" x14ac:dyDescent="0.15">
      <c r="A2160" s="1" t="s">
        <v>406</v>
      </c>
      <c r="B2160" s="68">
        <v>32</v>
      </c>
      <c r="C2160" s="1" t="s">
        <v>20</v>
      </c>
      <c r="D2160" s="1" t="s">
        <v>37</v>
      </c>
      <c r="E2160" s="1" t="s">
        <v>407</v>
      </c>
      <c r="F2160" s="69">
        <v>42257</v>
      </c>
      <c r="G2160" s="1" t="s">
        <v>19960</v>
      </c>
      <c r="H2160" s="1" t="s">
        <v>408</v>
      </c>
      <c r="I2160" s="1" t="s">
        <v>45</v>
      </c>
      <c r="J2160" s="4" t="s">
        <v>19961</v>
      </c>
      <c r="K2160" s="1" t="s">
        <v>1762</v>
      </c>
      <c r="L2160" s="1" t="s">
        <v>409</v>
      </c>
      <c r="M2160" s="1" t="s">
        <v>27</v>
      </c>
      <c r="N2160" s="1" t="s">
        <v>19962</v>
      </c>
      <c r="O2160" s="1" t="s">
        <v>1010</v>
      </c>
      <c r="P2160" s="1" t="s">
        <v>401</v>
      </c>
      <c r="Q2160" s="63" t="s">
        <v>19963</v>
      </c>
      <c r="R2160" s="1" t="s">
        <v>100</v>
      </c>
      <c r="S2160" s="1" t="s">
        <v>28</v>
      </c>
      <c r="T2160" s="68" t="s">
        <v>27756</v>
      </c>
      <c r="U2160" s="68" t="s">
        <v>29438</v>
      </c>
      <c r="V2160" s="68" t="s">
        <v>29440</v>
      </c>
      <c r="W2160" s="68" t="s">
        <v>100</v>
      </c>
      <c r="X2160" s="68">
        <v>820</v>
      </c>
      <c r="AU2160" s="64"/>
      <c r="AV2160" s="64"/>
      <c r="AW2160" s="11"/>
      <c r="BA2160" s="44"/>
      <c r="BK2160" s="11"/>
    </row>
    <row r="2161" spans="1:63" ht="12" customHeight="1" x14ac:dyDescent="0.2">
      <c r="A2161" s="1" t="s">
        <v>421</v>
      </c>
      <c r="B2161" s="68">
        <v>31</v>
      </c>
      <c r="C2161" s="1" t="s">
        <v>20</v>
      </c>
      <c r="D2161" s="1" t="s">
        <v>21</v>
      </c>
      <c r="F2161" s="69">
        <v>42257</v>
      </c>
      <c r="G2161" s="1" t="s">
        <v>19971</v>
      </c>
      <c r="H2161" s="1" t="s">
        <v>422</v>
      </c>
      <c r="I2161" s="1" t="s">
        <v>423</v>
      </c>
      <c r="J2161" s="4" t="s">
        <v>19972</v>
      </c>
      <c r="K2161" s="1" t="s">
        <v>19973</v>
      </c>
      <c r="L2161" s="1" t="s">
        <v>424</v>
      </c>
      <c r="M2161" s="1" t="s">
        <v>27</v>
      </c>
      <c r="N2161" s="1" t="s">
        <v>19974</v>
      </c>
      <c r="O2161" s="1" t="s">
        <v>19498</v>
      </c>
      <c r="P2161" s="1" t="s">
        <v>401</v>
      </c>
      <c r="Q2161" s="63" t="s">
        <v>19975</v>
      </c>
      <c r="R2161" s="1" t="s">
        <v>29</v>
      </c>
      <c r="S2161" s="1" t="s">
        <v>28</v>
      </c>
      <c r="T2161" s="68" t="s">
        <v>29493</v>
      </c>
      <c r="U2161" s="68" t="s">
        <v>29438</v>
      </c>
      <c r="V2161" s="68" t="s">
        <v>29439</v>
      </c>
      <c r="W2161" s="68" t="s">
        <v>100</v>
      </c>
      <c r="X2161" s="68">
        <v>817</v>
      </c>
      <c r="AW2161" s="11"/>
      <c r="AX2161" s="70"/>
      <c r="AY2161" s="70"/>
      <c r="BC2161" s="66"/>
      <c r="BD2161" s="66"/>
      <c r="BE2161" s="66"/>
      <c r="BF2161" s="66"/>
      <c r="BG2161" s="66"/>
      <c r="BH2161" s="66"/>
      <c r="BI2161" s="66"/>
      <c r="BJ2161" s="66"/>
      <c r="BK2161" s="11"/>
    </row>
    <row r="2162" spans="1:63" ht="12" customHeight="1" x14ac:dyDescent="0.2">
      <c r="A2162" s="1" t="s">
        <v>19790</v>
      </c>
      <c r="B2162" s="68">
        <v>35</v>
      </c>
      <c r="C2162" s="1" t="s">
        <v>20</v>
      </c>
      <c r="D2162" s="1" t="s">
        <v>48</v>
      </c>
      <c r="F2162" s="69">
        <v>42257</v>
      </c>
      <c r="G2162" s="1" t="s">
        <v>24440</v>
      </c>
      <c r="H2162" s="1" t="s">
        <v>415</v>
      </c>
      <c r="I2162" s="1" t="s">
        <v>45</v>
      </c>
      <c r="J2162" s="4" t="s">
        <v>3642</v>
      </c>
      <c r="K2162" s="1" t="s">
        <v>309</v>
      </c>
      <c r="L2162" s="1" t="s">
        <v>416</v>
      </c>
      <c r="M2162" s="1" t="s">
        <v>27</v>
      </c>
      <c r="N2162" s="1" t="s">
        <v>20015</v>
      </c>
      <c r="O2162" s="1" t="s">
        <v>400</v>
      </c>
      <c r="P2162" s="1" t="s">
        <v>401</v>
      </c>
      <c r="Q2162" s="63" t="s">
        <v>20016</v>
      </c>
      <c r="R2162" s="68" t="s">
        <v>555</v>
      </c>
      <c r="S2162" s="1" t="s">
        <v>28</v>
      </c>
      <c r="T2162" s="68" t="s">
        <v>29493</v>
      </c>
      <c r="U2162" s="68" t="s">
        <v>29436</v>
      </c>
      <c r="V2162" s="68" t="s">
        <v>29439</v>
      </c>
      <c r="W2162" s="68" t="s">
        <v>100</v>
      </c>
      <c r="X2162" s="68">
        <v>818</v>
      </c>
      <c r="AW2162" s="11"/>
      <c r="BA2162" s="70"/>
      <c r="BB2162" s="44"/>
      <c r="BK2162" s="11"/>
    </row>
    <row r="2163" spans="1:63" ht="12" customHeight="1" x14ac:dyDescent="0.2">
      <c r="A2163" s="1" t="s">
        <v>358</v>
      </c>
      <c r="B2163" s="68">
        <v>59</v>
      </c>
      <c r="C2163" s="1" t="s">
        <v>20</v>
      </c>
      <c r="D2163" s="1" t="s">
        <v>21</v>
      </c>
      <c r="F2163" s="69">
        <v>42256</v>
      </c>
      <c r="G2163" s="1" t="s">
        <v>24441</v>
      </c>
      <c r="H2163" s="1" t="s">
        <v>359</v>
      </c>
      <c r="I2163" s="1" t="s">
        <v>45</v>
      </c>
      <c r="J2163" s="4" t="s">
        <v>19987</v>
      </c>
      <c r="K2163" s="1" t="s">
        <v>98</v>
      </c>
      <c r="L2163" s="1" t="s">
        <v>360</v>
      </c>
      <c r="M2163" s="1" t="s">
        <v>27</v>
      </c>
      <c r="N2163" s="1" t="s">
        <v>19988</v>
      </c>
      <c r="O2163" s="1" t="s">
        <v>1010</v>
      </c>
      <c r="P2163" s="1" t="s">
        <v>401</v>
      </c>
      <c r="Q2163" s="63" t="s">
        <v>19989</v>
      </c>
      <c r="R2163" s="1" t="s">
        <v>100</v>
      </c>
      <c r="S2163" s="1" t="s">
        <v>28</v>
      </c>
      <c r="T2163" s="68" t="s">
        <v>29493</v>
      </c>
      <c r="U2163" s="68" t="s">
        <v>29438</v>
      </c>
      <c r="V2163" s="68" t="s">
        <v>29439</v>
      </c>
      <c r="W2163" s="68" t="s">
        <v>100</v>
      </c>
      <c r="X2163" s="68">
        <v>879</v>
      </c>
      <c r="AX2163" s="70"/>
      <c r="AY2163" s="70"/>
      <c r="BA2163" s="44"/>
      <c r="BC2163" s="66"/>
      <c r="BD2163" s="66"/>
      <c r="BE2163" s="66"/>
      <c r="BF2163" s="66"/>
      <c r="BG2163" s="66"/>
      <c r="BH2163" s="66"/>
      <c r="BI2163" s="66"/>
      <c r="BJ2163" s="66"/>
      <c r="BK2163" s="11"/>
    </row>
    <row r="2164" spans="1:63" ht="12" customHeight="1" x14ac:dyDescent="0.15">
      <c r="A2164" s="1" t="s">
        <v>425</v>
      </c>
      <c r="B2164" s="68">
        <v>33</v>
      </c>
      <c r="C2164" s="1" t="s">
        <v>20</v>
      </c>
      <c r="D2164" s="1" t="s">
        <v>139</v>
      </c>
      <c r="E2164" s="1" t="s">
        <v>426</v>
      </c>
      <c r="F2164" s="69">
        <v>42256</v>
      </c>
      <c r="G2164" s="1" t="s">
        <v>19982</v>
      </c>
      <c r="H2164" s="1" t="s">
        <v>427</v>
      </c>
      <c r="I2164" s="1" t="s">
        <v>330</v>
      </c>
      <c r="J2164" s="4" t="s">
        <v>19983</v>
      </c>
      <c r="K2164" s="1" t="s">
        <v>19984</v>
      </c>
      <c r="L2164" s="1" t="s">
        <v>428</v>
      </c>
      <c r="M2164" s="1" t="s">
        <v>27</v>
      </c>
      <c r="N2164" s="1" t="s">
        <v>19985</v>
      </c>
      <c r="O2164" s="1" t="s">
        <v>400</v>
      </c>
      <c r="P2164" s="1" t="s">
        <v>401</v>
      </c>
      <c r="Q2164" s="63" t="s">
        <v>19986</v>
      </c>
      <c r="R2164" s="1" t="s">
        <v>100</v>
      </c>
      <c r="S2164" s="1" t="s">
        <v>28</v>
      </c>
      <c r="T2164" s="68" t="s">
        <v>27756</v>
      </c>
      <c r="U2164" s="68" t="s">
        <v>29438</v>
      </c>
      <c r="V2164" s="68" t="s">
        <v>29437</v>
      </c>
      <c r="W2164" s="68" t="s">
        <v>100</v>
      </c>
      <c r="X2164" s="68">
        <v>816</v>
      </c>
      <c r="AW2164" s="11"/>
      <c r="BA2164" s="44"/>
      <c r="BK2164" s="11"/>
    </row>
    <row r="2165" spans="1:63" ht="12" customHeight="1" x14ac:dyDescent="0.15">
      <c r="A2165" s="1" t="s">
        <v>435</v>
      </c>
      <c r="B2165" s="68">
        <v>25</v>
      </c>
      <c r="C2165" s="1" t="s">
        <v>20</v>
      </c>
      <c r="D2165" s="1" t="s">
        <v>37</v>
      </c>
      <c r="E2165" s="1" t="s">
        <v>436</v>
      </c>
      <c r="F2165" s="69">
        <v>42256</v>
      </c>
      <c r="G2165" s="1" t="s">
        <v>19976</v>
      </c>
      <c r="H2165" s="1" t="s">
        <v>437</v>
      </c>
      <c r="I2165" s="1" t="s">
        <v>438</v>
      </c>
      <c r="J2165" s="4" t="s">
        <v>19977</v>
      </c>
      <c r="K2165" s="1" t="s">
        <v>4062</v>
      </c>
      <c r="L2165" s="1" t="s">
        <v>439</v>
      </c>
      <c r="M2165" s="1" t="s">
        <v>27</v>
      </c>
      <c r="N2165" s="1" t="s">
        <v>19978</v>
      </c>
      <c r="O2165" s="1" t="s">
        <v>400</v>
      </c>
      <c r="P2165" s="1" t="s">
        <v>401</v>
      </c>
      <c r="Q2165" s="63" t="s">
        <v>19979</v>
      </c>
      <c r="R2165" s="1" t="s">
        <v>100</v>
      </c>
      <c r="S2165" s="1" t="s">
        <v>28</v>
      </c>
      <c r="T2165" s="68" t="s">
        <v>27756</v>
      </c>
      <c r="U2165" s="68" t="s">
        <v>29438</v>
      </c>
      <c r="V2165" s="68" t="s">
        <v>29439</v>
      </c>
      <c r="W2165" s="68" t="s">
        <v>100</v>
      </c>
      <c r="X2165" s="68">
        <v>812</v>
      </c>
      <c r="AW2165" s="11"/>
      <c r="AZ2165" s="64"/>
      <c r="BA2165" s="44"/>
      <c r="BK2165" s="11"/>
    </row>
    <row r="2166" spans="1:63" ht="12" customHeight="1" x14ac:dyDescent="0.15">
      <c r="A2166" s="1" t="s">
        <v>429</v>
      </c>
      <c r="B2166" s="68">
        <v>37</v>
      </c>
      <c r="C2166" s="1" t="s">
        <v>20</v>
      </c>
      <c r="D2166" s="1" t="s">
        <v>85</v>
      </c>
      <c r="F2166" s="69">
        <v>42256</v>
      </c>
      <c r="G2166" s="1" t="s">
        <v>19980</v>
      </c>
      <c r="H2166" s="1" t="s">
        <v>430</v>
      </c>
      <c r="I2166" s="1" t="s">
        <v>431</v>
      </c>
      <c r="J2166" s="4" t="s">
        <v>432</v>
      </c>
      <c r="K2166" s="1" t="s">
        <v>433</v>
      </c>
      <c r="L2166" s="1" t="s">
        <v>434</v>
      </c>
      <c r="M2166" s="1" t="s">
        <v>27</v>
      </c>
      <c r="N2166" s="1" t="s">
        <v>21071</v>
      </c>
      <c r="O2166" s="1" t="s">
        <v>400</v>
      </c>
      <c r="P2166" s="1" t="s">
        <v>401</v>
      </c>
      <c r="Q2166" s="63" t="s">
        <v>19981</v>
      </c>
      <c r="R2166" s="1" t="s">
        <v>555</v>
      </c>
      <c r="S2166" s="13" t="s">
        <v>28</v>
      </c>
      <c r="T2166" s="68" t="s">
        <v>29491</v>
      </c>
      <c r="U2166" s="68" t="s">
        <v>29436</v>
      </c>
      <c r="V2166" s="68" t="s">
        <v>29439</v>
      </c>
      <c r="W2166" s="68" t="s">
        <v>100</v>
      </c>
      <c r="X2166" s="68">
        <v>815</v>
      </c>
      <c r="AW2166" s="11"/>
      <c r="AX2166" s="44"/>
      <c r="AY2166" s="44"/>
      <c r="BA2166" s="11"/>
      <c r="BB2166" s="44"/>
      <c r="BC2166" s="44"/>
      <c r="BD2166" s="44"/>
      <c r="BE2166" s="44"/>
      <c r="BF2166" s="44"/>
      <c r="BG2166" s="44"/>
      <c r="BH2166" s="44"/>
      <c r="BI2166" s="44"/>
      <c r="BJ2166" s="44"/>
      <c r="BK2166" s="11"/>
    </row>
    <row r="2167" spans="1:63" ht="12" customHeight="1" x14ac:dyDescent="0.2">
      <c r="A2167" s="1" t="s">
        <v>326</v>
      </c>
      <c r="B2167" s="68">
        <v>19</v>
      </c>
      <c r="C2167" s="1" t="s">
        <v>20</v>
      </c>
      <c r="D2167" s="1" t="s">
        <v>139</v>
      </c>
      <c r="E2167" s="1" t="s">
        <v>327</v>
      </c>
      <c r="F2167" s="69">
        <v>42255</v>
      </c>
      <c r="G2167" s="1" t="s">
        <v>328</v>
      </c>
      <c r="H2167" s="1" t="s">
        <v>329</v>
      </c>
      <c r="I2167" s="1" t="s">
        <v>330</v>
      </c>
      <c r="J2167" s="4" t="s">
        <v>19992</v>
      </c>
      <c r="K2167" s="1" t="s">
        <v>19984</v>
      </c>
      <c r="L2167" s="1" t="s">
        <v>331</v>
      </c>
      <c r="M2167" s="1" t="s">
        <v>27</v>
      </c>
      <c r="N2167" s="1" t="s">
        <v>19993</v>
      </c>
      <c r="O2167" s="1" t="s">
        <v>400</v>
      </c>
      <c r="P2167" s="1" t="s">
        <v>401</v>
      </c>
      <c r="Q2167" s="63" t="s">
        <v>19994</v>
      </c>
      <c r="R2167" s="1" t="s">
        <v>100</v>
      </c>
      <c r="S2167" s="1" t="s">
        <v>28</v>
      </c>
      <c r="T2167" s="68" t="s">
        <v>27756</v>
      </c>
      <c r="U2167" s="68" t="s">
        <v>29438</v>
      </c>
      <c r="V2167" s="68" t="s">
        <v>29439</v>
      </c>
      <c r="W2167" s="68" t="s">
        <v>100</v>
      </c>
      <c r="X2167" s="68">
        <v>836</v>
      </c>
      <c r="AW2167" s="70"/>
      <c r="BA2167" s="44"/>
      <c r="BK2167" s="11"/>
    </row>
    <row r="2168" spans="1:63" ht="12" customHeight="1" x14ac:dyDescent="0.15">
      <c r="A2168" s="1" t="s">
        <v>388</v>
      </c>
      <c r="B2168" s="1">
        <v>24</v>
      </c>
      <c r="C2168" s="1" t="s">
        <v>20</v>
      </c>
      <c r="D2168" s="1" t="s">
        <v>37</v>
      </c>
      <c r="E2168" s="1" t="s">
        <v>389</v>
      </c>
      <c r="F2168" s="72">
        <v>42255</v>
      </c>
      <c r="G2168" s="1" t="s">
        <v>24442</v>
      </c>
      <c r="H2168" s="1" t="s">
        <v>204</v>
      </c>
      <c r="I2168" s="1" t="s">
        <v>69</v>
      </c>
      <c r="J2168" s="4" t="s">
        <v>19887</v>
      </c>
      <c r="K2168" s="1" t="s">
        <v>3466</v>
      </c>
      <c r="L2168" s="1" t="s">
        <v>390</v>
      </c>
      <c r="M2168" s="1" t="s">
        <v>391</v>
      </c>
      <c r="N2168" s="1" t="s">
        <v>19990</v>
      </c>
      <c r="O2168" s="1" t="s">
        <v>400</v>
      </c>
      <c r="P2168" s="1" t="s">
        <v>401</v>
      </c>
      <c r="Q2168" s="63" t="s">
        <v>19991</v>
      </c>
      <c r="R2168" s="1" t="s">
        <v>29</v>
      </c>
      <c r="S2168" s="1" t="s">
        <v>18</v>
      </c>
      <c r="AW2168" s="11"/>
    </row>
    <row r="2169" spans="1:63" ht="12" customHeight="1" x14ac:dyDescent="0.2">
      <c r="A2169" s="1" t="s">
        <v>443</v>
      </c>
      <c r="B2169" s="1">
        <v>41</v>
      </c>
      <c r="C2169" s="1" t="s">
        <v>20</v>
      </c>
      <c r="D2169" s="1" t="s">
        <v>85</v>
      </c>
      <c r="E2169" s="1" t="s">
        <v>20779</v>
      </c>
      <c r="F2169" s="72">
        <v>42254</v>
      </c>
      <c r="G2169" s="1" t="s">
        <v>24443</v>
      </c>
      <c r="H2169" s="1" t="s">
        <v>444</v>
      </c>
      <c r="I2169" s="1" t="s">
        <v>57</v>
      </c>
      <c r="J2169" s="4" t="s">
        <v>19997</v>
      </c>
      <c r="K2169" s="1" t="s">
        <v>1128</v>
      </c>
      <c r="L2169" s="1" t="s">
        <v>445</v>
      </c>
      <c r="M2169" s="1" t="s">
        <v>3154</v>
      </c>
      <c r="N2169" s="1" t="s">
        <v>19998</v>
      </c>
      <c r="O2169" s="1" t="s">
        <v>400</v>
      </c>
      <c r="P2169" s="1" t="s">
        <v>401</v>
      </c>
      <c r="Q2169" s="63" t="s">
        <v>19999</v>
      </c>
      <c r="R2169" s="1" t="s">
        <v>100</v>
      </c>
      <c r="S2169" s="1" t="s">
        <v>18</v>
      </c>
      <c r="AT2169" s="70"/>
      <c r="AU2169" s="70"/>
      <c r="AV2169" s="70"/>
      <c r="AW2169" s="44"/>
      <c r="AX2169" s="44"/>
      <c r="BB2169" s="44"/>
      <c r="BC2169" s="44"/>
      <c r="BD2169" s="44"/>
      <c r="BE2169" s="44"/>
      <c r="BF2169" s="44"/>
      <c r="BG2169" s="44"/>
      <c r="BH2169" s="44"/>
      <c r="BI2169" s="44"/>
      <c r="BK2169" s="78"/>
    </row>
    <row r="2170" spans="1:63" ht="12" customHeight="1" x14ac:dyDescent="0.15">
      <c r="A2170" s="1" t="s">
        <v>440</v>
      </c>
      <c r="B2170" s="68">
        <v>45</v>
      </c>
      <c r="C2170" s="1" t="s">
        <v>20</v>
      </c>
      <c r="D2170" s="1" t="s">
        <v>48</v>
      </c>
      <c r="E2170" s="1" t="s">
        <v>441</v>
      </c>
      <c r="F2170" s="69">
        <v>42254</v>
      </c>
      <c r="G2170" s="1" t="s">
        <v>442</v>
      </c>
      <c r="H2170" s="1" t="s">
        <v>200</v>
      </c>
      <c r="I2170" s="1" t="s">
        <v>45</v>
      </c>
      <c r="J2170" s="4" t="s">
        <v>13166</v>
      </c>
      <c r="K2170" s="1" t="s">
        <v>200</v>
      </c>
      <c r="L2170" s="1" t="s">
        <v>201</v>
      </c>
      <c r="M2170" s="1" t="s">
        <v>27</v>
      </c>
      <c r="N2170" s="1" t="s">
        <v>19995</v>
      </c>
      <c r="O2170" s="1" t="s">
        <v>400</v>
      </c>
      <c r="P2170" s="1" t="s">
        <v>401</v>
      </c>
      <c r="Q2170" s="63" t="s">
        <v>19996</v>
      </c>
      <c r="R2170" s="1" t="s">
        <v>100</v>
      </c>
      <c r="S2170" s="11" t="s">
        <v>28</v>
      </c>
      <c r="T2170" s="68" t="s">
        <v>29450</v>
      </c>
      <c r="U2170" s="68" t="s">
        <v>29436</v>
      </c>
      <c r="V2170" s="68" t="s">
        <v>29440</v>
      </c>
      <c r="W2170" s="68" t="s">
        <v>555</v>
      </c>
      <c r="X2170" s="68">
        <v>813</v>
      </c>
      <c r="BA2170" s="44"/>
      <c r="BK2170" s="11"/>
    </row>
    <row r="2171" spans="1:63" ht="12" customHeight="1" x14ac:dyDescent="0.15">
      <c r="A2171" s="1" t="s">
        <v>451</v>
      </c>
      <c r="B2171" s="1">
        <v>1</v>
      </c>
      <c r="C2171" s="1" t="s">
        <v>20</v>
      </c>
      <c r="D2171" s="1" t="s">
        <v>37</v>
      </c>
      <c r="E2171" s="1" t="s">
        <v>452</v>
      </c>
      <c r="F2171" s="72">
        <v>42254</v>
      </c>
      <c r="G2171" s="1" t="s">
        <v>20802</v>
      </c>
      <c r="H2171" s="1" t="s">
        <v>20803</v>
      </c>
      <c r="I2171" s="1" t="s">
        <v>319</v>
      </c>
      <c r="J2171" s="4">
        <v>38251</v>
      </c>
      <c r="K2171" s="1" t="s">
        <v>8389</v>
      </c>
      <c r="L2171" s="1" t="s">
        <v>20801</v>
      </c>
      <c r="M2171" s="1" t="s">
        <v>27</v>
      </c>
      <c r="N2171" s="1" t="s">
        <v>20800</v>
      </c>
      <c r="O2171" s="1" t="s">
        <v>1158</v>
      </c>
      <c r="P2171" s="1" t="s">
        <v>1159</v>
      </c>
      <c r="Q2171" s="63" t="str">
        <f>HYPERLINK("http://wreg.com/2015/09/24/paris-police-officer-charged-for-murdering-his-own-son/","http://wreg.com/2015/09/24/paris-police-officer-charged-for-murdering-his-own-son/")</f>
        <v>http://wreg.com/2015/09/24/paris-police-officer-charged-for-murdering-his-own-son/</v>
      </c>
      <c r="R2171" s="1" t="s">
        <v>29</v>
      </c>
      <c r="S2171" s="13" t="s">
        <v>18</v>
      </c>
      <c r="T2171" s="68"/>
      <c r="U2171" s="68"/>
      <c r="V2171" s="68"/>
      <c r="W2171" s="68"/>
      <c r="X2171" s="68"/>
    </row>
    <row r="2172" spans="1:63" ht="12" customHeight="1" x14ac:dyDescent="0.15">
      <c r="A2172" s="1" t="s">
        <v>453</v>
      </c>
      <c r="B2172" s="68">
        <v>59</v>
      </c>
      <c r="C2172" s="1" t="s">
        <v>20</v>
      </c>
      <c r="D2172" s="1" t="s">
        <v>48</v>
      </c>
      <c r="E2172" s="1" t="s">
        <v>454</v>
      </c>
      <c r="F2172" s="69">
        <v>42253</v>
      </c>
      <c r="G2172" s="1" t="s">
        <v>455</v>
      </c>
      <c r="H2172" s="1" t="s">
        <v>213</v>
      </c>
      <c r="I2172" s="1" t="s">
        <v>62</v>
      </c>
      <c r="J2172" s="4" t="s">
        <v>20007</v>
      </c>
      <c r="K2172" s="1" t="s">
        <v>161</v>
      </c>
      <c r="L2172" s="1" t="s">
        <v>456</v>
      </c>
      <c r="M2172" s="1" t="s">
        <v>27</v>
      </c>
      <c r="N2172" s="1" t="s">
        <v>20008</v>
      </c>
      <c r="O2172" s="1" t="s">
        <v>400</v>
      </c>
      <c r="P2172" s="1" t="s">
        <v>401</v>
      </c>
      <c r="Q2172" s="63" t="s">
        <v>20009</v>
      </c>
      <c r="R2172" s="1" t="s">
        <v>100</v>
      </c>
      <c r="S2172" s="1" t="s">
        <v>28</v>
      </c>
      <c r="T2172" s="68" t="s">
        <v>27756</v>
      </c>
      <c r="U2172" s="68" t="s">
        <v>29438</v>
      </c>
      <c r="V2172" s="68" t="s">
        <v>29437</v>
      </c>
      <c r="W2172" s="68" t="s">
        <v>100</v>
      </c>
      <c r="X2172" s="68">
        <v>809</v>
      </c>
      <c r="BA2172" s="44"/>
      <c r="BK2172" s="11"/>
    </row>
    <row r="2173" spans="1:63" ht="12" customHeight="1" x14ac:dyDescent="0.15">
      <c r="A2173" s="1" t="s">
        <v>446</v>
      </c>
      <c r="B2173" s="68">
        <v>45</v>
      </c>
      <c r="C2173" s="1" t="s">
        <v>20</v>
      </c>
      <c r="D2173" s="1" t="s">
        <v>37</v>
      </c>
      <c r="E2173" s="1" t="s">
        <v>447</v>
      </c>
      <c r="F2173" s="69">
        <v>42253</v>
      </c>
      <c r="G2173" s="1" t="s">
        <v>448</v>
      </c>
      <c r="H2173" s="1" t="s">
        <v>449</v>
      </c>
      <c r="I2173" s="1" t="s">
        <v>195</v>
      </c>
      <c r="J2173" s="4" t="s">
        <v>1729</v>
      </c>
      <c r="K2173" s="1" t="s">
        <v>786</v>
      </c>
      <c r="L2173" s="1" t="s">
        <v>450</v>
      </c>
      <c r="M2173" s="1" t="s">
        <v>27</v>
      </c>
      <c r="N2173" s="1" t="s">
        <v>20000</v>
      </c>
      <c r="O2173" s="1" t="s">
        <v>400</v>
      </c>
      <c r="P2173" s="1" t="s">
        <v>401</v>
      </c>
      <c r="Q2173" s="63" t="s">
        <v>20001</v>
      </c>
      <c r="R2173" s="1" t="s">
        <v>100</v>
      </c>
      <c r="S2173" s="1" t="s">
        <v>28</v>
      </c>
      <c r="T2173" s="68" t="s">
        <v>27756</v>
      </c>
      <c r="U2173" s="68" t="s">
        <v>29438</v>
      </c>
      <c r="V2173" s="68" t="s">
        <v>29439</v>
      </c>
      <c r="W2173" s="68" t="s">
        <v>100</v>
      </c>
      <c r="X2173" s="68">
        <v>811</v>
      </c>
      <c r="BA2173" s="44"/>
      <c r="BK2173" s="11"/>
    </row>
    <row r="2174" spans="1:63" ht="12" customHeight="1" x14ac:dyDescent="0.15">
      <c r="A2174" s="1" t="s">
        <v>464</v>
      </c>
      <c r="B2174" s="1">
        <v>45</v>
      </c>
      <c r="C2174" s="1" t="s">
        <v>20</v>
      </c>
      <c r="D2174" s="1" t="s">
        <v>48</v>
      </c>
      <c r="E2174" s="1" t="s">
        <v>465</v>
      </c>
      <c r="F2174" s="72">
        <v>42253</v>
      </c>
      <c r="G2174" s="1" t="s">
        <v>466</v>
      </c>
      <c r="H2174" s="1" t="s">
        <v>467</v>
      </c>
      <c r="I2174" s="1" t="s">
        <v>195</v>
      </c>
      <c r="J2174" s="4" t="s">
        <v>20002</v>
      </c>
      <c r="K2174" s="1" t="s">
        <v>20003</v>
      </c>
      <c r="L2174" s="1" t="s">
        <v>20004</v>
      </c>
      <c r="M2174" s="1" t="s">
        <v>14359</v>
      </c>
      <c r="N2174" s="1" t="s">
        <v>20005</v>
      </c>
      <c r="O2174" s="1" t="s">
        <v>400</v>
      </c>
      <c r="P2174" s="1" t="s">
        <v>401</v>
      </c>
      <c r="Q2174" s="63" t="s">
        <v>20006</v>
      </c>
      <c r="R2174" s="1" t="s">
        <v>100</v>
      </c>
      <c r="S2174" s="1" t="s">
        <v>18</v>
      </c>
    </row>
    <row r="2175" spans="1:63" ht="12" customHeight="1" x14ac:dyDescent="0.15">
      <c r="A2175" s="1" t="s">
        <v>468</v>
      </c>
      <c r="B2175" s="1">
        <v>63</v>
      </c>
      <c r="C2175" s="1" t="s">
        <v>20</v>
      </c>
      <c r="D2175" s="1" t="s">
        <v>37</v>
      </c>
      <c r="E2175" s="1" t="s">
        <v>469</v>
      </c>
      <c r="F2175" s="72">
        <v>42253</v>
      </c>
      <c r="G2175" s="1" t="s">
        <v>470</v>
      </c>
      <c r="H2175" s="1" t="s">
        <v>471</v>
      </c>
      <c r="I2175" s="1" t="s">
        <v>472</v>
      </c>
      <c r="J2175" s="4" t="s">
        <v>10931</v>
      </c>
      <c r="K2175" s="1" t="s">
        <v>471</v>
      </c>
      <c r="L2175" s="1" t="s">
        <v>473</v>
      </c>
      <c r="M2175" s="1" t="s">
        <v>14359</v>
      </c>
      <c r="N2175" s="1" t="s">
        <v>20017</v>
      </c>
      <c r="O2175" s="1" t="s">
        <v>400</v>
      </c>
      <c r="P2175" s="1" t="s">
        <v>401</v>
      </c>
      <c r="Q2175" s="63" t="s">
        <v>20018</v>
      </c>
      <c r="R2175" s="1" t="s">
        <v>100</v>
      </c>
      <c r="S2175" s="1" t="s">
        <v>18</v>
      </c>
      <c r="AX2175" s="44"/>
      <c r="AY2175" s="44"/>
      <c r="AZ2175" s="44"/>
    </row>
    <row r="2176" spans="1:63" ht="12" customHeight="1" x14ac:dyDescent="0.2">
      <c r="A2176" s="1" t="s">
        <v>457</v>
      </c>
      <c r="B2176" s="68">
        <v>28</v>
      </c>
      <c r="C2176" s="1" t="s">
        <v>20</v>
      </c>
      <c r="D2176" s="1" t="s">
        <v>21</v>
      </c>
      <c r="E2176" s="1" t="s">
        <v>458</v>
      </c>
      <c r="F2176" s="69">
        <v>42253</v>
      </c>
      <c r="G2176" s="1" t="s">
        <v>24444</v>
      </c>
      <c r="H2176" s="1" t="s">
        <v>459</v>
      </c>
      <c r="I2176" s="1" t="s">
        <v>25</v>
      </c>
      <c r="J2176" s="4" t="s">
        <v>5906</v>
      </c>
      <c r="K2176" s="1" t="s">
        <v>5907</v>
      </c>
      <c r="L2176" s="1" t="s">
        <v>460</v>
      </c>
      <c r="M2176" s="1" t="s">
        <v>27</v>
      </c>
      <c r="N2176" s="1" t="s">
        <v>20010</v>
      </c>
      <c r="O2176" s="1" t="s">
        <v>400</v>
      </c>
      <c r="P2176" s="1" t="s">
        <v>401</v>
      </c>
      <c r="Q2176" s="63" t="s">
        <v>20011</v>
      </c>
      <c r="R2176" s="1" t="s">
        <v>555</v>
      </c>
      <c r="S2176" s="1" t="s">
        <v>28</v>
      </c>
      <c r="T2176" s="68" t="s">
        <v>27756</v>
      </c>
      <c r="U2176" s="68" t="s">
        <v>29438</v>
      </c>
      <c r="V2176" s="68" t="s">
        <v>29437</v>
      </c>
      <c r="W2176" s="68" t="s">
        <v>100</v>
      </c>
      <c r="X2176" s="68">
        <v>810</v>
      </c>
      <c r="AW2176" s="44"/>
      <c r="AX2176" s="70"/>
      <c r="AY2176" s="70"/>
      <c r="AZ2176" s="64"/>
      <c r="BA2176" s="11"/>
      <c r="BB2176" s="44"/>
      <c r="BC2176" s="66"/>
      <c r="BD2176" s="66"/>
      <c r="BE2176" s="66"/>
      <c r="BF2176" s="66"/>
      <c r="BG2176" s="66"/>
      <c r="BH2176" s="66"/>
      <c r="BI2176" s="66"/>
      <c r="BJ2176" s="66"/>
      <c r="BK2176" s="11"/>
    </row>
    <row r="2177" spans="1:63" ht="12" customHeight="1" x14ac:dyDescent="0.15">
      <c r="A2177" s="1" t="s">
        <v>461</v>
      </c>
      <c r="B2177" s="1">
        <v>50</v>
      </c>
      <c r="C2177" s="1" t="s">
        <v>20</v>
      </c>
      <c r="D2177" s="1" t="s">
        <v>37</v>
      </c>
      <c r="E2177" s="1" t="s">
        <v>462</v>
      </c>
      <c r="F2177" s="72">
        <v>42253</v>
      </c>
      <c r="H2177" s="1" t="s">
        <v>1627</v>
      </c>
      <c r="I2177" s="1" t="s">
        <v>463</v>
      </c>
      <c r="K2177" s="1" t="s">
        <v>938</v>
      </c>
      <c r="L2177" s="1" t="s">
        <v>2253</v>
      </c>
      <c r="M2177" s="1" t="s">
        <v>2291</v>
      </c>
      <c r="P2177" s="1" t="s">
        <v>401</v>
      </c>
      <c r="Q2177" s="63"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2177" s="1" t="s">
        <v>29</v>
      </c>
      <c r="S2177" s="1" t="s">
        <v>28</v>
      </c>
    </row>
    <row r="2178" spans="1:63" ht="12" customHeight="1" x14ac:dyDescent="0.15">
      <c r="A2178" s="1" t="s">
        <v>487</v>
      </c>
      <c r="B2178" s="1">
        <v>47</v>
      </c>
      <c r="C2178" s="1" t="s">
        <v>20</v>
      </c>
      <c r="D2178" s="1" t="s">
        <v>48</v>
      </c>
      <c r="E2178" s="1" t="s">
        <v>488</v>
      </c>
      <c r="F2178" s="72">
        <v>42252</v>
      </c>
      <c r="G2178" s="1" t="s">
        <v>24446</v>
      </c>
      <c r="H2178" s="1" t="s">
        <v>489</v>
      </c>
      <c r="I2178" s="1" t="s">
        <v>45</v>
      </c>
      <c r="J2178" s="4" t="s">
        <v>17897</v>
      </c>
      <c r="K2178" s="1" t="s">
        <v>98</v>
      </c>
      <c r="L2178" s="1" t="s">
        <v>490</v>
      </c>
      <c r="M2178" s="1" t="s">
        <v>391</v>
      </c>
      <c r="N2178" s="1" t="s">
        <v>20025</v>
      </c>
      <c r="O2178" s="1" t="s">
        <v>400</v>
      </c>
      <c r="P2178" s="1" t="s">
        <v>401</v>
      </c>
      <c r="Q2178" s="63" t="s">
        <v>20026</v>
      </c>
      <c r="R2178" s="11" t="s">
        <v>964</v>
      </c>
      <c r="S2178" s="1" t="s">
        <v>18</v>
      </c>
      <c r="AW2178" s="11"/>
    </row>
    <row r="2179" spans="1:63" ht="12" customHeight="1" x14ac:dyDescent="0.15">
      <c r="A2179" s="1" t="s">
        <v>474</v>
      </c>
      <c r="B2179" s="68">
        <v>28</v>
      </c>
      <c r="C2179" s="1" t="s">
        <v>114</v>
      </c>
      <c r="D2179" s="1" t="s">
        <v>85</v>
      </c>
      <c r="E2179" s="1" t="s">
        <v>475</v>
      </c>
      <c r="F2179" s="69">
        <v>42252</v>
      </c>
      <c r="G2179" s="1" t="s">
        <v>476</v>
      </c>
      <c r="H2179" s="1" t="s">
        <v>477</v>
      </c>
      <c r="I2179" s="1" t="s">
        <v>244</v>
      </c>
      <c r="J2179" s="4" t="s">
        <v>478</v>
      </c>
      <c r="K2179" s="1" t="s">
        <v>13279</v>
      </c>
      <c r="L2179" s="1" t="s">
        <v>479</v>
      </c>
      <c r="M2179" s="1" t="s">
        <v>27</v>
      </c>
      <c r="N2179" s="1" t="s">
        <v>20995</v>
      </c>
      <c r="O2179" s="1" t="s">
        <v>400</v>
      </c>
      <c r="P2179" s="1" t="s">
        <v>401</v>
      </c>
      <c r="Q2179" s="63" t="s">
        <v>20020</v>
      </c>
      <c r="R2179" s="1" t="s">
        <v>100</v>
      </c>
      <c r="S2179" s="13" t="s">
        <v>18</v>
      </c>
      <c r="T2179" s="68" t="s">
        <v>28345</v>
      </c>
      <c r="U2179" s="68" t="s">
        <v>29441</v>
      </c>
      <c r="V2179" s="68" t="s">
        <v>29439</v>
      </c>
      <c r="W2179" s="68" t="s">
        <v>100</v>
      </c>
      <c r="X2179" s="68">
        <v>808</v>
      </c>
      <c r="AW2179" s="44"/>
      <c r="AX2179" s="11"/>
      <c r="AY2179" s="11"/>
      <c r="BA2179" s="44"/>
      <c r="BC2179" s="44"/>
      <c r="BD2179" s="44"/>
      <c r="BE2179" s="44"/>
      <c r="BF2179" s="44"/>
      <c r="BG2179" s="44"/>
      <c r="BH2179" s="44"/>
      <c r="BI2179" s="44"/>
      <c r="BJ2179" s="44"/>
    </row>
    <row r="2180" spans="1:63" ht="12" customHeight="1" x14ac:dyDescent="0.15">
      <c r="A2180" s="1" t="s">
        <v>480</v>
      </c>
      <c r="B2180" s="68">
        <v>35</v>
      </c>
      <c r="C2180" s="1" t="s">
        <v>20</v>
      </c>
      <c r="D2180" s="1" t="s">
        <v>85</v>
      </c>
      <c r="E2180" s="1" t="s">
        <v>481</v>
      </c>
      <c r="F2180" s="69">
        <v>42252</v>
      </c>
      <c r="G2180" s="1" t="s">
        <v>476</v>
      </c>
      <c r="H2180" s="1" t="s">
        <v>477</v>
      </c>
      <c r="I2180" s="1" t="s">
        <v>244</v>
      </c>
      <c r="J2180" s="4" t="s">
        <v>478</v>
      </c>
      <c r="K2180" s="1" t="s">
        <v>13279</v>
      </c>
      <c r="L2180" s="1" t="s">
        <v>479</v>
      </c>
      <c r="M2180" s="1" t="s">
        <v>27</v>
      </c>
      <c r="N2180" s="1" t="s">
        <v>20019</v>
      </c>
      <c r="O2180" s="1" t="s">
        <v>400</v>
      </c>
      <c r="P2180" s="1" t="s">
        <v>401</v>
      </c>
      <c r="Q2180" s="63" t="s">
        <v>20020</v>
      </c>
      <c r="R2180" s="1" t="s">
        <v>100</v>
      </c>
      <c r="S2180" s="13" t="s">
        <v>28</v>
      </c>
      <c r="T2180" s="68" t="s">
        <v>27756</v>
      </c>
      <c r="U2180" s="68" t="s">
        <v>29438</v>
      </c>
      <c r="V2180" s="68" t="s">
        <v>29439</v>
      </c>
      <c r="W2180" s="68" t="s">
        <v>100</v>
      </c>
      <c r="X2180" s="68">
        <v>807</v>
      </c>
      <c r="AW2180" s="11"/>
      <c r="AX2180" s="11"/>
      <c r="AY2180" s="11"/>
      <c r="BA2180" s="44"/>
      <c r="BC2180" s="44"/>
      <c r="BD2180" s="44"/>
      <c r="BE2180" s="44"/>
      <c r="BF2180" s="44"/>
      <c r="BG2180" s="44"/>
      <c r="BH2180" s="44"/>
      <c r="BI2180" s="44"/>
      <c r="BJ2180" s="44"/>
      <c r="BK2180" s="11"/>
    </row>
    <row r="2181" spans="1:63" ht="12" customHeight="1" x14ac:dyDescent="0.15">
      <c r="A2181" s="1" t="s">
        <v>491</v>
      </c>
      <c r="B2181" s="68">
        <v>21</v>
      </c>
      <c r="C2181" s="1" t="s">
        <v>20</v>
      </c>
      <c r="D2181" s="1" t="s">
        <v>85</v>
      </c>
      <c r="E2181" s="1" t="s">
        <v>492</v>
      </c>
      <c r="F2181" s="69">
        <v>42252</v>
      </c>
      <c r="G2181" s="1" t="s">
        <v>24445</v>
      </c>
      <c r="H2181" s="1" t="s">
        <v>493</v>
      </c>
      <c r="I2181" s="1" t="s">
        <v>366</v>
      </c>
      <c r="J2181" s="4" t="s">
        <v>494</v>
      </c>
      <c r="K2181" s="1" t="s">
        <v>493</v>
      </c>
      <c r="L2181" s="1" t="s">
        <v>495</v>
      </c>
      <c r="M2181" s="1" t="s">
        <v>27</v>
      </c>
      <c r="N2181" s="1" t="s">
        <v>20021</v>
      </c>
      <c r="O2181" s="1" t="s">
        <v>400</v>
      </c>
      <c r="P2181" s="1" t="s">
        <v>401</v>
      </c>
      <c r="Q2181" s="63" t="s">
        <v>20022</v>
      </c>
      <c r="R2181" s="1" t="s">
        <v>555</v>
      </c>
      <c r="S2181" s="11" t="s">
        <v>18</v>
      </c>
      <c r="T2181" s="68" t="s">
        <v>29612</v>
      </c>
      <c r="U2181" s="68" t="s">
        <v>29438</v>
      </c>
      <c r="V2181" s="68" t="s">
        <v>29439</v>
      </c>
      <c r="W2181" s="68" t="s">
        <v>100</v>
      </c>
      <c r="X2181" s="68">
        <v>805</v>
      </c>
      <c r="AW2181" s="44"/>
      <c r="AX2181" s="44"/>
      <c r="AY2181" s="44"/>
      <c r="BA2181" s="11"/>
      <c r="BB2181" s="44"/>
      <c r="BC2181" s="44"/>
      <c r="BD2181" s="44"/>
      <c r="BE2181" s="44"/>
      <c r="BF2181" s="44"/>
      <c r="BG2181" s="44"/>
      <c r="BH2181" s="44"/>
      <c r="BI2181" s="44"/>
      <c r="BJ2181" s="44"/>
    </row>
    <row r="2182" spans="1:63" ht="12" customHeight="1" x14ac:dyDescent="0.2">
      <c r="A2182" s="1" t="s">
        <v>482</v>
      </c>
      <c r="B2182" s="68">
        <v>32</v>
      </c>
      <c r="C2182" s="1" t="s">
        <v>20</v>
      </c>
      <c r="D2182" s="1" t="s">
        <v>48</v>
      </c>
      <c r="E2182" s="1" t="s">
        <v>483</v>
      </c>
      <c r="F2182" s="69">
        <v>42252</v>
      </c>
      <c r="G2182" s="1" t="s">
        <v>484</v>
      </c>
      <c r="H2182" s="1" t="s">
        <v>485</v>
      </c>
      <c r="I2182" s="1" t="s">
        <v>45</v>
      </c>
      <c r="J2182" s="4" t="s">
        <v>19711</v>
      </c>
      <c r="K2182" s="1" t="s">
        <v>309</v>
      </c>
      <c r="L2182" s="1" t="s">
        <v>486</v>
      </c>
      <c r="M2182" s="1" t="s">
        <v>27</v>
      </c>
      <c r="N2182" s="1" t="s">
        <v>20023</v>
      </c>
      <c r="O2182" s="1" t="s">
        <v>400</v>
      </c>
      <c r="P2182" s="1" t="s">
        <v>401</v>
      </c>
      <c r="Q2182" s="63" t="s">
        <v>20024</v>
      </c>
      <c r="R2182" s="68" t="s">
        <v>555</v>
      </c>
      <c r="S2182" s="11" t="s">
        <v>28</v>
      </c>
      <c r="T2182" s="68" t="s">
        <v>29450</v>
      </c>
      <c r="U2182" s="68" t="s">
        <v>29436</v>
      </c>
      <c r="V2182" s="68" t="s">
        <v>29439</v>
      </c>
      <c r="W2182" s="68" t="s">
        <v>555</v>
      </c>
      <c r="X2182" s="68">
        <v>806</v>
      </c>
      <c r="AW2182" s="11"/>
      <c r="BA2182" s="70"/>
      <c r="BB2182" s="44"/>
      <c r="BK2182" s="11"/>
    </row>
    <row r="2183" spans="1:63" ht="12" customHeight="1" x14ac:dyDescent="0.2">
      <c r="A2183" s="1" t="s">
        <v>499</v>
      </c>
      <c r="B2183" s="68">
        <v>49</v>
      </c>
      <c r="C2183" s="1" t="s">
        <v>20</v>
      </c>
      <c r="D2183" s="1" t="s">
        <v>48</v>
      </c>
      <c r="E2183" s="1" t="s">
        <v>500</v>
      </c>
      <c r="F2183" s="69">
        <v>42251</v>
      </c>
      <c r="G2183" s="1" t="s">
        <v>20029</v>
      </c>
      <c r="H2183" s="1" t="s">
        <v>501</v>
      </c>
      <c r="I2183" s="1" t="s">
        <v>217</v>
      </c>
      <c r="J2183" s="4" t="s">
        <v>20030</v>
      </c>
      <c r="K2183" s="1" t="s">
        <v>1061</v>
      </c>
      <c r="L2183" s="1" t="s">
        <v>502</v>
      </c>
      <c r="M2183" s="68" t="s">
        <v>5411</v>
      </c>
      <c r="N2183" s="1" t="s">
        <v>20031</v>
      </c>
      <c r="O2183" s="1" t="s">
        <v>400</v>
      </c>
      <c r="P2183" s="1" t="s">
        <v>401</v>
      </c>
      <c r="Q2183" s="63" t="s">
        <v>20032</v>
      </c>
      <c r="R2183" s="1" t="s">
        <v>100</v>
      </c>
      <c r="S2183" s="11" t="s">
        <v>28</v>
      </c>
      <c r="T2183" s="68" t="s">
        <v>29450</v>
      </c>
      <c r="U2183" s="68" t="s">
        <v>29438</v>
      </c>
      <c r="V2183" s="68" t="s">
        <v>29439</v>
      </c>
      <c r="W2183" s="68" t="s">
        <v>100</v>
      </c>
      <c r="X2183" s="68">
        <v>801</v>
      </c>
      <c r="BA2183" s="44"/>
      <c r="BB2183" s="70"/>
    </row>
    <row r="2184" spans="1:63" ht="12" customHeight="1" x14ac:dyDescent="0.15">
      <c r="A2184" s="1" t="s">
        <v>496</v>
      </c>
      <c r="B2184" s="68">
        <v>27</v>
      </c>
      <c r="C2184" s="1" t="s">
        <v>20</v>
      </c>
      <c r="D2184" s="1" t="s">
        <v>37</v>
      </c>
      <c r="E2184" s="1" t="s">
        <v>497</v>
      </c>
      <c r="F2184" s="69">
        <v>42251</v>
      </c>
      <c r="G2184" s="1" t="s">
        <v>20037</v>
      </c>
      <c r="H2184" s="1" t="s">
        <v>20038</v>
      </c>
      <c r="I2184" s="1" t="s">
        <v>45</v>
      </c>
      <c r="J2184" s="4" t="s">
        <v>20039</v>
      </c>
      <c r="K2184" s="1" t="s">
        <v>5410</v>
      </c>
      <c r="L2184" s="1" t="s">
        <v>498</v>
      </c>
      <c r="M2184" s="1" t="s">
        <v>27</v>
      </c>
      <c r="N2184" s="1" t="s">
        <v>20040</v>
      </c>
      <c r="O2184" s="1" t="s">
        <v>400</v>
      </c>
      <c r="P2184" s="1" t="s">
        <v>401</v>
      </c>
      <c r="Q2184" s="63" t="s">
        <v>20041</v>
      </c>
      <c r="R2184" s="1" t="s">
        <v>100</v>
      </c>
      <c r="S2184" s="1" t="s">
        <v>28</v>
      </c>
      <c r="T2184" s="68" t="s">
        <v>27756</v>
      </c>
      <c r="U2184" s="68" t="s">
        <v>29438</v>
      </c>
      <c r="V2184" s="68" t="s">
        <v>29437</v>
      </c>
      <c r="W2184" s="68" t="s">
        <v>100</v>
      </c>
      <c r="X2184" s="68">
        <v>802</v>
      </c>
      <c r="AW2184" s="11"/>
      <c r="BA2184" s="44"/>
      <c r="BK2184" s="11"/>
    </row>
    <row r="2185" spans="1:63" ht="12" customHeight="1" x14ac:dyDescent="0.15">
      <c r="A2185" s="1" t="s">
        <v>508</v>
      </c>
      <c r="B2185" s="1">
        <v>33</v>
      </c>
      <c r="C2185" s="1" t="s">
        <v>20</v>
      </c>
      <c r="D2185" s="1" t="s">
        <v>37</v>
      </c>
      <c r="E2185" s="1" t="s">
        <v>509</v>
      </c>
      <c r="F2185" s="72">
        <v>42251</v>
      </c>
      <c r="G2185" s="1" t="s">
        <v>20033</v>
      </c>
      <c r="H2185" s="1" t="s">
        <v>510</v>
      </c>
      <c r="I2185" s="1" t="s">
        <v>404</v>
      </c>
      <c r="J2185" s="4" t="s">
        <v>20034</v>
      </c>
      <c r="K2185" s="1" t="s">
        <v>8056</v>
      </c>
      <c r="L2185" s="1" t="s">
        <v>511</v>
      </c>
      <c r="M2185" s="1" t="s">
        <v>391</v>
      </c>
      <c r="N2185" s="1" t="s">
        <v>20035</v>
      </c>
      <c r="O2185" s="1" t="s">
        <v>400</v>
      </c>
      <c r="P2185" s="1" t="s">
        <v>401</v>
      </c>
      <c r="Q2185" s="63" t="s">
        <v>20036</v>
      </c>
      <c r="R2185" s="1" t="s">
        <v>100</v>
      </c>
      <c r="S2185" s="1" t="s">
        <v>18</v>
      </c>
      <c r="AU2185" s="11"/>
      <c r="AV2185" s="11"/>
    </row>
    <row r="2186" spans="1:63" ht="12" customHeight="1" x14ac:dyDescent="0.15">
      <c r="A2186" s="1" t="s">
        <v>516</v>
      </c>
      <c r="B2186" s="68">
        <v>36</v>
      </c>
      <c r="C2186" s="1" t="s">
        <v>20</v>
      </c>
      <c r="D2186" s="1" t="s">
        <v>37</v>
      </c>
      <c r="E2186" s="1" t="s">
        <v>517</v>
      </c>
      <c r="F2186" s="69">
        <v>42251</v>
      </c>
      <c r="G2186" s="1" t="s">
        <v>518</v>
      </c>
      <c r="H2186" s="1" t="s">
        <v>519</v>
      </c>
      <c r="I2186" s="1" t="s">
        <v>73</v>
      </c>
      <c r="J2186" s="4" t="s">
        <v>20042</v>
      </c>
      <c r="K2186" s="1" t="s">
        <v>1622</v>
      </c>
      <c r="L2186" s="1" t="s">
        <v>20043</v>
      </c>
      <c r="M2186" s="1" t="s">
        <v>27</v>
      </c>
      <c r="N2186" s="1" t="s">
        <v>20044</v>
      </c>
      <c r="O2186" s="1" t="s">
        <v>400</v>
      </c>
      <c r="P2186" s="1" t="s">
        <v>401</v>
      </c>
      <c r="Q2186" s="63" t="s">
        <v>20045</v>
      </c>
      <c r="R2186" s="1" t="s">
        <v>29</v>
      </c>
      <c r="S2186" s="1" t="s">
        <v>28</v>
      </c>
      <c r="T2186" s="68" t="s">
        <v>27756</v>
      </c>
      <c r="U2186" s="68" t="s">
        <v>29438</v>
      </c>
      <c r="V2186" s="68" t="s">
        <v>29439</v>
      </c>
      <c r="W2186" s="68" t="s">
        <v>100</v>
      </c>
      <c r="X2186" s="68">
        <v>803</v>
      </c>
      <c r="BK2186" s="11"/>
    </row>
    <row r="2187" spans="1:63" ht="12" customHeight="1" x14ac:dyDescent="0.2">
      <c r="A2187" s="1" t="s">
        <v>512</v>
      </c>
      <c r="B2187" s="68">
        <v>37</v>
      </c>
      <c r="C2187" s="1" t="s">
        <v>20</v>
      </c>
      <c r="D2187" s="1" t="s">
        <v>21</v>
      </c>
      <c r="E2187" s="1" t="s">
        <v>513</v>
      </c>
      <c r="F2187" s="69">
        <v>42251</v>
      </c>
      <c r="G2187" s="1" t="s">
        <v>24447</v>
      </c>
      <c r="H2187" s="1" t="s">
        <v>514</v>
      </c>
      <c r="I2187" s="1" t="s">
        <v>143</v>
      </c>
      <c r="J2187" s="4" t="s">
        <v>6190</v>
      </c>
      <c r="K2187" s="1" t="s">
        <v>6191</v>
      </c>
      <c r="L2187" s="1" t="s">
        <v>515</v>
      </c>
      <c r="M2187" s="1" t="s">
        <v>27</v>
      </c>
      <c r="N2187" s="1" t="s">
        <v>20027</v>
      </c>
      <c r="O2187" s="1" t="s">
        <v>400</v>
      </c>
      <c r="P2187" s="1" t="s">
        <v>401</v>
      </c>
      <c r="Q2187" s="63" t="s">
        <v>20028</v>
      </c>
      <c r="R2187" s="68" t="s">
        <v>555</v>
      </c>
      <c r="S2187" s="1" t="s">
        <v>28</v>
      </c>
      <c r="T2187" s="68" t="s">
        <v>27756</v>
      </c>
      <c r="U2187" s="68" t="s">
        <v>29438</v>
      </c>
      <c r="V2187" s="68" t="s">
        <v>29439</v>
      </c>
      <c r="W2187" s="68" t="s">
        <v>100</v>
      </c>
      <c r="X2187" s="68">
        <v>800</v>
      </c>
      <c r="AW2187" s="11"/>
      <c r="AX2187" s="70"/>
      <c r="AY2187" s="70"/>
      <c r="BA2187" s="70"/>
      <c r="BB2187" s="44"/>
      <c r="BC2187" s="66"/>
      <c r="BD2187" s="66"/>
      <c r="BE2187" s="66"/>
      <c r="BF2187" s="66"/>
      <c r="BG2187" s="66"/>
      <c r="BH2187" s="66"/>
      <c r="BI2187" s="66"/>
      <c r="BJ2187" s="66"/>
      <c r="BK2187" s="11"/>
    </row>
    <row r="2188" spans="1:63" ht="12" customHeight="1" x14ac:dyDescent="0.2">
      <c r="A2188" s="1" t="s">
        <v>503</v>
      </c>
      <c r="B2188" s="68">
        <v>23</v>
      </c>
      <c r="C2188" s="1" t="s">
        <v>20</v>
      </c>
      <c r="D2188" s="1" t="s">
        <v>37</v>
      </c>
      <c r="E2188" s="1" t="s">
        <v>504</v>
      </c>
      <c r="F2188" s="69">
        <v>42251</v>
      </c>
      <c r="G2188" s="1" t="s">
        <v>20046</v>
      </c>
      <c r="H2188" s="1" t="s">
        <v>505</v>
      </c>
      <c r="I2188" s="1" t="s">
        <v>506</v>
      </c>
      <c r="J2188" s="4" t="s">
        <v>20047</v>
      </c>
      <c r="K2188" s="1" t="s">
        <v>638</v>
      </c>
      <c r="L2188" s="1" t="s">
        <v>507</v>
      </c>
      <c r="M2188" s="1" t="s">
        <v>27</v>
      </c>
      <c r="N2188" s="1" t="s">
        <v>20048</v>
      </c>
      <c r="O2188" s="1" t="s">
        <v>400</v>
      </c>
      <c r="P2188" s="1" t="s">
        <v>401</v>
      </c>
      <c r="Q2188" s="63" t="s">
        <v>20049</v>
      </c>
      <c r="R2188" s="68" t="s">
        <v>555</v>
      </c>
      <c r="S2188" s="1" t="s">
        <v>28</v>
      </c>
      <c r="T2188" s="68" t="s">
        <v>29493</v>
      </c>
      <c r="U2188" s="68" t="s">
        <v>29436</v>
      </c>
      <c r="V2188" s="68" t="s">
        <v>29439</v>
      </c>
      <c r="W2188" s="68" t="s">
        <v>100</v>
      </c>
      <c r="X2188" s="68">
        <v>804</v>
      </c>
      <c r="AW2188" s="11"/>
      <c r="BA2188" s="70"/>
      <c r="BB2188" s="44"/>
      <c r="BK2188" s="11"/>
    </row>
    <row r="2189" spans="1:63" ht="12" customHeight="1" x14ac:dyDescent="0.2">
      <c r="A2189" s="1" t="s">
        <v>521</v>
      </c>
      <c r="B2189" s="68">
        <v>45</v>
      </c>
      <c r="C2189" s="1" t="s">
        <v>20</v>
      </c>
      <c r="D2189" s="1" t="s">
        <v>37</v>
      </c>
      <c r="F2189" s="69">
        <v>42249</v>
      </c>
      <c r="G2189" s="1" t="s">
        <v>20050</v>
      </c>
      <c r="H2189" s="1" t="s">
        <v>522</v>
      </c>
      <c r="I2189" s="1" t="s">
        <v>123</v>
      </c>
      <c r="J2189" s="4" t="s">
        <v>20051</v>
      </c>
      <c r="K2189" s="1" t="s">
        <v>179</v>
      </c>
      <c r="L2189" s="1" t="s">
        <v>180</v>
      </c>
      <c r="M2189" s="1" t="s">
        <v>27</v>
      </c>
      <c r="N2189" s="1" t="s">
        <v>20052</v>
      </c>
      <c r="O2189" s="1" t="s">
        <v>400</v>
      </c>
      <c r="P2189" s="1" t="s">
        <v>401</v>
      </c>
      <c r="Q2189" s="63" t="s">
        <v>20053</v>
      </c>
      <c r="R2189" s="68" t="s">
        <v>555</v>
      </c>
      <c r="S2189" s="1" t="s">
        <v>28</v>
      </c>
      <c r="T2189" s="68" t="s">
        <v>27756</v>
      </c>
      <c r="U2189" s="68" t="s">
        <v>29438</v>
      </c>
      <c r="V2189" s="68" t="s">
        <v>29439</v>
      </c>
      <c r="W2189" s="68" t="s">
        <v>555</v>
      </c>
      <c r="X2189" s="68">
        <v>799</v>
      </c>
      <c r="BA2189" s="70"/>
      <c r="BB2189" s="44"/>
      <c r="BK2189" s="11"/>
    </row>
    <row r="2190" spans="1:63" ht="12" customHeight="1" x14ac:dyDescent="0.15">
      <c r="A2190" s="1" t="s">
        <v>523</v>
      </c>
      <c r="B2190" s="1">
        <v>18</v>
      </c>
      <c r="C2190" s="1" t="s">
        <v>20</v>
      </c>
      <c r="D2190" s="1" t="s">
        <v>85</v>
      </c>
      <c r="E2190" s="1" t="s">
        <v>524</v>
      </c>
      <c r="F2190" s="72">
        <v>42248</v>
      </c>
      <c r="G2190" s="1" t="s">
        <v>525</v>
      </c>
      <c r="H2190" s="1" t="s">
        <v>526</v>
      </c>
      <c r="I2190" s="1" t="s">
        <v>81</v>
      </c>
      <c r="J2190" s="4" t="s">
        <v>527</v>
      </c>
      <c r="K2190" s="1" t="s">
        <v>528</v>
      </c>
      <c r="L2190" s="1" t="s">
        <v>529</v>
      </c>
      <c r="M2190" s="1" t="s">
        <v>379</v>
      </c>
      <c r="N2190" s="1" t="s">
        <v>20064</v>
      </c>
      <c r="O2190" s="1" t="s">
        <v>400</v>
      </c>
      <c r="P2190" s="1" t="s">
        <v>401</v>
      </c>
      <c r="Q2190" s="63" t="s">
        <v>530</v>
      </c>
      <c r="R2190" s="1" t="s">
        <v>100</v>
      </c>
      <c r="S2190" s="13" t="s">
        <v>18</v>
      </c>
      <c r="AX2190" s="44"/>
      <c r="AY2190" s="44"/>
      <c r="BC2190" s="44"/>
      <c r="BD2190" s="44"/>
      <c r="BE2190" s="44"/>
      <c r="BF2190" s="44"/>
      <c r="BG2190" s="44"/>
      <c r="BH2190" s="44"/>
      <c r="BI2190" s="44"/>
      <c r="BJ2190" s="44"/>
    </row>
    <row r="2191" spans="1:63" ht="12" customHeight="1" x14ac:dyDescent="0.15">
      <c r="A2191" s="1" t="s">
        <v>541</v>
      </c>
      <c r="B2191" s="68">
        <v>33</v>
      </c>
      <c r="C2191" s="1" t="s">
        <v>20</v>
      </c>
      <c r="D2191" s="1" t="s">
        <v>85</v>
      </c>
      <c r="E2191" s="1" t="s">
        <v>542</v>
      </c>
      <c r="F2191" s="69">
        <v>42248</v>
      </c>
      <c r="G2191" s="1" t="s">
        <v>20054</v>
      </c>
      <c r="H2191" s="1" t="s">
        <v>543</v>
      </c>
      <c r="I2191" s="1" t="s">
        <v>150</v>
      </c>
      <c r="J2191" s="4" t="s">
        <v>544</v>
      </c>
      <c r="K2191" s="1" t="s">
        <v>2902</v>
      </c>
      <c r="L2191" s="1" t="s">
        <v>545</v>
      </c>
      <c r="M2191" s="1" t="s">
        <v>27</v>
      </c>
      <c r="N2191" s="1" t="s">
        <v>20055</v>
      </c>
      <c r="O2191" s="1" t="s">
        <v>400</v>
      </c>
      <c r="P2191" s="1" t="s">
        <v>401</v>
      </c>
      <c r="Q2191" s="63" t="s">
        <v>20056</v>
      </c>
      <c r="R2191" s="1" t="s">
        <v>100</v>
      </c>
      <c r="S2191" s="13" t="s">
        <v>28</v>
      </c>
      <c r="T2191" s="68" t="s">
        <v>29491</v>
      </c>
      <c r="U2191" s="68" t="s">
        <v>29438</v>
      </c>
      <c r="V2191" s="68" t="s">
        <v>29440</v>
      </c>
      <c r="W2191" s="68" t="s">
        <v>100</v>
      </c>
      <c r="X2191" s="68">
        <v>794</v>
      </c>
      <c r="AW2191" s="11"/>
      <c r="AX2191" s="11"/>
      <c r="AY2191" s="11"/>
      <c r="BA2191" s="44"/>
      <c r="BC2191" s="44"/>
      <c r="BD2191" s="44"/>
      <c r="BE2191" s="44"/>
      <c r="BF2191" s="44"/>
      <c r="BG2191" s="44"/>
      <c r="BH2191" s="44"/>
      <c r="BI2191" s="44"/>
      <c r="BJ2191" s="44"/>
      <c r="BK2191" s="11"/>
    </row>
    <row r="2192" spans="1:63" ht="12" customHeight="1" x14ac:dyDescent="0.15">
      <c r="A2192" s="1" t="s">
        <v>531</v>
      </c>
      <c r="B2192" s="68">
        <v>47</v>
      </c>
      <c r="C2192" s="1" t="s">
        <v>20</v>
      </c>
      <c r="D2192" s="1" t="s">
        <v>37</v>
      </c>
      <c r="E2192" s="1" t="s">
        <v>532</v>
      </c>
      <c r="F2192" s="69">
        <v>42248</v>
      </c>
      <c r="G2192" s="1" t="s">
        <v>533</v>
      </c>
      <c r="H2192" s="1" t="s">
        <v>534</v>
      </c>
      <c r="I2192" s="1" t="s">
        <v>195</v>
      </c>
      <c r="J2192" s="4" t="s">
        <v>20061</v>
      </c>
      <c r="K2192" s="1" t="s">
        <v>9301</v>
      </c>
      <c r="L2192" s="1" t="s">
        <v>535</v>
      </c>
      <c r="M2192" s="1" t="s">
        <v>27</v>
      </c>
      <c r="N2192" s="1" t="s">
        <v>20062</v>
      </c>
      <c r="O2192" s="1" t="s">
        <v>400</v>
      </c>
      <c r="P2192" s="1" t="s">
        <v>401</v>
      </c>
      <c r="Q2192" s="63" t="s">
        <v>20063</v>
      </c>
      <c r="R2192" s="1" t="s">
        <v>100</v>
      </c>
      <c r="S2192" s="1" t="s">
        <v>28</v>
      </c>
      <c r="T2192" s="68" t="s">
        <v>27756</v>
      </c>
      <c r="U2192" s="68" t="s">
        <v>29438</v>
      </c>
      <c r="V2192" s="68" t="s">
        <v>29439</v>
      </c>
      <c r="W2192" s="68" t="s">
        <v>100</v>
      </c>
      <c r="X2192" s="68">
        <v>798</v>
      </c>
      <c r="BA2192" s="44"/>
      <c r="BK2192" s="11"/>
    </row>
    <row r="2193" spans="1:63" ht="12" customHeight="1" x14ac:dyDescent="0.15">
      <c r="A2193" s="1" t="s">
        <v>536</v>
      </c>
      <c r="B2193" s="68">
        <v>76</v>
      </c>
      <c r="C2193" s="1" t="s">
        <v>20</v>
      </c>
      <c r="D2193" s="1" t="s">
        <v>37</v>
      </c>
      <c r="F2193" s="69">
        <v>42248</v>
      </c>
      <c r="G2193" s="1" t="s">
        <v>20057</v>
      </c>
      <c r="H2193" s="1" t="s">
        <v>537</v>
      </c>
      <c r="I2193" s="1" t="s">
        <v>69</v>
      </c>
      <c r="J2193" s="4" t="s">
        <v>20058</v>
      </c>
      <c r="K2193" s="1" t="s">
        <v>3466</v>
      </c>
      <c r="L2193" s="1" t="s">
        <v>538</v>
      </c>
      <c r="M2193" s="1" t="s">
        <v>27</v>
      </c>
      <c r="N2193" s="1" t="s">
        <v>20059</v>
      </c>
      <c r="O2193" s="1" t="s">
        <v>400</v>
      </c>
      <c r="P2193" s="1" t="s">
        <v>401</v>
      </c>
      <c r="Q2193" s="63" t="s">
        <v>20060</v>
      </c>
      <c r="R2193" s="1" t="s">
        <v>100</v>
      </c>
      <c r="S2193" s="1" t="s">
        <v>28</v>
      </c>
      <c r="T2193" s="68" t="s">
        <v>27756</v>
      </c>
      <c r="U2193" s="68" t="s">
        <v>29438</v>
      </c>
      <c r="V2193" s="68" t="s">
        <v>29439</v>
      </c>
      <c r="W2193" s="68" t="s">
        <v>100</v>
      </c>
      <c r="X2193" s="68">
        <v>797</v>
      </c>
      <c r="BA2193" s="44"/>
      <c r="BK2193" s="11"/>
    </row>
    <row r="2194" spans="1:63" ht="12" customHeight="1" x14ac:dyDescent="0.15">
      <c r="A2194" s="1" t="s">
        <v>546</v>
      </c>
      <c r="B2194" s="1">
        <v>48</v>
      </c>
      <c r="C2194" s="1" t="s">
        <v>20</v>
      </c>
      <c r="D2194" s="1" t="s">
        <v>85</v>
      </c>
      <c r="E2194" s="1" t="s">
        <v>19420</v>
      </c>
      <c r="F2194" s="72">
        <v>42247</v>
      </c>
      <c r="G2194" s="1" t="s">
        <v>19664</v>
      </c>
      <c r="H2194" s="1" t="s">
        <v>547</v>
      </c>
      <c r="I2194" s="1" t="s">
        <v>69</v>
      </c>
      <c r="J2194" s="4" t="s">
        <v>19665</v>
      </c>
      <c r="K2194" s="1" t="s">
        <v>548</v>
      </c>
      <c r="L2194" s="1" t="s">
        <v>549</v>
      </c>
      <c r="M2194" s="1" t="s">
        <v>391</v>
      </c>
      <c r="N2194" s="1" t="s">
        <v>19483</v>
      </c>
      <c r="O2194" s="1" t="s">
        <v>400</v>
      </c>
      <c r="P2194" s="1" t="s">
        <v>401</v>
      </c>
      <c r="Q2194" s="63" t="s">
        <v>19484</v>
      </c>
      <c r="R2194" s="1" t="s">
        <v>100</v>
      </c>
      <c r="S2194" s="1" t="s">
        <v>18</v>
      </c>
      <c r="AW2194" s="11"/>
      <c r="AX2194" s="11"/>
      <c r="AY2194" s="11"/>
      <c r="BC2194" s="44"/>
      <c r="BD2194" s="44"/>
      <c r="BE2194" s="44"/>
      <c r="BF2194" s="44"/>
      <c r="BG2194" s="44"/>
      <c r="BH2194" s="44"/>
      <c r="BI2194" s="44"/>
      <c r="BJ2194" s="44"/>
    </row>
    <row r="2195" spans="1:63" ht="12" customHeight="1" x14ac:dyDescent="0.15">
      <c r="A2195" s="1" t="s">
        <v>551</v>
      </c>
      <c r="B2195" s="68">
        <v>45</v>
      </c>
      <c r="C2195" s="1" t="s">
        <v>20</v>
      </c>
      <c r="D2195" s="1" t="s">
        <v>37</v>
      </c>
      <c r="E2195" s="1" t="s">
        <v>19422</v>
      </c>
      <c r="F2195" s="69">
        <v>42247</v>
      </c>
      <c r="G2195" s="1" t="s">
        <v>19667</v>
      </c>
      <c r="H2195" s="1" t="s">
        <v>552</v>
      </c>
      <c r="I2195" s="1" t="s">
        <v>209</v>
      </c>
      <c r="J2195" s="4" t="s">
        <v>19668</v>
      </c>
      <c r="K2195" s="1" t="s">
        <v>553</v>
      </c>
      <c r="L2195" s="1" t="s">
        <v>554</v>
      </c>
      <c r="M2195" s="1" t="s">
        <v>27</v>
      </c>
      <c r="N2195" s="1" t="s">
        <v>19486</v>
      </c>
      <c r="O2195" s="1" t="s">
        <v>400</v>
      </c>
      <c r="P2195" s="1" t="s">
        <v>401</v>
      </c>
      <c r="Q2195" s="63" t="s">
        <v>19487</v>
      </c>
      <c r="R2195" s="1" t="s">
        <v>100</v>
      </c>
      <c r="S2195" s="1" t="s">
        <v>28</v>
      </c>
      <c r="T2195" s="68" t="s">
        <v>29493</v>
      </c>
      <c r="U2195" s="68" t="s">
        <v>29438</v>
      </c>
      <c r="V2195" s="68" t="s">
        <v>29440</v>
      </c>
      <c r="W2195" s="68" t="s">
        <v>100</v>
      </c>
      <c r="X2195" s="68">
        <v>792</v>
      </c>
      <c r="BA2195" s="44"/>
      <c r="BK2195" s="11"/>
    </row>
    <row r="2196" spans="1:63" ht="12" customHeight="1" x14ac:dyDescent="0.15">
      <c r="A2196" s="1" t="s">
        <v>556</v>
      </c>
      <c r="B2196" s="1">
        <v>18</v>
      </c>
      <c r="C2196" s="1" t="s">
        <v>20</v>
      </c>
      <c r="D2196" s="1" t="s">
        <v>37</v>
      </c>
      <c r="E2196" s="1" t="s">
        <v>19421</v>
      </c>
      <c r="F2196" s="72">
        <v>42247</v>
      </c>
      <c r="G2196" s="1" t="s">
        <v>557</v>
      </c>
      <c r="H2196" s="1" t="s">
        <v>548</v>
      </c>
      <c r="I2196" s="1" t="s">
        <v>173</v>
      </c>
      <c r="J2196" s="4" t="s">
        <v>19666</v>
      </c>
      <c r="K2196" s="1" t="s">
        <v>558</v>
      </c>
      <c r="L2196" s="1" t="s">
        <v>559</v>
      </c>
      <c r="M2196" s="1" t="s">
        <v>391</v>
      </c>
      <c r="N2196" s="1" t="s">
        <v>21069</v>
      </c>
      <c r="O2196" s="1" t="s">
        <v>400</v>
      </c>
      <c r="P2196" s="1" t="s">
        <v>401</v>
      </c>
      <c r="Q2196" s="63" t="s">
        <v>19485</v>
      </c>
      <c r="R2196" s="1" t="s">
        <v>100</v>
      </c>
      <c r="S2196" s="1" t="s">
        <v>18</v>
      </c>
      <c r="AU2196" s="11"/>
      <c r="AV2196" s="11"/>
      <c r="AW2196" s="11"/>
    </row>
    <row r="2197" spans="1:63" ht="12" customHeight="1" x14ac:dyDescent="0.15">
      <c r="A2197" s="1" t="s">
        <v>560</v>
      </c>
      <c r="B2197" s="68">
        <v>40</v>
      </c>
      <c r="C2197" s="1" t="s">
        <v>20</v>
      </c>
      <c r="D2197" s="1" t="s">
        <v>48</v>
      </c>
      <c r="F2197" s="69">
        <v>42246</v>
      </c>
      <c r="G2197" s="1" t="s">
        <v>24449</v>
      </c>
      <c r="H2197" s="1" t="s">
        <v>561</v>
      </c>
      <c r="I2197" s="1" t="s">
        <v>123</v>
      </c>
      <c r="J2197" s="4" t="s">
        <v>19669</v>
      </c>
      <c r="K2197" s="1" t="s">
        <v>562</v>
      </c>
      <c r="L2197" s="1" t="s">
        <v>563</v>
      </c>
      <c r="M2197" s="1" t="s">
        <v>27</v>
      </c>
      <c r="N2197" s="1" t="s">
        <v>19488</v>
      </c>
      <c r="O2197" s="1" t="s">
        <v>400</v>
      </c>
      <c r="P2197" s="1" t="s">
        <v>401</v>
      </c>
      <c r="Q2197" s="63" t="s">
        <v>19489</v>
      </c>
      <c r="R2197" s="1" t="s">
        <v>100</v>
      </c>
      <c r="S2197" s="1" t="s">
        <v>28</v>
      </c>
      <c r="T2197" s="68" t="s">
        <v>27756</v>
      </c>
      <c r="U2197" s="68" t="s">
        <v>29438</v>
      </c>
      <c r="V2197" s="68" t="s">
        <v>29439</v>
      </c>
      <c r="W2197" s="68" t="s">
        <v>100</v>
      </c>
      <c r="X2197" s="68">
        <v>791</v>
      </c>
      <c r="AW2197" s="44"/>
      <c r="BA2197" s="44"/>
      <c r="BK2197" s="11"/>
    </row>
    <row r="2198" spans="1:63" ht="12" customHeight="1" x14ac:dyDescent="0.2">
      <c r="A2198" s="1" t="s">
        <v>564</v>
      </c>
      <c r="B2198" s="68">
        <v>20</v>
      </c>
      <c r="C2198" s="1" t="s">
        <v>20</v>
      </c>
      <c r="D2198" s="1" t="s">
        <v>37</v>
      </c>
      <c r="F2198" s="69">
        <v>42246</v>
      </c>
      <c r="G2198" s="1" t="s">
        <v>24448</v>
      </c>
      <c r="H2198" s="1" t="s">
        <v>565</v>
      </c>
      <c r="I2198" s="1" t="s">
        <v>395</v>
      </c>
      <c r="J2198" s="4" t="s">
        <v>18512</v>
      </c>
      <c r="K2198" s="1" t="s">
        <v>566</v>
      </c>
      <c r="L2198" s="1" t="s">
        <v>567</v>
      </c>
      <c r="M2198" s="1" t="s">
        <v>27</v>
      </c>
      <c r="N2198" s="1" t="s">
        <v>19490</v>
      </c>
      <c r="O2198" s="1" t="s">
        <v>550</v>
      </c>
      <c r="P2198" s="1" t="s">
        <v>401</v>
      </c>
      <c r="Q2198" s="63" t="s">
        <v>19491</v>
      </c>
      <c r="R2198" s="1" t="s">
        <v>100</v>
      </c>
      <c r="S2198" s="1" t="s">
        <v>28</v>
      </c>
      <c r="T2198" s="68" t="s">
        <v>27756</v>
      </c>
      <c r="U2198" s="68" t="s">
        <v>29438</v>
      </c>
      <c r="V2198" s="68" t="s">
        <v>29439</v>
      </c>
      <c r="W2198" s="68" t="s">
        <v>100</v>
      </c>
      <c r="X2198" s="68">
        <v>790</v>
      </c>
      <c r="AW2198" s="70"/>
      <c r="BA2198" s="44"/>
      <c r="BK2198" s="11"/>
    </row>
    <row r="2199" spans="1:63" ht="12" customHeight="1" x14ac:dyDescent="0.15">
      <c r="A2199" s="1" t="s">
        <v>568</v>
      </c>
      <c r="B2199" s="68">
        <v>25</v>
      </c>
      <c r="C2199" s="1" t="s">
        <v>20</v>
      </c>
      <c r="D2199" s="1" t="s">
        <v>85</v>
      </c>
      <c r="E2199" s="1" t="s">
        <v>19423</v>
      </c>
      <c r="F2199" s="69">
        <v>42245</v>
      </c>
      <c r="G2199" s="1" t="s">
        <v>569</v>
      </c>
      <c r="H2199" s="1" t="s">
        <v>268</v>
      </c>
      <c r="I2199" s="1" t="s">
        <v>269</v>
      </c>
      <c r="J2199" s="4" t="s">
        <v>6824</v>
      </c>
      <c r="K2199" s="1" t="s">
        <v>570</v>
      </c>
      <c r="L2199" s="1" t="s">
        <v>571</v>
      </c>
      <c r="M2199" s="1" t="s">
        <v>27</v>
      </c>
      <c r="N2199" s="1" t="s">
        <v>19492</v>
      </c>
      <c r="O2199" s="1" t="s">
        <v>400</v>
      </c>
      <c r="P2199" s="1" t="s">
        <v>401</v>
      </c>
      <c r="Q2199" s="63" t="s">
        <v>19493</v>
      </c>
      <c r="R2199" s="1" t="s">
        <v>100</v>
      </c>
      <c r="S2199" s="1" t="s">
        <v>28</v>
      </c>
      <c r="T2199" s="68" t="s">
        <v>27756</v>
      </c>
      <c r="U2199" s="68" t="s">
        <v>29438</v>
      </c>
      <c r="V2199" s="68" t="s">
        <v>29440</v>
      </c>
      <c r="W2199" s="68" t="s">
        <v>100</v>
      </c>
      <c r="X2199" s="68">
        <v>787</v>
      </c>
      <c r="AW2199" s="11"/>
      <c r="AX2199" s="44"/>
      <c r="AY2199" s="44"/>
      <c r="BA2199" s="44"/>
      <c r="BC2199" s="44"/>
      <c r="BD2199" s="44"/>
      <c r="BE2199" s="44"/>
      <c r="BF2199" s="44"/>
      <c r="BG2199" s="44"/>
      <c r="BH2199" s="44"/>
      <c r="BI2199" s="44"/>
      <c r="BJ2199" s="44"/>
      <c r="BK2199" s="11"/>
    </row>
    <row r="2200" spans="1:63" ht="12" customHeight="1" x14ac:dyDescent="0.15">
      <c r="A2200" s="1" t="s">
        <v>573</v>
      </c>
      <c r="B2200" s="1">
        <v>43</v>
      </c>
      <c r="C2200" s="1" t="s">
        <v>20</v>
      </c>
      <c r="D2200" s="1" t="s">
        <v>37</v>
      </c>
      <c r="E2200" s="1" t="s">
        <v>19424</v>
      </c>
      <c r="F2200" s="69">
        <v>42245</v>
      </c>
      <c r="G2200" s="1" t="s">
        <v>574</v>
      </c>
      <c r="H2200" s="1" t="s">
        <v>575</v>
      </c>
      <c r="I2200" s="1" t="s">
        <v>73</v>
      </c>
      <c r="J2200" s="4" t="s">
        <v>19671</v>
      </c>
      <c r="K2200" s="1" t="s">
        <v>576</v>
      </c>
      <c r="L2200" s="1" t="s">
        <v>577</v>
      </c>
      <c r="M2200" s="1" t="s">
        <v>27</v>
      </c>
      <c r="N2200" s="1" t="s">
        <v>19496</v>
      </c>
      <c r="O2200" s="1" t="s">
        <v>400</v>
      </c>
      <c r="P2200" s="1" t="s">
        <v>401</v>
      </c>
      <c r="Q2200" s="63" t="s">
        <v>19497</v>
      </c>
      <c r="R2200" s="1" t="s">
        <v>100</v>
      </c>
      <c r="S2200" s="1" t="s">
        <v>28</v>
      </c>
      <c r="T2200" s="68" t="s">
        <v>29493</v>
      </c>
      <c r="U2200" s="68" t="s">
        <v>29436</v>
      </c>
      <c r="V2200" s="68" t="s">
        <v>29439</v>
      </c>
      <c r="W2200" s="68" t="s">
        <v>100</v>
      </c>
      <c r="X2200" s="68">
        <v>789</v>
      </c>
      <c r="BA2200" s="44"/>
      <c r="BK2200" s="11"/>
    </row>
    <row r="2201" spans="1:63" ht="12" customHeight="1" x14ac:dyDescent="0.15">
      <c r="A2201" s="1" t="s">
        <v>572</v>
      </c>
      <c r="B2201" s="68">
        <v>29</v>
      </c>
      <c r="C2201" s="1" t="s">
        <v>20</v>
      </c>
      <c r="D2201" s="1" t="s">
        <v>48</v>
      </c>
      <c r="F2201" s="69">
        <v>42245</v>
      </c>
      <c r="G2201" s="1" t="s">
        <v>19670</v>
      </c>
      <c r="H2201" s="1" t="s">
        <v>87</v>
      </c>
      <c r="I2201" s="1" t="s">
        <v>44</v>
      </c>
      <c r="J2201" s="4" t="s">
        <v>13605</v>
      </c>
      <c r="K2201" s="1" t="s">
        <v>88</v>
      </c>
      <c r="L2201" s="1" t="s">
        <v>89</v>
      </c>
      <c r="M2201" s="1" t="s">
        <v>27</v>
      </c>
      <c r="N2201" s="1" t="s">
        <v>19494</v>
      </c>
      <c r="O2201" s="1" t="s">
        <v>1010</v>
      </c>
      <c r="P2201" s="1" t="s">
        <v>401</v>
      </c>
      <c r="Q2201" s="63" t="s">
        <v>19495</v>
      </c>
      <c r="R2201" s="1" t="s">
        <v>100</v>
      </c>
      <c r="S2201" s="13" t="s">
        <v>18</v>
      </c>
      <c r="T2201" s="68" t="s">
        <v>28345</v>
      </c>
      <c r="U2201" s="68" t="s">
        <v>29441</v>
      </c>
      <c r="V2201" s="68" t="s">
        <v>29437</v>
      </c>
      <c r="W2201" s="68" t="s">
        <v>100</v>
      </c>
      <c r="X2201" s="68">
        <v>795</v>
      </c>
      <c r="AW2201" s="44"/>
      <c r="BA2201" s="44"/>
    </row>
    <row r="2202" spans="1:63" ht="12" customHeight="1" x14ac:dyDescent="0.15">
      <c r="A2202" s="1" t="s">
        <v>578</v>
      </c>
      <c r="B2202" s="68">
        <v>61</v>
      </c>
      <c r="C2202" s="1" t="s">
        <v>20</v>
      </c>
      <c r="D2202" s="1" t="s">
        <v>85</v>
      </c>
      <c r="F2202" s="69">
        <v>42244</v>
      </c>
      <c r="G2202" s="1" t="s">
        <v>579</v>
      </c>
      <c r="H2202" s="1" t="s">
        <v>19672</v>
      </c>
      <c r="I2202" s="1" t="s">
        <v>423</v>
      </c>
      <c r="J2202" s="4" t="s">
        <v>19673</v>
      </c>
      <c r="K2202" s="1" t="s">
        <v>581</v>
      </c>
      <c r="L2202" s="1" t="s">
        <v>582</v>
      </c>
      <c r="M2202" s="1" t="s">
        <v>27</v>
      </c>
      <c r="N2202" s="1" t="s">
        <v>19499</v>
      </c>
      <c r="O2202" s="1" t="s">
        <v>400</v>
      </c>
      <c r="P2202" s="1" t="s">
        <v>401</v>
      </c>
      <c r="Q2202" s="63" t="s">
        <v>19500</v>
      </c>
      <c r="R2202" s="1" t="s">
        <v>100</v>
      </c>
      <c r="S2202" s="1" t="s">
        <v>18</v>
      </c>
      <c r="T2202" s="68" t="s">
        <v>28345</v>
      </c>
      <c r="U2202" s="68" t="s">
        <v>29436</v>
      </c>
      <c r="V2202" s="68" t="s">
        <v>29439</v>
      </c>
      <c r="W2202" s="68" t="s">
        <v>100</v>
      </c>
      <c r="X2202" s="68">
        <v>788</v>
      </c>
      <c r="AX2202" s="44"/>
      <c r="AY2202" s="44"/>
      <c r="BA2202" s="44"/>
      <c r="BC2202" s="44"/>
      <c r="BD2202" s="44"/>
      <c r="BE2202" s="44"/>
      <c r="BF2202" s="44"/>
      <c r="BG2202" s="44"/>
      <c r="BH2202" s="44"/>
      <c r="BI2202" s="44"/>
      <c r="BJ2202" s="44"/>
    </row>
    <row r="2203" spans="1:63" ht="12" customHeight="1" x14ac:dyDescent="0.15">
      <c r="A2203" s="1" t="s">
        <v>588</v>
      </c>
      <c r="B2203" s="68">
        <v>28</v>
      </c>
      <c r="C2203" s="1" t="s">
        <v>20</v>
      </c>
      <c r="D2203" s="1" t="s">
        <v>37</v>
      </c>
      <c r="E2203" s="1" t="s">
        <v>19426</v>
      </c>
      <c r="F2203" s="69">
        <v>42244</v>
      </c>
      <c r="G2203" s="1" t="s">
        <v>19676</v>
      </c>
      <c r="H2203" s="1" t="s">
        <v>589</v>
      </c>
      <c r="I2203" s="1" t="s">
        <v>240</v>
      </c>
      <c r="J2203" s="4" t="s">
        <v>12029</v>
      </c>
      <c r="K2203" s="1" t="s">
        <v>590</v>
      </c>
      <c r="L2203" s="1" t="s">
        <v>591</v>
      </c>
      <c r="M2203" s="1" t="s">
        <v>27</v>
      </c>
      <c r="N2203" s="1" t="s">
        <v>19505</v>
      </c>
      <c r="O2203" s="1" t="s">
        <v>19498</v>
      </c>
      <c r="P2203" s="1" t="s">
        <v>401</v>
      </c>
      <c r="Q2203" s="63" t="s">
        <v>19506</v>
      </c>
      <c r="R2203" s="1" t="s">
        <v>555</v>
      </c>
      <c r="S2203" s="1" t="s">
        <v>28</v>
      </c>
      <c r="T2203" s="68" t="s">
        <v>27756</v>
      </c>
      <c r="U2203" s="68" t="s">
        <v>29438</v>
      </c>
      <c r="V2203" s="68" t="s">
        <v>29439</v>
      </c>
      <c r="W2203" s="68" t="s">
        <v>555</v>
      </c>
      <c r="X2203" s="68">
        <v>786</v>
      </c>
      <c r="AW2203" s="44"/>
      <c r="BA2203" s="11"/>
      <c r="BB2203" s="44"/>
      <c r="BK2203" s="11"/>
    </row>
    <row r="2204" spans="1:63" ht="12" customHeight="1" x14ac:dyDescent="0.15">
      <c r="A2204" s="1" t="s">
        <v>583</v>
      </c>
      <c r="B2204" s="68">
        <v>41</v>
      </c>
      <c r="C2204" s="1" t="s">
        <v>20</v>
      </c>
      <c r="D2204" s="1" t="s">
        <v>48</v>
      </c>
      <c r="E2204" s="1" t="s">
        <v>19425</v>
      </c>
      <c r="F2204" s="69">
        <v>42244</v>
      </c>
      <c r="G2204" s="1" t="s">
        <v>584</v>
      </c>
      <c r="H2204" s="1" t="s">
        <v>575</v>
      </c>
      <c r="I2204" s="1" t="s">
        <v>73</v>
      </c>
      <c r="J2204" s="4" t="s">
        <v>19674</v>
      </c>
      <c r="K2204" s="1" t="s">
        <v>576</v>
      </c>
      <c r="L2204" s="1" t="s">
        <v>585</v>
      </c>
      <c r="M2204" s="1" t="s">
        <v>27</v>
      </c>
      <c r="N2204" s="1" t="s">
        <v>19501</v>
      </c>
      <c r="O2204" s="1" t="s">
        <v>19498</v>
      </c>
      <c r="P2204" s="1" t="s">
        <v>401</v>
      </c>
      <c r="Q2204" s="63" t="s">
        <v>19502</v>
      </c>
      <c r="R2204" s="1" t="s">
        <v>555</v>
      </c>
      <c r="S2204" s="1" t="s">
        <v>35</v>
      </c>
      <c r="T2204" s="68" t="s">
        <v>29441</v>
      </c>
      <c r="U2204" s="68" t="s">
        <v>29441</v>
      </c>
      <c r="V2204" s="68" t="s">
        <v>29439</v>
      </c>
      <c r="W2204" s="68" t="s">
        <v>100</v>
      </c>
      <c r="X2204" s="68">
        <v>785</v>
      </c>
      <c r="BA2204" s="11"/>
      <c r="BB2204" s="44"/>
    </row>
    <row r="2205" spans="1:63" ht="12" customHeight="1" x14ac:dyDescent="0.15">
      <c r="A2205" s="1" t="s">
        <v>539</v>
      </c>
      <c r="B2205" s="68">
        <v>23</v>
      </c>
      <c r="C2205" s="1" t="s">
        <v>20</v>
      </c>
      <c r="D2205" s="1" t="s">
        <v>37</v>
      </c>
      <c r="E2205" s="1" t="s">
        <v>540</v>
      </c>
      <c r="F2205" s="69">
        <v>42244</v>
      </c>
      <c r="G2205" s="44" t="s">
        <v>592</v>
      </c>
      <c r="H2205" s="44" t="s">
        <v>593</v>
      </c>
      <c r="I2205" s="44" t="s">
        <v>73</v>
      </c>
      <c r="J2205" s="43">
        <v>75604</v>
      </c>
      <c r="K2205" s="1" t="s">
        <v>594</v>
      </c>
      <c r="L2205" s="44" t="s">
        <v>595</v>
      </c>
      <c r="M2205" s="1" t="s">
        <v>27</v>
      </c>
      <c r="N2205" s="1" t="s">
        <v>21091</v>
      </c>
      <c r="P2205" s="1" t="s">
        <v>401</v>
      </c>
      <c r="Q2205" s="63" t="str">
        <f>HYPERLINK("http://www.kltv.com/story/29931923/man-shot-by-longview-officer-dies","http://www.kltv.com/story/29931923/man-shot-by-longview-officer-dies")</f>
        <v>http://www.kltv.com/story/29931923/man-shot-by-longview-officer-dies</v>
      </c>
      <c r="R2205" s="1" t="s">
        <v>29</v>
      </c>
      <c r="S2205" s="1" t="s">
        <v>28</v>
      </c>
      <c r="T2205" s="68" t="s">
        <v>27756</v>
      </c>
      <c r="U2205" s="68" t="s">
        <v>29438</v>
      </c>
      <c r="V2205" s="68" t="s">
        <v>29439</v>
      </c>
      <c r="W2205" s="68" t="s">
        <v>100</v>
      </c>
      <c r="X2205" s="68">
        <v>793</v>
      </c>
      <c r="AW2205" s="11"/>
      <c r="BK2205" s="11"/>
    </row>
    <row r="2206" spans="1:63" ht="12" customHeight="1" x14ac:dyDescent="0.2">
      <c r="A2206" s="1" t="s">
        <v>596</v>
      </c>
      <c r="B2206" s="68">
        <v>42</v>
      </c>
      <c r="C2206" s="1" t="s">
        <v>20</v>
      </c>
      <c r="D2206" s="1" t="s">
        <v>85</v>
      </c>
      <c r="E2206" s="1" t="s">
        <v>19427</v>
      </c>
      <c r="F2206" s="69">
        <v>42243</v>
      </c>
      <c r="G2206" s="1" t="s">
        <v>24450</v>
      </c>
      <c r="H2206" s="1" t="s">
        <v>285</v>
      </c>
      <c r="I2206" s="1" t="s">
        <v>73</v>
      </c>
      <c r="J2206" s="4" t="s">
        <v>19677</v>
      </c>
      <c r="K2206" s="1" t="s">
        <v>285</v>
      </c>
      <c r="L2206" s="1" t="s">
        <v>286</v>
      </c>
      <c r="M2206" s="68" t="s">
        <v>5411</v>
      </c>
      <c r="N2206" s="1" t="s">
        <v>19507</v>
      </c>
      <c r="O2206" s="1" t="s">
        <v>400</v>
      </c>
      <c r="P2206" s="1" t="s">
        <v>401</v>
      </c>
      <c r="Q2206" s="63" t="s">
        <v>19508</v>
      </c>
      <c r="R2206" s="1" t="s">
        <v>100</v>
      </c>
      <c r="S2206" s="1" t="s">
        <v>28</v>
      </c>
      <c r="T2206" s="68" t="s">
        <v>29478</v>
      </c>
      <c r="U2206" s="68" t="s">
        <v>29438</v>
      </c>
      <c r="V2206" s="68" t="s">
        <v>29439</v>
      </c>
      <c r="W2206" s="68" t="s">
        <v>100</v>
      </c>
      <c r="X2206" s="68">
        <v>781</v>
      </c>
      <c r="AX2206" s="44"/>
      <c r="AY2206" s="44"/>
      <c r="BA2206" s="44"/>
      <c r="BB2206" s="70"/>
      <c r="BC2206" s="44"/>
      <c r="BD2206" s="44"/>
      <c r="BE2206" s="44"/>
      <c r="BF2206" s="44"/>
      <c r="BG2206" s="44"/>
      <c r="BH2206" s="44"/>
      <c r="BI2206" s="44"/>
      <c r="BJ2206" s="44"/>
    </row>
    <row r="2207" spans="1:63" ht="12" customHeight="1" x14ac:dyDescent="0.15">
      <c r="A2207" s="1" t="s">
        <v>586</v>
      </c>
      <c r="B2207" s="68">
        <v>54</v>
      </c>
      <c r="C2207" s="1" t="s">
        <v>20</v>
      </c>
      <c r="D2207" s="1" t="s">
        <v>37</v>
      </c>
      <c r="F2207" s="69">
        <v>42243</v>
      </c>
      <c r="G2207" s="1" t="s">
        <v>587</v>
      </c>
      <c r="H2207" s="1" t="s">
        <v>156</v>
      </c>
      <c r="I2207" s="1" t="s">
        <v>45</v>
      </c>
      <c r="J2207" s="4" t="s">
        <v>19675</v>
      </c>
      <c r="K2207" s="1" t="s">
        <v>156</v>
      </c>
      <c r="L2207" s="1" t="s">
        <v>157</v>
      </c>
      <c r="M2207" s="1" t="s">
        <v>27</v>
      </c>
      <c r="N2207" s="1" t="s">
        <v>19503</v>
      </c>
      <c r="O2207" s="1" t="s">
        <v>400</v>
      </c>
      <c r="P2207" s="1" t="s">
        <v>401</v>
      </c>
      <c r="Q2207" s="63" t="s">
        <v>19504</v>
      </c>
      <c r="R2207" s="1" t="s">
        <v>100</v>
      </c>
      <c r="S2207" s="1" t="s">
        <v>28</v>
      </c>
      <c r="T2207" s="68" t="s">
        <v>29478</v>
      </c>
      <c r="U2207" s="68" t="s">
        <v>29436</v>
      </c>
      <c r="V2207" s="68" t="s">
        <v>29439</v>
      </c>
      <c r="W2207" s="68" t="s">
        <v>555</v>
      </c>
      <c r="X2207" s="68">
        <v>783</v>
      </c>
      <c r="BA2207" s="44"/>
      <c r="BK2207" s="11"/>
    </row>
    <row r="2208" spans="1:63" ht="12" customHeight="1" x14ac:dyDescent="0.15">
      <c r="A2208" s="1" t="s">
        <v>597</v>
      </c>
      <c r="B2208" s="1">
        <v>50</v>
      </c>
      <c r="C2208" s="1" t="s">
        <v>20</v>
      </c>
      <c r="D2208" s="1" t="s">
        <v>85</v>
      </c>
      <c r="F2208" s="72">
        <v>42243</v>
      </c>
      <c r="G2208" s="1" t="s">
        <v>24451</v>
      </c>
      <c r="H2208" s="1" t="s">
        <v>430</v>
      </c>
      <c r="I2208" s="1" t="s">
        <v>363</v>
      </c>
      <c r="J2208" s="4" t="s">
        <v>9664</v>
      </c>
      <c r="K2208" s="1" t="s">
        <v>598</v>
      </c>
      <c r="L2208" s="1" t="s">
        <v>2121</v>
      </c>
      <c r="M2208" s="1" t="s">
        <v>379</v>
      </c>
      <c r="N2208" s="1" t="s">
        <v>19511</v>
      </c>
      <c r="O2208" s="1" t="s">
        <v>400</v>
      </c>
      <c r="P2208" s="1" t="s">
        <v>401</v>
      </c>
      <c r="Q2208" s="63" t="s">
        <v>19512</v>
      </c>
      <c r="R2208" s="1" t="s">
        <v>100</v>
      </c>
      <c r="S2208" s="66" t="s">
        <v>379</v>
      </c>
      <c r="T2208" s="66" t="s">
        <v>30738</v>
      </c>
      <c r="AU2208" s="11"/>
      <c r="AV2208" s="11"/>
      <c r="AW2208" s="11"/>
      <c r="AX2208" s="44"/>
      <c r="AY2208" s="44"/>
      <c r="BC2208" s="44"/>
      <c r="BD2208" s="44"/>
      <c r="BE2208" s="44"/>
      <c r="BF2208" s="44"/>
      <c r="BG2208" s="44"/>
      <c r="BH2208" s="44"/>
      <c r="BI2208" s="44"/>
      <c r="BJ2208" s="44"/>
    </row>
    <row r="2209" spans="1:63" ht="12" customHeight="1" x14ac:dyDescent="0.15">
      <c r="A2209" s="1" t="s">
        <v>600</v>
      </c>
      <c r="B2209" s="68">
        <v>30</v>
      </c>
      <c r="C2209" s="1" t="s">
        <v>20</v>
      </c>
      <c r="D2209" s="1" t="s">
        <v>85</v>
      </c>
      <c r="E2209" s="1" t="s">
        <v>20754</v>
      </c>
      <c r="F2209" s="69">
        <v>42243</v>
      </c>
      <c r="G2209" s="1" t="s">
        <v>19680</v>
      </c>
      <c r="H2209" s="1" t="s">
        <v>601</v>
      </c>
      <c r="I2209" s="1" t="s">
        <v>45</v>
      </c>
      <c r="J2209" s="4" t="s">
        <v>1912</v>
      </c>
      <c r="K2209" s="1" t="s">
        <v>602</v>
      </c>
      <c r="L2209" s="1" t="s">
        <v>603</v>
      </c>
      <c r="M2209" s="1" t="s">
        <v>27</v>
      </c>
      <c r="N2209" s="1" t="s">
        <v>19513</v>
      </c>
      <c r="O2209" s="1" t="s">
        <v>19498</v>
      </c>
      <c r="P2209" s="1" t="s">
        <v>401</v>
      </c>
      <c r="Q2209" s="63" t="s">
        <v>19514</v>
      </c>
      <c r="R2209" s="1" t="s">
        <v>29</v>
      </c>
      <c r="S2209" s="1" t="s">
        <v>28</v>
      </c>
      <c r="T2209" s="68" t="s">
        <v>29480</v>
      </c>
      <c r="U2209" s="68" t="s">
        <v>29438</v>
      </c>
      <c r="V2209" s="68" t="s">
        <v>29439</v>
      </c>
      <c r="W2209" s="68" t="s">
        <v>555</v>
      </c>
      <c r="X2209" s="68">
        <v>782</v>
      </c>
      <c r="AW2209" s="11"/>
      <c r="AX2209" s="11"/>
      <c r="AY2209" s="11"/>
      <c r="BC2209" s="44"/>
      <c r="BD2209" s="44"/>
      <c r="BE2209" s="44"/>
      <c r="BF2209" s="44"/>
      <c r="BG2209" s="44"/>
      <c r="BH2209" s="44"/>
      <c r="BI2209" s="44"/>
      <c r="BJ2209" s="44"/>
      <c r="BK2209" s="11"/>
    </row>
    <row r="2210" spans="1:63" ht="12" customHeight="1" x14ac:dyDescent="0.15">
      <c r="A2210" s="1" t="s">
        <v>599</v>
      </c>
      <c r="B2210" s="68">
        <v>29</v>
      </c>
      <c r="C2210" s="1" t="s">
        <v>20</v>
      </c>
      <c r="D2210" s="1" t="s">
        <v>48</v>
      </c>
      <c r="F2210" s="69">
        <v>42243</v>
      </c>
      <c r="G2210" s="1" t="s">
        <v>19678</v>
      </c>
      <c r="H2210" s="1" t="s">
        <v>98</v>
      </c>
      <c r="I2210" s="1" t="s">
        <v>45</v>
      </c>
      <c r="J2210" s="4" t="s">
        <v>19679</v>
      </c>
      <c r="K2210" s="1" t="s">
        <v>98</v>
      </c>
      <c r="L2210" s="1" t="s">
        <v>99</v>
      </c>
      <c r="M2210" s="1" t="s">
        <v>27</v>
      </c>
      <c r="N2210" s="1" t="s">
        <v>19509</v>
      </c>
      <c r="O2210" s="1" t="s">
        <v>19498</v>
      </c>
      <c r="P2210" s="1" t="s">
        <v>401</v>
      </c>
      <c r="Q2210" s="63" t="s">
        <v>19510</v>
      </c>
      <c r="R2210" s="1" t="s">
        <v>29</v>
      </c>
      <c r="S2210" s="1" t="s">
        <v>35</v>
      </c>
      <c r="T2210" s="68" t="s">
        <v>29479</v>
      </c>
      <c r="U2210" s="68" t="s">
        <v>29438</v>
      </c>
      <c r="V2210" s="68" t="s">
        <v>29439</v>
      </c>
      <c r="W2210" s="68" t="s">
        <v>100</v>
      </c>
      <c r="X2210" s="68">
        <v>784</v>
      </c>
      <c r="AW2210" s="44"/>
    </row>
    <row r="2211" spans="1:63" ht="12" customHeight="1" x14ac:dyDescent="0.2">
      <c r="A2211" s="1" t="s">
        <v>604</v>
      </c>
      <c r="B2211" s="1">
        <v>31</v>
      </c>
      <c r="C2211" s="1" t="s">
        <v>20</v>
      </c>
      <c r="D2211" s="1" t="s">
        <v>37</v>
      </c>
      <c r="E2211" s="1" t="s">
        <v>20250</v>
      </c>
      <c r="F2211" s="72">
        <v>42243</v>
      </c>
      <c r="G2211" s="1" t="s">
        <v>605</v>
      </c>
      <c r="H2211" s="1" t="s">
        <v>606</v>
      </c>
      <c r="I2211" s="1" t="s">
        <v>45</v>
      </c>
      <c r="J2211" s="43">
        <v>95110</v>
      </c>
      <c r="K2211" s="44" t="s">
        <v>607</v>
      </c>
      <c r="L2211" s="16" t="s">
        <v>20933</v>
      </c>
      <c r="M2211" s="44" t="s">
        <v>3154</v>
      </c>
      <c r="N2211" s="44"/>
      <c r="O2211" s="44"/>
      <c r="P2211" s="1" t="s">
        <v>401</v>
      </c>
      <c r="Q2211" s="60" t="s">
        <v>20251</v>
      </c>
      <c r="R2211" s="44" t="s">
        <v>608</v>
      </c>
      <c r="S2211" s="44" t="s">
        <v>18</v>
      </c>
      <c r="AT2211" s="70"/>
      <c r="AU2211" s="70"/>
      <c r="AV2211" s="70"/>
      <c r="AW2211" s="44"/>
      <c r="AX2211" s="44"/>
      <c r="AY2211" s="44"/>
      <c r="BK2211" s="78"/>
    </row>
    <row r="2212" spans="1:63" ht="12" customHeight="1" x14ac:dyDescent="0.15">
      <c r="A2212" s="1" t="s">
        <v>614</v>
      </c>
      <c r="B2212" s="68">
        <v>46</v>
      </c>
      <c r="C2212" s="1" t="s">
        <v>20</v>
      </c>
      <c r="D2212" s="1" t="s">
        <v>37</v>
      </c>
      <c r="E2212" s="1" t="s">
        <v>19428</v>
      </c>
      <c r="F2212" s="69">
        <v>42242</v>
      </c>
      <c r="G2212" s="1" t="s">
        <v>19681</v>
      </c>
      <c r="H2212" s="1" t="s">
        <v>615</v>
      </c>
      <c r="I2212" s="1" t="s">
        <v>319</v>
      </c>
      <c r="J2212" s="4" t="s">
        <v>19682</v>
      </c>
      <c r="K2212" s="1" t="s">
        <v>548</v>
      </c>
      <c r="L2212" s="1" t="s">
        <v>616</v>
      </c>
      <c r="M2212" s="1" t="s">
        <v>27</v>
      </c>
      <c r="N2212" s="1" t="s">
        <v>19515</v>
      </c>
      <c r="O2212" s="1" t="s">
        <v>19498</v>
      </c>
      <c r="P2212" s="1" t="s">
        <v>401</v>
      </c>
      <c r="Q2212" s="63" t="s">
        <v>19516</v>
      </c>
      <c r="R2212" s="1" t="s">
        <v>29</v>
      </c>
      <c r="S2212" s="1" t="s">
        <v>28</v>
      </c>
      <c r="T2212" s="68" t="s">
        <v>27756</v>
      </c>
      <c r="U2212" s="68" t="s">
        <v>29438</v>
      </c>
      <c r="V2212" s="68" t="s">
        <v>29437</v>
      </c>
      <c r="W2212" s="68" t="s">
        <v>100</v>
      </c>
      <c r="X2212" s="68">
        <v>777</v>
      </c>
      <c r="BK2212" s="11"/>
    </row>
    <row r="2213" spans="1:63" ht="12" customHeight="1" x14ac:dyDescent="0.15">
      <c r="A2213" s="1" t="s">
        <v>609</v>
      </c>
      <c r="B2213" s="68">
        <v>27</v>
      </c>
      <c r="C2213" s="1" t="s">
        <v>20</v>
      </c>
      <c r="D2213" s="1" t="s">
        <v>37</v>
      </c>
      <c r="E2213" s="1" t="s">
        <v>19429</v>
      </c>
      <c r="F2213" s="69">
        <v>42242</v>
      </c>
      <c r="G2213" s="1" t="s">
        <v>19683</v>
      </c>
      <c r="H2213" s="1" t="s">
        <v>610</v>
      </c>
      <c r="I2213" s="1" t="s">
        <v>240</v>
      </c>
      <c r="J2213" s="4" t="s">
        <v>19684</v>
      </c>
      <c r="K2213" s="1" t="s">
        <v>611</v>
      </c>
      <c r="L2213" s="1" t="s">
        <v>612</v>
      </c>
      <c r="M2213" s="1" t="s">
        <v>27</v>
      </c>
      <c r="N2213" s="1" t="s">
        <v>19517</v>
      </c>
      <c r="O2213" s="1" t="s">
        <v>19498</v>
      </c>
      <c r="P2213" s="1" t="s">
        <v>401</v>
      </c>
      <c r="Q2213" s="63" t="s">
        <v>19518</v>
      </c>
      <c r="R2213" s="1" t="s">
        <v>555</v>
      </c>
      <c r="S2213" s="1" t="s">
        <v>28</v>
      </c>
      <c r="T2213" s="68" t="s">
        <v>27756</v>
      </c>
      <c r="U2213" s="68" t="s">
        <v>29438</v>
      </c>
      <c r="V2213" s="68" t="s">
        <v>29439</v>
      </c>
      <c r="W2213" s="68" t="s">
        <v>100</v>
      </c>
      <c r="X2213" s="68">
        <v>780</v>
      </c>
      <c r="AW2213" s="44"/>
      <c r="BA2213" s="11"/>
      <c r="BB2213" s="44"/>
      <c r="BK2213" s="11"/>
    </row>
    <row r="2214" spans="1:63" ht="12" customHeight="1" x14ac:dyDescent="0.15">
      <c r="A2214" s="1" t="s">
        <v>617</v>
      </c>
      <c r="B2214" s="68">
        <v>22</v>
      </c>
      <c r="C2214" s="1" t="s">
        <v>20</v>
      </c>
      <c r="D2214" s="1" t="s">
        <v>37</v>
      </c>
      <c r="E2214" s="1" t="s">
        <v>19430</v>
      </c>
      <c r="F2214" s="69">
        <v>42242</v>
      </c>
      <c r="G2214" s="1" t="s">
        <v>618</v>
      </c>
      <c r="H2214" s="1" t="s">
        <v>619</v>
      </c>
      <c r="I2214" s="1" t="s">
        <v>319</v>
      </c>
      <c r="J2214" s="4" t="s">
        <v>19685</v>
      </c>
      <c r="K2214" s="1" t="s">
        <v>620</v>
      </c>
      <c r="L2214" s="1" t="s">
        <v>621</v>
      </c>
      <c r="M2214" s="1" t="s">
        <v>27</v>
      </c>
      <c r="N2214" s="1" t="s">
        <v>19519</v>
      </c>
      <c r="O2214" s="1" t="s">
        <v>550</v>
      </c>
      <c r="P2214" s="1" t="s">
        <v>401</v>
      </c>
      <c r="Q2214" s="63" t="s">
        <v>19520</v>
      </c>
      <c r="R2214" s="1" t="s">
        <v>555</v>
      </c>
      <c r="S2214" s="11" t="s">
        <v>18</v>
      </c>
      <c r="T2214" s="68" t="s">
        <v>29612</v>
      </c>
      <c r="U2214" s="68" t="s">
        <v>29438</v>
      </c>
      <c r="V2214" s="68" t="s">
        <v>29439</v>
      </c>
      <c r="W2214" s="68" t="s">
        <v>100</v>
      </c>
      <c r="X2214" s="68">
        <v>776</v>
      </c>
      <c r="AW2214" s="44"/>
      <c r="BA2214" s="11"/>
      <c r="BB2214" s="44"/>
    </row>
    <row r="2215" spans="1:63" ht="12" customHeight="1" x14ac:dyDescent="0.15">
      <c r="A2215" s="1" t="s">
        <v>622</v>
      </c>
      <c r="B2215" s="68">
        <v>34</v>
      </c>
      <c r="C2215" s="1" t="s">
        <v>20</v>
      </c>
      <c r="D2215" s="1" t="s">
        <v>85</v>
      </c>
      <c r="E2215" s="1" t="s">
        <v>19431</v>
      </c>
      <c r="F2215" s="69">
        <v>42241</v>
      </c>
      <c r="G2215" s="1" t="s">
        <v>623</v>
      </c>
      <c r="H2215" s="1" t="s">
        <v>624</v>
      </c>
      <c r="I2215" s="1" t="s">
        <v>404</v>
      </c>
      <c r="J2215" s="4" t="s">
        <v>19686</v>
      </c>
      <c r="K2215" s="1" t="s">
        <v>403</v>
      </c>
      <c r="L2215" s="1" t="s">
        <v>625</v>
      </c>
      <c r="M2215" s="1" t="s">
        <v>27</v>
      </c>
      <c r="N2215" s="1" t="s">
        <v>626</v>
      </c>
      <c r="O2215" s="1" t="s">
        <v>550</v>
      </c>
      <c r="P2215" s="1" t="s">
        <v>401</v>
      </c>
      <c r="Q2215" s="63" t="s">
        <v>19521</v>
      </c>
      <c r="R2215" s="1" t="s">
        <v>29</v>
      </c>
      <c r="S2215" s="1" t="s">
        <v>28</v>
      </c>
      <c r="T2215" s="68" t="s">
        <v>29493</v>
      </c>
      <c r="U2215" s="68" t="s">
        <v>29438</v>
      </c>
      <c r="V2215" s="68" t="s">
        <v>29439</v>
      </c>
      <c r="W2215" s="68" t="s">
        <v>100</v>
      </c>
      <c r="X2215" s="68">
        <v>773</v>
      </c>
      <c r="AW2215" s="11"/>
      <c r="AX2215" s="11"/>
      <c r="AY2215" s="11"/>
      <c r="BC2215" s="44"/>
      <c r="BD2215" s="44"/>
      <c r="BE2215" s="44"/>
      <c r="BF2215" s="44"/>
      <c r="BG2215" s="44"/>
      <c r="BH2215" s="44"/>
      <c r="BI2215" s="44"/>
      <c r="BJ2215" s="44"/>
      <c r="BK2215" s="11"/>
    </row>
    <row r="2216" spans="1:63" ht="12" customHeight="1" x14ac:dyDescent="0.15">
      <c r="A2216" s="1" t="s">
        <v>629</v>
      </c>
      <c r="B2216" s="68">
        <v>22</v>
      </c>
      <c r="C2216" s="1" t="s">
        <v>20</v>
      </c>
      <c r="D2216" s="1" t="s">
        <v>48</v>
      </c>
      <c r="F2216" s="69">
        <v>42241</v>
      </c>
      <c r="G2216" s="1" t="s">
        <v>19689</v>
      </c>
      <c r="H2216" s="1" t="s">
        <v>213</v>
      </c>
      <c r="I2216" s="1" t="s">
        <v>62</v>
      </c>
      <c r="J2216" s="4" t="s">
        <v>4248</v>
      </c>
      <c r="K2216" s="1" t="s">
        <v>161</v>
      </c>
      <c r="L2216" s="1" t="s">
        <v>162</v>
      </c>
      <c r="M2216" s="1" t="s">
        <v>27</v>
      </c>
      <c r="N2216" s="1" t="s">
        <v>19524</v>
      </c>
      <c r="O2216" s="1" t="s">
        <v>19498</v>
      </c>
      <c r="P2216" s="1" t="s">
        <v>401</v>
      </c>
      <c r="Q2216" s="63" t="s">
        <v>19525</v>
      </c>
      <c r="R2216" s="1" t="s">
        <v>29</v>
      </c>
      <c r="S2216" s="1" t="s">
        <v>28</v>
      </c>
      <c r="T2216" s="68" t="s">
        <v>27756</v>
      </c>
      <c r="U2216" s="68" t="s">
        <v>29438</v>
      </c>
      <c r="V2216" s="68" t="s">
        <v>29439</v>
      </c>
      <c r="W2216" s="68" t="s">
        <v>100</v>
      </c>
      <c r="X2216" s="68">
        <v>779</v>
      </c>
      <c r="AW2216" s="44"/>
      <c r="BK2216" s="11"/>
    </row>
    <row r="2217" spans="1:63" ht="12" customHeight="1" x14ac:dyDescent="0.15">
      <c r="A2217" s="1" t="s">
        <v>627</v>
      </c>
      <c r="B2217" s="68">
        <v>30</v>
      </c>
      <c r="C2217" s="1" t="s">
        <v>20</v>
      </c>
      <c r="D2217" s="1" t="s">
        <v>48</v>
      </c>
      <c r="E2217" s="1" t="s">
        <v>19432</v>
      </c>
      <c r="F2217" s="69">
        <v>42241</v>
      </c>
      <c r="G2217" s="1" t="s">
        <v>19687</v>
      </c>
      <c r="H2217" s="1" t="s">
        <v>628</v>
      </c>
      <c r="I2217" s="1" t="s">
        <v>195</v>
      </c>
      <c r="J2217" s="4" t="s">
        <v>13146</v>
      </c>
      <c r="K2217" s="1" t="s">
        <v>628</v>
      </c>
      <c r="L2217" s="1" t="s">
        <v>19688</v>
      </c>
      <c r="M2217" s="1" t="s">
        <v>27</v>
      </c>
      <c r="N2217" s="1" t="s">
        <v>19522</v>
      </c>
      <c r="O2217" s="1" t="s">
        <v>19498</v>
      </c>
      <c r="P2217" s="1" t="s">
        <v>401</v>
      </c>
      <c r="Q2217" s="63" t="s">
        <v>19523</v>
      </c>
      <c r="R2217" s="1" t="s">
        <v>29</v>
      </c>
      <c r="S2217" s="1" t="s">
        <v>28</v>
      </c>
      <c r="T2217" s="68" t="s">
        <v>27756</v>
      </c>
      <c r="U2217" s="68" t="s">
        <v>29438</v>
      </c>
      <c r="V2217" s="68" t="s">
        <v>29440</v>
      </c>
      <c r="W2217" s="68" t="s">
        <v>100</v>
      </c>
      <c r="X2217" s="68">
        <v>770</v>
      </c>
      <c r="AW2217" s="11"/>
      <c r="BK2217" s="11"/>
    </row>
    <row r="2218" spans="1:63" ht="12" customHeight="1" x14ac:dyDescent="0.15">
      <c r="A2218" s="1" t="s">
        <v>630</v>
      </c>
      <c r="B2218" s="68">
        <v>45</v>
      </c>
      <c r="C2218" s="1" t="s">
        <v>20</v>
      </c>
      <c r="D2218" s="1" t="s">
        <v>37</v>
      </c>
      <c r="F2218" s="69">
        <v>42241</v>
      </c>
      <c r="G2218" s="1" t="s">
        <v>631</v>
      </c>
      <c r="H2218" s="1" t="s">
        <v>632</v>
      </c>
      <c r="I2218" s="1" t="s">
        <v>123</v>
      </c>
      <c r="J2218" s="4" t="s">
        <v>12683</v>
      </c>
      <c r="K2218" s="1" t="s">
        <v>633</v>
      </c>
      <c r="L2218" s="1" t="s">
        <v>634</v>
      </c>
      <c r="M2218" s="1" t="s">
        <v>27</v>
      </c>
      <c r="N2218" s="1" t="s">
        <v>19526</v>
      </c>
      <c r="O2218" s="1" t="s">
        <v>19498</v>
      </c>
      <c r="P2218" s="1" t="s">
        <v>401</v>
      </c>
      <c r="Q2218" s="63" t="s">
        <v>19527</v>
      </c>
      <c r="R2218" s="1" t="s">
        <v>29</v>
      </c>
      <c r="S2218" s="1" t="s">
        <v>28</v>
      </c>
      <c r="T2218" s="68" t="s">
        <v>27756</v>
      </c>
      <c r="U2218" s="68" t="s">
        <v>29438</v>
      </c>
      <c r="V2218" s="68" t="s">
        <v>29439</v>
      </c>
      <c r="W2218" s="68" t="s">
        <v>100</v>
      </c>
      <c r="X2218" s="68">
        <v>775</v>
      </c>
      <c r="BK2218" s="11"/>
    </row>
    <row r="2219" spans="1:63" ht="12" customHeight="1" x14ac:dyDescent="0.15">
      <c r="A2219" s="1" t="s">
        <v>635</v>
      </c>
      <c r="B2219" s="68">
        <v>53</v>
      </c>
      <c r="C2219" s="1" t="s">
        <v>20</v>
      </c>
      <c r="D2219" s="1" t="s">
        <v>37</v>
      </c>
      <c r="F2219" s="69">
        <v>42241</v>
      </c>
      <c r="G2219" s="1" t="s">
        <v>636</v>
      </c>
      <c r="H2219" s="1" t="s">
        <v>637</v>
      </c>
      <c r="I2219" s="1" t="s">
        <v>62</v>
      </c>
      <c r="J2219" s="4" t="s">
        <v>19690</v>
      </c>
      <c r="K2219" s="1" t="s">
        <v>638</v>
      </c>
      <c r="L2219" s="1" t="s">
        <v>639</v>
      </c>
      <c r="M2219" s="1" t="s">
        <v>27</v>
      </c>
      <c r="N2219" s="1" t="s">
        <v>19528</v>
      </c>
      <c r="O2219" s="1" t="s">
        <v>19498</v>
      </c>
      <c r="P2219" s="1" t="s">
        <v>401</v>
      </c>
      <c r="Q2219" s="63" t="s">
        <v>19529</v>
      </c>
      <c r="R2219" s="1" t="s">
        <v>29</v>
      </c>
      <c r="S2219" s="1" t="s">
        <v>28</v>
      </c>
      <c r="T2219" s="68" t="s">
        <v>27756</v>
      </c>
      <c r="U2219" s="68" t="s">
        <v>29438</v>
      </c>
      <c r="V2219" s="68" t="s">
        <v>29439</v>
      </c>
      <c r="W2219" s="68" t="s">
        <v>100</v>
      </c>
      <c r="X2219" s="68">
        <v>774</v>
      </c>
      <c r="BK2219" s="11"/>
    </row>
    <row r="2220" spans="1:63" ht="12" customHeight="1" x14ac:dyDescent="0.15">
      <c r="A2220" s="1" t="s">
        <v>645</v>
      </c>
      <c r="B2220" s="68">
        <v>53</v>
      </c>
      <c r="C2220" s="1" t="s">
        <v>20</v>
      </c>
      <c r="D2220" s="68" t="s">
        <v>85</v>
      </c>
      <c r="F2220" s="69">
        <v>42239</v>
      </c>
      <c r="G2220" s="1" t="s">
        <v>19691</v>
      </c>
      <c r="H2220" s="1" t="s">
        <v>646</v>
      </c>
      <c r="I2220" s="1" t="s">
        <v>366</v>
      </c>
      <c r="J2220" s="4" t="s">
        <v>19692</v>
      </c>
      <c r="K2220" s="1" t="s">
        <v>16013</v>
      </c>
      <c r="L2220" s="1" t="s">
        <v>648</v>
      </c>
      <c r="M2220" s="1" t="s">
        <v>27</v>
      </c>
      <c r="N2220" s="1" t="s">
        <v>19530</v>
      </c>
      <c r="O2220" s="1" t="s">
        <v>400</v>
      </c>
      <c r="P2220" s="1" t="s">
        <v>401</v>
      </c>
      <c r="Q2220" s="63" t="s">
        <v>19531</v>
      </c>
      <c r="R2220" s="1" t="s">
        <v>29</v>
      </c>
      <c r="S2220" s="1" t="s">
        <v>28</v>
      </c>
      <c r="T2220" s="68" t="s">
        <v>27756</v>
      </c>
      <c r="U2220" s="68" t="s">
        <v>29438</v>
      </c>
      <c r="V2220" s="68" t="s">
        <v>29439</v>
      </c>
      <c r="W2220" s="68" t="s">
        <v>100</v>
      </c>
      <c r="X2220" s="68">
        <v>772</v>
      </c>
      <c r="BC2220" s="44"/>
      <c r="BD2220" s="44"/>
      <c r="BE2220" s="44"/>
      <c r="BF2220" s="44"/>
      <c r="BG2220" s="44"/>
      <c r="BH2220" s="44"/>
      <c r="BI2220" s="44"/>
      <c r="BJ2220" s="44"/>
      <c r="BK2220" s="11"/>
    </row>
    <row r="2221" spans="1:63" ht="12" customHeight="1" x14ac:dyDescent="0.15">
      <c r="A2221" s="1" t="s">
        <v>656</v>
      </c>
      <c r="B2221" s="68">
        <v>36</v>
      </c>
      <c r="C2221" s="1" t="s">
        <v>20</v>
      </c>
      <c r="D2221" s="1" t="s">
        <v>37</v>
      </c>
      <c r="E2221" s="1" t="s">
        <v>19433</v>
      </c>
      <c r="F2221" s="69">
        <v>42239</v>
      </c>
      <c r="G2221" s="1" t="s">
        <v>657</v>
      </c>
      <c r="H2221" s="1" t="s">
        <v>658</v>
      </c>
      <c r="I2221" s="1" t="s">
        <v>94</v>
      </c>
      <c r="J2221" s="4" t="s">
        <v>19693</v>
      </c>
      <c r="K2221" s="1" t="s">
        <v>659</v>
      </c>
      <c r="L2221" s="1" t="s">
        <v>660</v>
      </c>
      <c r="M2221" s="1" t="s">
        <v>27</v>
      </c>
      <c r="N2221" s="1" t="s">
        <v>19532</v>
      </c>
      <c r="O2221" s="1" t="s">
        <v>400</v>
      </c>
      <c r="P2221" s="1" t="s">
        <v>401</v>
      </c>
      <c r="Q2221" s="63" t="s">
        <v>19533</v>
      </c>
      <c r="R2221" s="1" t="s">
        <v>29</v>
      </c>
      <c r="S2221" s="2" t="s">
        <v>28</v>
      </c>
      <c r="T2221" s="68" t="s">
        <v>27756</v>
      </c>
      <c r="U2221" s="68" t="s">
        <v>29438</v>
      </c>
      <c r="V2221" s="68" t="s">
        <v>29437</v>
      </c>
      <c r="W2221" s="68" t="s">
        <v>100</v>
      </c>
      <c r="X2221" s="68">
        <v>769</v>
      </c>
      <c r="BK2221" s="11"/>
    </row>
    <row r="2222" spans="1:63" ht="12" customHeight="1" x14ac:dyDescent="0.15">
      <c r="A2222" s="1" t="s">
        <v>654</v>
      </c>
      <c r="B2222" s="68">
        <v>57</v>
      </c>
      <c r="C2222" s="1" t="s">
        <v>20</v>
      </c>
      <c r="D2222" s="1" t="s">
        <v>37</v>
      </c>
      <c r="E2222" s="1" t="s">
        <v>19435</v>
      </c>
      <c r="F2222" s="69">
        <v>42239</v>
      </c>
      <c r="G2222" s="1" t="s">
        <v>24452</v>
      </c>
      <c r="H2222" s="1" t="s">
        <v>655</v>
      </c>
      <c r="I2222" s="1" t="s">
        <v>269</v>
      </c>
      <c r="J2222" s="4" t="s">
        <v>19696</v>
      </c>
      <c r="K2222" s="1" t="s">
        <v>570</v>
      </c>
      <c r="L2222" s="1" t="s">
        <v>571</v>
      </c>
      <c r="M2222" s="1" t="s">
        <v>27</v>
      </c>
      <c r="N2222" s="1" t="s">
        <v>19538</v>
      </c>
      <c r="O2222" s="1" t="s">
        <v>19498</v>
      </c>
      <c r="P2222" s="1" t="s">
        <v>401</v>
      </c>
      <c r="Q2222" s="63" t="s">
        <v>19539</v>
      </c>
      <c r="R2222" s="1" t="s">
        <v>29</v>
      </c>
      <c r="S2222" s="1" t="s">
        <v>28</v>
      </c>
      <c r="T2222" s="68" t="s">
        <v>27756</v>
      </c>
      <c r="U2222" s="68" t="s">
        <v>29438</v>
      </c>
      <c r="V2222" s="68" t="s">
        <v>29439</v>
      </c>
      <c r="W2222" s="68" t="s">
        <v>100</v>
      </c>
      <c r="X2222" s="68">
        <v>767</v>
      </c>
      <c r="BK2222" s="11"/>
    </row>
    <row r="2223" spans="1:63" ht="12" customHeight="1" x14ac:dyDescent="0.15">
      <c r="A2223" s="1" t="s">
        <v>640</v>
      </c>
      <c r="B2223" s="68">
        <v>21</v>
      </c>
      <c r="C2223" s="1" t="s">
        <v>20</v>
      </c>
      <c r="D2223" s="1" t="s">
        <v>37</v>
      </c>
      <c r="F2223" s="69">
        <v>42239</v>
      </c>
      <c r="G2223" s="1" t="s">
        <v>641</v>
      </c>
      <c r="H2223" s="1" t="s">
        <v>642</v>
      </c>
      <c r="I2223" s="1" t="s">
        <v>81</v>
      </c>
      <c r="J2223" s="4" t="s">
        <v>19694</v>
      </c>
      <c r="K2223" s="1" t="s">
        <v>643</v>
      </c>
      <c r="L2223" s="1" t="s">
        <v>644</v>
      </c>
      <c r="M2223" s="1" t="s">
        <v>27</v>
      </c>
      <c r="N2223" s="1" t="s">
        <v>19534</v>
      </c>
      <c r="O2223" s="1" t="s">
        <v>400</v>
      </c>
      <c r="P2223" s="1" t="s">
        <v>401</v>
      </c>
      <c r="Q2223" s="63" t="s">
        <v>19535</v>
      </c>
      <c r="R2223" s="1" t="s">
        <v>29</v>
      </c>
      <c r="S2223" s="11" t="s">
        <v>18</v>
      </c>
      <c r="T2223" s="68" t="s">
        <v>29612</v>
      </c>
      <c r="U2223" s="68" t="s">
        <v>29438</v>
      </c>
      <c r="V2223" s="68" t="s">
        <v>29439</v>
      </c>
      <c r="W2223" s="68" t="s">
        <v>100</v>
      </c>
      <c r="X2223" s="68">
        <v>771</v>
      </c>
      <c r="AW2223" s="44"/>
    </row>
    <row r="2224" spans="1:63" ht="12" customHeight="1" x14ac:dyDescent="0.15">
      <c r="A2224" s="1" t="s">
        <v>649</v>
      </c>
      <c r="B2224" s="68">
        <v>36</v>
      </c>
      <c r="C2224" s="1" t="s">
        <v>20</v>
      </c>
      <c r="D2224" s="1" t="s">
        <v>37</v>
      </c>
      <c r="E2224" s="1" t="s">
        <v>19434</v>
      </c>
      <c r="F2224" s="69">
        <v>42239</v>
      </c>
      <c r="G2224" s="1" t="s">
        <v>650</v>
      </c>
      <c r="H2224" s="1" t="s">
        <v>651</v>
      </c>
      <c r="I2224" s="1" t="s">
        <v>62</v>
      </c>
      <c r="J2224" s="4" t="s">
        <v>19695</v>
      </c>
      <c r="K2224" s="1" t="s">
        <v>652</v>
      </c>
      <c r="L2224" s="11" t="s">
        <v>653</v>
      </c>
      <c r="M2224" s="1" t="s">
        <v>27</v>
      </c>
      <c r="N2224" s="1" t="s">
        <v>19536</v>
      </c>
      <c r="O2224" s="1" t="s">
        <v>400</v>
      </c>
      <c r="P2224" s="1" t="s">
        <v>401</v>
      </c>
      <c r="Q2224" s="63" t="s">
        <v>19537</v>
      </c>
      <c r="R2224" s="68" t="s">
        <v>555</v>
      </c>
      <c r="S2224" s="1" t="s">
        <v>28</v>
      </c>
      <c r="T2224" s="68" t="s">
        <v>27756</v>
      </c>
      <c r="U2224" s="68" t="s">
        <v>29438</v>
      </c>
      <c r="V2224" s="68" t="s">
        <v>29439</v>
      </c>
      <c r="W2224" s="68" t="s">
        <v>100</v>
      </c>
      <c r="X2224" s="68">
        <v>768</v>
      </c>
      <c r="BA2224" s="44"/>
      <c r="BB2224" s="11"/>
      <c r="BK2224" s="11"/>
    </row>
    <row r="2225" spans="1:63" ht="12" customHeight="1" x14ac:dyDescent="0.15">
      <c r="A2225" s="1" t="s">
        <v>682</v>
      </c>
      <c r="B2225" s="68">
        <v>26</v>
      </c>
      <c r="C2225" s="1" t="s">
        <v>20</v>
      </c>
      <c r="D2225" s="1" t="s">
        <v>37</v>
      </c>
      <c r="E2225" s="1" t="s">
        <v>19438</v>
      </c>
      <c r="F2225" s="69">
        <v>42238</v>
      </c>
      <c r="G2225" s="1" t="s">
        <v>24455</v>
      </c>
      <c r="H2225" s="1" t="s">
        <v>683</v>
      </c>
      <c r="I2225" s="1" t="s">
        <v>363</v>
      </c>
      <c r="J2225" s="4" t="s">
        <v>19701</v>
      </c>
      <c r="K2225" s="1" t="s">
        <v>684</v>
      </c>
      <c r="L2225" s="1" t="s">
        <v>685</v>
      </c>
      <c r="M2225" s="1" t="s">
        <v>27</v>
      </c>
      <c r="N2225" s="1" t="s">
        <v>19546</v>
      </c>
      <c r="O2225" s="1" t="s">
        <v>400</v>
      </c>
      <c r="P2225" s="1" t="s">
        <v>401</v>
      </c>
      <c r="Q2225" s="63" t="s">
        <v>19547</v>
      </c>
      <c r="R2225" s="11" t="s">
        <v>964</v>
      </c>
      <c r="S2225" s="1" t="s">
        <v>379</v>
      </c>
      <c r="T2225" s="68" t="s">
        <v>379</v>
      </c>
      <c r="U2225" s="68" t="s">
        <v>29438</v>
      </c>
      <c r="V2225" s="68" t="s">
        <v>29437</v>
      </c>
      <c r="W2225" s="68" t="s">
        <v>100</v>
      </c>
      <c r="X2225" s="68">
        <v>765</v>
      </c>
      <c r="AW2225" s="44"/>
      <c r="BA2225" s="44"/>
      <c r="BB2225" s="44"/>
      <c r="BK2225" s="44"/>
    </row>
    <row r="2226" spans="1:63" ht="12" customHeight="1" x14ac:dyDescent="0.15">
      <c r="A2226" s="1" t="s">
        <v>672</v>
      </c>
      <c r="B2226" s="68">
        <v>31</v>
      </c>
      <c r="C2226" s="1" t="s">
        <v>20</v>
      </c>
      <c r="D2226" s="1" t="s">
        <v>37</v>
      </c>
      <c r="E2226" s="1" t="s">
        <v>19436</v>
      </c>
      <c r="F2226" s="69">
        <v>42238</v>
      </c>
      <c r="G2226" s="1" t="s">
        <v>24453</v>
      </c>
      <c r="H2226" s="1" t="s">
        <v>673</v>
      </c>
      <c r="I2226" s="1" t="s">
        <v>133</v>
      </c>
      <c r="J2226" s="4" t="s">
        <v>19697</v>
      </c>
      <c r="K2226" s="1" t="s">
        <v>674</v>
      </c>
      <c r="L2226" s="1" t="s">
        <v>19698</v>
      </c>
      <c r="M2226" s="1" t="s">
        <v>27</v>
      </c>
      <c r="N2226" s="1" t="s">
        <v>19540</v>
      </c>
      <c r="O2226" s="1" t="s">
        <v>400</v>
      </c>
      <c r="P2226" s="1" t="s">
        <v>401</v>
      </c>
      <c r="Q2226" s="63" t="s">
        <v>19541</v>
      </c>
      <c r="R2226" s="1" t="s">
        <v>100</v>
      </c>
      <c r="S2226" s="1" t="s">
        <v>28</v>
      </c>
      <c r="T2226" s="68" t="s">
        <v>27756</v>
      </c>
      <c r="U2226" s="68" t="s">
        <v>29438</v>
      </c>
      <c r="V2226" s="68" t="s">
        <v>29439</v>
      </c>
      <c r="W2226" s="68" t="s">
        <v>100</v>
      </c>
      <c r="X2226" s="68">
        <v>762</v>
      </c>
      <c r="AW2226" s="11"/>
      <c r="BA2226" s="44"/>
      <c r="BK2226" s="11"/>
    </row>
    <row r="2227" spans="1:63" ht="12" customHeight="1" x14ac:dyDescent="0.15">
      <c r="A2227" s="1" t="s">
        <v>678</v>
      </c>
      <c r="B2227" s="68">
        <v>29</v>
      </c>
      <c r="C2227" s="1" t="s">
        <v>20</v>
      </c>
      <c r="D2227" s="1" t="s">
        <v>37</v>
      </c>
      <c r="F2227" s="69">
        <v>42238</v>
      </c>
      <c r="G2227" s="1" t="s">
        <v>19699</v>
      </c>
      <c r="H2227" s="1" t="s">
        <v>679</v>
      </c>
      <c r="I2227" s="1" t="s">
        <v>45</v>
      </c>
      <c r="J2227" s="4" t="s">
        <v>3479</v>
      </c>
      <c r="K2227" s="1" t="s">
        <v>680</v>
      </c>
      <c r="L2227" s="1" t="s">
        <v>681</v>
      </c>
      <c r="M2227" s="1" t="s">
        <v>27</v>
      </c>
      <c r="N2227" s="1" t="s">
        <v>19542</v>
      </c>
      <c r="O2227" s="1" t="s">
        <v>400</v>
      </c>
      <c r="P2227" s="1" t="s">
        <v>401</v>
      </c>
      <c r="Q2227" s="63" t="s">
        <v>19543</v>
      </c>
      <c r="R2227" s="1" t="s">
        <v>100</v>
      </c>
      <c r="S2227" s="1" t="s">
        <v>35</v>
      </c>
      <c r="T2227" s="68" t="s">
        <v>29481</v>
      </c>
      <c r="U2227" s="68" t="s">
        <v>29441</v>
      </c>
      <c r="V2227" s="68" t="s">
        <v>29439</v>
      </c>
      <c r="W2227" s="68" t="s">
        <v>100</v>
      </c>
      <c r="X2227" s="68">
        <v>764</v>
      </c>
      <c r="AW2227" s="11"/>
      <c r="BA2227" s="44"/>
    </row>
    <row r="2228" spans="1:63" ht="12" customHeight="1" x14ac:dyDescent="0.2">
      <c r="A2228" s="1" t="s">
        <v>661</v>
      </c>
      <c r="B2228" s="68">
        <v>39</v>
      </c>
      <c r="C2228" s="1" t="s">
        <v>20</v>
      </c>
      <c r="D2228" s="1" t="s">
        <v>85</v>
      </c>
      <c r="E2228" s="1" t="s">
        <v>19439</v>
      </c>
      <c r="F2228" s="69">
        <v>42238</v>
      </c>
      <c r="G2228" s="1" t="s">
        <v>662</v>
      </c>
      <c r="H2228" s="1" t="s">
        <v>663</v>
      </c>
      <c r="I2228" s="1" t="s">
        <v>423</v>
      </c>
      <c r="J2228" s="4" t="s">
        <v>19702</v>
      </c>
      <c r="K2228" s="1" t="s">
        <v>664</v>
      </c>
      <c r="L2228" s="1" t="s">
        <v>665</v>
      </c>
      <c r="M2228" s="68" t="s">
        <v>5411</v>
      </c>
      <c r="N2228" s="1" t="s">
        <v>19548</v>
      </c>
      <c r="O2228" s="1" t="s">
        <v>1010</v>
      </c>
      <c r="P2228" s="1" t="s">
        <v>401</v>
      </c>
      <c r="Q2228" s="63" t="s">
        <v>19549</v>
      </c>
      <c r="R2228" s="1" t="s">
        <v>29</v>
      </c>
      <c r="S2228" s="1" t="s">
        <v>28</v>
      </c>
      <c r="T2228" s="68" t="s">
        <v>27756</v>
      </c>
      <c r="U2228" s="68" t="s">
        <v>29438</v>
      </c>
      <c r="V2228" s="68" t="s">
        <v>29440</v>
      </c>
      <c r="W2228" s="68" t="s">
        <v>100</v>
      </c>
      <c r="X2228" s="68">
        <v>763</v>
      </c>
      <c r="AW2228" s="44"/>
      <c r="AX2228" s="44"/>
      <c r="AY2228" s="44"/>
      <c r="BB2228" s="70"/>
      <c r="BC2228" s="44"/>
      <c r="BD2228" s="44"/>
      <c r="BE2228" s="44"/>
      <c r="BF2228" s="44"/>
      <c r="BG2228" s="44"/>
      <c r="BH2228" s="44"/>
      <c r="BI2228" s="44"/>
      <c r="BJ2228" s="44"/>
    </row>
    <row r="2229" spans="1:63" ht="12" customHeight="1" x14ac:dyDescent="0.15">
      <c r="A2229" s="1" t="s">
        <v>675</v>
      </c>
      <c r="B2229" s="68">
        <v>64</v>
      </c>
      <c r="C2229" s="1" t="s">
        <v>20</v>
      </c>
      <c r="D2229" s="1" t="s">
        <v>37</v>
      </c>
      <c r="E2229" s="1" t="s">
        <v>19437</v>
      </c>
      <c r="F2229" s="69">
        <v>42238</v>
      </c>
      <c r="G2229" s="1" t="s">
        <v>24454</v>
      </c>
      <c r="H2229" s="1" t="s">
        <v>676</v>
      </c>
      <c r="I2229" s="1" t="s">
        <v>244</v>
      </c>
      <c r="J2229" s="4" t="s">
        <v>19700</v>
      </c>
      <c r="K2229" s="1" t="s">
        <v>676</v>
      </c>
      <c r="L2229" s="1" t="s">
        <v>677</v>
      </c>
      <c r="M2229" s="1" t="s">
        <v>27</v>
      </c>
      <c r="N2229" s="1" t="s">
        <v>19544</v>
      </c>
      <c r="O2229" s="1" t="s">
        <v>400</v>
      </c>
      <c r="P2229" s="1" t="s">
        <v>401</v>
      </c>
      <c r="Q2229" s="63" t="s">
        <v>19545</v>
      </c>
      <c r="R2229" s="1" t="s">
        <v>29</v>
      </c>
      <c r="S2229" s="1" t="s">
        <v>28</v>
      </c>
      <c r="T2229" s="68" t="s">
        <v>29493</v>
      </c>
      <c r="U2229" s="68" t="s">
        <v>29436</v>
      </c>
      <c r="V2229" s="68" t="s">
        <v>29439</v>
      </c>
      <c r="W2229" s="68" t="s">
        <v>100</v>
      </c>
      <c r="X2229" s="68">
        <v>766</v>
      </c>
      <c r="BK2229" s="11"/>
    </row>
    <row r="2230" spans="1:63" ht="12" customHeight="1" x14ac:dyDescent="0.15">
      <c r="A2230" s="1" t="s">
        <v>666</v>
      </c>
      <c r="B2230" s="1">
        <v>38</v>
      </c>
      <c r="C2230" s="1" t="s">
        <v>20</v>
      </c>
      <c r="D2230" s="1" t="s">
        <v>37</v>
      </c>
      <c r="E2230" s="1" t="str">
        <f>HYPERLINK("http://www.killedbypolice.net/victims/150755.jpg","http://www.killedbypolice.net/victims/150755.jpg")</f>
        <v>http://www.killedbypolice.net/victims/150755.jpg</v>
      </c>
      <c r="F2230" s="72">
        <v>42238</v>
      </c>
      <c r="G2230" s="1" t="s">
        <v>667</v>
      </c>
      <c r="H2230" s="1" t="s">
        <v>668</v>
      </c>
      <c r="I2230" s="1" t="s">
        <v>669</v>
      </c>
      <c r="J2230" s="4">
        <v>38652</v>
      </c>
      <c r="K2230" s="1" t="s">
        <v>670</v>
      </c>
      <c r="L2230" s="1" t="s">
        <v>671</v>
      </c>
      <c r="M2230" s="1" t="s">
        <v>27</v>
      </c>
      <c r="P2230" s="1" t="s">
        <v>401</v>
      </c>
      <c r="Q2230" s="65" t="str">
        <f>HYPERLINK("https://djournal.com/news/man-dies-after-police-chase-2/","https://djournal.com/news/man-dies-after-police-chase-2/")</f>
        <v>https://djournal.com/news/man-dies-after-police-chase-2/</v>
      </c>
      <c r="R2230" s="1" t="s">
        <v>29</v>
      </c>
      <c r="S2230" s="1" t="s">
        <v>379</v>
      </c>
      <c r="T2230" s="68"/>
      <c r="U2230" s="68"/>
      <c r="V2230" s="68"/>
      <c r="W2230" s="68"/>
      <c r="X2230" s="68"/>
      <c r="BK2230" s="44"/>
    </row>
    <row r="2231" spans="1:63" ht="12" customHeight="1" x14ac:dyDescent="0.15">
      <c r="A2231" s="1" t="s">
        <v>688</v>
      </c>
      <c r="B2231" s="68">
        <v>38</v>
      </c>
      <c r="C2231" s="1" t="s">
        <v>20</v>
      </c>
      <c r="D2231" s="1" t="s">
        <v>37</v>
      </c>
      <c r="E2231" s="1" t="s">
        <v>19440</v>
      </c>
      <c r="F2231" s="69">
        <v>42237</v>
      </c>
      <c r="G2231" s="1" t="s">
        <v>19703</v>
      </c>
      <c r="H2231" s="1" t="s">
        <v>689</v>
      </c>
      <c r="I2231" s="1" t="s">
        <v>366</v>
      </c>
      <c r="J2231" s="4" t="s">
        <v>19704</v>
      </c>
      <c r="K2231" s="1" t="s">
        <v>690</v>
      </c>
      <c r="L2231" s="1" t="s">
        <v>691</v>
      </c>
      <c r="M2231" s="1" t="s">
        <v>27</v>
      </c>
      <c r="N2231" s="1" t="s">
        <v>19550</v>
      </c>
      <c r="O2231" s="1" t="s">
        <v>400</v>
      </c>
      <c r="P2231" s="1" t="s">
        <v>401</v>
      </c>
      <c r="Q2231" s="63" t="s">
        <v>19551</v>
      </c>
      <c r="R2231" s="1" t="s">
        <v>100</v>
      </c>
      <c r="S2231" s="1" t="s">
        <v>28</v>
      </c>
      <c r="T2231" s="68" t="s">
        <v>29493</v>
      </c>
      <c r="U2231" s="68" t="s">
        <v>29436</v>
      </c>
      <c r="V2231" s="68" t="s">
        <v>29439</v>
      </c>
      <c r="W2231" s="68" t="s">
        <v>100</v>
      </c>
      <c r="X2231" s="68">
        <v>761</v>
      </c>
      <c r="AW2231" s="44"/>
      <c r="BA2231" s="44"/>
      <c r="BK2231" s="11"/>
    </row>
    <row r="2232" spans="1:63" ht="12" customHeight="1" x14ac:dyDescent="0.15">
      <c r="A2232" s="1" t="s">
        <v>692</v>
      </c>
      <c r="B2232" s="68">
        <v>30</v>
      </c>
      <c r="C2232" s="1" t="s">
        <v>20</v>
      </c>
      <c r="D2232" s="1" t="s">
        <v>37</v>
      </c>
      <c r="F2232" s="69">
        <v>42237</v>
      </c>
      <c r="G2232" s="1" t="s">
        <v>19705</v>
      </c>
      <c r="H2232" s="1" t="s">
        <v>693</v>
      </c>
      <c r="I2232" s="1" t="s">
        <v>52</v>
      </c>
      <c r="J2232" s="4" t="s">
        <v>19706</v>
      </c>
      <c r="K2232" s="1" t="s">
        <v>694</v>
      </c>
      <c r="L2232" s="1" t="s">
        <v>695</v>
      </c>
      <c r="M2232" s="1" t="s">
        <v>27</v>
      </c>
      <c r="N2232" s="1" t="s">
        <v>19552</v>
      </c>
      <c r="O2232" s="1" t="s">
        <v>400</v>
      </c>
      <c r="P2232" s="1" t="s">
        <v>401</v>
      </c>
      <c r="Q2232" s="63" t="s">
        <v>19553</v>
      </c>
      <c r="R2232" s="1" t="s">
        <v>100</v>
      </c>
      <c r="S2232" s="68" t="s">
        <v>379</v>
      </c>
      <c r="T2232" s="68" t="s">
        <v>379</v>
      </c>
      <c r="U2232" s="68" t="s">
        <v>29438</v>
      </c>
      <c r="V2232" s="68" t="s">
        <v>29437</v>
      </c>
      <c r="W2232" s="68" t="s">
        <v>100</v>
      </c>
      <c r="X2232" s="68">
        <v>760</v>
      </c>
      <c r="AW2232" s="11"/>
      <c r="BA2232" s="44"/>
      <c r="BK2232" s="44"/>
    </row>
    <row r="2233" spans="1:63" ht="12" customHeight="1" x14ac:dyDescent="0.2">
      <c r="A2233" s="1" t="s">
        <v>696</v>
      </c>
      <c r="B2233" s="68">
        <v>57</v>
      </c>
      <c r="C2233" s="1" t="s">
        <v>20</v>
      </c>
      <c r="D2233" s="1" t="s">
        <v>37</v>
      </c>
      <c r="F2233" s="69">
        <v>42237</v>
      </c>
      <c r="G2233" s="1" t="s">
        <v>24456</v>
      </c>
      <c r="H2233" s="1" t="s">
        <v>697</v>
      </c>
      <c r="I2233" s="1" t="s">
        <v>303</v>
      </c>
      <c r="J2233" s="4" t="s">
        <v>19707</v>
      </c>
      <c r="K2233" s="1" t="s">
        <v>698</v>
      </c>
      <c r="L2233" s="1" t="s">
        <v>699</v>
      </c>
      <c r="M2233" s="1" t="s">
        <v>27</v>
      </c>
      <c r="N2233" s="1" t="s">
        <v>21070</v>
      </c>
      <c r="O2233" s="1" t="s">
        <v>400</v>
      </c>
      <c r="P2233" s="1" t="s">
        <v>401</v>
      </c>
      <c r="Q2233" s="63" t="s">
        <v>19554</v>
      </c>
      <c r="R2233" s="68" t="s">
        <v>555</v>
      </c>
      <c r="S2233" s="2" t="s">
        <v>28</v>
      </c>
      <c r="T2233" s="68" t="s">
        <v>27756</v>
      </c>
      <c r="U2233" s="68" t="s">
        <v>29438</v>
      </c>
      <c r="V2233" s="68" t="s">
        <v>29439</v>
      </c>
      <c r="W2233" s="68" t="s">
        <v>100</v>
      </c>
      <c r="X2233" s="68">
        <v>758</v>
      </c>
      <c r="BA2233" s="70"/>
      <c r="BB2233" s="44"/>
      <c r="BK2233" s="11"/>
    </row>
    <row r="2234" spans="1:63" ht="12" customHeight="1" x14ac:dyDescent="0.15">
      <c r="A2234" s="1" t="s">
        <v>20755</v>
      </c>
      <c r="B2234" s="1">
        <v>57</v>
      </c>
      <c r="C2234" s="1" t="s">
        <v>20</v>
      </c>
      <c r="D2234" s="1" t="s">
        <v>37</v>
      </c>
      <c r="E2234" s="1" t="s">
        <v>20756</v>
      </c>
      <c r="F2234" s="72">
        <v>42237</v>
      </c>
      <c r="G2234" s="1" t="s">
        <v>686</v>
      </c>
      <c r="H2234" s="1" t="s">
        <v>687</v>
      </c>
      <c r="I2234" s="1" t="s">
        <v>123</v>
      </c>
      <c r="J2234" s="4">
        <v>85258</v>
      </c>
      <c r="K2234" s="1" t="s">
        <v>633</v>
      </c>
      <c r="L2234" s="1" t="s">
        <v>4878</v>
      </c>
      <c r="M2234" s="1" t="s">
        <v>391</v>
      </c>
      <c r="P2234" s="1" t="s">
        <v>401</v>
      </c>
      <c r="Q2234" s="1" t="s">
        <v>20254</v>
      </c>
      <c r="R2234" s="1" t="s">
        <v>29</v>
      </c>
      <c r="S2234" s="1" t="s">
        <v>18</v>
      </c>
      <c r="AU2234" s="11"/>
      <c r="AV2234" s="11"/>
      <c r="AW2234" s="11"/>
    </row>
    <row r="2235" spans="1:63" ht="12" customHeight="1" x14ac:dyDescent="0.2">
      <c r="A2235" s="1" t="s">
        <v>700</v>
      </c>
      <c r="B2235" s="68">
        <v>17</v>
      </c>
      <c r="C2235" s="1" t="s">
        <v>20</v>
      </c>
      <c r="D2235" s="1" t="s">
        <v>48</v>
      </c>
      <c r="E2235" s="1" t="s">
        <v>19441</v>
      </c>
      <c r="F2235" s="69">
        <v>42236</v>
      </c>
      <c r="G2235" s="1" t="s">
        <v>19710</v>
      </c>
      <c r="H2235" s="1" t="s">
        <v>485</v>
      </c>
      <c r="I2235" s="1" t="s">
        <v>45</v>
      </c>
      <c r="J2235" s="4" t="s">
        <v>19711</v>
      </c>
      <c r="K2235" s="1" t="s">
        <v>309</v>
      </c>
      <c r="L2235" s="1" t="s">
        <v>486</v>
      </c>
      <c r="M2235" s="1" t="s">
        <v>27</v>
      </c>
      <c r="N2235" s="1" t="s">
        <v>19557</v>
      </c>
      <c r="O2235" s="1" t="s">
        <v>400</v>
      </c>
      <c r="P2235" s="1" t="s">
        <v>401</v>
      </c>
      <c r="Q2235" s="63" t="s">
        <v>19558</v>
      </c>
      <c r="R2235" s="68" t="s">
        <v>555</v>
      </c>
      <c r="S2235" s="1" t="s">
        <v>28</v>
      </c>
      <c r="T2235" s="68" t="s">
        <v>27756</v>
      </c>
      <c r="U2235" s="68" t="s">
        <v>29438</v>
      </c>
      <c r="V2235" s="68" t="s">
        <v>29439</v>
      </c>
      <c r="W2235" s="68" t="s">
        <v>100</v>
      </c>
      <c r="X2235" s="68">
        <v>756</v>
      </c>
      <c r="AW2235" s="70"/>
      <c r="BA2235" s="70"/>
      <c r="BB2235" s="44"/>
      <c r="BK2235" s="11"/>
    </row>
    <row r="2236" spans="1:63" ht="12" customHeight="1" x14ac:dyDescent="0.2">
      <c r="A2236" s="1" t="s">
        <v>701</v>
      </c>
      <c r="B2236" s="68">
        <v>19</v>
      </c>
      <c r="C2236" s="1" t="s">
        <v>20</v>
      </c>
      <c r="D2236" s="1" t="s">
        <v>37</v>
      </c>
      <c r="F2236" s="69">
        <v>42236</v>
      </c>
      <c r="G2236" s="1" t="s">
        <v>702</v>
      </c>
      <c r="H2236" s="1" t="s">
        <v>703</v>
      </c>
      <c r="I2236" s="1" t="s">
        <v>69</v>
      </c>
      <c r="J2236" s="4" t="s">
        <v>19712</v>
      </c>
      <c r="K2236" s="1" t="s">
        <v>118</v>
      </c>
      <c r="L2236" s="1" t="s">
        <v>119</v>
      </c>
      <c r="M2236" s="1" t="s">
        <v>27</v>
      </c>
      <c r="N2236" s="1" t="s">
        <v>19559</v>
      </c>
      <c r="O2236" s="1" t="s">
        <v>19498</v>
      </c>
      <c r="P2236" s="1" t="s">
        <v>401</v>
      </c>
      <c r="Q2236" s="63" t="s">
        <v>19560</v>
      </c>
      <c r="R2236" s="68" t="s">
        <v>555</v>
      </c>
      <c r="S2236" s="1" t="s">
        <v>28</v>
      </c>
      <c r="T2236" s="68" t="s">
        <v>27756</v>
      </c>
      <c r="U2236" s="68" t="s">
        <v>29438</v>
      </c>
      <c r="V2236" s="68" t="s">
        <v>29439</v>
      </c>
      <c r="W2236" s="68" t="s">
        <v>100</v>
      </c>
      <c r="X2236" s="68">
        <v>881</v>
      </c>
      <c r="AW2236" s="70"/>
      <c r="BA2236" s="44"/>
      <c r="BB2236" s="11"/>
      <c r="BK2236" s="11"/>
    </row>
    <row r="2237" spans="1:63" ht="12" customHeight="1" x14ac:dyDescent="0.2">
      <c r="A2237" s="1" t="s">
        <v>704</v>
      </c>
      <c r="B2237" s="68">
        <v>50</v>
      </c>
      <c r="C2237" s="1" t="s">
        <v>20</v>
      </c>
      <c r="D2237" s="1" t="s">
        <v>37</v>
      </c>
      <c r="F2237" s="69">
        <v>42236</v>
      </c>
      <c r="G2237" s="1" t="s">
        <v>19708</v>
      </c>
      <c r="H2237" s="1" t="s">
        <v>705</v>
      </c>
      <c r="I2237" s="1" t="s">
        <v>94</v>
      </c>
      <c r="J2237" s="4" t="s">
        <v>19709</v>
      </c>
      <c r="K2237" s="1" t="s">
        <v>705</v>
      </c>
      <c r="L2237" s="1" t="s">
        <v>706</v>
      </c>
      <c r="M2237" s="68" t="s">
        <v>5411</v>
      </c>
      <c r="N2237" s="1" t="s">
        <v>19555</v>
      </c>
      <c r="O2237" s="1" t="s">
        <v>400</v>
      </c>
      <c r="P2237" s="1" t="s">
        <v>401</v>
      </c>
      <c r="Q2237" s="63" t="s">
        <v>19556</v>
      </c>
      <c r="R2237" s="68" t="s">
        <v>555</v>
      </c>
      <c r="S2237" s="1" t="s">
        <v>18</v>
      </c>
      <c r="T2237" s="68" t="s">
        <v>28345</v>
      </c>
      <c r="U2237" s="68" t="s">
        <v>29438</v>
      </c>
      <c r="V2237" s="68" t="s">
        <v>29439</v>
      </c>
      <c r="W2237" s="68" t="s">
        <v>100</v>
      </c>
      <c r="X2237" s="68">
        <v>755</v>
      </c>
      <c r="BA2237" s="70"/>
      <c r="BB2237" s="70"/>
    </row>
    <row r="2238" spans="1:63" ht="12" customHeight="1" x14ac:dyDescent="0.15">
      <c r="A2238" s="1" t="s">
        <v>711</v>
      </c>
      <c r="B2238" s="68">
        <v>24</v>
      </c>
      <c r="C2238" s="1" t="s">
        <v>20</v>
      </c>
      <c r="D2238" s="1" t="s">
        <v>85</v>
      </c>
      <c r="E2238" s="1" t="s">
        <v>19442</v>
      </c>
      <c r="F2238" s="69">
        <v>42235</v>
      </c>
      <c r="G2238" s="1" t="s">
        <v>19713</v>
      </c>
      <c r="H2238" s="1" t="s">
        <v>19714</v>
      </c>
      <c r="I2238" s="1" t="s">
        <v>57</v>
      </c>
      <c r="J2238" s="4" t="s">
        <v>19715</v>
      </c>
      <c r="K2238" s="1" t="s">
        <v>601</v>
      </c>
      <c r="L2238" s="1" t="s">
        <v>19716</v>
      </c>
      <c r="M2238" s="1" t="s">
        <v>27</v>
      </c>
      <c r="N2238" s="1" t="s">
        <v>19561</v>
      </c>
      <c r="O2238" s="1" t="s">
        <v>400</v>
      </c>
      <c r="P2238" s="1" t="s">
        <v>401</v>
      </c>
      <c r="Q2238" s="63" t="s">
        <v>19562</v>
      </c>
      <c r="R2238" s="1" t="s">
        <v>100</v>
      </c>
      <c r="S2238" s="1" t="s">
        <v>28</v>
      </c>
      <c r="T2238" s="68" t="s">
        <v>27756</v>
      </c>
      <c r="U2238" s="68" t="s">
        <v>29438</v>
      </c>
      <c r="V2238" s="68" t="s">
        <v>29437</v>
      </c>
      <c r="W2238" s="68" t="s">
        <v>100</v>
      </c>
      <c r="X2238" s="68">
        <v>752</v>
      </c>
      <c r="AW2238" s="11"/>
      <c r="AX2238" s="44"/>
      <c r="AY2238" s="44"/>
      <c r="BA2238" s="44"/>
      <c r="BC2238" s="44"/>
      <c r="BD2238" s="44"/>
      <c r="BE2238" s="44"/>
      <c r="BF2238" s="44"/>
      <c r="BG2238" s="44"/>
      <c r="BH2238" s="44"/>
      <c r="BI2238" s="44"/>
      <c r="BJ2238" s="44"/>
      <c r="BK2238" s="11"/>
    </row>
    <row r="2239" spans="1:63" ht="12" customHeight="1" x14ac:dyDescent="0.2">
      <c r="A2239" s="1" t="s">
        <v>707</v>
      </c>
      <c r="B2239" s="68">
        <v>18</v>
      </c>
      <c r="C2239" s="1" t="s">
        <v>20</v>
      </c>
      <c r="D2239" s="1" t="s">
        <v>85</v>
      </c>
      <c r="E2239" s="1" t="s">
        <v>19443</v>
      </c>
      <c r="F2239" s="69">
        <v>42235</v>
      </c>
      <c r="G2239" s="1" t="s">
        <v>708</v>
      </c>
      <c r="H2239" s="1" t="s">
        <v>19719</v>
      </c>
      <c r="I2239" s="1" t="s">
        <v>431</v>
      </c>
      <c r="J2239" s="4" t="s">
        <v>4744</v>
      </c>
      <c r="K2239" s="1" t="s">
        <v>709</v>
      </c>
      <c r="L2239" s="1" t="s">
        <v>4516</v>
      </c>
      <c r="M2239" s="1" t="s">
        <v>27</v>
      </c>
      <c r="N2239" s="1" t="s">
        <v>710</v>
      </c>
      <c r="O2239" s="1" t="s">
        <v>400</v>
      </c>
      <c r="P2239" s="1" t="s">
        <v>401</v>
      </c>
      <c r="Q2239" s="63" t="s">
        <v>19565</v>
      </c>
      <c r="R2239" s="1" t="s">
        <v>29</v>
      </c>
      <c r="S2239" s="2" t="s">
        <v>35</v>
      </c>
      <c r="T2239" s="68" t="s">
        <v>27756</v>
      </c>
      <c r="U2239" s="68" t="s">
        <v>29438</v>
      </c>
      <c r="V2239" s="68" t="s">
        <v>29440</v>
      </c>
      <c r="W2239" s="68" t="s">
        <v>100</v>
      </c>
      <c r="X2239" s="68">
        <v>751</v>
      </c>
      <c r="AW2239" s="70"/>
      <c r="AX2239" s="70"/>
      <c r="AY2239" s="70"/>
      <c r="BC2239" s="44"/>
      <c r="BD2239" s="44"/>
      <c r="BE2239" s="44"/>
      <c r="BF2239" s="44"/>
      <c r="BG2239" s="44"/>
      <c r="BH2239" s="44"/>
      <c r="BI2239" s="44"/>
      <c r="BJ2239" s="44"/>
    </row>
    <row r="2240" spans="1:63" ht="12" customHeight="1" x14ac:dyDescent="0.15">
      <c r="A2240" s="1" t="s">
        <v>716</v>
      </c>
      <c r="B2240" s="68">
        <v>44</v>
      </c>
      <c r="C2240" s="1" t="s">
        <v>20</v>
      </c>
      <c r="D2240" s="1" t="s">
        <v>37</v>
      </c>
      <c r="E2240" s="1" t="s">
        <v>19444</v>
      </c>
      <c r="F2240" s="69">
        <v>42235</v>
      </c>
      <c r="G2240" s="1" t="s">
        <v>717</v>
      </c>
      <c r="H2240" s="1" t="s">
        <v>718</v>
      </c>
      <c r="I2240" s="1" t="s">
        <v>366</v>
      </c>
      <c r="J2240" s="4" t="s">
        <v>19720</v>
      </c>
      <c r="K2240" s="1" t="s">
        <v>719</v>
      </c>
      <c r="L2240" s="1" t="s">
        <v>720</v>
      </c>
      <c r="M2240" s="1" t="s">
        <v>27</v>
      </c>
      <c r="N2240" s="1" t="s">
        <v>19566</v>
      </c>
      <c r="O2240" s="1" t="s">
        <v>400</v>
      </c>
      <c r="P2240" s="1" t="s">
        <v>401</v>
      </c>
      <c r="Q2240" s="63" t="s">
        <v>19567</v>
      </c>
      <c r="R2240" s="68" t="s">
        <v>555</v>
      </c>
      <c r="S2240" s="1" t="s">
        <v>28</v>
      </c>
      <c r="T2240" s="68" t="s">
        <v>27756</v>
      </c>
      <c r="U2240" s="68" t="s">
        <v>29438</v>
      </c>
      <c r="V2240" s="68" t="s">
        <v>29439</v>
      </c>
      <c r="W2240" s="68" t="s">
        <v>100</v>
      </c>
      <c r="X2240" s="68">
        <v>754</v>
      </c>
      <c r="BA2240" s="44"/>
      <c r="BB2240" s="11"/>
      <c r="BK2240" s="11"/>
    </row>
    <row r="2241" spans="1:63" ht="12" customHeight="1" x14ac:dyDescent="0.15">
      <c r="A2241" s="1" t="s">
        <v>712</v>
      </c>
      <c r="B2241" s="68">
        <v>29</v>
      </c>
      <c r="C2241" s="1" t="s">
        <v>20</v>
      </c>
      <c r="D2241" s="1" t="s">
        <v>37</v>
      </c>
      <c r="F2241" s="69">
        <v>42235</v>
      </c>
      <c r="G2241" s="1" t="s">
        <v>19717</v>
      </c>
      <c r="H2241" s="1" t="s">
        <v>713</v>
      </c>
      <c r="I2241" s="1" t="s">
        <v>303</v>
      </c>
      <c r="J2241" s="4" t="s">
        <v>19718</v>
      </c>
      <c r="K2241" s="1" t="s">
        <v>714</v>
      </c>
      <c r="L2241" s="1" t="s">
        <v>715</v>
      </c>
      <c r="M2241" s="1" t="s">
        <v>27</v>
      </c>
      <c r="N2241" s="1" t="s">
        <v>19563</v>
      </c>
      <c r="O2241" s="1" t="s">
        <v>400</v>
      </c>
      <c r="P2241" s="1" t="s">
        <v>401</v>
      </c>
      <c r="Q2241" s="63" t="s">
        <v>19564</v>
      </c>
      <c r="R2241" s="1" t="s">
        <v>555</v>
      </c>
      <c r="S2241" s="1" t="s">
        <v>28</v>
      </c>
      <c r="T2241" s="68" t="s">
        <v>27756</v>
      </c>
      <c r="U2241" s="68" t="s">
        <v>29438</v>
      </c>
      <c r="V2241" s="68" t="s">
        <v>29440</v>
      </c>
      <c r="W2241" s="68" t="s">
        <v>100</v>
      </c>
      <c r="X2241" s="68">
        <v>753</v>
      </c>
      <c r="AW2241" s="44"/>
      <c r="BA2241" s="11"/>
      <c r="BB2241" s="44"/>
      <c r="BK2241" s="11"/>
    </row>
    <row r="2242" spans="1:63" ht="12" customHeight="1" x14ac:dyDescent="0.15">
      <c r="A2242" s="1" t="s">
        <v>721</v>
      </c>
      <c r="B2242" s="68">
        <v>35</v>
      </c>
      <c r="C2242" s="1" t="s">
        <v>20</v>
      </c>
      <c r="D2242" s="1" t="s">
        <v>85</v>
      </c>
      <c r="E2242" s="1" t="s">
        <v>19445</v>
      </c>
      <c r="F2242" s="69">
        <v>42233</v>
      </c>
      <c r="G2242" s="1" t="s">
        <v>722</v>
      </c>
      <c r="H2242" s="1" t="s">
        <v>723</v>
      </c>
      <c r="I2242" s="1" t="s">
        <v>73</v>
      </c>
      <c r="J2242" s="4" t="s">
        <v>19721</v>
      </c>
      <c r="K2242" s="1" t="s">
        <v>558</v>
      </c>
      <c r="L2242" s="1" t="s">
        <v>724</v>
      </c>
      <c r="M2242" s="1" t="s">
        <v>27</v>
      </c>
      <c r="N2242" s="1" t="s">
        <v>19568</v>
      </c>
      <c r="O2242" s="1" t="s">
        <v>400</v>
      </c>
      <c r="P2242" s="1" t="s">
        <v>401</v>
      </c>
      <c r="Q2242" s="63" t="s">
        <v>725</v>
      </c>
      <c r="R2242" s="11" t="s">
        <v>964</v>
      </c>
      <c r="S2242" s="1" t="s">
        <v>28</v>
      </c>
      <c r="T2242" s="68" t="s">
        <v>27756</v>
      </c>
      <c r="U2242" s="68" t="s">
        <v>29438</v>
      </c>
      <c r="V2242" s="68" t="s">
        <v>29439</v>
      </c>
      <c r="W2242" s="68" t="s">
        <v>100</v>
      </c>
      <c r="X2242" s="68">
        <v>748</v>
      </c>
      <c r="AW2242" s="11"/>
      <c r="AX2242" s="11"/>
      <c r="AY2242" s="11"/>
      <c r="BA2242" s="44"/>
      <c r="BB2242" s="44"/>
      <c r="BC2242" s="44"/>
      <c r="BD2242" s="44"/>
      <c r="BE2242" s="44"/>
      <c r="BF2242" s="44"/>
      <c r="BG2242" s="44"/>
      <c r="BH2242" s="44"/>
      <c r="BI2242" s="44"/>
      <c r="BJ2242" s="44"/>
      <c r="BK2242" s="11"/>
    </row>
    <row r="2243" spans="1:63" ht="12" customHeight="1" x14ac:dyDescent="0.15">
      <c r="A2243" s="1" t="s">
        <v>726</v>
      </c>
      <c r="B2243" s="68">
        <v>40</v>
      </c>
      <c r="C2243" s="1" t="s">
        <v>20</v>
      </c>
      <c r="D2243" s="1" t="s">
        <v>48</v>
      </c>
      <c r="E2243" s="1" t="s">
        <v>19446</v>
      </c>
      <c r="F2243" s="69">
        <v>42233</v>
      </c>
      <c r="G2243" s="1" t="s">
        <v>19722</v>
      </c>
      <c r="H2243" s="1" t="s">
        <v>606</v>
      </c>
      <c r="I2243" s="1" t="s">
        <v>45</v>
      </c>
      <c r="J2243" s="4" t="s">
        <v>3333</v>
      </c>
      <c r="K2243" s="1" t="s">
        <v>607</v>
      </c>
      <c r="L2243" s="1" t="s">
        <v>727</v>
      </c>
      <c r="M2243" s="1" t="s">
        <v>27</v>
      </c>
      <c r="N2243" s="1" t="s">
        <v>19569</v>
      </c>
      <c r="O2243" s="1" t="s">
        <v>400</v>
      </c>
      <c r="P2243" s="1" t="s">
        <v>401</v>
      </c>
      <c r="Q2243" s="63" t="s">
        <v>19570</v>
      </c>
      <c r="R2243" s="1" t="s">
        <v>100</v>
      </c>
      <c r="S2243" s="1" t="s">
        <v>18</v>
      </c>
      <c r="T2243" s="68" t="s">
        <v>28345</v>
      </c>
      <c r="U2243" s="68" t="s">
        <v>29436</v>
      </c>
      <c r="V2243" s="68" t="s">
        <v>29440</v>
      </c>
      <c r="W2243" s="68" t="s">
        <v>100</v>
      </c>
      <c r="X2243" s="68">
        <v>749</v>
      </c>
      <c r="AW2243" s="44"/>
      <c r="BA2243" s="44"/>
    </row>
    <row r="2244" spans="1:63" ht="12" customHeight="1" x14ac:dyDescent="0.15">
      <c r="A2244" s="1" t="s">
        <v>729</v>
      </c>
      <c r="B2244" s="1">
        <v>23</v>
      </c>
      <c r="C2244" s="1" t="s">
        <v>20</v>
      </c>
      <c r="D2244" s="1" t="s">
        <v>48</v>
      </c>
      <c r="F2244" s="72">
        <v>42232</v>
      </c>
      <c r="G2244" s="1" t="s">
        <v>730</v>
      </c>
      <c r="H2244" s="1" t="s">
        <v>731</v>
      </c>
      <c r="I2244" s="1" t="s">
        <v>45</v>
      </c>
      <c r="J2244" s="4">
        <v>96130</v>
      </c>
      <c r="K2244" s="1" t="s">
        <v>732</v>
      </c>
      <c r="L2244" s="1" t="s">
        <v>733</v>
      </c>
      <c r="M2244" s="1" t="s">
        <v>27</v>
      </c>
      <c r="N2244" s="1" t="s">
        <v>21067</v>
      </c>
      <c r="P2244" s="1" t="s">
        <v>401</v>
      </c>
      <c r="Q2244" s="1" t="s">
        <v>20253</v>
      </c>
      <c r="R2244" s="1" t="s">
        <v>29</v>
      </c>
      <c r="S2244" s="1" t="s">
        <v>28</v>
      </c>
      <c r="T2244" s="68"/>
      <c r="U2244" s="68"/>
      <c r="V2244" s="68"/>
      <c r="W2244" s="68"/>
      <c r="X2244" s="68"/>
      <c r="BK2244" s="11"/>
    </row>
    <row r="2245" spans="1:63" ht="12" customHeight="1" x14ac:dyDescent="0.15">
      <c r="A2245" s="1" t="s">
        <v>728</v>
      </c>
      <c r="B2245" s="68">
        <v>29</v>
      </c>
      <c r="C2245" s="1" t="s">
        <v>20</v>
      </c>
      <c r="D2245" s="1" t="s">
        <v>48</v>
      </c>
      <c r="E2245" s="1" t="s">
        <v>19447</v>
      </c>
      <c r="F2245" s="69">
        <v>42232</v>
      </c>
      <c r="G2245" s="1" t="s">
        <v>24457</v>
      </c>
      <c r="H2245" s="1" t="s">
        <v>606</v>
      </c>
      <c r="I2245" s="1" t="s">
        <v>45</v>
      </c>
      <c r="J2245" s="4" t="s">
        <v>3333</v>
      </c>
      <c r="K2245" s="1" t="s">
        <v>607</v>
      </c>
      <c r="L2245" s="1" t="s">
        <v>727</v>
      </c>
      <c r="M2245" s="1" t="s">
        <v>27</v>
      </c>
      <c r="N2245" s="1" t="s">
        <v>19571</v>
      </c>
      <c r="O2245" s="1" t="s">
        <v>400</v>
      </c>
      <c r="P2245" s="1" t="s">
        <v>401</v>
      </c>
      <c r="Q2245" s="63" t="s">
        <v>19572</v>
      </c>
      <c r="R2245" s="1" t="s">
        <v>29</v>
      </c>
      <c r="S2245" s="1" t="s">
        <v>28</v>
      </c>
      <c r="T2245" s="68" t="s">
        <v>27756</v>
      </c>
      <c r="U2245" s="68" t="s">
        <v>29436</v>
      </c>
      <c r="V2245" s="68" t="s">
        <v>29439</v>
      </c>
      <c r="W2245" s="68" t="s">
        <v>100</v>
      </c>
      <c r="X2245" s="68">
        <v>745</v>
      </c>
      <c r="AW2245" s="44"/>
      <c r="BK2245" s="11"/>
    </row>
    <row r="2246" spans="1:63" ht="12" customHeight="1" x14ac:dyDescent="0.15">
      <c r="A2246" s="1" t="s">
        <v>734</v>
      </c>
      <c r="B2246" s="68">
        <v>47</v>
      </c>
      <c r="C2246" s="1" t="s">
        <v>20</v>
      </c>
      <c r="D2246" s="1" t="s">
        <v>37</v>
      </c>
      <c r="E2246" s="1" t="s">
        <v>19448</v>
      </c>
      <c r="F2246" s="69">
        <v>42232</v>
      </c>
      <c r="G2246" s="1" t="s">
        <v>735</v>
      </c>
      <c r="H2246" s="1" t="s">
        <v>736</v>
      </c>
      <c r="I2246" s="1" t="s">
        <v>73</v>
      </c>
      <c r="J2246" s="4" t="s">
        <v>19723</v>
      </c>
      <c r="K2246" s="1" t="s">
        <v>737</v>
      </c>
      <c r="L2246" s="1" t="s">
        <v>738</v>
      </c>
      <c r="M2246" s="1" t="s">
        <v>27</v>
      </c>
      <c r="N2246" s="1" t="s">
        <v>19573</v>
      </c>
      <c r="O2246" s="1" t="s">
        <v>400</v>
      </c>
      <c r="P2246" s="1" t="s">
        <v>401</v>
      </c>
      <c r="Q2246" s="63" t="s">
        <v>19574</v>
      </c>
      <c r="R2246" s="1" t="s">
        <v>29</v>
      </c>
      <c r="S2246" s="1" t="s">
        <v>28</v>
      </c>
      <c r="T2246" s="68" t="s">
        <v>27756</v>
      </c>
      <c r="U2246" s="68" t="s">
        <v>29438</v>
      </c>
      <c r="V2246" s="68" t="s">
        <v>29439</v>
      </c>
      <c r="W2246" s="68" t="s">
        <v>100</v>
      </c>
      <c r="X2246" s="68">
        <v>746</v>
      </c>
      <c r="BK2246" s="11"/>
    </row>
    <row r="2247" spans="1:63" ht="12" customHeight="1" x14ac:dyDescent="0.15">
      <c r="A2247" s="1" t="s">
        <v>744</v>
      </c>
      <c r="B2247" s="68">
        <v>34</v>
      </c>
      <c r="C2247" s="1" t="s">
        <v>20</v>
      </c>
      <c r="D2247" s="68" t="s">
        <v>85</v>
      </c>
      <c r="E2247" s="1" t="s">
        <v>19450</v>
      </c>
      <c r="F2247" s="69">
        <v>42231</v>
      </c>
      <c r="G2247" s="1" t="s">
        <v>745</v>
      </c>
      <c r="H2247" s="1" t="s">
        <v>746</v>
      </c>
      <c r="I2247" s="1" t="s">
        <v>45</v>
      </c>
      <c r="J2247" s="4" t="s">
        <v>19724</v>
      </c>
      <c r="K2247" s="1" t="s">
        <v>680</v>
      </c>
      <c r="L2247" s="1" t="s">
        <v>747</v>
      </c>
      <c r="M2247" s="1" t="s">
        <v>27</v>
      </c>
      <c r="N2247" s="1" t="s">
        <v>19577</v>
      </c>
      <c r="O2247" s="1" t="s">
        <v>400</v>
      </c>
      <c r="P2247" s="1" t="s">
        <v>401</v>
      </c>
      <c r="Q2247" s="63" t="s">
        <v>19578</v>
      </c>
      <c r="R2247" s="1" t="s">
        <v>29</v>
      </c>
      <c r="S2247" s="1" t="s">
        <v>28</v>
      </c>
      <c r="T2247" s="68"/>
      <c r="U2247" s="68" t="s">
        <v>29438</v>
      </c>
      <c r="V2247" s="68" t="s">
        <v>29439</v>
      </c>
      <c r="W2247" s="68" t="s">
        <v>100</v>
      </c>
      <c r="X2247" s="68">
        <v>743</v>
      </c>
      <c r="AW2247" s="11"/>
      <c r="BC2247" s="44"/>
      <c r="BD2247" s="44"/>
      <c r="BE2247" s="44"/>
      <c r="BF2247" s="44"/>
      <c r="BG2247" s="44"/>
      <c r="BH2247" s="44"/>
      <c r="BI2247" s="44"/>
      <c r="BJ2247" s="44"/>
      <c r="BK2247" s="11"/>
    </row>
    <row r="2248" spans="1:63" ht="12" customHeight="1" x14ac:dyDescent="0.15">
      <c r="A2248" s="1" t="s">
        <v>770</v>
      </c>
      <c r="B2248" s="68">
        <v>23</v>
      </c>
      <c r="C2248" s="1" t="s">
        <v>20</v>
      </c>
      <c r="D2248" s="1" t="s">
        <v>85</v>
      </c>
      <c r="E2248" s="1" t="s">
        <v>19449</v>
      </c>
      <c r="F2248" s="69">
        <v>42231</v>
      </c>
      <c r="G2248" s="1" t="s">
        <v>24458</v>
      </c>
      <c r="H2248" s="1" t="s">
        <v>771</v>
      </c>
      <c r="I2248" s="1" t="s">
        <v>45</v>
      </c>
      <c r="J2248" s="4" t="s">
        <v>9385</v>
      </c>
      <c r="K2248" s="1" t="s">
        <v>607</v>
      </c>
      <c r="L2248" s="1" t="s">
        <v>772</v>
      </c>
      <c r="M2248" s="1" t="s">
        <v>27</v>
      </c>
      <c r="N2248" s="1" t="s">
        <v>19575</v>
      </c>
      <c r="O2248" s="1" t="s">
        <v>400</v>
      </c>
      <c r="P2248" s="1" t="s">
        <v>401</v>
      </c>
      <c r="Q2248" s="63" t="s">
        <v>19576</v>
      </c>
      <c r="R2248" s="1" t="s">
        <v>29</v>
      </c>
      <c r="S2248" s="1" t="s">
        <v>28</v>
      </c>
      <c r="T2248" s="68" t="s">
        <v>27756</v>
      </c>
      <c r="U2248" s="68" t="s">
        <v>29438</v>
      </c>
      <c r="V2248" s="68" t="s">
        <v>29439</v>
      </c>
      <c r="W2248" s="68" t="s">
        <v>100</v>
      </c>
      <c r="X2248" s="68">
        <v>742</v>
      </c>
      <c r="AW2248" s="11"/>
      <c r="AX2248" s="44"/>
      <c r="AY2248" s="44"/>
      <c r="BC2248" s="11"/>
      <c r="BD2248" s="11"/>
      <c r="BE2248" s="11"/>
      <c r="BF2248" s="11"/>
      <c r="BG2248" s="11"/>
      <c r="BH2248" s="11"/>
      <c r="BI2248" s="11"/>
      <c r="BJ2248" s="11"/>
      <c r="BK2248" s="11"/>
    </row>
    <row r="2249" spans="1:63" ht="12" customHeight="1" x14ac:dyDescent="0.15">
      <c r="A2249" s="1" t="s">
        <v>748</v>
      </c>
      <c r="B2249" s="68">
        <v>30</v>
      </c>
      <c r="C2249" s="1" t="s">
        <v>20</v>
      </c>
      <c r="D2249" s="1" t="s">
        <v>37</v>
      </c>
      <c r="F2249" s="69">
        <v>42231</v>
      </c>
      <c r="G2249" s="1" t="s">
        <v>749</v>
      </c>
      <c r="H2249" s="1" t="s">
        <v>750</v>
      </c>
      <c r="I2249" s="1" t="s">
        <v>269</v>
      </c>
      <c r="J2249" s="4" t="s">
        <v>19727</v>
      </c>
      <c r="K2249" s="1" t="s">
        <v>750</v>
      </c>
      <c r="L2249" s="1" t="s">
        <v>751</v>
      </c>
      <c r="M2249" s="1" t="s">
        <v>27</v>
      </c>
      <c r="N2249" s="1" t="s">
        <v>19581</v>
      </c>
      <c r="O2249" s="1" t="s">
        <v>400</v>
      </c>
      <c r="P2249" s="1" t="s">
        <v>401</v>
      </c>
      <c r="Q2249" s="63" t="s">
        <v>19582</v>
      </c>
      <c r="R2249" s="1" t="s">
        <v>29</v>
      </c>
      <c r="S2249" s="1" t="s">
        <v>28</v>
      </c>
      <c r="T2249" s="68" t="s">
        <v>27756</v>
      </c>
      <c r="U2249" s="68" t="s">
        <v>29438</v>
      </c>
      <c r="V2249" s="68" t="s">
        <v>29439</v>
      </c>
      <c r="W2249" s="68" t="s">
        <v>100</v>
      </c>
      <c r="X2249" s="68">
        <v>744</v>
      </c>
      <c r="AW2249" s="11"/>
      <c r="BK2249" s="11"/>
    </row>
    <row r="2250" spans="1:63" ht="12" customHeight="1" x14ac:dyDescent="0.15">
      <c r="A2250" s="1" t="s">
        <v>739</v>
      </c>
      <c r="B2250" s="1">
        <v>44</v>
      </c>
      <c r="C2250" s="1" t="s">
        <v>20</v>
      </c>
      <c r="D2250" s="1" t="s">
        <v>48</v>
      </c>
      <c r="E2250" s="1" t="s">
        <v>19451</v>
      </c>
      <c r="F2250" s="72">
        <v>42231</v>
      </c>
      <c r="G2250" s="1" t="s">
        <v>19728</v>
      </c>
      <c r="H2250" s="1" t="s">
        <v>740</v>
      </c>
      <c r="I2250" s="1" t="s">
        <v>45</v>
      </c>
      <c r="J2250" s="4" t="s">
        <v>19729</v>
      </c>
      <c r="K2250" s="1" t="s">
        <v>98</v>
      </c>
      <c r="L2250" s="11" t="s">
        <v>414</v>
      </c>
      <c r="M2250" s="1" t="s">
        <v>391</v>
      </c>
      <c r="N2250" s="1" t="s">
        <v>19583</v>
      </c>
      <c r="O2250" s="1" t="s">
        <v>400</v>
      </c>
      <c r="P2250" s="1" t="s">
        <v>401</v>
      </c>
      <c r="Q2250" s="63" t="s">
        <v>19584</v>
      </c>
      <c r="R2250" s="1" t="s">
        <v>29</v>
      </c>
      <c r="S2250" s="1" t="s">
        <v>18</v>
      </c>
      <c r="AU2250" s="11"/>
      <c r="AV2250" s="11"/>
      <c r="AW2250" s="11"/>
    </row>
    <row r="2251" spans="1:63" ht="12" customHeight="1" x14ac:dyDescent="0.2">
      <c r="A2251" s="1" t="s">
        <v>741</v>
      </c>
      <c r="B2251" s="68">
        <v>43</v>
      </c>
      <c r="C2251" s="1" t="s">
        <v>20</v>
      </c>
      <c r="D2251" s="1" t="s">
        <v>37</v>
      </c>
      <c r="F2251" s="69">
        <v>42231</v>
      </c>
      <c r="G2251" s="1" t="s">
        <v>19725</v>
      </c>
      <c r="H2251" s="1" t="s">
        <v>742</v>
      </c>
      <c r="I2251" s="1" t="s">
        <v>217</v>
      </c>
      <c r="J2251" s="4" t="s">
        <v>19726</v>
      </c>
      <c r="K2251" s="1" t="s">
        <v>1778</v>
      </c>
      <c r="L2251" s="1" t="s">
        <v>743</v>
      </c>
      <c r="M2251" s="68" t="s">
        <v>5411</v>
      </c>
      <c r="N2251" s="1" t="s">
        <v>19579</v>
      </c>
      <c r="O2251" s="1" t="s">
        <v>400</v>
      </c>
      <c r="P2251" s="1" t="s">
        <v>401</v>
      </c>
      <c r="Q2251" s="63" t="s">
        <v>19580</v>
      </c>
      <c r="R2251" s="1" t="s">
        <v>29</v>
      </c>
      <c r="S2251" s="1" t="s">
        <v>18</v>
      </c>
      <c r="T2251" s="68" t="s">
        <v>28345</v>
      </c>
      <c r="U2251" s="68" t="s">
        <v>29438</v>
      </c>
      <c r="V2251" s="68" t="s">
        <v>29439</v>
      </c>
      <c r="W2251" s="68" t="s">
        <v>100</v>
      </c>
      <c r="X2251" s="68">
        <v>741</v>
      </c>
      <c r="BB2251" s="70"/>
    </row>
    <row r="2252" spans="1:63" ht="12" customHeight="1" x14ac:dyDescent="0.15">
      <c r="A2252" s="1" t="s">
        <v>752</v>
      </c>
      <c r="B2252" s="68">
        <v>38</v>
      </c>
      <c r="C2252" s="1" t="s">
        <v>20</v>
      </c>
      <c r="D2252" s="1" t="s">
        <v>85</v>
      </c>
      <c r="E2252" s="1" t="s">
        <v>19453</v>
      </c>
      <c r="F2252" s="69">
        <v>42230</v>
      </c>
      <c r="G2252" s="1" t="s">
        <v>753</v>
      </c>
      <c r="H2252" s="1" t="s">
        <v>754</v>
      </c>
      <c r="I2252" s="1" t="s">
        <v>423</v>
      </c>
      <c r="J2252" s="4" t="s">
        <v>13868</v>
      </c>
      <c r="K2252" s="1" t="s">
        <v>874</v>
      </c>
      <c r="L2252" s="1" t="s">
        <v>582</v>
      </c>
      <c r="M2252" s="1" t="s">
        <v>27</v>
      </c>
      <c r="N2252" s="1" t="s">
        <v>755</v>
      </c>
      <c r="O2252" s="1" t="s">
        <v>400</v>
      </c>
      <c r="P2252" s="1" t="s">
        <v>401</v>
      </c>
      <c r="Q2252" s="63" t="s">
        <v>756</v>
      </c>
      <c r="R2252" s="1" t="s">
        <v>29</v>
      </c>
      <c r="S2252" s="1" t="s">
        <v>28</v>
      </c>
      <c r="T2252" s="68" t="s">
        <v>27756</v>
      </c>
      <c r="U2252" s="68" t="s">
        <v>29438</v>
      </c>
      <c r="V2252" s="68" t="s">
        <v>29439</v>
      </c>
      <c r="W2252" s="68" t="s">
        <v>100</v>
      </c>
      <c r="X2252" s="68">
        <v>738</v>
      </c>
      <c r="AW2252" s="44"/>
      <c r="AX2252" s="44"/>
      <c r="AY2252" s="44"/>
      <c r="BC2252" s="44"/>
      <c r="BD2252" s="44"/>
      <c r="BE2252" s="44"/>
      <c r="BF2252" s="44"/>
      <c r="BG2252" s="44"/>
      <c r="BH2252" s="44"/>
      <c r="BI2252" s="44"/>
      <c r="BJ2252" s="44"/>
      <c r="BK2252" s="44"/>
    </row>
    <row r="2253" spans="1:63" ht="12" customHeight="1" x14ac:dyDescent="0.15">
      <c r="A2253" s="1" t="s">
        <v>760</v>
      </c>
      <c r="B2253" s="68">
        <v>26</v>
      </c>
      <c r="C2253" s="1" t="s">
        <v>20</v>
      </c>
      <c r="D2253" s="1" t="s">
        <v>48</v>
      </c>
      <c r="F2253" s="69">
        <v>42230</v>
      </c>
      <c r="G2253" s="1" t="s">
        <v>761</v>
      </c>
      <c r="H2253" s="1" t="s">
        <v>762</v>
      </c>
      <c r="I2253" s="1" t="s">
        <v>73</v>
      </c>
      <c r="J2253" s="4" t="s">
        <v>19735</v>
      </c>
      <c r="K2253" s="1" t="s">
        <v>763</v>
      </c>
      <c r="L2253" s="1" t="s">
        <v>764</v>
      </c>
      <c r="M2253" s="1" t="s">
        <v>27</v>
      </c>
      <c r="N2253" s="1" t="s">
        <v>19589</v>
      </c>
      <c r="O2253" s="1" t="s">
        <v>400</v>
      </c>
      <c r="P2253" s="1" t="s">
        <v>401</v>
      </c>
      <c r="Q2253" s="63" t="s">
        <v>19590</v>
      </c>
      <c r="R2253" s="1" t="s">
        <v>29</v>
      </c>
      <c r="S2253" s="1" t="s">
        <v>28</v>
      </c>
      <c r="T2253" s="68" t="s">
        <v>27756</v>
      </c>
      <c r="U2253" s="68" t="s">
        <v>29438</v>
      </c>
      <c r="V2253" s="68" t="s">
        <v>29439</v>
      </c>
      <c r="W2253" s="68" t="s">
        <v>100</v>
      </c>
      <c r="X2253" s="68">
        <v>739</v>
      </c>
      <c r="AW2253" s="44"/>
      <c r="BK2253" s="11"/>
    </row>
    <row r="2254" spans="1:63" ht="12" customHeight="1" x14ac:dyDescent="0.2">
      <c r="A2254" s="1" t="s">
        <v>765</v>
      </c>
      <c r="B2254" s="68">
        <v>53</v>
      </c>
      <c r="C2254" s="1" t="s">
        <v>20</v>
      </c>
      <c r="D2254" s="1" t="s">
        <v>37</v>
      </c>
      <c r="E2254" s="1" t="s">
        <v>19452</v>
      </c>
      <c r="F2254" s="69">
        <v>42230</v>
      </c>
      <c r="G2254" s="1" t="s">
        <v>766</v>
      </c>
      <c r="H2254" s="1" t="s">
        <v>767</v>
      </c>
      <c r="I2254" s="1" t="s">
        <v>41</v>
      </c>
      <c r="J2254" s="4" t="s">
        <v>19734</v>
      </c>
      <c r="K2254" s="1" t="s">
        <v>768</v>
      </c>
      <c r="L2254" s="1" t="s">
        <v>769</v>
      </c>
      <c r="M2254" s="68" t="s">
        <v>5411</v>
      </c>
      <c r="N2254" s="1" t="s">
        <v>19587</v>
      </c>
      <c r="O2254" s="1" t="s">
        <v>400</v>
      </c>
      <c r="P2254" s="1" t="s">
        <v>401</v>
      </c>
      <c r="Q2254" s="63" t="s">
        <v>19588</v>
      </c>
      <c r="R2254" s="1" t="s">
        <v>29</v>
      </c>
      <c r="S2254" s="1" t="s">
        <v>28</v>
      </c>
      <c r="T2254" s="68" t="s">
        <v>29478</v>
      </c>
      <c r="U2254" s="68" t="s">
        <v>29438</v>
      </c>
      <c r="V2254" s="68" t="s">
        <v>29437</v>
      </c>
      <c r="W2254" s="68" t="s">
        <v>100</v>
      </c>
      <c r="X2254" s="68">
        <v>750</v>
      </c>
      <c r="BB2254" s="70"/>
    </row>
    <row r="2255" spans="1:63" ht="12" customHeight="1" x14ac:dyDescent="0.2">
      <c r="A2255" s="1" t="s">
        <v>757</v>
      </c>
      <c r="B2255" s="68">
        <v>30</v>
      </c>
      <c r="C2255" s="1" t="s">
        <v>20</v>
      </c>
      <c r="D2255" s="1" t="s">
        <v>85</v>
      </c>
      <c r="F2255" s="69">
        <v>42230</v>
      </c>
      <c r="G2255" s="1" t="s">
        <v>19730</v>
      </c>
      <c r="H2255" s="1" t="s">
        <v>19731</v>
      </c>
      <c r="I2255" s="1" t="s">
        <v>52</v>
      </c>
      <c r="J2255" s="4" t="s">
        <v>19732</v>
      </c>
      <c r="K2255" s="1" t="s">
        <v>2377</v>
      </c>
      <c r="L2255" s="1" t="s">
        <v>19733</v>
      </c>
      <c r="M2255" s="1" t="s">
        <v>27</v>
      </c>
      <c r="N2255" s="1" t="s">
        <v>19585</v>
      </c>
      <c r="O2255" s="1" t="s">
        <v>400</v>
      </c>
      <c r="P2255" s="1" t="s">
        <v>401</v>
      </c>
      <c r="Q2255" s="63" t="s">
        <v>19586</v>
      </c>
      <c r="R2255" s="68" t="s">
        <v>555</v>
      </c>
      <c r="S2255" s="1" t="s">
        <v>18</v>
      </c>
      <c r="T2255" s="68" t="s">
        <v>28345</v>
      </c>
      <c r="U2255" s="68" t="s">
        <v>29438</v>
      </c>
      <c r="V2255" s="68" t="s">
        <v>29440</v>
      </c>
      <c r="W2255" s="68" t="s">
        <v>100</v>
      </c>
      <c r="X2255" s="68">
        <v>740</v>
      </c>
      <c r="AW2255" s="11"/>
      <c r="AX2255" s="11"/>
      <c r="AY2255" s="11"/>
      <c r="BA2255" s="70"/>
      <c r="BB2255" s="44"/>
      <c r="BC2255" s="44"/>
      <c r="BD2255" s="44"/>
      <c r="BE2255" s="44"/>
      <c r="BF2255" s="44"/>
      <c r="BG2255" s="44"/>
      <c r="BH2255" s="44"/>
      <c r="BI2255" s="44"/>
      <c r="BJ2255" s="44"/>
    </row>
    <row r="2256" spans="1:63" ht="12" customHeight="1" x14ac:dyDescent="0.15">
      <c r="A2256" s="1" t="s">
        <v>773</v>
      </c>
      <c r="B2256" s="68">
        <v>27</v>
      </c>
      <c r="C2256" s="1" t="s">
        <v>20</v>
      </c>
      <c r="D2256" s="1" t="s">
        <v>85</v>
      </c>
      <c r="E2256" s="1" t="s">
        <v>19454</v>
      </c>
      <c r="F2256" s="69">
        <v>42228</v>
      </c>
      <c r="G2256" s="1" t="s">
        <v>19738</v>
      </c>
      <c r="H2256" s="1" t="s">
        <v>601</v>
      </c>
      <c r="I2256" s="1" t="s">
        <v>45</v>
      </c>
      <c r="J2256" s="4" t="s">
        <v>19739</v>
      </c>
      <c r="K2256" s="1" t="s">
        <v>602</v>
      </c>
      <c r="L2256" s="1" t="s">
        <v>603</v>
      </c>
      <c r="M2256" s="1" t="s">
        <v>27</v>
      </c>
      <c r="N2256" s="1" t="s">
        <v>19593</v>
      </c>
      <c r="O2256" s="1" t="s">
        <v>400</v>
      </c>
      <c r="P2256" s="1" t="s">
        <v>401</v>
      </c>
      <c r="Q2256" s="63" t="s">
        <v>19594</v>
      </c>
      <c r="R2256" s="1" t="s">
        <v>100</v>
      </c>
      <c r="S2256" s="1" t="s">
        <v>28</v>
      </c>
      <c r="T2256" s="68" t="s">
        <v>27756</v>
      </c>
      <c r="U2256" s="68" t="s">
        <v>29438</v>
      </c>
      <c r="V2256" s="68" t="s">
        <v>29437</v>
      </c>
      <c r="W2256" s="68" t="s">
        <v>555</v>
      </c>
      <c r="X2256" s="68">
        <v>731</v>
      </c>
      <c r="AW2256" s="44"/>
      <c r="AX2256" s="11"/>
      <c r="AY2256" s="11"/>
      <c r="BA2256" s="44"/>
      <c r="BC2256" s="44"/>
      <c r="BD2256" s="44"/>
      <c r="BE2256" s="44"/>
      <c r="BF2256" s="44"/>
      <c r="BG2256" s="44"/>
      <c r="BH2256" s="44"/>
      <c r="BI2256" s="44"/>
      <c r="BJ2256" s="44"/>
      <c r="BK2256" s="11"/>
    </row>
    <row r="2257" spans="1:63" ht="12" customHeight="1" x14ac:dyDescent="0.15">
      <c r="A2257" s="1" t="s">
        <v>774</v>
      </c>
      <c r="B2257" s="68">
        <v>27</v>
      </c>
      <c r="C2257" s="1" t="s">
        <v>20</v>
      </c>
      <c r="D2257" s="1" t="s">
        <v>85</v>
      </c>
      <c r="E2257" s="1" t="s">
        <v>19455</v>
      </c>
      <c r="F2257" s="69">
        <v>42228</v>
      </c>
      <c r="G2257" s="1" t="s">
        <v>19740</v>
      </c>
      <c r="H2257" s="1" t="s">
        <v>775</v>
      </c>
      <c r="I2257" s="1" t="s">
        <v>69</v>
      </c>
      <c r="J2257" s="4" t="s">
        <v>19741</v>
      </c>
      <c r="K2257" s="1" t="s">
        <v>776</v>
      </c>
      <c r="L2257" s="1" t="s">
        <v>777</v>
      </c>
      <c r="M2257" s="1" t="s">
        <v>27</v>
      </c>
      <c r="N2257" s="1" t="s">
        <v>19596</v>
      </c>
      <c r="O2257" s="1" t="s">
        <v>400</v>
      </c>
      <c r="P2257" s="1" t="s">
        <v>401</v>
      </c>
      <c r="Q2257" s="63" t="s">
        <v>19597</v>
      </c>
      <c r="R2257" s="1" t="s">
        <v>100</v>
      </c>
      <c r="S2257" s="1" t="s">
        <v>28</v>
      </c>
      <c r="T2257" s="68" t="s">
        <v>27756</v>
      </c>
      <c r="U2257" s="68" t="s">
        <v>29438</v>
      </c>
      <c r="V2257" s="68" t="s">
        <v>29437</v>
      </c>
      <c r="W2257" s="68" t="s">
        <v>100</v>
      </c>
      <c r="X2257" s="68">
        <v>735</v>
      </c>
      <c r="AW2257" s="44"/>
      <c r="AX2257" s="11"/>
      <c r="AY2257" s="11"/>
      <c r="BA2257" s="44"/>
      <c r="BC2257" s="44"/>
      <c r="BD2257" s="44"/>
      <c r="BE2257" s="44"/>
      <c r="BF2257" s="44"/>
      <c r="BG2257" s="44"/>
      <c r="BH2257" s="44"/>
      <c r="BI2257" s="44"/>
      <c r="BJ2257" s="44"/>
      <c r="BK2257" s="11"/>
    </row>
    <row r="2258" spans="1:63" ht="12" customHeight="1" x14ac:dyDescent="0.2">
      <c r="A2258" s="1" t="s">
        <v>778</v>
      </c>
      <c r="B2258" s="68">
        <v>30</v>
      </c>
      <c r="C2258" s="1" t="s">
        <v>114</v>
      </c>
      <c r="D2258" s="1" t="s">
        <v>85</v>
      </c>
      <c r="F2258" s="69">
        <v>42228</v>
      </c>
      <c r="G2258" s="1" t="s">
        <v>779</v>
      </c>
      <c r="H2258" s="1" t="s">
        <v>98</v>
      </c>
      <c r="I2258" s="1" t="s">
        <v>45</v>
      </c>
      <c r="J2258" s="4" t="s">
        <v>8946</v>
      </c>
      <c r="K2258" s="1" t="s">
        <v>98</v>
      </c>
      <c r="L2258" s="1" t="s">
        <v>99</v>
      </c>
      <c r="M2258" s="68" t="s">
        <v>5411</v>
      </c>
      <c r="N2258" s="1" t="s">
        <v>780</v>
      </c>
      <c r="O2258" s="1" t="s">
        <v>400</v>
      </c>
      <c r="P2258" s="1" t="s">
        <v>401</v>
      </c>
      <c r="Q2258" s="63" t="s">
        <v>19595</v>
      </c>
      <c r="R2258" s="1" t="s">
        <v>100</v>
      </c>
      <c r="S2258" s="1" t="s">
        <v>28</v>
      </c>
      <c r="T2258" s="68" t="s">
        <v>29493</v>
      </c>
      <c r="U2258" s="68" t="s">
        <v>29436</v>
      </c>
      <c r="V2258" s="68" t="s">
        <v>29439</v>
      </c>
      <c r="W2258" s="68" t="s">
        <v>100</v>
      </c>
      <c r="X2258" s="68">
        <v>732</v>
      </c>
      <c r="AW2258" s="11"/>
      <c r="AX2258" s="11"/>
      <c r="AY2258" s="11"/>
      <c r="AZ2258" s="64"/>
      <c r="BB2258" s="70"/>
      <c r="BC2258" s="44"/>
      <c r="BD2258" s="44"/>
      <c r="BE2258" s="44"/>
      <c r="BF2258" s="44"/>
      <c r="BG2258" s="44"/>
      <c r="BH2258" s="44"/>
      <c r="BI2258" s="44"/>
      <c r="BJ2258" s="44"/>
    </row>
    <row r="2259" spans="1:63" ht="12" customHeight="1" x14ac:dyDescent="0.15">
      <c r="A2259" s="1" t="s">
        <v>781</v>
      </c>
      <c r="B2259" s="68">
        <v>27</v>
      </c>
      <c r="C2259" s="1" t="s">
        <v>20</v>
      </c>
      <c r="D2259" s="1" t="s">
        <v>48</v>
      </c>
      <c r="F2259" s="69">
        <v>42228</v>
      </c>
      <c r="G2259" s="1" t="s">
        <v>19736</v>
      </c>
      <c r="H2259" s="1" t="s">
        <v>782</v>
      </c>
      <c r="I2259" s="1" t="s">
        <v>45</v>
      </c>
      <c r="J2259" s="4" t="s">
        <v>19737</v>
      </c>
      <c r="K2259" s="1" t="s">
        <v>783</v>
      </c>
      <c r="L2259" s="1" t="s">
        <v>4452</v>
      </c>
      <c r="M2259" s="1" t="s">
        <v>27</v>
      </c>
      <c r="N2259" s="1" t="s">
        <v>19591</v>
      </c>
      <c r="O2259" s="1" t="s">
        <v>1010</v>
      </c>
      <c r="P2259" s="1" t="s">
        <v>401</v>
      </c>
      <c r="Q2259" s="63" t="s">
        <v>19592</v>
      </c>
      <c r="R2259" s="1" t="s">
        <v>29</v>
      </c>
      <c r="S2259" s="1" t="s">
        <v>28</v>
      </c>
      <c r="T2259" s="68" t="s">
        <v>27756</v>
      </c>
      <c r="U2259" s="68" t="s">
        <v>29438</v>
      </c>
      <c r="V2259" s="68" t="s">
        <v>29437</v>
      </c>
      <c r="W2259" s="68" t="s">
        <v>100</v>
      </c>
      <c r="X2259" s="68">
        <v>733</v>
      </c>
      <c r="AW2259" s="44"/>
      <c r="BK2259" s="11"/>
    </row>
    <row r="2260" spans="1:63" ht="12" customHeight="1" x14ac:dyDescent="0.15">
      <c r="A2260" s="1" t="s">
        <v>785</v>
      </c>
      <c r="B2260" s="68">
        <v>49</v>
      </c>
      <c r="C2260" s="1" t="s">
        <v>20</v>
      </c>
      <c r="D2260" s="1" t="s">
        <v>37</v>
      </c>
      <c r="F2260" s="69">
        <v>42228</v>
      </c>
      <c r="G2260" s="1" t="s">
        <v>19742</v>
      </c>
      <c r="H2260" s="1" t="s">
        <v>449</v>
      </c>
      <c r="I2260" s="1" t="s">
        <v>195</v>
      </c>
      <c r="J2260" s="4" t="s">
        <v>19743</v>
      </c>
      <c r="K2260" s="1" t="s">
        <v>786</v>
      </c>
      <c r="L2260" s="1" t="s">
        <v>19744</v>
      </c>
      <c r="M2260" s="1" t="s">
        <v>27</v>
      </c>
      <c r="N2260" s="1" t="s">
        <v>19598</v>
      </c>
      <c r="O2260" s="1" t="s">
        <v>400</v>
      </c>
      <c r="P2260" s="1" t="s">
        <v>401</v>
      </c>
      <c r="Q2260" s="63" t="s">
        <v>19599</v>
      </c>
      <c r="R2260" s="1" t="s">
        <v>29</v>
      </c>
      <c r="S2260" s="1" t="s">
        <v>28</v>
      </c>
      <c r="T2260" s="68" t="s">
        <v>27756</v>
      </c>
      <c r="U2260" s="68" t="s">
        <v>29441</v>
      </c>
      <c r="V2260" s="68" t="s">
        <v>29437</v>
      </c>
      <c r="W2260" s="68" t="s">
        <v>100</v>
      </c>
      <c r="X2260" s="68">
        <v>736</v>
      </c>
      <c r="BK2260" s="11"/>
    </row>
    <row r="2261" spans="1:63" ht="12" customHeight="1" x14ac:dyDescent="0.15">
      <c r="A2261" s="1" t="s">
        <v>793</v>
      </c>
      <c r="B2261" s="68">
        <v>24</v>
      </c>
      <c r="C2261" s="1" t="s">
        <v>20</v>
      </c>
      <c r="D2261" s="1" t="s">
        <v>37</v>
      </c>
      <c r="E2261" s="1" t="s">
        <v>19457</v>
      </c>
      <c r="F2261" s="69">
        <v>42228</v>
      </c>
      <c r="G2261" s="1" t="s">
        <v>794</v>
      </c>
      <c r="H2261" s="1" t="s">
        <v>795</v>
      </c>
      <c r="I2261" s="1" t="s">
        <v>73</v>
      </c>
      <c r="J2261" s="4" t="s">
        <v>19746</v>
      </c>
      <c r="K2261" s="1" t="s">
        <v>796</v>
      </c>
      <c r="L2261" s="1" t="s">
        <v>281</v>
      </c>
      <c r="M2261" s="1" t="s">
        <v>27</v>
      </c>
      <c r="N2261" s="1" t="s">
        <v>19604</v>
      </c>
      <c r="O2261" s="1" t="s">
        <v>400</v>
      </c>
      <c r="P2261" s="1" t="s">
        <v>401</v>
      </c>
      <c r="Q2261" s="63" t="s">
        <v>19605</v>
      </c>
      <c r="R2261" s="1" t="s">
        <v>29</v>
      </c>
      <c r="S2261" s="1" t="s">
        <v>28</v>
      </c>
      <c r="T2261" s="68" t="s">
        <v>27756</v>
      </c>
      <c r="U2261" s="68" t="s">
        <v>29438</v>
      </c>
      <c r="V2261" s="68" t="s">
        <v>29439</v>
      </c>
      <c r="W2261" s="68" t="s">
        <v>100</v>
      </c>
      <c r="X2261" s="68">
        <v>729</v>
      </c>
      <c r="AW2261" s="11"/>
      <c r="BK2261" s="11"/>
    </row>
    <row r="2262" spans="1:63" ht="12" customHeight="1" x14ac:dyDescent="0.15">
      <c r="A2262" s="1" t="s">
        <v>787</v>
      </c>
      <c r="B2262" s="68">
        <v>34</v>
      </c>
      <c r="C2262" s="1" t="s">
        <v>20</v>
      </c>
      <c r="D2262" s="1" t="s">
        <v>37</v>
      </c>
      <c r="F2262" s="69">
        <v>42227</v>
      </c>
      <c r="G2262" s="1" t="s">
        <v>788</v>
      </c>
      <c r="H2262" s="1" t="s">
        <v>789</v>
      </c>
      <c r="I2262" s="1" t="s">
        <v>790</v>
      </c>
      <c r="J2262" s="4" t="s">
        <v>8706</v>
      </c>
      <c r="K2262" s="1" t="s">
        <v>791</v>
      </c>
      <c r="L2262" s="1" t="s">
        <v>792</v>
      </c>
      <c r="M2262" s="1" t="s">
        <v>27</v>
      </c>
      <c r="N2262" s="1" t="s">
        <v>19600</v>
      </c>
      <c r="O2262" s="1" t="s">
        <v>400</v>
      </c>
      <c r="P2262" s="1" t="s">
        <v>401</v>
      </c>
      <c r="Q2262" s="63" t="s">
        <v>19601</v>
      </c>
      <c r="R2262" s="1" t="s">
        <v>29</v>
      </c>
      <c r="S2262" s="1" t="s">
        <v>28</v>
      </c>
      <c r="T2262" s="68" t="s">
        <v>27756</v>
      </c>
      <c r="U2262" s="68" t="s">
        <v>29438</v>
      </c>
      <c r="V2262" s="68" t="s">
        <v>29439</v>
      </c>
      <c r="W2262" s="68" t="s">
        <v>100</v>
      </c>
      <c r="X2262" s="68">
        <v>728</v>
      </c>
      <c r="AW2262" s="11"/>
      <c r="BK2262" s="11"/>
    </row>
    <row r="2263" spans="1:63" ht="12" customHeight="1" x14ac:dyDescent="0.2">
      <c r="A2263" s="1" t="s">
        <v>797</v>
      </c>
      <c r="B2263" s="68">
        <v>48</v>
      </c>
      <c r="C2263" s="1" t="s">
        <v>20</v>
      </c>
      <c r="D2263" s="1" t="s">
        <v>37</v>
      </c>
      <c r="E2263" s="1" t="s">
        <v>19456</v>
      </c>
      <c r="F2263" s="69">
        <v>42227</v>
      </c>
      <c r="G2263" s="1" t="s">
        <v>798</v>
      </c>
      <c r="H2263" s="1" t="s">
        <v>799</v>
      </c>
      <c r="I2263" s="1" t="s">
        <v>73</v>
      </c>
      <c r="J2263" s="4" t="s">
        <v>19745</v>
      </c>
      <c r="K2263" s="1" t="s">
        <v>800</v>
      </c>
      <c r="L2263" s="1" t="s">
        <v>801</v>
      </c>
      <c r="M2263" s="68" t="s">
        <v>5411</v>
      </c>
      <c r="N2263" s="1" t="s">
        <v>19602</v>
      </c>
      <c r="O2263" s="1" t="s">
        <v>400</v>
      </c>
      <c r="P2263" s="1" t="s">
        <v>401</v>
      </c>
      <c r="Q2263" s="63" t="s">
        <v>19603</v>
      </c>
      <c r="R2263" s="1" t="s">
        <v>29</v>
      </c>
      <c r="S2263" s="1" t="s">
        <v>28</v>
      </c>
      <c r="T2263" s="68" t="s">
        <v>29493</v>
      </c>
      <c r="U2263" s="68" t="s">
        <v>29436</v>
      </c>
      <c r="V2263" s="68" t="s">
        <v>29439</v>
      </c>
      <c r="W2263" s="68" t="s">
        <v>100</v>
      </c>
      <c r="X2263" s="68">
        <v>730</v>
      </c>
      <c r="BB2263" s="70"/>
    </row>
    <row r="2264" spans="1:63" ht="12" customHeight="1" x14ac:dyDescent="0.15">
      <c r="A2264" s="1" t="s">
        <v>805</v>
      </c>
      <c r="B2264" s="68">
        <v>24</v>
      </c>
      <c r="C2264" s="1" t="s">
        <v>20</v>
      </c>
      <c r="D2264" s="1" t="s">
        <v>37</v>
      </c>
      <c r="E2264" s="1" t="s">
        <v>19458</v>
      </c>
      <c r="F2264" s="69">
        <v>42226</v>
      </c>
      <c r="G2264" s="1" t="s">
        <v>19747</v>
      </c>
      <c r="H2264" s="1" t="s">
        <v>806</v>
      </c>
      <c r="I2264" s="1" t="s">
        <v>123</v>
      </c>
      <c r="J2264" s="4" t="s">
        <v>19748</v>
      </c>
      <c r="K2264" s="1" t="s">
        <v>633</v>
      </c>
      <c r="L2264" s="1" t="s">
        <v>807</v>
      </c>
      <c r="M2264" s="1" t="s">
        <v>27</v>
      </c>
      <c r="N2264" s="1" t="s">
        <v>19606</v>
      </c>
      <c r="O2264" s="1" t="s">
        <v>400</v>
      </c>
      <c r="P2264" s="1" t="s">
        <v>401</v>
      </c>
      <c r="Q2264" s="63" t="s">
        <v>19607</v>
      </c>
      <c r="R2264" s="1" t="s">
        <v>29</v>
      </c>
      <c r="S2264" s="1" t="s">
        <v>379</v>
      </c>
      <c r="T2264" s="68" t="s">
        <v>379</v>
      </c>
      <c r="U2264" s="68" t="s">
        <v>29436</v>
      </c>
      <c r="V2264" s="68" t="s">
        <v>29439</v>
      </c>
      <c r="W2264" s="68" t="s">
        <v>100</v>
      </c>
      <c r="X2264" s="68">
        <v>725</v>
      </c>
      <c r="AW2264" s="11"/>
      <c r="BK2264" s="44"/>
    </row>
    <row r="2265" spans="1:63" ht="12" customHeight="1" x14ac:dyDescent="0.15">
      <c r="A2265" s="1" t="s">
        <v>808</v>
      </c>
      <c r="B2265" s="68">
        <v>22</v>
      </c>
      <c r="C2265" s="1" t="s">
        <v>20</v>
      </c>
      <c r="D2265" s="1" t="s">
        <v>48</v>
      </c>
      <c r="F2265" s="69">
        <v>42225</v>
      </c>
      <c r="G2265" s="1" t="s">
        <v>809</v>
      </c>
      <c r="H2265" s="1" t="s">
        <v>606</v>
      </c>
      <c r="I2265" s="1" t="s">
        <v>45</v>
      </c>
      <c r="J2265" s="4" t="s">
        <v>19749</v>
      </c>
      <c r="K2265" s="1" t="s">
        <v>607</v>
      </c>
      <c r="L2265" s="1" t="s">
        <v>727</v>
      </c>
      <c r="M2265" s="1" t="s">
        <v>27</v>
      </c>
      <c r="N2265" s="1" t="s">
        <v>19608</v>
      </c>
      <c r="O2265" s="1" t="s">
        <v>400</v>
      </c>
      <c r="P2265" s="1" t="s">
        <v>401</v>
      </c>
      <c r="Q2265" s="63" t="s">
        <v>19609</v>
      </c>
      <c r="R2265" s="1" t="s">
        <v>29</v>
      </c>
      <c r="S2265" s="1" t="s">
        <v>28</v>
      </c>
      <c r="T2265" s="68" t="s">
        <v>29472</v>
      </c>
      <c r="U2265" s="68" t="s">
        <v>29438</v>
      </c>
      <c r="V2265" s="68" t="s">
        <v>29440</v>
      </c>
      <c r="W2265" s="68" t="s">
        <v>100</v>
      </c>
      <c r="X2265" s="68">
        <v>727</v>
      </c>
      <c r="AW2265" s="44"/>
      <c r="BK2265" s="11"/>
    </row>
    <row r="2266" spans="1:63" ht="12" customHeight="1" x14ac:dyDescent="0.2">
      <c r="A2266" s="1" t="s">
        <v>802</v>
      </c>
      <c r="B2266" s="68">
        <v>15</v>
      </c>
      <c r="C2266" s="1" t="s">
        <v>20</v>
      </c>
      <c r="D2266" s="1" t="s">
        <v>85</v>
      </c>
      <c r="E2266" s="1" t="s">
        <v>19459</v>
      </c>
      <c r="F2266" s="69">
        <v>42225</v>
      </c>
      <c r="G2266" s="1" t="s">
        <v>24459</v>
      </c>
      <c r="H2266" s="1" t="s">
        <v>216</v>
      </c>
      <c r="I2266" s="1" t="s">
        <v>217</v>
      </c>
      <c r="J2266" s="4" t="s">
        <v>1616</v>
      </c>
      <c r="K2266" s="1" t="s">
        <v>420</v>
      </c>
      <c r="L2266" s="1" t="s">
        <v>218</v>
      </c>
      <c r="M2266" s="1" t="s">
        <v>27</v>
      </c>
      <c r="N2266" s="1" t="s">
        <v>803</v>
      </c>
      <c r="O2266" s="1" t="s">
        <v>400</v>
      </c>
      <c r="P2266" s="1" t="s">
        <v>401</v>
      </c>
      <c r="Q2266" s="63" t="s">
        <v>804</v>
      </c>
      <c r="R2266" s="1" t="s">
        <v>29</v>
      </c>
      <c r="S2266" s="1" t="s">
        <v>379</v>
      </c>
      <c r="T2266" s="68" t="s">
        <v>379</v>
      </c>
      <c r="U2266" s="68" t="s">
        <v>29438</v>
      </c>
      <c r="V2266" s="68" t="s">
        <v>29439</v>
      </c>
      <c r="W2266" s="68" t="s">
        <v>100</v>
      </c>
      <c r="X2266" s="68">
        <v>715</v>
      </c>
      <c r="AW2266" s="70"/>
      <c r="AX2266" s="70"/>
      <c r="AY2266" s="70"/>
      <c r="BC2266" s="44"/>
      <c r="BD2266" s="44"/>
      <c r="BE2266" s="44"/>
      <c r="BF2266" s="44"/>
      <c r="BG2266" s="44"/>
      <c r="BH2266" s="44"/>
      <c r="BI2266" s="44"/>
      <c r="BJ2266" s="44"/>
      <c r="BK2266" s="44"/>
    </row>
    <row r="2267" spans="1:63" ht="12" customHeight="1" x14ac:dyDescent="0.15">
      <c r="A2267" s="1" t="s">
        <v>814</v>
      </c>
      <c r="B2267" s="68">
        <v>41</v>
      </c>
      <c r="C2267" s="1" t="s">
        <v>20</v>
      </c>
      <c r="D2267" s="1" t="s">
        <v>37</v>
      </c>
      <c r="E2267" s="1" t="s">
        <v>19460</v>
      </c>
      <c r="F2267" s="69">
        <v>42225</v>
      </c>
      <c r="G2267" s="1" t="s">
        <v>815</v>
      </c>
      <c r="H2267" s="1" t="s">
        <v>816</v>
      </c>
      <c r="I2267" s="1" t="s">
        <v>395</v>
      </c>
      <c r="J2267" s="4" t="s">
        <v>7637</v>
      </c>
      <c r="K2267" s="1" t="s">
        <v>817</v>
      </c>
      <c r="L2267" s="1" t="s">
        <v>818</v>
      </c>
      <c r="M2267" s="1" t="s">
        <v>27</v>
      </c>
      <c r="N2267" s="1" t="s">
        <v>19610</v>
      </c>
      <c r="O2267" s="1" t="s">
        <v>400</v>
      </c>
      <c r="P2267" s="1" t="s">
        <v>401</v>
      </c>
      <c r="Q2267" s="63" t="s">
        <v>19611</v>
      </c>
      <c r="R2267" s="1" t="s">
        <v>555</v>
      </c>
      <c r="S2267" s="2" t="s">
        <v>28</v>
      </c>
      <c r="T2267" s="68" t="s">
        <v>27756</v>
      </c>
      <c r="U2267" s="68" t="s">
        <v>29438</v>
      </c>
      <c r="V2267" s="68" t="s">
        <v>29439</v>
      </c>
      <c r="W2267" s="68" t="s">
        <v>100</v>
      </c>
      <c r="X2267" s="68">
        <v>717</v>
      </c>
      <c r="BA2267" s="11"/>
      <c r="BB2267" s="44"/>
      <c r="BK2267" s="11"/>
    </row>
    <row r="2268" spans="1:63" ht="12" customHeight="1" x14ac:dyDescent="0.15">
      <c r="A2268" s="1" t="s">
        <v>810</v>
      </c>
      <c r="B2268" s="68">
        <v>77</v>
      </c>
      <c r="C2268" s="1" t="s">
        <v>20</v>
      </c>
      <c r="D2268" s="1" t="s">
        <v>30</v>
      </c>
      <c r="F2268" s="69">
        <v>42225</v>
      </c>
      <c r="G2268" s="1" t="s">
        <v>19750</v>
      </c>
      <c r="H2268" s="1" t="s">
        <v>811</v>
      </c>
      <c r="I2268" s="1" t="s">
        <v>404</v>
      </c>
      <c r="J2268" s="4" t="s">
        <v>19751</v>
      </c>
      <c r="K2268" s="1" t="s">
        <v>812</v>
      </c>
      <c r="L2268" s="1" t="s">
        <v>813</v>
      </c>
      <c r="M2268" s="1" t="s">
        <v>27</v>
      </c>
      <c r="N2268" s="1" t="s">
        <v>19612</v>
      </c>
      <c r="O2268" s="1" t="s">
        <v>1010</v>
      </c>
      <c r="P2268" s="1" t="s">
        <v>401</v>
      </c>
      <c r="Q2268" s="63" t="s">
        <v>19613</v>
      </c>
      <c r="R2268" s="1" t="s">
        <v>555</v>
      </c>
      <c r="S2268" s="1" t="s">
        <v>18</v>
      </c>
      <c r="T2268" s="68" t="s">
        <v>29612</v>
      </c>
      <c r="U2268" s="68" t="s">
        <v>29438</v>
      </c>
      <c r="V2268" s="68" t="s">
        <v>29439</v>
      </c>
      <c r="W2268" s="68" t="s">
        <v>100</v>
      </c>
      <c r="X2268" s="68">
        <v>724</v>
      </c>
      <c r="BA2268" s="11"/>
      <c r="BB2268" s="44"/>
    </row>
    <row r="2269" spans="1:63" ht="12" customHeight="1" x14ac:dyDescent="0.15">
      <c r="A2269" s="1" t="s">
        <v>819</v>
      </c>
      <c r="B2269" s="68">
        <v>24</v>
      </c>
      <c r="C2269" s="1" t="s">
        <v>20</v>
      </c>
      <c r="D2269" s="1" t="s">
        <v>85</v>
      </c>
      <c r="E2269" s="1" t="s">
        <v>19463</v>
      </c>
      <c r="F2269" s="69">
        <v>42224</v>
      </c>
      <c r="G2269" s="1" t="s">
        <v>820</v>
      </c>
      <c r="H2269" s="1" t="s">
        <v>821</v>
      </c>
      <c r="I2269" s="1" t="s">
        <v>32</v>
      </c>
      <c r="J2269" s="4" t="s">
        <v>19754</v>
      </c>
      <c r="K2269" s="1" t="s">
        <v>822</v>
      </c>
      <c r="L2269" s="1" t="s">
        <v>823</v>
      </c>
      <c r="M2269" s="1" t="s">
        <v>27</v>
      </c>
      <c r="N2269" s="1" t="s">
        <v>19620</v>
      </c>
      <c r="O2269" s="1" t="s">
        <v>550</v>
      </c>
      <c r="P2269" s="1" t="s">
        <v>401</v>
      </c>
      <c r="Q2269" s="63" t="s">
        <v>19621</v>
      </c>
      <c r="R2269" s="1" t="s">
        <v>29</v>
      </c>
      <c r="S2269" s="1" t="s">
        <v>28</v>
      </c>
      <c r="T2269" s="68" t="s">
        <v>27756</v>
      </c>
      <c r="U2269" s="68" t="s">
        <v>29438</v>
      </c>
      <c r="V2269" s="68" t="s">
        <v>29437</v>
      </c>
      <c r="W2269" s="68" t="s">
        <v>100</v>
      </c>
      <c r="X2269" s="68">
        <v>719</v>
      </c>
      <c r="AW2269" s="11"/>
      <c r="AX2269" s="44"/>
      <c r="AY2269" s="44"/>
      <c r="BC2269" s="44"/>
      <c r="BD2269" s="44"/>
      <c r="BE2269" s="44"/>
      <c r="BF2269" s="44"/>
      <c r="BG2269" s="44"/>
      <c r="BH2269" s="44"/>
      <c r="BI2269" s="44"/>
      <c r="BJ2269" s="44"/>
      <c r="BK2269" s="11"/>
    </row>
    <row r="2270" spans="1:63" ht="12" customHeight="1" x14ac:dyDescent="0.15">
      <c r="A2270" s="1" t="s">
        <v>829</v>
      </c>
      <c r="B2270" s="68">
        <v>33</v>
      </c>
      <c r="C2270" s="1" t="s">
        <v>20</v>
      </c>
      <c r="D2270" s="1" t="s">
        <v>30</v>
      </c>
      <c r="F2270" s="69">
        <v>42224</v>
      </c>
      <c r="G2270" s="1" t="s">
        <v>19753</v>
      </c>
      <c r="H2270" s="1" t="s">
        <v>830</v>
      </c>
      <c r="I2270" s="1" t="s">
        <v>73</v>
      </c>
      <c r="J2270" s="4" t="s">
        <v>11701</v>
      </c>
      <c r="K2270" s="1" t="s">
        <v>831</v>
      </c>
      <c r="L2270" s="1" t="s">
        <v>832</v>
      </c>
      <c r="M2270" s="1" t="s">
        <v>27</v>
      </c>
      <c r="N2270" s="1" t="s">
        <v>19618</v>
      </c>
      <c r="O2270" s="1" t="s">
        <v>400</v>
      </c>
      <c r="P2270" s="1" t="s">
        <v>401</v>
      </c>
      <c r="Q2270" s="63" t="s">
        <v>19619</v>
      </c>
      <c r="R2270" s="1" t="s">
        <v>29</v>
      </c>
      <c r="S2270" s="1" t="s">
        <v>28</v>
      </c>
      <c r="T2270" s="68" t="s">
        <v>27756</v>
      </c>
      <c r="U2270" s="68" t="s">
        <v>29438</v>
      </c>
      <c r="V2270" s="68" t="s">
        <v>29439</v>
      </c>
      <c r="W2270" s="68" t="s">
        <v>100</v>
      </c>
      <c r="X2270" s="68">
        <v>716</v>
      </c>
      <c r="AW2270" s="11"/>
      <c r="BK2270" s="44"/>
    </row>
    <row r="2271" spans="1:63" ht="12" customHeight="1" x14ac:dyDescent="0.15">
      <c r="A2271" s="1" t="s">
        <v>833</v>
      </c>
      <c r="B2271" s="68">
        <v>59</v>
      </c>
      <c r="C2271" s="1" t="s">
        <v>20</v>
      </c>
      <c r="D2271" s="1" t="s">
        <v>37</v>
      </c>
      <c r="E2271" s="1" t="s">
        <v>19461</v>
      </c>
      <c r="F2271" s="69">
        <v>42224</v>
      </c>
      <c r="G2271" s="1" t="s">
        <v>19752</v>
      </c>
      <c r="H2271" s="1" t="s">
        <v>834</v>
      </c>
      <c r="I2271" s="1" t="s">
        <v>366</v>
      </c>
      <c r="J2271" s="4" t="s">
        <v>3587</v>
      </c>
      <c r="K2271" s="1" t="s">
        <v>835</v>
      </c>
      <c r="L2271" s="1" t="s">
        <v>836</v>
      </c>
      <c r="M2271" s="1" t="s">
        <v>27</v>
      </c>
      <c r="N2271" s="1" t="s">
        <v>19614</v>
      </c>
      <c r="O2271" s="1" t="s">
        <v>400</v>
      </c>
      <c r="P2271" s="1" t="s">
        <v>401</v>
      </c>
      <c r="Q2271" s="63" t="s">
        <v>19615</v>
      </c>
      <c r="R2271" s="1" t="s">
        <v>29</v>
      </c>
      <c r="S2271" s="1" t="s">
        <v>28</v>
      </c>
      <c r="T2271" s="68" t="s">
        <v>27756</v>
      </c>
      <c r="U2271" s="68" t="s">
        <v>29438</v>
      </c>
      <c r="V2271" s="68" t="s">
        <v>29439</v>
      </c>
      <c r="W2271" s="68" t="s">
        <v>100</v>
      </c>
      <c r="X2271" s="68">
        <v>722</v>
      </c>
      <c r="BK2271" s="11"/>
    </row>
    <row r="2272" spans="1:63" ht="12" customHeight="1" x14ac:dyDescent="0.15">
      <c r="A2272" s="1" t="s">
        <v>837</v>
      </c>
      <c r="B2272" s="68">
        <v>46</v>
      </c>
      <c r="C2272" s="1" t="s">
        <v>20</v>
      </c>
      <c r="D2272" s="1" t="s">
        <v>37</v>
      </c>
      <c r="E2272" s="1" t="s">
        <v>19462</v>
      </c>
      <c r="F2272" s="69">
        <v>42224</v>
      </c>
      <c r="G2272" s="1" t="s">
        <v>24460</v>
      </c>
      <c r="H2272" s="1" t="s">
        <v>838</v>
      </c>
      <c r="I2272" s="1" t="s">
        <v>303</v>
      </c>
      <c r="J2272" s="4" t="s">
        <v>2347</v>
      </c>
      <c r="K2272" s="1" t="s">
        <v>838</v>
      </c>
      <c r="L2272" s="1" t="s">
        <v>839</v>
      </c>
      <c r="M2272" s="1" t="s">
        <v>27</v>
      </c>
      <c r="N2272" s="1" t="s">
        <v>19616</v>
      </c>
      <c r="O2272" s="1" t="s">
        <v>400</v>
      </c>
      <c r="P2272" s="1" t="s">
        <v>401</v>
      </c>
      <c r="Q2272" s="63" t="s">
        <v>19617</v>
      </c>
      <c r="R2272" s="1" t="s">
        <v>29</v>
      </c>
      <c r="S2272" s="1" t="s">
        <v>28</v>
      </c>
      <c r="T2272" s="68" t="s">
        <v>27756</v>
      </c>
      <c r="U2272" s="68" t="s">
        <v>29438</v>
      </c>
      <c r="V2272" s="68" t="s">
        <v>29439</v>
      </c>
      <c r="W2272" s="68" t="s">
        <v>100</v>
      </c>
      <c r="X2272" s="68">
        <v>723</v>
      </c>
      <c r="BK2272" s="11"/>
    </row>
    <row r="2273" spans="1:63" ht="12" customHeight="1" x14ac:dyDescent="0.2">
      <c r="A2273" s="1" t="s">
        <v>842</v>
      </c>
      <c r="B2273" s="68">
        <v>19</v>
      </c>
      <c r="C2273" s="1" t="s">
        <v>20</v>
      </c>
      <c r="D2273" s="1" t="s">
        <v>85</v>
      </c>
      <c r="E2273" s="1" t="s">
        <v>19466</v>
      </c>
      <c r="F2273" s="69">
        <v>42223</v>
      </c>
      <c r="G2273" s="1" t="s">
        <v>19758</v>
      </c>
      <c r="H2273" s="1" t="s">
        <v>843</v>
      </c>
      <c r="I2273" s="1" t="s">
        <v>73</v>
      </c>
      <c r="J2273" s="4" t="s">
        <v>18230</v>
      </c>
      <c r="K2273" s="1" t="s">
        <v>74</v>
      </c>
      <c r="L2273" s="1" t="s">
        <v>844</v>
      </c>
      <c r="M2273" s="1" t="s">
        <v>27</v>
      </c>
      <c r="N2273" s="1" t="s">
        <v>19626</v>
      </c>
      <c r="O2273" s="1" t="s">
        <v>400</v>
      </c>
      <c r="P2273" s="1" t="s">
        <v>401</v>
      </c>
      <c r="Q2273" s="63" t="s">
        <v>19627</v>
      </c>
      <c r="R2273" s="1" t="s">
        <v>29</v>
      </c>
      <c r="S2273" s="1" t="s">
        <v>18</v>
      </c>
      <c r="T2273" s="68" t="s">
        <v>28345</v>
      </c>
      <c r="U2273" s="68" t="s">
        <v>29436</v>
      </c>
      <c r="V2273" s="68" t="s">
        <v>29439</v>
      </c>
      <c r="W2273" s="68" t="s">
        <v>100</v>
      </c>
      <c r="X2273" s="68">
        <v>711</v>
      </c>
      <c r="AW2273" s="70"/>
      <c r="AX2273" s="70"/>
      <c r="AY2273" s="70"/>
      <c r="BC2273" s="44"/>
      <c r="BD2273" s="44"/>
      <c r="BE2273" s="44"/>
      <c r="BF2273" s="44"/>
      <c r="BG2273" s="44"/>
      <c r="BH2273" s="44"/>
      <c r="BI2273" s="44"/>
      <c r="BJ2273" s="44"/>
    </row>
    <row r="2274" spans="1:63" ht="12" customHeight="1" x14ac:dyDescent="0.15">
      <c r="A2274" s="1" t="s">
        <v>840</v>
      </c>
      <c r="B2274" s="68">
        <v>28</v>
      </c>
      <c r="C2274" s="1" t="s">
        <v>20</v>
      </c>
      <c r="D2274" s="1" t="s">
        <v>85</v>
      </c>
      <c r="E2274" s="1" t="s">
        <v>19467</v>
      </c>
      <c r="F2274" s="69">
        <v>42223</v>
      </c>
      <c r="G2274" s="1" t="s">
        <v>841</v>
      </c>
      <c r="H2274" s="1" t="s">
        <v>489</v>
      </c>
      <c r="I2274" s="1" t="s">
        <v>45</v>
      </c>
      <c r="J2274" s="4" t="s">
        <v>16488</v>
      </c>
      <c r="K2274" s="1" t="s">
        <v>98</v>
      </c>
      <c r="L2274" s="1" t="s">
        <v>490</v>
      </c>
      <c r="M2274" s="1" t="s">
        <v>27</v>
      </c>
      <c r="N2274" s="1" t="s">
        <v>19628</v>
      </c>
      <c r="O2274" s="1" t="s">
        <v>400</v>
      </c>
      <c r="P2274" s="1" t="s">
        <v>401</v>
      </c>
      <c r="Q2274" s="63" t="s">
        <v>19629</v>
      </c>
      <c r="R2274" s="1" t="s">
        <v>29</v>
      </c>
      <c r="S2274" s="1" t="s">
        <v>28</v>
      </c>
      <c r="T2274" s="68" t="s">
        <v>29493</v>
      </c>
      <c r="U2274" s="68" t="s">
        <v>29438</v>
      </c>
      <c r="V2274" s="68" t="s">
        <v>29439</v>
      </c>
      <c r="W2274" s="68" t="s">
        <v>100</v>
      </c>
      <c r="X2274" s="68">
        <v>721</v>
      </c>
      <c r="AW2274" s="44"/>
      <c r="AX2274" s="11"/>
      <c r="AY2274" s="11"/>
      <c r="BC2274" s="44"/>
      <c r="BD2274" s="44"/>
      <c r="BE2274" s="44"/>
      <c r="BF2274" s="44"/>
      <c r="BG2274" s="44"/>
      <c r="BH2274" s="44"/>
      <c r="BI2274" s="44"/>
      <c r="BJ2274" s="44"/>
      <c r="BK2274" s="11"/>
    </row>
    <row r="2275" spans="1:63" ht="12" customHeight="1" x14ac:dyDescent="0.15">
      <c r="A2275" s="1" t="s">
        <v>824</v>
      </c>
      <c r="B2275" s="68">
        <v>25</v>
      </c>
      <c r="C2275" s="1" t="s">
        <v>20</v>
      </c>
      <c r="D2275" s="1" t="s">
        <v>85</v>
      </c>
      <c r="E2275" s="1" t="s">
        <v>19468</v>
      </c>
      <c r="F2275" s="69">
        <v>42223</v>
      </c>
      <c r="G2275" s="1" t="s">
        <v>825</v>
      </c>
      <c r="H2275" s="1" t="s">
        <v>33</v>
      </c>
      <c r="I2275" s="1" t="s">
        <v>366</v>
      </c>
      <c r="J2275" s="4" t="s">
        <v>19762</v>
      </c>
      <c r="K2275" s="1" t="s">
        <v>826</v>
      </c>
      <c r="L2275" s="1" t="s">
        <v>827</v>
      </c>
      <c r="M2275" s="1" t="s">
        <v>27</v>
      </c>
      <c r="N2275" s="1" t="s">
        <v>19634</v>
      </c>
      <c r="O2275" s="1" t="s">
        <v>550</v>
      </c>
      <c r="P2275" s="1" t="s">
        <v>401</v>
      </c>
      <c r="Q2275" s="63" t="s">
        <v>828</v>
      </c>
      <c r="R2275" s="1" t="s">
        <v>29</v>
      </c>
      <c r="S2275" s="1" t="s">
        <v>28</v>
      </c>
      <c r="T2275" s="68" t="s">
        <v>27756</v>
      </c>
      <c r="U2275" s="68" t="s">
        <v>29438</v>
      </c>
      <c r="V2275" s="68" t="s">
        <v>29439</v>
      </c>
      <c r="W2275" s="68" t="s">
        <v>100</v>
      </c>
      <c r="X2275" s="68">
        <v>720</v>
      </c>
      <c r="AW2275" s="44"/>
      <c r="AX2275" s="44"/>
      <c r="AY2275" s="44"/>
      <c r="BC2275" s="44"/>
      <c r="BD2275" s="44"/>
      <c r="BE2275" s="44"/>
      <c r="BF2275" s="44"/>
      <c r="BG2275" s="44"/>
      <c r="BH2275" s="44"/>
      <c r="BI2275" s="44"/>
      <c r="BJ2275" s="44"/>
      <c r="BK2275" s="11"/>
    </row>
    <row r="2276" spans="1:63" ht="12" customHeight="1" x14ac:dyDescent="0.15">
      <c r="A2276" s="1" t="s">
        <v>847</v>
      </c>
      <c r="B2276" s="1">
        <v>26</v>
      </c>
      <c r="C2276" s="1" t="s">
        <v>20</v>
      </c>
      <c r="D2276" s="1" t="s">
        <v>37</v>
      </c>
      <c r="F2276" s="72">
        <v>42223</v>
      </c>
      <c r="G2276" s="1" t="s">
        <v>848</v>
      </c>
      <c r="H2276" s="1" t="s">
        <v>849</v>
      </c>
      <c r="I2276" s="1" t="s">
        <v>41</v>
      </c>
      <c r="J2276" s="4" t="s">
        <v>16712</v>
      </c>
      <c r="K2276" s="1" t="s">
        <v>849</v>
      </c>
      <c r="L2276" s="1" t="s">
        <v>850</v>
      </c>
      <c r="M2276" s="1" t="s">
        <v>391</v>
      </c>
      <c r="N2276" s="1" t="s">
        <v>19632</v>
      </c>
      <c r="O2276" s="1" t="s">
        <v>400</v>
      </c>
      <c r="P2276" s="1" t="s">
        <v>401</v>
      </c>
      <c r="Q2276" s="63" t="s">
        <v>19633</v>
      </c>
      <c r="R2276" s="1" t="s">
        <v>29</v>
      </c>
      <c r="S2276" s="1" t="s">
        <v>18</v>
      </c>
      <c r="AU2276" s="11"/>
      <c r="AV2276" s="11"/>
      <c r="AW2276" s="11"/>
    </row>
    <row r="2277" spans="1:63" ht="12" customHeight="1" x14ac:dyDescent="0.15">
      <c r="A2277" s="1" t="s">
        <v>852</v>
      </c>
      <c r="B2277" s="68">
        <v>53</v>
      </c>
      <c r="C2277" s="1" t="s">
        <v>20</v>
      </c>
      <c r="D2277" s="1" t="s">
        <v>37</v>
      </c>
      <c r="F2277" s="69">
        <v>42223</v>
      </c>
      <c r="G2277" s="1" t="s">
        <v>19759</v>
      </c>
      <c r="H2277" s="1" t="s">
        <v>853</v>
      </c>
      <c r="I2277" s="1" t="s">
        <v>854</v>
      </c>
      <c r="J2277" s="4" t="s">
        <v>19760</v>
      </c>
      <c r="K2277" s="1" t="s">
        <v>855</v>
      </c>
      <c r="L2277" s="1" t="s">
        <v>19761</v>
      </c>
      <c r="M2277" s="1" t="s">
        <v>27</v>
      </c>
      <c r="N2277" s="1" t="s">
        <v>19630</v>
      </c>
      <c r="O2277" s="1" t="s">
        <v>400</v>
      </c>
      <c r="P2277" s="1" t="s">
        <v>401</v>
      </c>
      <c r="Q2277" s="63" t="s">
        <v>19631</v>
      </c>
      <c r="R2277" s="1" t="s">
        <v>29</v>
      </c>
      <c r="S2277" s="1" t="s">
        <v>379</v>
      </c>
      <c r="T2277" s="68" t="s">
        <v>379</v>
      </c>
      <c r="U2277" s="68" t="s">
        <v>29436</v>
      </c>
      <c r="V2277" s="68" t="s">
        <v>29437</v>
      </c>
      <c r="W2277" s="68" t="s">
        <v>100</v>
      </c>
      <c r="X2277" s="68">
        <v>718</v>
      </c>
      <c r="BK2277" s="44"/>
    </row>
    <row r="2278" spans="1:63" ht="12" customHeight="1" x14ac:dyDescent="0.15">
      <c r="A2278" s="1" t="s">
        <v>851</v>
      </c>
      <c r="B2278" s="68">
        <v>30</v>
      </c>
      <c r="C2278" s="1" t="s">
        <v>20</v>
      </c>
      <c r="D2278" s="1" t="s">
        <v>37</v>
      </c>
      <c r="E2278" s="1" t="s">
        <v>19464</v>
      </c>
      <c r="F2278" s="69">
        <v>42223</v>
      </c>
      <c r="G2278" s="1" t="s">
        <v>19755</v>
      </c>
      <c r="H2278" s="1" t="s">
        <v>200</v>
      </c>
      <c r="I2278" s="1" t="s">
        <v>45</v>
      </c>
      <c r="J2278" s="4" t="s">
        <v>19756</v>
      </c>
      <c r="K2278" s="1" t="s">
        <v>200</v>
      </c>
      <c r="L2278" s="1" t="s">
        <v>201</v>
      </c>
      <c r="M2278" s="1" t="s">
        <v>27</v>
      </c>
      <c r="N2278" s="1" t="s">
        <v>19622</v>
      </c>
      <c r="O2278" s="1" t="s">
        <v>550</v>
      </c>
      <c r="P2278" s="1" t="s">
        <v>401</v>
      </c>
      <c r="Q2278" s="63" t="s">
        <v>19623</v>
      </c>
      <c r="R2278" s="1" t="s">
        <v>555</v>
      </c>
      <c r="S2278" s="1" t="s">
        <v>18</v>
      </c>
      <c r="T2278" s="68" t="s">
        <v>29612</v>
      </c>
      <c r="U2278" s="68" t="s">
        <v>29438</v>
      </c>
      <c r="V2278" s="68" t="s">
        <v>29439</v>
      </c>
      <c r="W2278" s="68" t="s">
        <v>100</v>
      </c>
      <c r="X2278" s="68">
        <v>713</v>
      </c>
      <c r="AW2278" s="11"/>
      <c r="BA2278" s="11"/>
      <c r="BB2278" s="44"/>
    </row>
    <row r="2279" spans="1:63" ht="12" customHeight="1" x14ac:dyDescent="0.2">
      <c r="A2279" s="1" t="s">
        <v>845</v>
      </c>
      <c r="B2279" s="68">
        <v>24</v>
      </c>
      <c r="C2279" s="1" t="s">
        <v>20</v>
      </c>
      <c r="D2279" s="1" t="s">
        <v>48</v>
      </c>
      <c r="E2279" s="1" t="s">
        <v>19465</v>
      </c>
      <c r="F2279" s="69">
        <v>42223</v>
      </c>
      <c r="G2279" s="1" t="s">
        <v>846</v>
      </c>
      <c r="H2279" s="1" t="s">
        <v>655</v>
      </c>
      <c r="I2279" s="1" t="s">
        <v>269</v>
      </c>
      <c r="J2279" s="4" t="s">
        <v>19757</v>
      </c>
      <c r="K2279" s="1" t="s">
        <v>570</v>
      </c>
      <c r="L2279" s="1" t="s">
        <v>571</v>
      </c>
      <c r="M2279" s="1" t="s">
        <v>27</v>
      </c>
      <c r="N2279" s="1" t="s">
        <v>19624</v>
      </c>
      <c r="O2279" s="1" t="s">
        <v>400</v>
      </c>
      <c r="P2279" s="1" t="s">
        <v>401</v>
      </c>
      <c r="Q2279" s="63" t="s">
        <v>19625</v>
      </c>
      <c r="R2279" s="68" t="s">
        <v>555</v>
      </c>
      <c r="S2279" s="2" t="s">
        <v>35</v>
      </c>
      <c r="T2279" s="68" t="s">
        <v>29444</v>
      </c>
      <c r="U2279" s="68" t="s">
        <v>29436</v>
      </c>
      <c r="V2279" s="68" t="s">
        <v>29439</v>
      </c>
      <c r="W2279" s="68" t="s">
        <v>555</v>
      </c>
      <c r="X2279" s="68">
        <v>712</v>
      </c>
      <c r="AW2279" s="11"/>
      <c r="BA2279" s="70"/>
      <c r="BB2279" s="44"/>
    </row>
    <row r="2280" spans="1:63" ht="12" customHeight="1" x14ac:dyDescent="0.15">
      <c r="A2280" s="1" t="s">
        <v>860</v>
      </c>
      <c r="B2280" s="1">
        <v>32</v>
      </c>
      <c r="C2280" s="1" t="s">
        <v>20</v>
      </c>
      <c r="D2280" s="1" t="s">
        <v>85</v>
      </c>
      <c r="E2280" s="1" t="s">
        <v>19471</v>
      </c>
      <c r="F2280" s="72">
        <v>42222</v>
      </c>
      <c r="G2280" s="1" t="s">
        <v>19766</v>
      </c>
      <c r="H2280" s="1" t="s">
        <v>1034</v>
      </c>
      <c r="I2280" s="1" t="s">
        <v>173</v>
      </c>
      <c r="J2280" s="4" t="s">
        <v>19767</v>
      </c>
      <c r="K2280" s="1" t="s">
        <v>861</v>
      </c>
      <c r="L2280" s="1" t="s">
        <v>862</v>
      </c>
      <c r="M2280" s="1" t="s">
        <v>391</v>
      </c>
      <c r="N2280" s="1" t="s">
        <v>19638</v>
      </c>
      <c r="O2280" s="1" t="s">
        <v>400</v>
      </c>
      <c r="P2280" s="1" t="s">
        <v>401</v>
      </c>
      <c r="Q2280" s="63" t="s">
        <v>19639</v>
      </c>
      <c r="R2280" s="1" t="s">
        <v>100</v>
      </c>
      <c r="S2280" s="1" t="s">
        <v>18</v>
      </c>
      <c r="AU2280" s="11"/>
      <c r="AV2280" s="11"/>
      <c r="AW2280" s="11"/>
      <c r="AX2280" s="11"/>
      <c r="AY2280" s="11"/>
      <c r="BC2280" s="44"/>
      <c r="BD2280" s="44"/>
      <c r="BE2280" s="44"/>
      <c r="BF2280" s="44"/>
      <c r="BG2280" s="44"/>
      <c r="BH2280" s="44"/>
      <c r="BI2280" s="44"/>
      <c r="BJ2280" s="44"/>
    </row>
    <row r="2281" spans="1:63" ht="12" customHeight="1" x14ac:dyDescent="0.2">
      <c r="A2281" s="11" t="s">
        <v>22936</v>
      </c>
      <c r="B2281" s="11">
        <v>22</v>
      </c>
      <c r="C2281" s="11" t="s">
        <v>20</v>
      </c>
      <c r="D2281" s="11" t="s">
        <v>85</v>
      </c>
      <c r="E2281" s="11" t="s">
        <v>22951</v>
      </c>
      <c r="F2281" s="72">
        <v>42222</v>
      </c>
      <c r="G2281" s="11" t="s">
        <v>22950</v>
      </c>
      <c r="H2281" s="11" t="s">
        <v>1060</v>
      </c>
      <c r="I2281" s="11" t="s">
        <v>62</v>
      </c>
      <c r="J2281" s="10">
        <v>32805</v>
      </c>
      <c r="K2281" s="1" t="s">
        <v>1061</v>
      </c>
      <c r="L2281" s="11" t="s">
        <v>1062</v>
      </c>
      <c r="M2281" s="11" t="s">
        <v>22940</v>
      </c>
      <c r="N2281" s="11" t="s">
        <v>22948</v>
      </c>
      <c r="O2281" s="11" t="s">
        <v>400</v>
      </c>
      <c r="P2281" s="11" t="s">
        <v>401</v>
      </c>
      <c r="Q2281" s="11" t="s">
        <v>22949</v>
      </c>
      <c r="R2281" s="11" t="s">
        <v>100</v>
      </c>
      <c r="S2281" s="11" t="s">
        <v>28</v>
      </c>
      <c r="T2281" s="11"/>
      <c r="U2281" s="11"/>
      <c r="V2281" s="11"/>
      <c r="W2281" s="11"/>
      <c r="X2281" s="11"/>
      <c r="Y2281" s="11"/>
      <c r="Z2281" s="11"/>
      <c r="AA2281" s="11"/>
      <c r="AB2281" s="11"/>
      <c r="AC2281" s="11"/>
      <c r="AD2281" s="11"/>
      <c r="AE2281" s="11"/>
      <c r="AF2281" s="11"/>
      <c r="AG2281" s="11"/>
      <c r="AH2281" s="11"/>
      <c r="AI2281" s="11"/>
      <c r="AJ2281" s="11"/>
      <c r="AK2281" s="11"/>
      <c r="AT2281" s="70"/>
      <c r="AU2281" s="70"/>
      <c r="AW2281" s="44"/>
      <c r="AX2281" s="44"/>
      <c r="BB2281" s="44"/>
      <c r="BC2281" s="44"/>
      <c r="BD2281" s="44"/>
      <c r="BE2281" s="44"/>
      <c r="BF2281" s="44"/>
      <c r="BG2281" s="44"/>
      <c r="BH2281" s="44"/>
      <c r="BI2281" s="44"/>
      <c r="BJ2281" s="78"/>
      <c r="BK2281" s="78"/>
    </row>
    <row r="2282" spans="1:63" ht="12" customHeight="1" x14ac:dyDescent="0.15">
      <c r="A2282" s="1" t="s">
        <v>856</v>
      </c>
      <c r="B2282" s="68">
        <v>22</v>
      </c>
      <c r="C2282" s="1" t="s">
        <v>20</v>
      </c>
      <c r="D2282" s="1" t="s">
        <v>85</v>
      </c>
      <c r="E2282" s="1" t="s">
        <v>19469</v>
      </c>
      <c r="F2282" s="69">
        <v>42222</v>
      </c>
      <c r="G2282" s="1" t="s">
        <v>19763</v>
      </c>
      <c r="H2282" s="1" t="s">
        <v>857</v>
      </c>
      <c r="I2282" s="1" t="s">
        <v>73</v>
      </c>
      <c r="J2282" s="4" t="s">
        <v>19764</v>
      </c>
      <c r="K2282" s="1" t="s">
        <v>857</v>
      </c>
      <c r="L2282" s="1" t="s">
        <v>858</v>
      </c>
      <c r="M2282" s="1" t="s">
        <v>27</v>
      </c>
      <c r="N2282" s="1" t="s">
        <v>19635</v>
      </c>
      <c r="O2282" s="1" t="s">
        <v>400</v>
      </c>
      <c r="P2282" s="1" t="s">
        <v>401</v>
      </c>
      <c r="Q2282" s="63" t="s">
        <v>859</v>
      </c>
      <c r="R2282" s="1" t="s">
        <v>100</v>
      </c>
      <c r="S2282" s="1" t="s">
        <v>28</v>
      </c>
      <c r="T2282" s="68" t="s">
        <v>27756</v>
      </c>
      <c r="U2282" s="68" t="s">
        <v>29438</v>
      </c>
      <c r="V2282" s="68" t="s">
        <v>29437</v>
      </c>
      <c r="W2282" s="68" t="s">
        <v>100</v>
      </c>
      <c r="X2282" s="68">
        <v>737</v>
      </c>
      <c r="AW2282" s="44"/>
      <c r="AX2282" s="44"/>
      <c r="AY2282" s="44"/>
      <c r="BC2282" s="44"/>
      <c r="BD2282" s="44"/>
      <c r="BE2282" s="44"/>
      <c r="BF2282" s="44"/>
      <c r="BG2282" s="44"/>
      <c r="BH2282" s="44"/>
      <c r="BI2282" s="44"/>
      <c r="BJ2282" s="44"/>
      <c r="BK2282" s="11"/>
    </row>
    <row r="2283" spans="1:63" ht="12" customHeight="1" x14ac:dyDescent="0.15">
      <c r="A2283" s="1" t="s">
        <v>863</v>
      </c>
      <c r="B2283" s="68">
        <v>42</v>
      </c>
      <c r="C2283" s="1" t="s">
        <v>20</v>
      </c>
      <c r="D2283" s="1" t="s">
        <v>48</v>
      </c>
      <c r="E2283" s="1" t="s">
        <v>19470</v>
      </c>
      <c r="F2283" s="69">
        <v>42222</v>
      </c>
      <c r="G2283" s="1" t="s">
        <v>864</v>
      </c>
      <c r="H2283" s="1" t="s">
        <v>865</v>
      </c>
      <c r="I2283" s="1" t="s">
        <v>315</v>
      </c>
      <c r="J2283" s="4" t="s">
        <v>19765</v>
      </c>
      <c r="K2283" s="1" t="s">
        <v>866</v>
      </c>
      <c r="L2283" s="1" t="s">
        <v>867</v>
      </c>
      <c r="M2283" s="1" t="s">
        <v>27</v>
      </c>
      <c r="N2283" s="1" t="s">
        <v>19636</v>
      </c>
      <c r="O2283" s="1" t="s">
        <v>400</v>
      </c>
      <c r="P2283" s="1" t="s">
        <v>401</v>
      </c>
      <c r="Q2283" s="63" t="s">
        <v>19637</v>
      </c>
      <c r="R2283" s="1" t="s">
        <v>100</v>
      </c>
      <c r="S2283" s="1" t="s">
        <v>28</v>
      </c>
      <c r="T2283" s="68" t="s">
        <v>29493</v>
      </c>
      <c r="U2283" s="68" t="s">
        <v>29438</v>
      </c>
      <c r="V2283" s="68" t="s">
        <v>29439</v>
      </c>
      <c r="W2283" s="68" t="s">
        <v>100</v>
      </c>
      <c r="X2283" s="68">
        <v>710</v>
      </c>
      <c r="BK2283" s="11"/>
    </row>
    <row r="2284" spans="1:63" ht="12" customHeight="1" x14ac:dyDescent="0.15">
      <c r="A2284" s="1" t="s">
        <v>868</v>
      </c>
      <c r="B2284" s="68">
        <v>39</v>
      </c>
      <c r="C2284" s="1" t="s">
        <v>20</v>
      </c>
      <c r="D2284" s="1" t="s">
        <v>85</v>
      </c>
      <c r="E2284" s="1" t="s">
        <v>19474</v>
      </c>
      <c r="F2284" s="69">
        <v>42221</v>
      </c>
      <c r="G2284" s="1" t="s">
        <v>19772</v>
      </c>
      <c r="H2284" s="1" t="s">
        <v>869</v>
      </c>
      <c r="I2284" s="1" t="s">
        <v>870</v>
      </c>
      <c r="J2284" s="4" t="s">
        <v>19773</v>
      </c>
      <c r="K2284" s="1" t="s">
        <v>871</v>
      </c>
      <c r="L2284" s="1" t="s">
        <v>872</v>
      </c>
      <c r="M2284" s="1" t="s">
        <v>27</v>
      </c>
      <c r="N2284" s="1" t="s">
        <v>19644</v>
      </c>
      <c r="O2284" s="1" t="s">
        <v>550</v>
      </c>
      <c r="P2284" s="1" t="s">
        <v>401</v>
      </c>
      <c r="Q2284" s="63" t="s">
        <v>19645</v>
      </c>
      <c r="R2284" s="1" t="s">
        <v>100</v>
      </c>
      <c r="S2284" s="1" t="s">
        <v>28</v>
      </c>
      <c r="T2284" s="68" t="s">
        <v>27756</v>
      </c>
      <c r="U2284" s="68" t="s">
        <v>29438</v>
      </c>
      <c r="V2284" s="68" t="s">
        <v>29439</v>
      </c>
      <c r="W2284" s="68" t="s">
        <v>100</v>
      </c>
      <c r="X2284" s="68">
        <v>705</v>
      </c>
      <c r="AW2284" s="44"/>
      <c r="AX2284" s="44"/>
      <c r="AY2284" s="44"/>
      <c r="BC2284" s="44"/>
      <c r="BD2284" s="44"/>
      <c r="BE2284" s="44"/>
      <c r="BF2284" s="44"/>
      <c r="BG2284" s="44"/>
      <c r="BH2284" s="44"/>
      <c r="BI2284" s="44"/>
      <c r="BJ2284" s="44"/>
      <c r="BK2284" s="11"/>
    </row>
    <row r="2285" spans="1:63" ht="12" customHeight="1" x14ac:dyDescent="0.2">
      <c r="A2285" s="1" t="s">
        <v>889</v>
      </c>
      <c r="B2285" s="68">
        <v>18</v>
      </c>
      <c r="C2285" s="1" t="s">
        <v>20</v>
      </c>
      <c r="D2285" s="1" t="s">
        <v>37</v>
      </c>
      <c r="E2285" s="1" t="s">
        <v>19475</v>
      </c>
      <c r="F2285" s="69">
        <v>42221</v>
      </c>
      <c r="G2285" s="1" t="s">
        <v>19774</v>
      </c>
      <c r="H2285" s="1" t="s">
        <v>890</v>
      </c>
      <c r="I2285" s="1" t="s">
        <v>315</v>
      </c>
      <c r="J2285" s="4" t="s">
        <v>19775</v>
      </c>
      <c r="K2285" s="1" t="s">
        <v>1778</v>
      </c>
      <c r="L2285" s="1" t="s">
        <v>891</v>
      </c>
      <c r="M2285" s="1" t="s">
        <v>27</v>
      </c>
      <c r="N2285" s="1" t="s">
        <v>19646</v>
      </c>
      <c r="O2285" s="1" t="s">
        <v>400</v>
      </c>
      <c r="P2285" s="1" t="s">
        <v>401</v>
      </c>
      <c r="Q2285" s="63" t="s">
        <v>19647</v>
      </c>
      <c r="R2285" s="1" t="s">
        <v>100</v>
      </c>
      <c r="S2285" s="1" t="s">
        <v>28</v>
      </c>
      <c r="T2285" s="68" t="s">
        <v>29493</v>
      </c>
      <c r="U2285" s="68" t="s">
        <v>29438</v>
      </c>
      <c r="V2285" s="68" t="s">
        <v>29439</v>
      </c>
      <c r="W2285" s="68" t="s">
        <v>100</v>
      </c>
      <c r="X2285" s="68">
        <v>703</v>
      </c>
      <c r="AW2285" s="70"/>
      <c r="BK2285" s="11"/>
    </row>
    <row r="2286" spans="1:63" ht="12" customHeight="1" x14ac:dyDescent="0.15">
      <c r="A2286" s="1" t="s">
        <v>881</v>
      </c>
      <c r="B2286" s="68">
        <v>40</v>
      </c>
      <c r="C2286" s="1" t="s">
        <v>20</v>
      </c>
      <c r="D2286" s="1" t="s">
        <v>37</v>
      </c>
      <c r="E2286" s="1" t="s">
        <v>19472</v>
      </c>
      <c r="F2286" s="69">
        <v>42221</v>
      </c>
      <c r="G2286" s="1" t="s">
        <v>19768</v>
      </c>
      <c r="H2286" s="1" t="s">
        <v>882</v>
      </c>
      <c r="I2286" s="1" t="s">
        <v>303</v>
      </c>
      <c r="J2286" s="4" t="s">
        <v>2409</v>
      </c>
      <c r="K2286" s="1" t="s">
        <v>883</v>
      </c>
      <c r="L2286" s="1" t="s">
        <v>884</v>
      </c>
      <c r="M2286" s="1" t="s">
        <v>27</v>
      </c>
      <c r="N2286" s="1" t="s">
        <v>19640</v>
      </c>
      <c r="O2286" s="1" t="s">
        <v>1010</v>
      </c>
      <c r="P2286" s="1" t="s">
        <v>401</v>
      </c>
      <c r="Q2286" s="63" t="s">
        <v>20841</v>
      </c>
      <c r="R2286" s="1" t="s">
        <v>100</v>
      </c>
      <c r="S2286" s="1" t="s">
        <v>28</v>
      </c>
      <c r="T2286" s="68" t="s">
        <v>27756</v>
      </c>
      <c r="U2286" s="68" t="s">
        <v>29438</v>
      </c>
      <c r="V2286" s="68" t="s">
        <v>29439</v>
      </c>
      <c r="W2286" s="68" t="s">
        <v>100</v>
      </c>
      <c r="X2286" s="68">
        <v>708</v>
      </c>
      <c r="AW2286" s="44"/>
      <c r="BK2286" s="11"/>
    </row>
    <row r="2287" spans="1:63" ht="12" customHeight="1" x14ac:dyDescent="0.2">
      <c r="A2287" s="1" t="s">
        <v>873</v>
      </c>
      <c r="B2287" s="68">
        <v>20</v>
      </c>
      <c r="C2287" s="1" t="s">
        <v>20</v>
      </c>
      <c r="D2287" s="1" t="s">
        <v>85</v>
      </c>
      <c r="E2287" s="1" t="s">
        <v>19473</v>
      </c>
      <c r="F2287" s="69">
        <v>42221</v>
      </c>
      <c r="G2287" s="1" t="s">
        <v>24461</v>
      </c>
      <c r="H2287" s="1" t="s">
        <v>874</v>
      </c>
      <c r="I2287" s="1" t="s">
        <v>244</v>
      </c>
      <c r="J2287" s="4" t="s">
        <v>19771</v>
      </c>
      <c r="K2287" s="1" t="s">
        <v>18984</v>
      </c>
      <c r="L2287" s="1" t="s">
        <v>875</v>
      </c>
      <c r="M2287" s="1" t="s">
        <v>27</v>
      </c>
      <c r="N2287" s="1" t="s">
        <v>19642</v>
      </c>
      <c r="O2287" s="1" t="s">
        <v>550</v>
      </c>
      <c r="P2287" s="1" t="s">
        <v>401</v>
      </c>
      <c r="Q2287" s="63" t="s">
        <v>19643</v>
      </c>
      <c r="R2287" s="1" t="s">
        <v>29</v>
      </c>
      <c r="S2287" s="1" t="s">
        <v>28</v>
      </c>
      <c r="T2287" s="68" t="s">
        <v>27756</v>
      </c>
      <c r="U2287" s="68" t="s">
        <v>29438</v>
      </c>
      <c r="V2287" s="68" t="s">
        <v>29440</v>
      </c>
      <c r="W2287" s="68" t="s">
        <v>100</v>
      </c>
      <c r="X2287" s="68">
        <v>706</v>
      </c>
      <c r="AW2287" s="70"/>
      <c r="AX2287" s="70"/>
      <c r="AY2287" s="70"/>
      <c r="BC2287" s="44"/>
      <c r="BD2287" s="44"/>
      <c r="BE2287" s="44"/>
      <c r="BF2287" s="44"/>
      <c r="BG2287" s="44"/>
      <c r="BH2287" s="44"/>
      <c r="BI2287" s="44"/>
      <c r="BJ2287" s="44"/>
      <c r="BK2287" s="11"/>
    </row>
    <row r="2288" spans="1:63" ht="12" customHeight="1" x14ac:dyDescent="0.15">
      <c r="A2288" s="1" t="s">
        <v>876</v>
      </c>
      <c r="B2288" s="68">
        <v>29</v>
      </c>
      <c r="C2288" s="1" t="s">
        <v>20</v>
      </c>
      <c r="D2288" s="1" t="s">
        <v>48</v>
      </c>
      <c r="E2288" s="1" t="s">
        <v>19476</v>
      </c>
      <c r="F2288" s="69">
        <v>42221</v>
      </c>
      <c r="G2288" s="1" t="s">
        <v>877</v>
      </c>
      <c r="H2288" s="1" t="s">
        <v>2028</v>
      </c>
      <c r="I2288" s="1" t="s">
        <v>319</v>
      </c>
      <c r="J2288" s="4" t="s">
        <v>11634</v>
      </c>
      <c r="K2288" s="1" t="s">
        <v>879</v>
      </c>
      <c r="L2288" s="1" t="s">
        <v>880</v>
      </c>
      <c r="M2288" s="1" t="s">
        <v>27</v>
      </c>
      <c r="N2288" s="1" t="s">
        <v>19648</v>
      </c>
      <c r="O2288" s="1" t="s">
        <v>400</v>
      </c>
      <c r="P2288" s="1" t="s">
        <v>401</v>
      </c>
      <c r="Q2288" s="63" t="s">
        <v>19649</v>
      </c>
      <c r="R2288" s="1" t="s">
        <v>555</v>
      </c>
      <c r="S2288" s="1" t="s">
        <v>28</v>
      </c>
      <c r="T2288" s="68" t="s">
        <v>29451</v>
      </c>
      <c r="U2288" s="68" t="s">
        <v>29438</v>
      </c>
      <c r="V2288" s="68" t="s">
        <v>29439</v>
      </c>
      <c r="W2288" s="68" t="s">
        <v>100</v>
      </c>
      <c r="X2288" s="68">
        <v>707</v>
      </c>
      <c r="AW2288" s="44"/>
      <c r="BA2288" s="11"/>
      <c r="BB2288" s="44"/>
      <c r="BK2288" s="11"/>
    </row>
    <row r="2289" spans="1:63" ht="12" customHeight="1" x14ac:dyDescent="0.15">
      <c r="A2289" s="1" t="s">
        <v>885</v>
      </c>
      <c r="B2289" s="68">
        <v>51</v>
      </c>
      <c r="C2289" s="1" t="s">
        <v>20</v>
      </c>
      <c r="D2289" s="1" t="s">
        <v>37</v>
      </c>
      <c r="F2289" s="69">
        <v>42221</v>
      </c>
      <c r="G2289" s="1" t="s">
        <v>19769</v>
      </c>
      <c r="H2289" s="1" t="s">
        <v>886</v>
      </c>
      <c r="I2289" s="1" t="s">
        <v>438</v>
      </c>
      <c r="J2289" s="4" t="s">
        <v>19770</v>
      </c>
      <c r="K2289" s="1" t="s">
        <v>887</v>
      </c>
      <c r="L2289" s="1" t="s">
        <v>888</v>
      </c>
      <c r="M2289" s="1" t="s">
        <v>27</v>
      </c>
      <c r="N2289" s="1" t="s">
        <v>19641</v>
      </c>
      <c r="O2289" s="1" t="s">
        <v>400</v>
      </c>
      <c r="P2289" s="1" t="s">
        <v>401</v>
      </c>
      <c r="Q2289" s="63" t="s">
        <v>20840</v>
      </c>
      <c r="R2289" s="1" t="s">
        <v>555</v>
      </c>
      <c r="S2289" s="1" t="s">
        <v>28</v>
      </c>
      <c r="T2289" s="68" t="s">
        <v>29493</v>
      </c>
      <c r="U2289" s="68" t="s">
        <v>29436</v>
      </c>
      <c r="V2289" s="68" t="s">
        <v>29439</v>
      </c>
      <c r="W2289" s="68" t="s">
        <v>100</v>
      </c>
      <c r="X2289" s="68">
        <v>704</v>
      </c>
      <c r="BA2289" s="11"/>
      <c r="BB2289" s="44"/>
      <c r="BK2289" s="11"/>
    </row>
    <row r="2290" spans="1:63" ht="12" customHeight="1" x14ac:dyDescent="0.2">
      <c r="A2290" s="1" t="s">
        <v>895</v>
      </c>
      <c r="B2290" s="68">
        <v>31</v>
      </c>
      <c r="C2290" s="1" t="s">
        <v>20</v>
      </c>
      <c r="D2290" s="1" t="s">
        <v>85</v>
      </c>
      <c r="E2290" s="1" t="s">
        <v>19477</v>
      </c>
      <c r="F2290" s="69">
        <v>42220</v>
      </c>
      <c r="G2290" s="1" t="s">
        <v>19779</v>
      </c>
      <c r="H2290" s="1" t="s">
        <v>896</v>
      </c>
      <c r="I2290" s="1" t="s">
        <v>44</v>
      </c>
      <c r="J2290" s="4" t="s">
        <v>19780</v>
      </c>
      <c r="K2290" s="1" t="s">
        <v>897</v>
      </c>
      <c r="L2290" s="1" t="s">
        <v>898</v>
      </c>
      <c r="M2290" s="1" t="s">
        <v>27</v>
      </c>
      <c r="N2290" s="1" t="s">
        <v>19651</v>
      </c>
      <c r="O2290" s="1" t="s">
        <v>550</v>
      </c>
      <c r="P2290" s="1" t="s">
        <v>401</v>
      </c>
      <c r="Q2290" s="63" t="s">
        <v>20837</v>
      </c>
      <c r="R2290" s="68" t="s">
        <v>555</v>
      </c>
      <c r="S2290" s="1" t="s">
        <v>28</v>
      </c>
      <c r="T2290" s="68" t="s">
        <v>27756</v>
      </c>
      <c r="U2290" s="68" t="s">
        <v>29441</v>
      </c>
      <c r="V2290" s="68" t="s">
        <v>29439</v>
      </c>
      <c r="W2290" s="68" t="s">
        <v>555</v>
      </c>
      <c r="X2290" s="68">
        <v>702</v>
      </c>
      <c r="AW2290" s="11"/>
      <c r="AX2290" s="11"/>
      <c r="AY2290" s="11"/>
      <c r="BA2290" s="70"/>
      <c r="BB2290" s="44"/>
      <c r="BC2290" s="44"/>
      <c r="BD2290" s="44"/>
      <c r="BE2290" s="44"/>
      <c r="BF2290" s="44"/>
      <c r="BG2290" s="44"/>
      <c r="BH2290" s="44"/>
      <c r="BI2290" s="44"/>
      <c r="BJ2290" s="44"/>
      <c r="BK2290" s="11"/>
    </row>
    <row r="2291" spans="1:63" ht="12" customHeight="1" x14ac:dyDescent="0.15">
      <c r="A2291" s="1" t="s">
        <v>892</v>
      </c>
      <c r="B2291" s="68">
        <v>55</v>
      </c>
      <c r="C2291" s="1" t="s">
        <v>20</v>
      </c>
      <c r="D2291" s="1" t="s">
        <v>48</v>
      </c>
      <c r="F2291" s="69">
        <v>42220</v>
      </c>
      <c r="G2291" s="1" t="s">
        <v>19776</v>
      </c>
      <c r="H2291" s="1" t="s">
        <v>893</v>
      </c>
      <c r="I2291" s="1" t="s">
        <v>45</v>
      </c>
      <c r="J2291" s="4" t="s">
        <v>19777</v>
      </c>
      <c r="K2291" s="1" t="s">
        <v>156</v>
      </c>
      <c r="L2291" s="1" t="s">
        <v>19778</v>
      </c>
      <c r="M2291" s="1" t="s">
        <v>27</v>
      </c>
      <c r="N2291" s="1" t="s">
        <v>19650</v>
      </c>
      <c r="O2291" s="1" t="s">
        <v>400</v>
      </c>
      <c r="P2291" s="1" t="s">
        <v>401</v>
      </c>
      <c r="Q2291" s="63" t="s">
        <v>20839</v>
      </c>
      <c r="R2291" s="1" t="s">
        <v>555</v>
      </c>
      <c r="S2291" s="1" t="s">
        <v>35</v>
      </c>
      <c r="T2291" s="68" t="s">
        <v>29441</v>
      </c>
      <c r="U2291" s="68" t="s">
        <v>29436</v>
      </c>
      <c r="V2291" s="68" t="s">
        <v>29439</v>
      </c>
      <c r="W2291" s="68" t="s">
        <v>100</v>
      </c>
      <c r="X2291" s="68">
        <v>701</v>
      </c>
      <c r="BA2291" s="11"/>
      <c r="BB2291" s="44"/>
    </row>
    <row r="2292" spans="1:63" ht="12" customHeight="1" x14ac:dyDescent="0.15">
      <c r="A2292" s="1" t="s">
        <v>894</v>
      </c>
      <c r="B2292" s="68">
        <v>49</v>
      </c>
      <c r="C2292" s="1" t="s">
        <v>20</v>
      </c>
      <c r="D2292" s="1" t="s">
        <v>85</v>
      </c>
      <c r="E2292" s="1" t="s">
        <v>19478</v>
      </c>
      <c r="F2292" s="69">
        <v>42219</v>
      </c>
      <c r="G2292" s="1" t="s">
        <v>24463</v>
      </c>
      <c r="H2292" s="1" t="s">
        <v>601</v>
      </c>
      <c r="I2292" s="1" t="s">
        <v>45</v>
      </c>
      <c r="J2292" s="4" t="s">
        <v>19781</v>
      </c>
      <c r="K2292" s="1" t="s">
        <v>602</v>
      </c>
      <c r="L2292" s="1" t="s">
        <v>603</v>
      </c>
      <c r="M2292" s="1" t="s">
        <v>27</v>
      </c>
      <c r="N2292" s="1" t="s">
        <v>19652</v>
      </c>
      <c r="O2292" s="1" t="s">
        <v>400</v>
      </c>
      <c r="P2292" s="1" t="s">
        <v>401</v>
      </c>
      <c r="Q2292" s="63" t="s">
        <v>20835</v>
      </c>
      <c r="R2292" s="1" t="s">
        <v>29</v>
      </c>
      <c r="S2292" s="1" t="s">
        <v>28</v>
      </c>
      <c r="T2292" s="68" t="s">
        <v>27756</v>
      </c>
      <c r="U2292" s="68" t="s">
        <v>29438</v>
      </c>
      <c r="V2292" s="68" t="s">
        <v>29439</v>
      </c>
      <c r="W2292" s="68" t="s">
        <v>100</v>
      </c>
      <c r="X2292" s="68">
        <v>697</v>
      </c>
      <c r="AX2292" s="44"/>
      <c r="AY2292" s="44"/>
      <c r="BC2292" s="44"/>
      <c r="BD2292" s="44"/>
      <c r="BE2292" s="44"/>
      <c r="BF2292" s="44"/>
      <c r="BG2292" s="44"/>
      <c r="BH2292" s="44"/>
      <c r="BI2292" s="44"/>
      <c r="BJ2292" s="44"/>
      <c r="BK2292" s="11"/>
    </row>
    <row r="2293" spans="1:63" ht="12" customHeight="1" x14ac:dyDescent="0.2">
      <c r="A2293" s="1" t="s">
        <v>899</v>
      </c>
      <c r="B2293" s="68">
        <v>18</v>
      </c>
      <c r="C2293" s="1" t="s">
        <v>20</v>
      </c>
      <c r="D2293" s="1" t="s">
        <v>37</v>
      </c>
      <c r="E2293" s="1" t="s">
        <v>19480</v>
      </c>
      <c r="F2293" s="69">
        <v>42219</v>
      </c>
      <c r="G2293" s="1" t="s">
        <v>900</v>
      </c>
      <c r="H2293" s="1" t="s">
        <v>901</v>
      </c>
      <c r="I2293" s="1" t="s">
        <v>404</v>
      </c>
      <c r="J2293" s="4" t="s">
        <v>19784</v>
      </c>
      <c r="K2293" s="1" t="s">
        <v>902</v>
      </c>
      <c r="L2293" s="1" t="s">
        <v>903</v>
      </c>
      <c r="M2293" s="1" t="s">
        <v>27</v>
      </c>
      <c r="N2293" s="1" t="s">
        <v>19656</v>
      </c>
      <c r="O2293" s="1" t="s">
        <v>400</v>
      </c>
      <c r="P2293" s="1" t="s">
        <v>401</v>
      </c>
      <c r="Q2293" s="63" t="s">
        <v>20838</v>
      </c>
      <c r="R2293" s="1" t="s">
        <v>29</v>
      </c>
      <c r="S2293" s="1" t="s">
        <v>28</v>
      </c>
      <c r="T2293" s="68" t="s">
        <v>27756</v>
      </c>
      <c r="U2293" s="68" t="s">
        <v>29438</v>
      </c>
      <c r="V2293" s="68" t="s">
        <v>29440</v>
      </c>
      <c r="W2293" s="68" t="s">
        <v>100</v>
      </c>
      <c r="X2293" s="68">
        <v>698</v>
      </c>
      <c r="AW2293" s="70"/>
      <c r="BK2293" s="11"/>
    </row>
    <row r="2294" spans="1:63" ht="12" customHeight="1" x14ac:dyDescent="0.15">
      <c r="A2294" s="1" t="s">
        <v>908</v>
      </c>
      <c r="B2294" s="68">
        <v>71</v>
      </c>
      <c r="C2294" s="1" t="s">
        <v>20</v>
      </c>
      <c r="D2294" s="1" t="s">
        <v>37</v>
      </c>
      <c r="E2294" s="1" t="s">
        <v>19479</v>
      </c>
      <c r="F2294" s="69">
        <v>42219</v>
      </c>
      <c r="G2294" s="1" t="s">
        <v>24464</v>
      </c>
      <c r="H2294" s="1" t="s">
        <v>909</v>
      </c>
      <c r="I2294" s="1" t="s">
        <v>244</v>
      </c>
      <c r="J2294" s="4" t="s">
        <v>19782</v>
      </c>
      <c r="K2294" s="1" t="s">
        <v>909</v>
      </c>
      <c r="L2294" s="1" t="s">
        <v>19783</v>
      </c>
      <c r="M2294" s="1" t="s">
        <v>27</v>
      </c>
      <c r="N2294" s="1" t="s">
        <v>19653</v>
      </c>
      <c r="O2294" s="1" t="s">
        <v>19654</v>
      </c>
      <c r="P2294" s="1" t="s">
        <v>401</v>
      </c>
      <c r="Q2294" s="63" t="s">
        <v>19655</v>
      </c>
      <c r="R2294" s="1" t="s">
        <v>29</v>
      </c>
      <c r="S2294" s="1" t="s">
        <v>28</v>
      </c>
      <c r="T2294" s="68" t="s">
        <v>27756</v>
      </c>
      <c r="U2294" s="68" t="s">
        <v>29438</v>
      </c>
      <c r="V2294" s="68" t="s">
        <v>29439</v>
      </c>
      <c r="W2294" s="68" t="s">
        <v>100</v>
      </c>
      <c r="X2294" s="68">
        <v>699</v>
      </c>
      <c r="BK2294" s="11"/>
    </row>
    <row r="2295" spans="1:63" ht="12" customHeight="1" x14ac:dyDescent="0.15">
      <c r="A2295" s="1" t="s">
        <v>904</v>
      </c>
      <c r="B2295" s="68">
        <v>35</v>
      </c>
      <c r="C2295" s="1" t="s">
        <v>20</v>
      </c>
      <c r="D2295" s="1" t="s">
        <v>37</v>
      </c>
      <c r="E2295" s="1" t="s">
        <v>19481</v>
      </c>
      <c r="F2295" s="69">
        <v>42219</v>
      </c>
      <c r="G2295" s="1" t="s">
        <v>24462</v>
      </c>
      <c r="H2295" s="1" t="s">
        <v>905</v>
      </c>
      <c r="I2295" s="1" t="s">
        <v>217</v>
      </c>
      <c r="J2295" s="4" t="s">
        <v>19785</v>
      </c>
      <c r="K2295" s="1" t="s">
        <v>906</v>
      </c>
      <c r="L2295" s="1" t="s">
        <v>907</v>
      </c>
      <c r="M2295" s="1" t="s">
        <v>27</v>
      </c>
      <c r="N2295" s="1" t="s">
        <v>19657</v>
      </c>
      <c r="O2295" s="1" t="s">
        <v>400</v>
      </c>
      <c r="P2295" s="1" t="s">
        <v>401</v>
      </c>
      <c r="Q2295" s="63" t="s">
        <v>20836</v>
      </c>
      <c r="R2295" s="68" t="s">
        <v>555</v>
      </c>
      <c r="S2295" s="11" t="s">
        <v>18</v>
      </c>
      <c r="T2295" s="68" t="s">
        <v>29612</v>
      </c>
      <c r="U2295" s="68" t="s">
        <v>29438</v>
      </c>
      <c r="V2295" s="68" t="s">
        <v>29439</v>
      </c>
      <c r="W2295" s="68" t="s">
        <v>100</v>
      </c>
      <c r="X2295" s="68">
        <v>700</v>
      </c>
      <c r="AW2295" s="11"/>
      <c r="BA2295" s="44"/>
      <c r="BB2295" s="11"/>
    </row>
    <row r="2296" spans="1:63" ht="12" customHeight="1" x14ac:dyDescent="0.15">
      <c r="A2296" s="1" t="s">
        <v>910</v>
      </c>
      <c r="B2296" s="68">
        <v>63</v>
      </c>
      <c r="C2296" s="1" t="s">
        <v>20</v>
      </c>
      <c r="D2296" s="1" t="s">
        <v>37</v>
      </c>
      <c r="E2296" s="1" t="s">
        <v>19482</v>
      </c>
      <c r="F2296" s="69">
        <v>42218</v>
      </c>
      <c r="G2296" s="1" t="s">
        <v>19786</v>
      </c>
      <c r="H2296" s="1" t="s">
        <v>723</v>
      </c>
      <c r="I2296" s="1" t="s">
        <v>73</v>
      </c>
      <c r="J2296" s="4" t="s">
        <v>6834</v>
      </c>
      <c r="K2296" s="1" t="s">
        <v>558</v>
      </c>
      <c r="L2296" s="1" t="s">
        <v>724</v>
      </c>
      <c r="M2296" s="1" t="s">
        <v>27</v>
      </c>
      <c r="N2296" s="1" t="s">
        <v>19658</v>
      </c>
      <c r="O2296" s="1" t="s">
        <v>400</v>
      </c>
      <c r="P2296" s="1" t="s">
        <v>401</v>
      </c>
      <c r="Q2296" s="63" t="s">
        <v>19659</v>
      </c>
      <c r="R2296" s="1" t="s">
        <v>555</v>
      </c>
      <c r="S2296" s="1" t="s">
        <v>379</v>
      </c>
      <c r="T2296" s="68" t="s">
        <v>379</v>
      </c>
      <c r="U2296" s="68" t="s">
        <v>29436</v>
      </c>
      <c r="V2296" s="68" t="s">
        <v>29439</v>
      </c>
      <c r="W2296" s="68" t="s">
        <v>100</v>
      </c>
      <c r="X2296" s="68">
        <v>695</v>
      </c>
      <c r="BA2296" s="11"/>
      <c r="BB2296" s="44"/>
      <c r="BK2296" s="44"/>
    </row>
    <row r="2297" spans="1:63" ht="12" customHeight="1" x14ac:dyDescent="0.15">
      <c r="A2297" s="1" t="s">
        <v>911</v>
      </c>
      <c r="B2297" s="68">
        <v>29</v>
      </c>
      <c r="C2297" s="1" t="s">
        <v>20</v>
      </c>
      <c r="D2297" s="1" t="s">
        <v>48</v>
      </c>
      <c r="F2297" s="69">
        <v>42217</v>
      </c>
      <c r="G2297" s="1" t="s">
        <v>912</v>
      </c>
      <c r="H2297" s="1" t="s">
        <v>561</v>
      </c>
      <c r="I2297" s="1" t="s">
        <v>123</v>
      </c>
      <c r="J2297" s="4" t="s">
        <v>6325</v>
      </c>
      <c r="K2297" s="1" t="s">
        <v>562</v>
      </c>
      <c r="L2297" s="1" t="s">
        <v>563</v>
      </c>
      <c r="M2297" s="1" t="s">
        <v>27</v>
      </c>
      <c r="N2297" s="1" t="s">
        <v>19660</v>
      </c>
      <c r="O2297" s="1" t="s">
        <v>400</v>
      </c>
      <c r="P2297" s="1" t="s">
        <v>401</v>
      </c>
      <c r="Q2297" s="63" t="s">
        <v>19661</v>
      </c>
      <c r="R2297" s="1" t="s">
        <v>100</v>
      </c>
      <c r="S2297" s="1" t="s">
        <v>28</v>
      </c>
      <c r="T2297" s="68" t="s">
        <v>27756</v>
      </c>
      <c r="U2297" s="68" t="s">
        <v>29438</v>
      </c>
      <c r="V2297" s="68" t="s">
        <v>29439</v>
      </c>
      <c r="W2297" s="68" t="s">
        <v>100</v>
      </c>
      <c r="X2297" s="68">
        <v>696</v>
      </c>
      <c r="AW2297" s="44"/>
      <c r="BK2297" s="11"/>
    </row>
    <row r="2298" spans="1:63" ht="12" customHeight="1" x14ac:dyDescent="0.15">
      <c r="A2298" s="1" t="s">
        <v>913</v>
      </c>
      <c r="B2298" s="68">
        <v>52</v>
      </c>
      <c r="C2298" s="1" t="s">
        <v>20</v>
      </c>
      <c r="D2298" s="1" t="s">
        <v>30</v>
      </c>
      <c r="F2298" s="69">
        <v>42217</v>
      </c>
      <c r="G2298" s="1" t="s">
        <v>19787</v>
      </c>
      <c r="H2298" s="1" t="s">
        <v>914</v>
      </c>
      <c r="I2298" s="1" t="s">
        <v>150</v>
      </c>
      <c r="J2298" s="4" t="s">
        <v>19788</v>
      </c>
      <c r="K2298" s="1" t="s">
        <v>915</v>
      </c>
      <c r="L2298" s="1" t="s">
        <v>916</v>
      </c>
      <c r="M2298" s="1" t="s">
        <v>27</v>
      </c>
      <c r="N2298" s="1" t="s">
        <v>19662</v>
      </c>
      <c r="O2298" s="1" t="s">
        <v>400</v>
      </c>
      <c r="P2298" s="1" t="s">
        <v>401</v>
      </c>
      <c r="Q2298" s="63" t="s">
        <v>20833</v>
      </c>
      <c r="R2298" s="1" t="s">
        <v>100</v>
      </c>
      <c r="S2298" s="1" t="s">
        <v>28</v>
      </c>
      <c r="T2298" s="68" t="s">
        <v>27756</v>
      </c>
      <c r="U2298" s="68" t="s">
        <v>29438</v>
      </c>
      <c r="V2298" s="68" t="s">
        <v>29439</v>
      </c>
      <c r="W2298" s="68" t="s">
        <v>100</v>
      </c>
      <c r="X2298" s="68">
        <v>694</v>
      </c>
      <c r="BA2298" s="44"/>
      <c r="BK2298" s="11"/>
    </row>
    <row r="2299" spans="1:63" ht="12" customHeight="1" x14ac:dyDescent="0.2">
      <c r="A2299" s="1" t="s">
        <v>917</v>
      </c>
      <c r="B2299" s="1">
        <v>48</v>
      </c>
      <c r="C2299" s="1" t="s">
        <v>20</v>
      </c>
      <c r="D2299" s="1" t="s">
        <v>37</v>
      </c>
      <c r="F2299" s="72">
        <v>42217</v>
      </c>
      <c r="G2299" s="1" t="s">
        <v>918</v>
      </c>
      <c r="H2299" s="1" t="s">
        <v>285</v>
      </c>
      <c r="I2299" s="1" t="s">
        <v>73</v>
      </c>
      <c r="J2299" s="4" t="s">
        <v>19789</v>
      </c>
      <c r="K2299" s="1" t="s">
        <v>285</v>
      </c>
      <c r="L2299" s="1" t="s">
        <v>919</v>
      </c>
      <c r="M2299" s="1" t="s">
        <v>12821</v>
      </c>
      <c r="N2299" s="1" t="s">
        <v>19663</v>
      </c>
      <c r="O2299" s="1" t="s">
        <v>400</v>
      </c>
      <c r="P2299" s="1" t="s">
        <v>401</v>
      </c>
      <c r="Q2299" s="63" t="s">
        <v>20834</v>
      </c>
      <c r="R2299" s="1" t="s">
        <v>29</v>
      </c>
      <c r="S2299" s="1" t="s">
        <v>18</v>
      </c>
      <c r="AU2299" s="70"/>
      <c r="AV2299" s="70"/>
      <c r="AW2299" s="70"/>
      <c r="AX2299" s="44"/>
      <c r="AY2299" s="44"/>
      <c r="AZ2299" s="44"/>
    </row>
    <row r="2300" spans="1:63" ht="12" customHeight="1" x14ac:dyDescent="0.15">
      <c r="A2300" s="1" t="s">
        <v>920</v>
      </c>
      <c r="B2300" s="68">
        <v>33</v>
      </c>
      <c r="C2300" s="1" t="s">
        <v>20</v>
      </c>
      <c r="D2300" s="1" t="s">
        <v>48</v>
      </c>
      <c r="E2300" s="1" t="str">
        <f>HYPERLINK("http://www.killedbypolice.net/victims/150680.jpg","http://www.killedbypolice.net/victims/150680.jpg")</f>
        <v>http://www.killedbypolice.net/victims/150680.jpg</v>
      </c>
      <c r="F2300" s="69">
        <v>42216</v>
      </c>
      <c r="G2300" s="1" t="s">
        <v>921</v>
      </c>
      <c r="H2300" s="1" t="s">
        <v>922</v>
      </c>
      <c r="I2300" s="1" t="s">
        <v>195</v>
      </c>
      <c r="J2300" s="4">
        <v>87102</v>
      </c>
      <c r="K2300" s="1" t="s">
        <v>467</v>
      </c>
      <c r="L2300" s="1" t="s">
        <v>4961</v>
      </c>
      <c r="M2300" s="1" t="s">
        <v>27</v>
      </c>
      <c r="N2300" s="1" t="s">
        <v>923</v>
      </c>
      <c r="O2300" s="1" t="s">
        <v>400</v>
      </c>
      <c r="P2300" s="1" t="s">
        <v>401</v>
      </c>
      <c r="Q2300" s="63" t="s">
        <v>20831</v>
      </c>
      <c r="R2300" s="1" t="s">
        <v>100</v>
      </c>
      <c r="S2300" s="1" t="s">
        <v>28</v>
      </c>
      <c r="T2300" s="68" t="s">
        <v>27756</v>
      </c>
      <c r="U2300" s="68" t="s">
        <v>29438</v>
      </c>
      <c r="V2300" s="68" t="s">
        <v>29439</v>
      </c>
      <c r="W2300" s="68" t="s">
        <v>555</v>
      </c>
      <c r="X2300" s="68">
        <v>692</v>
      </c>
      <c r="AW2300" s="11"/>
      <c r="BK2300" s="11"/>
    </row>
    <row r="2301" spans="1:63" ht="12" customHeight="1" x14ac:dyDescent="0.15">
      <c r="A2301" s="1" t="s">
        <v>929</v>
      </c>
      <c r="B2301" s="68">
        <v>34</v>
      </c>
      <c r="C2301" s="1" t="s">
        <v>20</v>
      </c>
      <c r="D2301" s="1" t="s">
        <v>37</v>
      </c>
      <c r="F2301" s="69">
        <v>42216</v>
      </c>
      <c r="G2301" s="1" t="s">
        <v>930</v>
      </c>
      <c r="H2301" s="1" t="s">
        <v>931</v>
      </c>
      <c r="I2301" s="1" t="s">
        <v>195</v>
      </c>
      <c r="J2301" s="4">
        <v>88201</v>
      </c>
      <c r="K2301" s="1" t="s">
        <v>932</v>
      </c>
      <c r="L2301" s="1" t="s">
        <v>933</v>
      </c>
      <c r="M2301" s="1" t="s">
        <v>27</v>
      </c>
      <c r="N2301" s="1" t="s">
        <v>934</v>
      </c>
      <c r="O2301" s="1" t="s">
        <v>400</v>
      </c>
      <c r="P2301" s="1" t="s">
        <v>401</v>
      </c>
      <c r="Q2301" s="63" t="s">
        <v>20830</v>
      </c>
      <c r="R2301" s="1" t="s">
        <v>100</v>
      </c>
      <c r="S2301" s="1" t="s">
        <v>28</v>
      </c>
      <c r="T2301" s="68" t="s">
        <v>27756</v>
      </c>
      <c r="U2301" s="68" t="s">
        <v>29438</v>
      </c>
      <c r="V2301" s="68" t="s">
        <v>29439</v>
      </c>
      <c r="W2301" s="68" t="s">
        <v>100</v>
      </c>
      <c r="X2301" s="68">
        <v>693</v>
      </c>
      <c r="AW2301" s="11"/>
      <c r="BK2301" s="11"/>
    </row>
    <row r="2302" spans="1:63" ht="12" customHeight="1" x14ac:dyDescent="0.2">
      <c r="A2302" s="1" t="s">
        <v>965</v>
      </c>
      <c r="B2302" s="68">
        <v>47</v>
      </c>
      <c r="C2302" s="1" t="s">
        <v>20</v>
      </c>
      <c r="D2302" s="1" t="s">
        <v>48</v>
      </c>
      <c r="F2302" s="69">
        <v>42215</v>
      </c>
      <c r="G2302" s="1" t="s">
        <v>966</v>
      </c>
      <c r="H2302" s="1" t="s">
        <v>967</v>
      </c>
      <c r="I2302" s="1" t="s">
        <v>45</v>
      </c>
      <c r="J2302" s="4">
        <v>90606</v>
      </c>
      <c r="K2302" s="1" t="s">
        <v>98</v>
      </c>
      <c r="L2302" s="11" t="s">
        <v>414</v>
      </c>
      <c r="M2302" s="68" t="s">
        <v>5411</v>
      </c>
      <c r="N2302" s="1" t="s">
        <v>968</v>
      </c>
      <c r="O2302" s="1" t="s">
        <v>400</v>
      </c>
      <c r="P2302" s="1" t="s">
        <v>401</v>
      </c>
      <c r="Q2302" s="63" t="s">
        <v>20824</v>
      </c>
      <c r="R2302" s="11" t="s">
        <v>964</v>
      </c>
      <c r="S2302" s="11" t="s">
        <v>28</v>
      </c>
      <c r="T2302" s="68" t="s">
        <v>29447</v>
      </c>
      <c r="U2302" s="68" t="s">
        <v>29438</v>
      </c>
      <c r="V2302" s="68" t="s">
        <v>29439</v>
      </c>
      <c r="W2302" s="68" t="s">
        <v>100</v>
      </c>
      <c r="X2302" s="68">
        <v>691</v>
      </c>
      <c r="BA2302" s="44"/>
      <c r="BB2302" s="70"/>
    </row>
    <row r="2303" spans="1:63" ht="12" customHeight="1" x14ac:dyDescent="0.15">
      <c r="A2303" s="1" t="s">
        <v>924</v>
      </c>
      <c r="B2303" s="68">
        <v>30</v>
      </c>
      <c r="C2303" s="1" t="s">
        <v>20</v>
      </c>
      <c r="D2303" s="1" t="s">
        <v>48</v>
      </c>
      <c r="E2303" s="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2303" s="69">
        <v>42215</v>
      </c>
      <c r="G2303" s="1" t="s">
        <v>925</v>
      </c>
      <c r="H2303" s="1" t="s">
        <v>926</v>
      </c>
      <c r="I2303" s="1" t="s">
        <v>73</v>
      </c>
      <c r="J2303" s="4">
        <v>76102</v>
      </c>
      <c r="K2303" s="1" t="s">
        <v>74</v>
      </c>
      <c r="L2303" s="1" t="s">
        <v>927</v>
      </c>
      <c r="M2303" s="1" t="s">
        <v>27</v>
      </c>
      <c r="N2303" s="1" t="s">
        <v>928</v>
      </c>
      <c r="O2303" s="1" t="s">
        <v>400</v>
      </c>
      <c r="P2303" s="1" t="s">
        <v>401</v>
      </c>
      <c r="Q2303" s="63" t="s">
        <v>20832</v>
      </c>
      <c r="R2303" s="1" t="s">
        <v>100</v>
      </c>
      <c r="S2303" s="1" t="s">
        <v>28</v>
      </c>
      <c r="T2303" s="68" t="s">
        <v>27756</v>
      </c>
      <c r="U2303" s="68" t="s">
        <v>29438</v>
      </c>
      <c r="V2303" s="68" t="s">
        <v>29439</v>
      </c>
      <c r="W2303" s="68" t="s">
        <v>100</v>
      </c>
      <c r="X2303" s="68">
        <v>690</v>
      </c>
      <c r="AW2303" s="11"/>
      <c r="BK2303" s="11"/>
    </row>
    <row r="2304" spans="1:63" ht="12" customHeight="1" x14ac:dyDescent="0.15">
      <c r="A2304" s="1" t="s">
        <v>953</v>
      </c>
      <c r="B2304" s="68">
        <v>25</v>
      </c>
      <c r="C2304" s="1" t="s">
        <v>20</v>
      </c>
      <c r="D2304" s="1" t="s">
        <v>37</v>
      </c>
      <c r="E2304" s="1" t="str">
        <f>HYPERLINK("http://www.killedbypolice.net/victims/150676.jpg","http://www.killedbypolice.net/victims/150676.jpg")</f>
        <v>http://www.killedbypolice.net/victims/150676.jpg</v>
      </c>
      <c r="F2304" s="69">
        <v>42215</v>
      </c>
      <c r="G2304" s="1" t="s">
        <v>954</v>
      </c>
      <c r="H2304" s="1" t="s">
        <v>955</v>
      </c>
      <c r="I2304" s="1" t="s">
        <v>45</v>
      </c>
      <c r="J2304" s="4">
        <v>96067</v>
      </c>
      <c r="K2304" s="1" t="s">
        <v>956</v>
      </c>
      <c r="L2304" s="1" t="s">
        <v>957</v>
      </c>
      <c r="M2304" s="1" t="s">
        <v>27</v>
      </c>
      <c r="N2304" s="1" t="s">
        <v>958</v>
      </c>
      <c r="O2304" s="1" t="s">
        <v>400</v>
      </c>
      <c r="P2304" s="1" t="s">
        <v>401</v>
      </c>
      <c r="Q2304" s="63" t="s">
        <v>20828</v>
      </c>
      <c r="R2304" s="1" t="s">
        <v>100</v>
      </c>
      <c r="S2304" s="1" t="s">
        <v>28</v>
      </c>
      <c r="T2304" s="68" t="s">
        <v>27756</v>
      </c>
      <c r="U2304" s="68" t="s">
        <v>29438</v>
      </c>
      <c r="V2304" s="68" t="s">
        <v>29437</v>
      </c>
      <c r="W2304" s="68" t="s">
        <v>100</v>
      </c>
      <c r="X2304" s="68">
        <v>689</v>
      </c>
      <c r="AW2304" s="44"/>
      <c r="BK2304" s="11"/>
    </row>
    <row r="2305" spans="1:63" ht="12" customHeight="1" x14ac:dyDescent="0.15">
      <c r="A2305" s="1" t="s">
        <v>935</v>
      </c>
      <c r="B2305" s="68">
        <v>48</v>
      </c>
      <c r="C2305" s="1" t="s">
        <v>20</v>
      </c>
      <c r="D2305" s="1" t="s">
        <v>37</v>
      </c>
      <c r="E2305" s="1" t="str">
        <f>HYPERLINK("http://media.graytvinc.com/images/Mark+Perkins.jpg","http://media.graytvinc.com/images/Mark+Perkins.jpg")</f>
        <v>http://media.graytvinc.com/images/Mark+Perkins.jpg</v>
      </c>
      <c r="F2305" s="69">
        <v>42215</v>
      </c>
      <c r="G2305" s="1" t="s">
        <v>936</v>
      </c>
      <c r="H2305" s="1" t="s">
        <v>937</v>
      </c>
      <c r="I2305" s="1" t="s">
        <v>269</v>
      </c>
      <c r="J2305" s="4">
        <v>89460</v>
      </c>
      <c r="K2305" s="1" t="s">
        <v>938</v>
      </c>
      <c r="L2305" s="1" t="s">
        <v>939</v>
      </c>
      <c r="M2305" s="1" t="s">
        <v>27</v>
      </c>
      <c r="N2305" s="1" t="s">
        <v>940</v>
      </c>
      <c r="O2305" s="1" t="s">
        <v>400</v>
      </c>
      <c r="P2305" s="1" t="s">
        <v>401</v>
      </c>
      <c r="Q2305" s="63" t="s">
        <v>20829</v>
      </c>
      <c r="R2305" s="1" t="s">
        <v>100</v>
      </c>
      <c r="S2305" s="1" t="s">
        <v>28</v>
      </c>
      <c r="T2305" s="68" t="s">
        <v>27756</v>
      </c>
      <c r="U2305" s="68" t="s">
        <v>29438</v>
      </c>
      <c r="V2305" s="68" t="s">
        <v>29439</v>
      </c>
      <c r="W2305" s="68" t="s">
        <v>100</v>
      </c>
      <c r="X2305" s="68">
        <v>688</v>
      </c>
      <c r="BK2305" s="11"/>
    </row>
    <row r="2306" spans="1:63" ht="12" customHeight="1" x14ac:dyDescent="0.15">
      <c r="A2306" s="1" t="s">
        <v>941</v>
      </c>
      <c r="B2306" s="1">
        <v>57</v>
      </c>
      <c r="C2306" s="1" t="s">
        <v>20</v>
      </c>
      <c r="D2306" s="1" t="s">
        <v>942</v>
      </c>
      <c r="E2306" s="1" t="s">
        <v>943</v>
      </c>
      <c r="F2306" s="72">
        <v>42215</v>
      </c>
      <c r="G2306" s="1" t="s">
        <v>944</v>
      </c>
      <c r="H2306" s="1" t="s">
        <v>945</v>
      </c>
      <c r="I2306" s="1" t="s">
        <v>45</v>
      </c>
      <c r="J2306" s="4">
        <v>94123</v>
      </c>
      <c r="K2306" s="1" t="s">
        <v>945</v>
      </c>
      <c r="L2306" s="1" t="s">
        <v>946</v>
      </c>
      <c r="M2306" s="1" t="s">
        <v>2291</v>
      </c>
      <c r="N2306" s="1" t="s">
        <v>947</v>
      </c>
      <c r="O2306" s="1" t="s">
        <v>400</v>
      </c>
      <c r="P2306" s="1" t="s">
        <v>401</v>
      </c>
      <c r="Q2306" s="63" t="str">
        <f>HYPERLINK("http://www.sfgate.com/crime/article/Dead-body-probe-on-Lombard-Street-in-S-F-6414831.php","http://www.sfgate.com/crime/article/Dead-body-probe-on-Lombard-Street-in-S-F-6414831.php")</f>
        <v>http://www.sfgate.com/crime/article/Dead-body-probe-on-Lombard-Street-in-S-F-6414831.php</v>
      </c>
      <c r="R2306" s="1" t="s">
        <v>100</v>
      </c>
      <c r="S2306" s="1" t="s">
        <v>18</v>
      </c>
    </row>
    <row r="2307" spans="1:63" ht="12" customHeight="1" x14ac:dyDescent="0.15">
      <c r="A2307" s="1" t="s">
        <v>948</v>
      </c>
      <c r="B2307" s="1">
        <v>38</v>
      </c>
      <c r="C2307" s="1" t="s">
        <v>20</v>
      </c>
      <c r="D2307" s="1" t="s">
        <v>48</v>
      </c>
      <c r="E2307" s="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2307" s="72">
        <v>42215</v>
      </c>
      <c r="G2307" s="1" t="s">
        <v>949</v>
      </c>
      <c r="H2307" s="1" t="s">
        <v>950</v>
      </c>
      <c r="I2307" s="1" t="s">
        <v>46</v>
      </c>
      <c r="J2307" s="4">
        <v>1610</v>
      </c>
      <c r="K2307" s="1" t="s">
        <v>950</v>
      </c>
      <c r="L2307" s="1" t="s">
        <v>951</v>
      </c>
      <c r="M2307" s="1" t="s">
        <v>391</v>
      </c>
      <c r="N2307" s="1" t="s">
        <v>1274</v>
      </c>
      <c r="O2307" s="1" t="s">
        <v>400</v>
      </c>
      <c r="P2307" s="1" t="s">
        <v>401</v>
      </c>
      <c r="Q2307" s="63" t="s">
        <v>20827</v>
      </c>
      <c r="R2307" s="1" t="s">
        <v>29</v>
      </c>
      <c r="S2307" s="1" t="s">
        <v>18</v>
      </c>
      <c r="AU2307" s="11"/>
      <c r="AV2307" s="11"/>
      <c r="AW2307" s="11"/>
    </row>
    <row r="2308" spans="1:63" ht="12" customHeight="1" x14ac:dyDescent="0.15">
      <c r="A2308" s="1" t="s">
        <v>969</v>
      </c>
      <c r="B2308" s="68">
        <v>34</v>
      </c>
      <c r="C2308" s="1" t="s">
        <v>20</v>
      </c>
      <c r="D2308" s="1" t="s">
        <v>48</v>
      </c>
      <c r="E2308" s="1" t="s">
        <v>20294</v>
      </c>
      <c r="F2308" s="69">
        <v>42214</v>
      </c>
      <c r="G2308" s="1" t="s">
        <v>970</v>
      </c>
      <c r="H2308" s="1" t="s">
        <v>971</v>
      </c>
      <c r="I2308" s="1" t="s">
        <v>195</v>
      </c>
      <c r="J2308" s="4">
        <v>88005</v>
      </c>
      <c r="K2308" s="1" t="s">
        <v>972</v>
      </c>
      <c r="L2308" s="1" t="s">
        <v>973</v>
      </c>
      <c r="M2308" s="1" t="s">
        <v>27</v>
      </c>
      <c r="N2308" s="1" t="s">
        <v>974</v>
      </c>
      <c r="O2308" s="1" t="s">
        <v>400</v>
      </c>
      <c r="P2308" s="1" t="s">
        <v>401</v>
      </c>
      <c r="Q2308" s="63" t="s">
        <v>20826</v>
      </c>
      <c r="R2308" s="1" t="s">
        <v>100</v>
      </c>
      <c r="S2308" s="1" t="s">
        <v>28</v>
      </c>
      <c r="T2308" s="68" t="s">
        <v>27756</v>
      </c>
      <c r="U2308" s="68" t="s">
        <v>29441</v>
      </c>
      <c r="V2308" s="68" t="s">
        <v>29440</v>
      </c>
      <c r="W2308" s="68" t="s">
        <v>100</v>
      </c>
      <c r="X2308" s="68">
        <v>686</v>
      </c>
      <c r="AW2308" s="11"/>
      <c r="BK2308" s="11"/>
    </row>
    <row r="2309" spans="1:63" ht="12" customHeight="1" x14ac:dyDescent="0.15">
      <c r="A2309" s="1" t="s">
        <v>959</v>
      </c>
      <c r="B2309" s="1">
        <v>37</v>
      </c>
      <c r="C2309" s="1" t="s">
        <v>20</v>
      </c>
      <c r="D2309" s="1" t="s">
        <v>85</v>
      </c>
      <c r="E2309" s="1" t="s">
        <v>960</v>
      </c>
      <c r="F2309" s="72">
        <v>42214</v>
      </c>
      <c r="G2309" s="1" t="s">
        <v>961</v>
      </c>
      <c r="H2309" s="1" t="s">
        <v>189</v>
      </c>
      <c r="I2309" s="1" t="s">
        <v>25</v>
      </c>
      <c r="J2309" s="4">
        <v>70805</v>
      </c>
      <c r="K2309" s="1" t="s">
        <v>962</v>
      </c>
      <c r="L2309" s="1" t="s">
        <v>5634</v>
      </c>
      <c r="M2309" s="1" t="s">
        <v>27</v>
      </c>
      <c r="N2309" s="1" t="s">
        <v>19418</v>
      </c>
      <c r="O2309" s="1" t="s">
        <v>400</v>
      </c>
      <c r="P2309" s="1" t="s">
        <v>401</v>
      </c>
      <c r="Q2309" s="63" t="s">
        <v>20825</v>
      </c>
      <c r="R2309" s="1" t="s">
        <v>29</v>
      </c>
      <c r="S2309" s="1" t="s">
        <v>28</v>
      </c>
      <c r="T2309" s="68"/>
      <c r="U2309" s="68"/>
      <c r="V2309" s="68"/>
      <c r="W2309" s="68"/>
      <c r="X2309" s="68"/>
      <c r="AX2309" s="44"/>
      <c r="AY2309" s="44"/>
      <c r="BC2309" s="44"/>
      <c r="BD2309" s="44"/>
      <c r="BE2309" s="44"/>
      <c r="BF2309" s="44"/>
      <c r="BG2309" s="44"/>
      <c r="BH2309" s="44"/>
      <c r="BI2309" s="44"/>
      <c r="BJ2309" s="44"/>
      <c r="BK2309" s="11"/>
    </row>
    <row r="2310" spans="1:63" ht="12" customHeight="1" x14ac:dyDescent="0.15">
      <c r="A2310" s="1" t="s">
        <v>988</v>
      </c>
      <c r="B2310" s="68">
        <v>53</v>
      </c>
      <c r="C2310" s="1" t="s">
        <v>20</v>
      </c>
      <c r="D2310" s="1" t="s">
        <v>37</v>
      </c>
      <c r="E2310" s="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2310" s="69">
        <v>42214</v>
      </c>
      <c r="G2310" s="1" t="s">
        <v>989</v>
      </c>
      <c r="H2310" s="1" t="s">
        <v>990</v>
      </c>
      <c r="I2310" s="1" t="s">
        <v>240</v>
      </c>
      <c r="J2310" s="4">
        <v>84321</v>
      </c>
      <c r="K2310" s="1" t="s">
        <v>991</v>
      </c>
      <c r="L2310" s="1" t="s">
        <v>992</v>
      </c>
      <c r="M2310" s="1" t="s">
        <v>27</v>
      </c>
      <c r="N2310" s="1" t="s">
        <v>993</v>
      </c>
      <c r="O2310" s="1" t="s">
        <v>400</v>
      </c>
      <c r="P2310" s="1" t="s">
        <v>401</v>
      </c>
      <c r="Q2310" s="63" t="s">
        <v>20821</v>
      </c>
      <c r="R2310" s="1" t="s">
        <v>555</v>
      </c>
      <c r="S2310" s="1" t="s">
        <v>28</v>
      </c>
      <c r="T2310" s="68" t="s">
        <v>27756</v>
      </c>
      <c r="U2310" s="68" t="s">
        <v>29438</v>
      </c>
      <c r="V2310" s="68" t="s">
        <v>29439</v>
      </c>
      <c r="W2310" s="68" t="s">
        <v>100</v>
      </c>
      <c r="X2310" s="68">
        <v>687</v>
      </c>
      <c r="BA2310" s="11"/>
      <c r="BB2310" s="44"/>
      <c r="BK2310" s="11"/>
    </row>
    <row r="2311" spans="1:63" ht="12" customHeight="1" x14ac:dyDescent="0.15">
      <c r="A2311" s="1" t="s">
        <v>982</v>
      </c>
      <c r="B2311" s="1">
        <v>23</v>
      </c>
      <c r="C2311" s="1" t="s">
        <v>20</v>
      </c>
      <c r="D2311" s="1" t="s">
        <v>37</v>
      </c>
      <c r="F2311" s="72">
        <v>42213</v>
      </c>
      <c r="G2311" s="1" t="s">
        <v>983</v>
      </c>
      <c r="H2311" s="1" t="s">
        <v>984</v>
      </c>
      <c r="I2311" s="1" t="s">
        <v>319</v>
      </c>
      <c r="J2311" s="4">
        <v>37311</v>
      </c>
      <c r="K2311" s="1" t="s">
        <v>985</v>
      </c>
      <c r="L2311" s="1" t="s">
        <v>986</v>
      </c>
      <c r="M2311" s="1" t="s">
        <v>27</v>
      </c>
      <c r="N2311" s="1" t="s">
        <v>987</v>
      </c>
      <c r="P2311" s="1" t="s">
        <v>401</v>
      </c>
      <c r="Q2311" s="63" t="s">
        <v>20823</v>
      </c>
      <c r="R2311" s="1" t="s">
        <v>100</v>
      </c>
      <c r="S2311" s="1" t="s">
        <v>18</v>
      </c>
      <c r="T2311" s="68"/>
      <c r="U2311" s="68"/>
      <c r="V2311" s="68"/>
      <c r="W2311" s="68"/>
      <c r="X2311" s="68"/>
    </row>
    <row r="2312" spans="1:63" ht="12" customHeight="1" x14ac:dyDescent="0.15">
      <c r="A2312" s="1" t="s">
        <v>975</v>
      </c>
      <c r="B2312" s="68">
        <v>41</v>
      </c>
      <c r="C2312" s="1" t="s">
        <v>20</v>
      </c>
      <c r="D2312" s="1" t="s">
        <v>37</v>
      </c>
      <c r="F2312" s="69">
        <v>42213</v>
      </c>
      <c r="G2312" s="1" t="s">
        <v>976</v>
      </c>
      <c r="H2312" s="1" t="s">
        <v>977</v>
      </c>
      <c r="I2312" s="1" t="s">
        <v>978</v>
      </c>
      <c r="J2312" s="4">
        <v>72442</v>
      </c>
      <c r="K2312" s="1" t="s">
        <v>979</v>
      </c>
      <c r="L2312" s="1" t="s">
        <v>980</v>
      </c>
      <c r="M2312" s="1" t="s">
        <v>27</v>
      </c>
      <c r="N2312" s="1" t="s">
        <v>981</v>
      </c>
      <c r="O2312" s="1" t="s">
        <v>400</v>
      </c>
      <c r="P2312" s="1" t="s">
        <v>401</v>
      </c>
      <c r="Q2312" s="63" t="s">
        <v>20822</v>
      </c>
      <c r="R2312" s="1" t="s">
        <v>29</v>
      </c>
      <c r="S2312" s="1" t="s">
        <v>28</v>
      </c>
      <c r="T2312" s="68" t="s">
        <v>29493</v>
      </c>
      <c r="U2312" s="68" t="s">
        <v>29436</v>
      </c>
      <c r="V2312" s="68" t="s">
        <v>29439</v>
      </c>
      <c r="W2312" s="68" t="s">
        <v>100</v>
      </c>
      <c r="X2312" s="68">
        <v>684</v>
      </c>
      <c r="BK2312" s="11"/>
    </row>
    <row r="2313" spans="1:63" ht="12" customHeight="1" x14ac:dyDescent="0.2">
      <c r="A2313" s="1" t="s">
        <v>994</v>
      </c>
      <c r="B2313" s="68">
        <v>22</v>
      </c>
      <c r="C2313" s="1" t="s">
        <v>20</v>
      </c>
      <c r="D2313" s="1" t="s">
        <v>37</v>
      </c>
      <c r="E2313" s="1" t="str">
        <f>HYPERLINK("http://images1.westword.com/imager/u/745xauto/6970529/sam.forgy.portrait.800.cropped.jpg","http://images1.westword.com/imager/u/745xauto/6970529/sam.forgy.portrait.800.cropped.jpg")</f>
        <v>http://images1.westword.com/imager/u/745xauto/6970529/sam.forgy.portrait.800.cropped.jpg</v>
      </c>
      <c r="F2313" s="69">
        <v>42212</v>
      </c>
      <c r="G2313" s="1" t="s">
        <v>995</v>
      </c>
      <c r="H2313" s="1" t="s">
        <v>996</v>
      </c>
      <c r="I2313" s="1" t="s">
        <v>209</v>
      </c>
      <c r="J2313" s="4">
        <v>80302</v>
      </c>
      <c r="K2313" s="1" t="s">
        <v>967</v>
      </c>
      <c r="L2313" s="1" t="s">
        <v>997</v>
      </c>
      <c r="M2313" s="68" t="s">
        <v>5411</v>
      </c>
      <c r="N2313" s="1" t="s">
        <v>998</v>
      </c>
      <c r="O2313" s="1" t="s">
        <v>400</v>
      </c>
      <c r="P2313" s="1" t="s">
        <v>401</v>
      </c>
      <c r="Q2313" s="6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2313" s="11" t="s">
        <v>964</v>
      </c>
      <c r="S2313" s="1" t="s">
        <v>28</v>
      </c>
      <c r="T2313" s="68" t="s">
        <v>29493</v>
      </c>
      <c r="U2313" s="68" t="s">
        <v>29436</v>
      </c>
      <c r="V2313" s="68" t="s">
        <v>29439</v>
      </c>
      <c r="W2313" s="68" t="s">
        <v>100</v>
      </c>
      <c r="X2313" s="68">
        <v>683</v>
      </c>
      <c r="AW2313" s="44"/>
      <c r="BA2313" s="44"/>
      <c r="BB2313" s="70"/>
    </row>
    <row r="2314" spans="1:63" ht="12" customHeight="1" x14ac:dyDescent="0.15">
      <c r="A2314" s="1" t="s">
        <v>1005</v>
      </c>
      <c r="B2314" s="68">
        <v>56</v>
      </c>
      <c r="C2314" s="1" t="s">
        <v>20</v>
      </c>
      <c r="D2314" s="1" t="s">
        <v>37</v>
      </c>
      <c r="F2314" s="69">
        <v>42212</v>
      </c>
      <c r="G2314" s="1" t="s">
        <v>1006</v>
      </c>
      <c r="H2314" s="1" t="s">
        <v>51</v>
      </c>
      <c r="I2314" s="1" t="s">
        <v>32</v>
      </c>
      <c r="J2314" s="4">
        <v>29212</v>
      </c>
      <c r="K2314" s="1" t="s">
        <v>1007</v>
      </c>
      <c r="L2314" s="1" t="s">
        <v>1008</v>
      </c>
      <c r="M2314" s="1" t="s">
        <v>27</v>
      </c>
      <c r="N2314" s="1" t="s">
        <v>1009</v>
      </c>
      <c r="O2314" s="1" t="s">
        <v>1010</v>
      </c>
      <c r="P2314" s="1" t="s">
        <v>401</v>
      </c>
      <c r="Q2314" s="6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2314" s="1" t="s">
        <v>100</v>
      </c>
      <c r="S2314" s="1" t="s">
        <v>28</v>
      </c>
      <c r="T2314" s="68" t="s">
        <v>29493</v>
      </c>
      <c r="U2314" s="68" t="s">
        <v>29438</v>
      </c>
      <c r="V2314" s="68" t="s">
        <v>29439</v>
      </c>
      <c r="W2314" s="68" t="s">
        <v>100</v>
      </c>
      <c r="X2314" s="68">
        <v>681</v>
      </c>
      <c r="BK2314" s="11"/>
    </row>
    <row r="2315" spans="1:63" ht="12" customHeight="1" x14ac:dyDescent="0.2">
      <c r="A2315" s="1" t="s">
        <v>999</v>
      </c>
      <c r="B2315" s="68">
        <v>45</v>
      </c>
      <c r="C2315" s="1" t="s">
        <v>20</v>
      </c>
      <c r="D2315" s="1" t="s">
        <v>37</v>
      </c>
      <c r="E2315" s="1" t="str">
        <f>HYPERLINK("http://bayoutimelive.com/wp-content/uploads/2013/04/Jean-P.-Falgout.jpg","http://bayoutimelive.com/wp-content/uploads/2013/04/Jean-P.-Falgout.jpg")</f>
        <v>http://bayoutimelive.com/wp-content/uploads/2013/04/Jean-P.-Falgout.jpg</v>
      </c>
      <c r="F2315" s="69">
        <v>42212</v>
      </c>
      <c r="G2315" s="1" t="s">
        <v>1000</v>
      </c>
      <c r="H2315" s="1" t="s">
        <v>1001</v>
      </c>
      <c r="I2315" s="1" t="s">
        <v>25</v>
      </c>
      <c r="J2315" s="4">
        <v>70363</v>
      </c>
      <c r="K2315" s="1" t="s">
        <v>1002</v>
      </c>
      <c r="L2315" s="1" t="s">
        <v>1003</v>
      </c>
      <c r="M2315" s="1" t="s">
        <v>27</v>
      </c>
      <c r="N2315" s="1" t="s">
        <v>1004</v>
      </c>
      <c r="O2315" s="1" t="s">
        <v>400</v>
      </c>
      <c r="P2315" s="1" t="s">
        <v>401</v>
      </c>
      <c r="Q2315" s="63" t="str">
        <f>HYPERLINK("http://www.houmatoday.com/article/20150728/ARTICLES/150729727/1319?p=1&amp;tc=pg","http://www.houmatoday.com/article/20150728/ARTICLES/150729727/1319?p=1&amp;tc=pg")</f>
        <v>http://www.houmatoday.com/article/20150728/ARTICLES/150729727/1319?p=1&amp;tc=pg</v>
      </c>
      <c r="R2315" s="68" t="s">
        <v>555</v>
      </c>
      <c r="S2315" s="1" t="s">
        <v>18</v>
      </c>
      <c r="T2315" s="68" t="s">
        <v>29612</v>
      </c>
      <c r="U2315" s="68" t="s">
        <v>29438</v>
      </c>
      <c r="V2315" s="68" t="s">
        <v>29437</v>
      </c>
      <c r="W2315" s="68" t="s">
        <v>100</v>
      </c>
      <c r="X2315" s="68">
        <v>682</v>
      </c>
      <c r="BA2315" s="70"/>
      <c r="BB2315" s="44"/>
    </row>
    <row r="2316" spans="1:63" ht="12" customHeight="1" x14ac:dyDescent="0.15">
      <c r="A2316" s="1" t="s">
        <v>1011</v>
      </c>
      <c r="B2316" s="68">
        <v>33</v>
      </c>
      <c r="C2316" s="1" t="s">
        <v>20</v>
      </c>
      <c r="D2316" s="1" t="s">
        <v>85</v>
      </c>
      <c r="E2316" s="1" t="s">
        <v>1012</v>
      </c>
      <c r="F2316" s="69">
        <v>42211</v>
      </c>
      <c r="G2316" s="1" t="s">
        <v>1013</v>
      </c>
      <c r="H2316" s="1" t="s">
        <v>459</v>
      </c>
      <c r="I2316" s="1" t="s">
        <v>25</v>
      </c>
      <c r="J2316" s="4">
        <v>71109</v>
      </c>
      <c r="K2316" s="1" t="s">
        <v>1014</v>
      </c>
      <c r="L2316" s="1" t="s">
        <v>460</v>
      </c>
      <c r="M2316" s="1" t="s">
        <v>27</v>
      </c>
      <c r="N2316" s="1" t="s">
        <v>1015</v>
      </c>
      <c r="O2316" s="1" t="s">
        <v>400</v>
      </c>
      <c r="P2316" s="1" t="s">
        <v>401</v>
      </c>
      <c r="Q2316" s="6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2316" s="1" t="s">
        <v>100</v>
      </c>
      <c r="S2316" s="1" t="s">
        <v>28</v>
      </c>
      <c r="T2316" s="68" t="s">
        <v>27756</v>
      </c>
      <c r="U2316" s="68" t="s">
        <v>29438</v>
      </c>
      <c r="V2316" s="68" t="s">
        <v>29439</v>
      </c>
      <c r="W2316" s="68" t="s">
        <v>100</v>
      </c>
      <c r="X2316" s="68">
        <v>679</v>
      </c>
      <c r="AW2316" s="11"/>
      <c r="AX2316" s="11"/>
      <c r="AY2316" s="11"/>
      <c r="BC2316" s="44"/>
      <c r="BD2316" s="44"/>
      <c r="BE2316" s="44"/>
      <c r="BF2316" s="44"/>
      <c r="BG2316" s="44"/>
      <c r="BH2316" s="44"/>
      <c r="BI2316" s="44"/>
      <c r="BJ2316" s="44"/>
      <c r="BK2316" s="11"/>
    </row>
    <row r="2317" spans="1:63" ht="12" customHeight="1" x14ac:dyDescent="0.2">
      <c r="A2317" s="1" t="s">
        <v>1016</v>
      </c>
      <c r="B2317" s="68">
        <v>19</v>
      </c>
      <c r="C2317" s="1" t="s">
        <v>20</v>
      </c>
      <c r="D2317" s="1" t="s">
        <v>37</v>
      </c>
      <c r="E2317" s="1" t="str">
        <f>HYPERLINK("http://www.independent.co.uk/incoming/article10446695.ece/alternates/w620/Zach-hammond.jpg","http://www.independent.co.uk/incoming/article10446695.ece/alternates/w620/Zach-hammond.jpg")</f>
        <v>http://www.independent.co.uk/incoming/article10446695.ece/alternates/w620/Zach-hammond.jpg</v>
      </c>
      <c r="F2317" s="69">
        <v>42211</v>
      </c>
      <c r="G2317" s="1" t="s">
        <v>1017</v>
      </c>
      <c r="H2317" s="1" t="s">
        <v>1018</v>
      </c>
      <c r="I2317" s="1" t="s">
        <v>32</v>
      </c>
      <c r="J2317" s="4">
        <v>29678</v>
      </c>
      <c r="K2317" s="1" t="s">
        <v>1019</v>
      </c>
      <c r="L2317" s="1" t="s">
        <v>1020</v>
      </c>
      <c r="M2317" s="1" t="s">
        <v>27</v>
      </c>
      <c r="N2317" s="1" t="s">
        <v>21175</v>
      </c>
      <c r="O2317" s="1" t="s">
        <v>400</v>
      </c>
      <c r="P2317" s="1" t="s">
        <v>401</v>
      </c>
      <c r="Q2317" s="63" t="str">
        <f>HYPERLINK("http://www.independentmail.com/news/man-killed-by-seneca-police-officer","http://www.independentmail.com/news/man-killed-by-seneca-police-officer")</f>
        <v>http://www.independentmail.com/news/man-killed-by-seneca-police-officer</v>
      </c>
      <c r="R2317" s="1" t="s">
        <v>100</v>
      </c>
      <c r="S2317" s="68" t="s">
        <v>379</v>
      </c>
      <c r="T2317" s="68" t="s">
        <v>379</v>
      </c>
      <c r="U2317" s="68" t="s">
        <v>29436</v>
      </c>
      <c r="V2317" s="68" t="s">
        <v>21212</v>
      </c>
      <c r="W2317" s="68" t="s">
        <v>100</v>
      </c>
      <c r="X2317" s="68">
        <v>680</v>
      </c>
      <c r="AW2317" s="70"/>
      <c r="BK2317" s="44"/>
    </row>
    <row r="2318" spans="1:63" ht="12" customHeight="1" x14ac:dyDescent="0.15">
      <c r="A2318" s="1" t="s">
        <v>1027</v>
      </c>
      <c r="B2318" s="68">
        <v>36</v>
      </c>
      <c r="C2318" s="1" t="s">
        <v>20</v>
      </c>
      <c r="D2318" s="1" t="s">
        <v>85</v>
      </c>
      <c r="E2318" s="1" t="s">
        <v>1028</v>
      </c>
      <c r="F2318" s="69">
        <v>42210</v>
      </c>
      <c r="G2318" s="1" t="s">
        <v>1029</v>
      </c>
      <c r="H2318" s="1" t="s">
        <v>655</v>
      </c>
      <c r="I2318" s="1" t="s">
        <v>269</v>
      </c>
      <c r="J2318" s="4">
        <v>89104</v>
      </c>
      <c r="K2318" s="1" t="s">
        <v>570</v>
      </c>
      <c r="L2318" s="1" t="s">
        <v>571</v>
      </c>
      <c r="M2318" s="1" t="s">
        <v>27</v>
      </c>
      <c r="N2318" s="1" t="s">
        <v>1030</v>
      </c>
      <c r="O2318" s="1" t="s">
        <v>400</v>
      </c>
      <c r="P2318" s="1" t="s">
        <v>401</v>
      </c>
      <c r="Q2318" s="63" t="str">
        <f>HYPERLINK("http://www.reviewjournal.com/news/las-vegas/metro-officer-wounded-suspect-shot-death","http://www.reviewjournal.com/news/las-vegas/metro-officer-wounded-suspect-shot-death")</f>
        <v>http://www.reviewjournal.com/news/las-vegas/metro-officer-wounded-suspect-shot-death</v>
      </c>
      <c r="R2318" s="1" t="s">
        <v>100</v>
      </c>
      <c r="S2318" s="1" t="s">
        <v>18</v>
      </c>
      <c r="T2318" s="68" t="s">
        <v>29612</v>
      </c>
      <c r="U2318" s="68" t="s">
        <v>29438</v>
      </c>
      <c r="V2318" s="68" t="s">
        <v>29439</v>
      </c>
      <c r="W2318" s="68" t="s">
        <v>100</v>
      </c>
      <c r="X2318" s="68">
        <v>678</v>
      </c>
      <c r="AX2318" s="44"/>
      <c r="AY2318" s="44"/>
      <c r="BC2318" s="44"/>
      <c r="BD2318" s="44"/>
      <c r="BE2318" s="44"/>
      <c r="BF2318" s="44"/>
      <c r="BG2318" s="44"/>
      <c r="BH2318" s="44"/>
      <c r="BI2318" s="44"/>
      <c r="BJ2318" s="44"/>
    </row>
    <row r="2319" spans="1:63" ht="12" customHeight="1" x14ac:dyDescent="0.15">
      <c r="A2319" s="1" t="s">
        <v>1021</v>
      </c>
      <c r="B2319" s="68">
        <v>59</v>
      </c>
      <c r="C2319" s="1" t="s">
        <v>20</v>
      </c>
      <c r="D2319" s="1" t="s">
        <v>85</v>
      </c>
      <c r="F2319" s="69">
        <v>42210</v>
      </c>
      <c r="G2319" s="1" t="s">
        <v>1022</v>
      </c>
      <c r="H2319" s="1" t="s">
        <v>1023</v>
      </c>
      <c r="I2319" s="1" t="s">
        <v>62</v>
      </c>
      <c r="J2319" s="4">
        <v>32667</v>
      </c>
      <c r="K2319" s="1" t="s">
        <v>1024</v>
      </c>
      <c r="L2319" s="1" t="s">
        <v>1025</v>
      </c>
      <c r="M2319" s="1" t="s">
        <v>27</v>
      </c>
      <c r="N2319" s="1" t="s">
        <v>1026</v>
      </c>
      <c r="O2319" s="1" t="s">
        <v>400</v>
      </c>
      <c r="P2319" s="1" t="s">
        <v>401</v>
      </c>
      <c r="Q2319" s="63" t="str">
        <f>HYPERLINK("http://www.miamiherald.com/news/local/crime/article28915918.html","http://www.miamiherald.com/news/local/crime/article28915918.html")</f>
        <v>http://www.miamiherald.com/news/local/crime/article28915918.html</v>
      </c>
      <c r="R2319" s="1" t="s">
        <v>100</v>
      </c>
      <c r="S2319" s="1" t="s">
        <v>28</v>
      </c>
      <c r="T2319" s="68" t="s">
        <v>27756</v>
      </c>
      <c r="U2319" s="68" t="s">
        <v>29438</v>
      </c>
      <c r="V2319" s="68" t="s">
        <v>29439</v>
      </c>
      <c r="W2319" s="68" t="s">
        <v>100</v>
      </c>
      <c r="X2319" s="68">
        <v>685</v>
      </c>
      <c r="AX2319" s="44"/>
      <c r="AY2319" s="44"/>
      <c r="BC2319" s="44"/>
      <c r="BD2319" s="44"/>
      <c r="BE2319" s="44"/>
      <c r="BF2319" s="44"/>
      <c r="BG2319" s="44"/>
      <c r="BH2319" s="44"/>
      <c r="BI2319" s="44"/>
      <c r="BJ2319" s="44"/>
      <c r="BK2319" s="11"/>
    </row>
    <row r="2320" spans="1:63" ht="12" customHeight="1" x14ac:dyDescent="0.15">
      <c r="A2320" s="1" t="s">
        <v>1031</v>
      </c>
      <c r="B2320" s="68">
        <v>50</v>
      </c>
      <c r="C2320" s="1" t="s">
        <v>20</v>
      </c>
      <c r="D2320" s="1" t="s">
        <v>37</v>
      </c>
      <c r="F2320" s="69">
        <v>42210</v>
      </c>
      <c r="G2320" s="1" t="s">
        <v>1032</v>
      </c>
      <c r="H2320" s="1" t="s">
        <v>1033</v>
      </c>
      <c r="I2320" s="1" t="s">
        <v>173</v>
      </c>
      <c r="J2320" s="4">
        <v>39825</v>
      </c>
      <c r="K2320" s="1" t="s">
        <v>1034</v>
      </c>
      <c r="L2320" s="1" t="s">
        <v>1035</v>
      </c>
      <c r="M2320" s="1" t="s">
        <v>27</v>
      </c>
      <c r="N2320" s="1" t="s">
        <v>1036</v>
      </c>
      <c r="O2320" s="1" t="s">
        <v>400</v>
      </c>
      <c r="P2320" s="1" t="s">
        <v>401</v>
      </c>
      <c r="Q2320" s="63" t="str">
        <f>HYPERLINK("http://www.walb.com/story/29631891/1-dead-after-officer-involved-shooting-in-decatur-co","http://www.walb.com/story/29631891/1-dead-after-officer-involved-shooting-in-decatur-co")</f>
        <v>http://www.walb.com/story/29631891/1-dead-after-officer-involved-shooting-in-decatur-co</v>
      </c>
      <c r="R2320" s="1" t="s">
        <v>555</v>
      </c>
      <c r="S2320" s="1" t="s">
        <v>28</v>
      </c>
      <c r="T2320" s="68" t="s">
        <v>27756</v>
      </c>
      <c r="U2320" s="68" t="s">
        <v>29438</v>
      </c>
      <c r="V2320" s="68" t="s">
        <v>29439</v>
      </c>
      <c r="W2320" s="68" t="s">
        <v>100</v>
      </c>
      <c r="X2320" s="68">
        <v>677</v>
      </c>
      <c r="BA2320" s="11"/>
      <c r="BB2320" s="44"/>
      <c r="BC2320" s="44"/>
      <c r="BD2320" s="44"/>
      <c r="BE2320" s="44"/>
      <c r="BF2320" s="44"/>
      <c r="BG2320" s="44"/>
      <c r="BH2320" s="44"/>
      <c r="BI2320" s="44"/>
      <c r="BJ2320" s="44"/>
      <c r="BK2320" s="11"/>
    </row>
    <row r="2321" spans="1:63" ht="12" customHeight="1" x14ac:dyDescent="0.2">
      <c r="A2321" s="1" t="s">
        <v>1037</v>
      </c>
      <c r="B2321" s="68">
        <v>60</v>
      </c>
      <c r="C2321" s="1" t="s">
        <v>20</v>
      </c>
      <c r="D2321" s="1" t="s">
        <v>37</v>
      </c>
      <c r="F2321" s="69">
        <v>42210</v>
      </c>
      <c r="G2321" s="1" t="s">
        <v>1038</v>
      </c>
      <c r="H2321" s="1" t="s">
        <v>1039</v>
      </c>
      <c r="I2321" s="1" t="s">
        <v>25</v>
      </c>
      <c r="J2321" s="4">
        <v>70117</v>
      </c>
      <c r="K2321" s="1" t="s">
        <v>1040</v>
      </c>
      <c r="L2321" s="1" t="s">
        <v>1041</v>
      </c>
      <c r="M2321" s="1" t="s">
        <v>27</v>
      </c>
      <c r="N2321" s="1" t="s">
        <v>1042</v>
      </c>
      <c r="O2321" s="1" t="s">
        <v>400</v>
      </c>
      <c r="P2321" s="1" t="s">
        <v>401</v>
      </c>
      <c r="Q2321" s="63" t="str">
        <f>HYPERLINK("http://www.nola.com/crime/index.ssf/2015/07/breaking_new_orleans_police_sh.html#incart_river","http://www.nola.com/crime/index.ssf/2015/07/breaking_new_orleans_police_sh.html#incart_river")</f>
        <v>http://www.nola.com/crime/index.ssf/2015/07/breaking_new_orleans_police_sh.html#incart_river</v>
      </c>
      <c r="R2321" s="68" t="s">
        <v>555</v>
      </c>
      <c r="S2321" s="1" t="s">
        <v>35</v>
      </c>
      <c r="T2321" s="68" t="s">
        <v>29457</v>
      </c>
      <c r="U2321" s="68" t="s">
        <v>29438</v>
      </c>
      <c r="V2321" s="68" t="s">
        <v>29437</v>
      </c>
      <c r="W2321" s="68" t="s">
        <v>100</v>
      </c>
      <c r="X2321" s="68">
        <v>676</v>
      </c>
      <c r="BA2321" s="70"/>
      <c r="BB2321" s="44"/>
    </row>
    <row r="2322" spans="1:63" ht="12" customHeight="1" x14ac:dyDescent="0.2">
      <c r="A2322" s="1" t="s">
        <v>1043</v>
      </c>
      <c r="B2322" s="68">
        <v>30</v>
      </c>
      <c r="C2322" s="1" t="s">
        <v>20</v>
      </c>
      <c r="D2322" s="1" t="s">
        <v>37</v>
      </c>
      <c r="F2322" s="69">
        <v>42209</v>
      </c>
      <c r="G2322" s="1" t="s">
        <v>1044</v>
      </c>
      <c r="H2322" s="1" t="s">
        <v>1045</v>
      </c>
      <c r="I2322" s="1" t="s">
        <v>366</v>
      </c>
      <c r="J2322" s="4">
        <v>27043</v>
      </c>
      <c r="K2322" s="1" t="s">
        <v>1046</v>
      </c>
      <c r="L2322" s="1" t="s">
        <v>1047</v>
      </c>
      <c r="M2322" s="68" t="s">
        <v>5411</v>
      </c>
      <c r="N2322" s="1" t="s">
        <v>1279</v>
      </c>
      <c r="O2322" s="1" t="s">
        <v>1010</v>
      </c>
      <c r="P2322" s="1" t="s">
        <v>401</v>
      </c>
      <c r="Q2322" s="63" t="str">
        <f>HYPERLINK("http://www.wxii12.com/news/stabbing-standoff-reported-in-stokes-co/34345684","http://www.wxii12.com/news/stabbing-standoff-reported-in-stokes-co/34345684")</f>
        <v>http://www.wxii12.com/news/stabbing-standoff-reported-in-stokes-co/34345684</v>
      </c>
      <c r="R2322" s="1" t="s">
        <v>100</v>
      </c>
      <c r="S2322" s="1" t="s">
        <v>28</v>
      </c>
      <c r="T2322" s="68" t="s">
        <v>29493</v>
      </c>
      <c r="U2322" s="68" t="s">
        <v>29436</v>
      </c>
      <c r="V2322" s="68" t="s">
        <v>29439</v>
      </c>
      <c r="W2322" s="68" t="s">
        <v>100</v>
      </c>
      <c r="X2322" s="68">
        <v>675</v>
      </c>
      <c r="AW2322" s="11"/>
      <c r="BB2322" s="70"/>
    </row>
    <row r="2323" spans="1:63" ht="12" customHeight="1" x14ac:dyDescent="0.15">
      <c r="A2323" s="1" t="s">
        <v>1049</v>
      </c>
      <c r="B2323" s="68">
        <v>44</v>
      </c>
      <c r="C2323" s="1" t="s">
        <v>20</v>
      </c>
      <c r="D2323" s="1" t="s">
        <v>37</v>
      </c>
      <c r="E2323" s="1" t="str">
        <f>HYPERLINK("http://cdn.abclocal.go.com/content/kabc/images/cms/889902_1280x720.jpg","http://cdn.abclocal.go.com/content/kabc/images/cms/889902_1280x720.jpg")</f>
        <v>http://cdn.abclocal.go.com/content/kabc/images/cms/889902_1280x720.jpg</v>
      </c>
      <c r="F2323" s="69">
        <v>42209</v>
      </c>
      <c r="G2323" s="1" t="s">
        <v>1050</v>
      </c>
      <c r="H2323" s="1" t="s">
        <v>1051</v>
      </c>
      <c r="I2323" s="1" t="s">
        <v>45</v>
      </c>
      <c r="J2323" s="4">
        <v>91604</v>
      </c>
      <c r="K2323" s="1" t="s">
        <v>98</v>
      </c>
      <c r="L2323" s="1" t="s">
        <v>99</v>
      </c>
      <c r="M2323" s="1" t="s">
        <v>27</v>
      </c>
      <c r="N2323" s="1" t="s">
        <v>1052</v>
      </c>
      <c r="O2323" s="1" t="s">
        <v>400</v>
      </c>
      <c r="P2323" s="1" t="s">
        <v>401</v>
      </c>
      <c r="Q2323" s="6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2323" s="1" t="s">
        <v>29</v>
      </c>
      <c r="S2323" s="1" t="s">
        <v>28</v>
      </c>
      <c r="T2323" s="68" t="s">
        <v>27756</v>
      </c>
      <c r="U2323" s="68" t="s">
        <v>29438</v>
      </c>
      <c r="V2323" s="68" t="s">
        <v>29439</v>
      </c>
      <c r="W2323" s="68" t="s">
        <v>100</v>
      </c>
      <c r="X2323" s="68">
        <v>674</v>
      </c>
      <c r="BK2323" s="11"/>
    </row>
    <row r="2324" spans="1:63" ht="12" customHeight="1" x14ac:dyDescent="0.15">
      <c r="A2324" s="1" t="s">
        <v>1053</v>
      </c>
      <c r="B2324" s="68">
        <v>34</v>
      </c>
      <c r="C2324" s="1" t="s">
        <v>20</v>
      </c>
      <c r="D2324" s="1" t="s">
        <v>85</v>
      </c>
      <c r="F2324" s="69">
        <v>42208</v>
      </c>
      <c r="G2324" s="1" t="s">
        <v>1054</v>
      </c>
      <c r="H2324" s="1" t="s">
        <v>1055</v>
      </c>
      <c r="I2324" s="1" t="s">
        <v>69</v>
      </c>
      <c r="J2324" s="4">
        <v>45405</v>
      </c>
      <c r="K2324" s="1" t="s">
        <v>1056</v>
      </c>
      <c r="L2324" s="1" t="s">
        <v>19407</v>
      </c>
      <c r="M2324" s="1" t="s">
        <v>27</v>
      </c>
      <c r="N2324" s="1" t="s">
        <v>1057</v>
      </c>
      <c r="O2324" s="1" t="s">
        <v>400</v>
      </c>
      <c r="P2324" s="1" t="s">
        <v>401</v>
      </c>
      <c r="Q2324" s="63" t="s">
        <v>20819</v>
      </c>
      <c r="R2324" s="1" t="s">
        <v>100</v>
      </c>
      <c r="S2324" s="1" t="s">
        <v>28</v>
      </c>
      <c r="T2324" s="68" t="s">
        <v>27756</v>
      </c>
      <c r="U2324" s="68" t="s">
        <v>29438</v>
      </c>
      <c r="V2324" s="68" t="s">
        <v>29439</v>
      </c>
      <c r="W2324" s="68" t="s">
        <v>100</v>
      </c>
      <c r="X2324" s="68">
        <v>668</v>
      </c>
      <c r="AW2324" s="11"/>
      <c r="AX2324" s="11"/>
      <c r="AY2324" s="11"/>
      <c r="BC2324" s="44"/>
      <c r="BD2324" s="44"/>
      <c r="BE2324" s="44"/>
      <c r="BF2324" s="44"/>
      <c r="BG2324" s="44"/>
      <c r="BH2324" s="44"/>
      <c r="BI2324" s="44"/>
      <c r="BJ2324" s="44"/>
      <c r="BK2324" s="11"/>
    </row>
    <row r="2325" spans="1:63" ht="12" customHeight="1" x14ac:dyDescent="0.15">
      <c r="A2325" s="1" t="s">
        <v>1075</v>
      </c>
      <c r="B2325" s="68">
        <v>32</v>
      </c>
      <c r="C2325" s="1" t="s">
        <v>20</v>
      </c>
      <c r="D2325" s="1" t="s">
        <v>37</v>
      </c>
      <c r="F2325" s="69">
        <v>42208</v>
      </c>
      <c r="G2325" s="1" t="s">
        <v>1076</v>
      </c>
      <c r="H2325" s="1" t="s">
        <v>1077</v>
      </c>
      <c r="I2325" s="1" t="s">
        <v>32</v>
      </c>
      <c r="J2325" s="4">
        <v>29579</v>
      </c>
      <c r="K2325" s="1" t="s">
        <v>1078</v>
      </c>
      <c r="L2325" s="1" t="s">
        <v>1079</v>
      </c>
      <c r="M2325" s="1" t="s">
        <v>27</v>
      </c>
      <c r="N2325" s="1" t="s">
        <v>1080</v>
      </c>
      <c r="O2325" s="1" t="s">
        <v>400</v>
      </c>
      <c r="P2325" s="1" t="s">
        <v>401</v>
      </c>
      <c r="Q2325" s="63" t="s">
        <v>20820</v>
      </c>
      <c r="R2325" s="1" t="s">
        <v>100</v>
      </c>
      <c r="S2325" s="1" t="s">
        <v>28</v>
      </c>
      <c r="T2325" s="68" t="s">
        <v>27756</v>
      </c>
      <c r="U2325" s="68" t="s">
        <v>29438</v>
      </c>
      <c r="V2325" s="68" t="s">
        <v>29439</v>
      </c>
      <c r="W2325" s="68" t="s">
        <v>100</v>
      </c>
      <c r="X2325" s="68">
        <v>671</v>
      </c>
      <c r="AW2325" s="11"/>
      <c r="BK2325" s="11"/>
    </row>
    <row r="2326" spans="1:63" ht="12" customHeight="1" x14ac:dyDescent="0.15">
      <c r="A2326" s="1" t="s">
        <v>1081</v>
      </c>
      <c r="B2326" s="68">
        <v>47</v>
      </c>
      <c r="C2326" s="1" t="s">
        <v>20</v>
      </c>
      <c r="D2326" s="1" t="s">
        <v>37</v>
      </c>
      <c r="F2326" s="69">
        <v>42208</v>
      </c>
      <c r="G2326" s="1" t="s">
        <v>1082</v>
      </c>
      <c r="H2326" s="1" t="s">
        <v>938</v>
      </c>
      <c r="I2326" s="1" t="s">
        <v>1083</v>
      </c>
      <c r="J2326" s="4">
        <v>82633</v>
      </c>
      <c r="K2326" s="1" t="s">
        <v>1084</v>
      </c>
      <c r="L2326" s="1" t="s">
        <v>1085</v>
      </c>
      <c r="M2326" s="1" t="s">
        <v>27</v>
      </c>
      <c r="N2326" s="1" t="s">
        <v>21074</v>
      </c>
      <c r="O2326" s="1" t="s">
        <v>400</v>
      </c>
      <c r="P2326" s="1" t="s">
        <v>401</v>
      </c>
      <c r="Q2326" s="63" t="s">
        <v>20817</v>
      </c>
      <c r="R2326" s="1" t="s">
        <v>100</v>
      </c>
      <c r="S2326" s="1" t="s">
        <v>18</v>
      </c>
      <c r="T2326" s="68" t="s">
        <v>29612</v>
      </c>
      <c r="U2326" s="68" t="s">
        <v>29438</v>
      </c>
      <c r="V2326" s="68" t="s">
        <v>29439</v>
      </c>
      <c r="W2326" s="68" t="s">
        <v>100</v>
      </c>
      <c r="X2326" s="68">
        <v>672</v>
      </c>
    </row>
    <row r="2327" spans="1:63" ht="12" customHeight="1" x14ac:dyDescent="0.15">
      <c r="A2327" s="1" t="s">
        <v>1063</v>
      </c>
      <c r="B2327" s="68">
        <v>44</v>
      </c>
      <c r="C2327" s="1" t="s">
        <v>114</v>
      </c>
      <c r="D2327" s="1" t="s">
        <v>37</v>
      </c>
      <c r="F2327" s="69">
        <v>42208</v>
      </c>
      <c r="G2327" s="1" t="s">
        <v>1064</v>
      </c>
      <c r="H2327" s="1" t="s">
        <v>1065</v>
      </c>
      <c r="I2327" s="1" t="s">
        <v>45</v>
      </c>
      <c r="J2327" s="4">
        <v>95722</v>
      </c>
      <c r="K2327" s="1" t="s">
        <v>1066</v>
      </c>
      <c r="L2327" s="1" t="s">
        <v>1067</v>
      </c>
      <c r="M2327" s="1" t="s">
        <v>27</v>
      </c>
      <c r="N2327" s="1" t="s">
        <v>1068</v>
      </c>
      <c r="O2327" s="1" t="s">
        <v>400</v>
      </c>
      <c r="P2327" s="1" t="s">
        <v>401</v>
      </c>
      <c r="Q2327" s="63" t="s">
        <v>20818</v>
      </c>
      <c r="R2327" s="1" t="s">
        <v>555</v>
      </c>
      <c r="S2327" s="1" t="s">
        <v>28</v>
      </c>
      <c r="T2327" s="68" t="s">
        <v>27756</v>
      </c>
      <c r="U2327" s="68" t="s">
        <v>29438</v>
      </c>
      <c r="V2327" s="68" t="s">
        <v>29439</v>
      </c>
      <c r="W2327" s="68" t="s">
        <v>100</v>
      </c>
      <c r="X2327" s="68">
        <v>673</v>
      </c>
      <c r="BA2327" s="11"/>
      <c r="BB2327" s="44"/>
      <c r="BK2327" s="11"/>
    </row>
    <row r="2328" spans="1:63" ht="12" customHeight="1" x14ac:dyDescent="0.2">
      <c r="A2328" s="1" t="s">
        <v>1069</v>
      </c>
      <c r="B2328" s="68">
        <v>31</v>
      </c>
      <c r="C2328" s="1" t="s">
        <v>20</v>
      </c>
      <c r="D2328" s="1" t="s">
        <v>37</v>
      </c>
      <c r="F2328" s="69">
        <v>42208</v>
      </c>
      <c r="G2328" s="1" t="s">
        <v>1070</v>
      </c>
      <c r="H2328" s="1" t="s">
        <v>1071</v>
      </c>
      <c r="I2328" s="1" t="s">
        <v>133</v>
      </c>
      <c r="J2328" s="4">
        <v>55447</v>
      </c>
      <c r="K2328" s="1" t="s">
        <v>1072</v>
      </c>
      <c r="L2328" s="1" t="s">
        <v>1073</v>
      </c>
      <c r="M2328" s="68" t="s">
        <v>5411</v>
      </c>
      <c r="N2328" s="1" t="s">
        <v>1113</v>
      </c>
      <c r="O2328" s="1" t="s">
        <v>400</v>
      </c>
      <c r="P2328" s="1" t="s">
        <v>401</v>
      </c>
      <c r="Q2328" s="6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328" s="68" t="s">
        <v>555</v>
      </c>
      <c r="S2328" s="1" t="s">
        <v>18</v>
      </c>
      <c r="T2328" s="68" t="s">
        <v>28345</v>
      </c>
      <c r="U2328" s="68" t="s">
        <v>29438</v>
      </c>
      <c r="V2328" s="68" t="s">
        <v>29439</v>
      </c>
      <c r="W2328" s="68" t="s">
        <v>100</v>
      </c>
      <c r="X2328" s="68">
        <v>670</v>
      </c>
      <c r="AW2328" s="11"/>
      <c r="BA2328" s="44"/>
      <c r="BB2328" s="70"/>
    </row>
    <row r="2329" spans="1:63" ht="12" customHeight="1" x14ac:dyDescent="0.15">
      <c r="A2329" s="1" t="s">
        <v>1058</v>
      </c>
      <c r="B2329" s="1">
        <v>55</v>
      </c>
      <c r="C2329" s="1" t="s">
        <v>20</v>
      </c>
      <c r="D2329" s="1" t="s">
        <v>37</v>
      </c>
      <c r="E2329" s="1" t="str">
        <f>HYPERLINK("http://www.killedbypolice.net/victims/2664.jpg","http://www.killedbypolice.net/victims/2664.jpg")</f>
        <v>http://www.killedbypolice.net/victims/2664.jpg</v>
      </c>
      <c r="F2329" s="72">
        <v>42208</v>
      </c>
      <c r="G2329" s="1" t="s">
        <v>1059</v>
      </c>
      <c r="H2329" s="1" t="s">
        <v>1060</v>
      </c>
      <c r="I2329" s="1" t="s">
        <v>62</v>
      </c>
      <c r="J2329" s="4">
        <v>32819</v>
      </c>
      <c r="K2329" s="1" t="s">
        <v>1061</v>
      </c>
      <c r="L2329" s="1" t="s">
        <v>1062</v>
      </c>
      <c r="M2329" s="1" t="s">
        <v>379</v>
      </c>
      <c r="P2329" s="1" t="s">
        <v>401</v>
      </c>
      <c r="Q2329" s="63" t="str">
        <f>HYPERLINK("http://www.wesh.com/news/bicyclist-struck-by-police-cruiser-has-died/34321568","http://www.wesh.com/news/bicyclist-struck-by-police-cruiser-has-died/34321568")</f>
        <v>http://www.wesh.com/news/bicyclist-struck-by-police-cruiser-has-died/34321568</v>
      </c>
      <c r="R2329" s="1" t="s">
        <v>29</v>
      </c>
      <c r="S2329" s="1" t="s">
        <v>18</v>
      </c>
    </row>
    <row r="2330" spans="1:63" ht="12" customHeight="1" x14ac:dyDescent="0.15">
      <c r="A2330" s="1" t="s">
        <v>1098</v>
      </c>
      <c r="B2330" s="68">
        <v>27</v>
      </c>
      <c r="C2330" s="1" t="s">
        <v>20</v>
      </c>
      <c r="D2330" s="1" t="s">
        <v>85</v>
      </c>
      <c r="F2330" s="69">
        <v>42207</v>
      </c>
      <c r="G2330" s="1" t="s">
        <v>1099</v>
      </c>
      <c r="H2330" s="1" t="s">
        <v>1100</v>
      </c>
      <c r="I2330" s="1" t="s">
        <v>404</v>
      </c>
      <c r="J2330" s="4">
        <v>19154</v>
      </c>
      <c r="K2330" s="1" t="s">
        <v>1100</v>
      </c>
      <c r="L2330" s="1" t="s">
        <v>1101</v>
      </c>
      <c r="M2330" s="1" t="s">
        <v>27</v>
      </c>
      <c r="N2330" s="1" t="s">
        <v>1102</v>
      </c>
      <c r="O2330" s="1" t="s">
        <v>1010</v>
      </c>
      <c r="P2330" s="1" t="s">
        <v>401</v>
      </c>
      <c r="Q2330" s="6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2330" s="1" t="s">
        <v>100</v>
      </c>
      <c r="S2330" s="1" t="s">
        <v>28</v>
      </c>
      <c r="T2330" s="68" t="s">
        <v>27756</v>
      </c>
      <c r="U2330" s="68" t="s">
        <v>29438</v>
      </c>
      <c r="V2330" s="68" t="s">
        <v>29439</v>
      </c>
      <c r="W2330" s="68" t="s">
        <v>100</v>
      </c>
      <c r="X2330" s="68">
        <v>669</v>
      </c>
      <c r="AW2330" s="44"/>
      <c r="AX2330" s="11"/>
      <c r="AY2330" s="11"/>
      <c r="BC2330" s="44"/>
      <c r="BD2330" s="44"/>
      <c r="BE2330" s="44"/>
      <c r="BF2330" s="44"/>
      <c r="BG2330" s="44"/>
      <c r="BH2330" s="44"/>
      <c r="BI2330" s="44"/>
      <c r="BJ2330" s="44"/>
      <c r="BK2330" s="11"/>
    </row>
    <row r="2331" spans="1:63" ht="12" customHeight="1" x14ac:dyDescent="0.2">
      <c r="A2331" s="1" t="s">
        <v>1092</v>
      </c>
      <c r="B2331" s="68">
        <v>26</v>
      </c>
      <c r="C2331" s="1" t="s">
        <v>20</v>
      </c>
      <c r="D2331" s="1" t="s">
        <v>85</v>
      </c>
      <c r="F2331" s="69">
        <v>42207</v>
      </c>
      <c r="G2331" s="1" t="s">
        <v>1093</v>
      </c>
      <c r="H2331" s="1" t="s">
        <v>1094</v>
      </c>
      <c r="I2331" s="1" t="s">
        <v>395</v>
      </c>
      <c r="J2331" s="4">
        <v>73111</v>
      </c>
      <c r="K2331" s="1" t="s">
        <v>1095</v>
      </c>
      <c r="L2331" s="1" t="s">
        <v>1096</v>
      </c>
      <c r="M2331" s="68" t="s">
        <v>5411</v>
      </c>
      <c r="N2331" s="1" t="s">
        <v>1097</v>
      </c>
      <c r="O2331" s="1" t="s">
        <v>400</v>
      </c>
      <c r="P2331" s="1" t="s">
        <v>401</v>
      </c>
      <c r="Q2331" s="6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2331" s="1" t="s">
        <v>100</v>
      </c>
      <c r="S2331" s="1" t="s">
        <v>28</v>
      </c>
      <c r="T2331" s="68" t="s">
        <v>29493</v>
      </c>
      <c r="U2331" s="68" t="s">
        <v>29436</v>
      </c>
      <c r="V2331" s="68" t="s">
        <v>21212</v>
      </c>
      <c r="W2331" s="68" t="s">
        <v>100</v>
      </c>
      <c r="X2331" s="68">
        <v>667</v>
      </c>
      <c r="AW2331" s="44"/>
      <c r="AX2331" s="44"/>
      <c r="AY2331" s="44"/>
      <c r="BB2331" s="70"/>
      <c r="BC2331" s="44"/>
      <c r="BD2331" s="44"/>
      <c r="BE2331" s="44"/>
      <c r="BF2331" s="44"/>
      <c r="BG2331" s="44"/>
      <c r="BH2331" s="44"/>
      <c r="BI2331" s="44"/>
      <c r="BJ2331" s="44"/>
    </row>
    <row r="2332" spans="1:63" ht="12" customHeight="1" x14ac:dyDescent="0.15">
      <c r="A2332" s="68" t="s">
        <v>29434</v>
      </c>
      <c r="B2332" s="68">
        <v>25</v>
      </c>
      <c r="C2332" s="1" t="s">
        <v>20</v>
      </c>
      <c r="D2332" s="1" t="s">
        <v>48</v>
      </c>
      <c r="F2332" s="69">
        <v>42207</v>
      </c>
      <c r="G2332" s="1" t="s">
        <v>1103</v>
      </c>
      <c r="H2332" s="1" t="s">
        <v>1104</v>
      </c>
      <c r="I2332" s="1" t="s">
        <v>438</v>
      </c>
      <c r="J2332" s="4">
        <v>53566</v>
      </c>
      <c r="K2332" s="1" t="s">
        <v>1105</v>
      </c>
      <c r="L2332" s="1" t="s">
        <v>1106</v>
      </c>
      <c r="M2332" s="1" t="s">
        <v>27</v>
      </c>
      <c r="N2332" s="1" t="s">
        <v>1107</v>
      </c>
      <c r="O2332" s="1" t="s">
        <v>1010</v>
      </c>
      <c r="P2332" s="1" t="s">
        <v>401</v>
      </c>
      <c r="Q2332" s="63" t="s">
        <v>20815</v>
      </c>
      <c r="R2332" s="1" t="s">
        <v>100</v>
      </c>
      <c r="S2332" s="1" t="s">
        <v>28</v>
      </c>
      <c r="T2332" s="68" t="s">
        <v>27756</v>
      </c>
      <c r="U2332" s="68" t="s">
        <v>29438</v>
      </c>
      <c r="V2332" s="68" t="s">
        <v>29439</v>
      </c>
      <c r="W2332" s="68" t="s">
        <v>100</v>
      </c>
      <c r="X2332" s="68">
        <v>666</v>
      </c>
      <c r="AW2332" s="44"/>
      <c r="AX2332" s="64"/>
      <c r="AY2332" s="64"/>
      <c r="BK2332" s="11"/>
    </row>
    <row r="2333" spans="1:63" ht="12" customHeight="1" x14ac:dyDescent="0.15">
      <c r="A2333" s="1" t="s">
        <v>1108</v>
      </c>
      <c r="B2333" s="1">
        <v>20</v>
      </c>
      <c r="C2333" s="1" t="s">
        <v>20</v>
      </c>
      <c r="D2333" s="1" t="s">
        <v>37</v>
      </c>
      <c r="E2333" s="1" t="str">
        <f>HYPERLINK("http://www.killedbypolice.net/victims/150651.jpg","http://www.killedbypolice.net/victims/150651.jpg")</f>
        <v>http://www.killedbypolice.net/victims/150651.jpg</v>
      </c>
      <c r="F2333" s="72">
        <v>42207</v>
      </c>
      <c r="G2333" s="1" t="s">
        <v>1109</v>
      </c>
      <c r="H2333" s="1" t="s">
        <v>1110</v>
      </c>
      <c r="I2333" s="1" t="s">
        <v>57</v>
      </c>
      <c r="J2333" s="4">
        <v>48066</v>
      </c>
      <c r="K2333" s="1" t="s">
        <v>1111</v>
      </c>
      <c r="L2333" s="1" t="s">
        <v>1112</v>
      </c>
      <c r="M2333" s="1" t="s">
        <v>379</v>
      </c>
      <c r="N2333" s="1" t="s">
        <v>1252</v>
      </c>
      <c r="O2333" s="1" t="s">
        <v>1010</v>
      </c>
      <c r="P2333" s="1" t="s">
        <v>401</v>
      </c>
      <c r="Q2333" s="63" t="str">
        <f>HYPERLINK("http://www.mlive.com/news/detroit/index.ssf/2015/07/st_clair_shores_police_car_tur.html","http://www.mlive.com/news/detroit/index.ssf/2015/07/st_clair_shores_police_car_tur.html")</f>
        <v>http://www.mlive.com/news/detroit/index.ssf/2015/07/st_clair_shores_police_car_tur.html</v>
      </c>
      <c r="R2333" s="1" t="s">
        <v>100</v>
      </c>
      <c r="S2333" s="66" t="s">
        <v>379</v>
      </c>
      <c r="T2333" s="66" t="s">
        <v>30738</v>
      </c>
    </row>
    <row r="2334" spans="1:63" ht="12" customHeight="1" x14ac:dyDescent="0.15">
      <c r="A2334" s="1" t="s">
        <v>1086</v>
      </c>
      <c r="B2334" s="1">
        <v>35</v>
      </c>
      <c r="C2334" s="1" t="s">
        <v>20</v>
      </c>
      <c r="D2334" s="1" t="s">
        <v>85</v>
      </c>
      <c r="E2334" s="1" t="str">
        <f>HYPERLINK("http://ksla.images.worldnow.com/images/8474631_G.jpg","http://ksla.images.worldnow.com/images/8474631_G.jpg")</f>
        <v>http://ksla.images.worldnow.com/images/8474631_G.jpg</v>
      </c>
      <c r="F2334" s="72">
        <v>42207</v>
      </c>
      <c r="G2334" s="1" t="s">
        <v>1087</v>
      </c>
      <c r="H2334" s="1" t="s">
        <v>1088</v>
      </c>
      <c r="I2334" s="1" t="s">
        <v>978</v>
      </c>
      <c r="J2334" s="4">
        <v>75501</v>
      </c>
      <c r="K2334" s="1" t="s">
        <v>1089</v>
      </c>
      <c r="L2334" s="1" t="s">
        <v>1090</v>
      </c>
      <c r="M2334" s="1" t="s">
        <v>1091</v>
      </c>
      <c r="N2334" s="1" t="s">
        <v>20844</v>
      </c>
      <c r="O2334" s="1" t="s">
        <v>400</v>
      </c>
      <c r="P2334" s="1" t="s">
        <v>401</v>
      </c>
      <c r="Q2334" s="63" t="s">
        <v>20816</v>
      </c>
      <c r="R2334" s="1" t="s">
        <v>29</v>
      </c>
      <c r="S2334" s="1" t="s">
        <v>18</v>
      </c>
      <c r="AX2334" s="44"/>
      <c r="AY2334" s="44"/>
      <c r="BC2334" s="44"/>
      <c r="BD2334" s="44"/>
      <c r="BE2334" s="44"/>
      <c r="BF2334" s="44"/>
      <c r="BG2334" s="44"/>
      <c r="BH2334" s="44"/>
      <c r="BI2334" s="44"/>
      <c r="BJ2334" s="44"/>
    </row>
    <row r="2335" spans="1:63" ht="12" customHeight="1" x14ac:dyDescent="0.15">
      <c r="A2335" s="1" t="s">
        <v>1120</v>
      </c>
      <c r="B2335" s="68">
        <v>24</v>
      </c>
      <c r="C2335" s="1" t="s">
        <v>20</v>
      </c>
      <c r="D2335" s="1" t="s">
        <v>37</v>
      </c>
      <c r="F2335" s="69">
        <v>42206</v>
      </c>
      <c r="G2335" s="1" t="s">
        <v>1121</v>
      </c>
      <c r="H2335" s="1" t="s">
        <v>1122</v>
      </c>
      <c r="I2335" s="1" t="s">
        <v>62</v>
      </c>
      <c r="J2335" s="4">
        <v>33334</v>
      </c>
      <c r="K2335" s="1" t="s">
        <v>1123</v>
      </c>
      <c r="L2335" s="1" t="s">
        <v>4384</v>
      </c>
      <c r="M2335" s="1" t="s">
        <v>27</v>
      </c>
      <c r="N2335" s="1" t="s">
        <v>1124</v>
      </c>
      <c r="O2335" s="1" t="s">
        <v>1010</v>
      </c>
      <c r="P2335" s="1" t="s">
        <v>401</v>
      </c>
      <c r="Q2335" s="63" t="s">
        <v>20814</v>
      </c>
      <c r="R2335" s="1" t="s">
        <v>100</v>
      </c>
      <c r="S2335" s="1" t="s">
        <v>28</v>
      </c>
      <c r="T2335" s="68" t="s">
        <v>27756</v>
      </c>
      <c r="U2335" s="68" t="s">
        <v>29436</v>
      </c>
      <c r="V2335" s="68" t="s">
        <v>29437</v>
      </c>
      <c r="W2335" s="68" t="s">
        <v>100</v>
      </c>
      <c r="X2335" s="68">
        <v>662</v>
      </c>
      <c r="AW2335" s="11"/>
      <c r="BK2335" s="11"/>
    </row>
    <row r="2336" spans="1:63" ht="12" customHeight="1" x14ac:dyDescent="0.15">
      <c r="A2336" s="1" t="s">
        <v>1114</v>
      </c>
      <c r="B2336" s="68">
        <v>47</v>
      </c>
      <c r="C2336" s="1" t="s">
        <v>20</v>
      </c>
      <c r="D2336" s="1" t="s">
        <v>37</v>
      </c>
      <c r="F2336" s="69">
        <v>42206</v>
      </c>
      <c r="G2336" s="1" t="s">
        <v>1115</v>
      </c>
      <c r="H2336" s="1" t="s">
        <v>1116</v>
      </c>
      <c r="I2336" s="1" t="s">
        <v>173</v>
      </c>
      <c r="J2336" s="4">
        <v>30184</v>
      </c>
      <c r="K2336" s="1" t="s">
        <v>1117</v>
      </c>
      <c r="L2336" s="1" t="s">
        <v>1118</v>
      </c>
      <c r="M2336" s="1" t="s">
        <v>27</v>
      </c>
      <c r="N2336" s="1" t="s">
        <v>1119</v>
      </c>
      <c r="O2336" s="1" t="s">
        <v>400</v>
      </c>
      <c r="P2336" s="1" t="s">
        <v>401</v>
      </c>
      <c r="Q2336" s="63" t="s">
        <v>20812</v>
      </c>
      <c r="R2336" s="1" t="s">
        <v>100</v>
      </c>
      <c r="S2336" s="11" t="s">
        <v>18</v>
      </c>
      <c r="T2336" s="68" t="s">
        <v>28345</v>
      </c>
      <c r="U2336" s="68" t="s">
        <v>29436</v>
      </c>
      <c r="V2336" s="68" t="s">
        <v>29439</v>
      </c>
      <c r="W2336" s="68" t="s">
        <v>100</v>
      </c>
      <c r="X2336" s="68">
        <v>661</v>
      </c>
    </row>
    <row r="2337" spans="1:63" ht="12" customHeight="1" x14ac:dyDescent="0.15">
      <c r="A2337" s="1" t="s">
        <v>1125</v>
      </c>
      <c r="B2337" s="68">
        <v>35</v>
      </c>
      <c r="C2337" s="1" t="s">
        <v>20</v>
      </c>
      <c r="D2337" s="1" t="s">
        <v>37</v>
      </c>
      <c r="F2337" s="69">
        <v>42206</v>
      </c>
      <c r="G2337" s="1" t="s">
        <v>1126</v>
      </c>
      <c r="H2337" s="1" t="s">
        <v>1127</v>
      </c>
      <c r="I2337" s="1" t="s">
        <v>173</v>
      </c>
      <c r="J2337" s="4">
        <v>31545</v>
      </c>
      <c r="K2337" s="1" t="s">
        <v>1128</v>
      </c>
      <c r="L2337" s="1" t="s">
        <v>1129</v>
      </c>
      <c r="M2337" s="1" t="s">
        <v>27</v>
      </c>
      <c r="N2337" s="1" t="s">
        <v>1130</v>
      </c>
      <c r="O2337" s="1" t="s">
        <v>400</v>
      </c>
      <c r="P2337" s="1" t="s">
        <v>401</v>
      </c>
      <c r="Q2337" s="63" t="s">
        <v>20813</v>
      </c>
      <c r="R2337" s="1" t="s">
        <v>29</v>
      </c>
      <c r="S2337" s="1" t="s">
        <v>28</v>
      </c>
      <c r="T2337" s="68" t="s">
        <v>27756</v>
      </c>
      <c r="U2337" s="68" t="s">
        <v>29438</v>
      </c>
      <c r="V2337" s="68" t="s">
        <v>29439</v>
      </c>
      <c r="W2337" s="68" t="s">
        <v>100</v>
      </c>
      <c r="X2337" s="68">
        <v>663</v>
      </c>
      <c r="AW2337" s="11"/>
      <c r="BK2337" s="11"/>
    </row>
    <row r="2338" spans="1:63" ht="12" customHeight="1" x14ac:dyDescent="0.15">
      <c r="A2338" s="1" t="s">
        <v>1136</v>
      </c>
      <c r="B2338" s="1" t="s">
        <v>29</v>
      </c>
      <c r="C2338" s="1" t="s">
        <v>20</v>
      </c>
      <c r="D2338" s="1" t="s">
        <v>48</v>
      </c>
      <c r="F2338" s="72">
        <v>42205</v>
      </c>
      <c r="G2338" s="1" t="s">
        <v>1137</v>
      </c>
      <c r="H2338" s="1" t="s">
        <v>723</v>
      </c>
      <c r="I2338" s="1" t="s">
        <v>73</v>
      </c>
      <c r="J2338" s="4">
        <v>77092</v>
      </c>
      <c r="K2338" s="1" t="s">
        <v>558</v>
      </c>
      <c r="L2338" s="1" t="s">
        <v>559</v>
      </c>
      <c r="M2338" s="1" t="s">
        <v>27</v>
      </c>
      <c r="N2338" s="1" t="s">
        <v>1138</v>
      </c>
      <c r="O2338" s="1" t="s">
        <v>400</v>
      </c>
      <c r="P2338" s="1" t="s">
        <v>401</v>
      </c>
      <c r="Q2338" s="63" t="s">
        <v>20806</v>
      </c>
      <c r="R2338" s="1" t="s">
        <v>100</v>
      </c>
      <c r="S2338" s="1" t="s">
        <v>28</v>
      </c>
      <c r="T2338" s="68"/>
      <c r="U2338" s="68"/>
      <c r="V2338" s="68"/>
      <c r="W2338" s="68"/>
      <c r="X2338" s="68"/>
      <c r="BK2338" s="11"/>
    </row>
    <row r="2339" spans="1:63" ht="12" customHeight="1" x14ac:dyDescent="0.15">
      <c r="A2339" s="1" t="s">
        <v>1143</v>
      </c>
      <c r="B2339" s="1">
        <v>54</v>
      </c>
      <c r="C2339" s="1" t="s">
        <v>20</v>
      </c>
      <c r="D2339" s="1" t="s">
        <v>37</v>
      </c>
      <c r="F2339" s="72">
        <v>42205</v>
      </c>
      <c r="G2339" s="1" t="s">
        <v>1144</v>
      </c>
      <c r="H2339" s="1" t="s">
        <v>1145</v>
      </c>
      <c r="I2339" s="1" t="s">
        <v>395</v>
      </c>
      <c r="J2339" s="4">
        <v>73020</v>
      </c>
      <c r="K2339" s="1" t="s">
        <v>1095</v>
      </c>
      <c r="L2339" s="1" t="s">
        <v>1146</v>
      </c>
      <c r="M2339" s="1" t="s">
        <v>27</v>
      </c>
      <c r="N2339" s="1" t="s">
        <v>1147</v>
      </c>
      <c r="O2339" s="1" t="s">
        <v>550</v>
      </c>
      <c r="P2339" s="1" t="s">
        <v>401</v>
      </c>
      <c r="Q2339" s="63" t="s">
        <v>20808</v>
      </c>
      <c r="R2339" s="1" t="s">
        <v>100</v>
      </c>
      <c r="S2339" s="1" t="s">
        <v>28</v>
      </c>
      <c r="T2339" s="68"/>
      <c r="U2339" s="68"/>
      <c r="V2339" s="68"/>
      <c r="W2339" s="68"/>
      <c r="X2339" s="68"/>
      <c r="BK2339" s="11"/>
    </row>
    <row r="2340" spans="1:63" ht="12" customHeight="1" x14ac:dyDescent="0.15">
      <c r="A2340" s="1" t="s">
        <v>1148</v>
      </c>
      <c r="B2340" s="68">
        <v>35</v>
      </c>
      <c r="C2340" s="1" t="s">
        <v>20</v>
      </c>
      <c r="D2340" s="1" t="s">
        <v>37</v>
      </c>
      <c r="F2340" s="69">
        <v>42205</v>
      </c>
      <c r="G2340" s="1" t="s">
        <v>1149</v>
      </c>
      <c r="H2340" s="1" t="s">
        <v>1150</v>
      </c>
      <c r="I2340" s="1" t="s">
        <v>73</v>
      </c>
      <c r="J2340" s="4">
        <v>77665</v>
      </c>
      <c r="K2340" s="1" t="s">
        <v>1151</v>
      </c>
      <c r="L2340" s="1" t="s">
        <v>1152</v>
      </c>
      <c r="M2340" s="1" t="s">
        <v>27</v>
      </c>
      <c r="N2340" s="1" t="s">
        <v>1153</v>
      </c>
      <c r="O2340" s="1" t="s">
        <v>1010</v>
      </c>
      <c r="P2340" s="1" t="s">
        <v>401</v>
      </c>
      <c r="Q2340" s="63" t="s">
        <v>20810</v>
      </c>
      <c r="R2340" s="1" t="s">
        <v>100</v>
      </c>
      <c r="S2340" s="1" t="s">
        <v>28</v>
      </c>
      <c r="T2340" s="68" t="s">
        <v>27756</v>
      </c>
      <c r="U2340" s="68" t="s">
        <v>29438</v>
      </c>
      <c r="V2340" s="68" t="s">
        <v>21212</v>
      </c>
      <c r="W2340" s="68" t="s">
        <v>100</v>
      </c>
      <c r="X2340" s="68">
        <v>658</v>
      </c>
      <c r="AW2340" s="11"/>
      <c r="BK2340" s="11"/>
    </row>
    <row r="2341" spans="1:63" ht="12" customHeight="1" x14ac:dyDescent="0.15">
      <c r="A2341" s="1" t="s">
        <v>1131</v>
      </c>
      <c r="B2341" s="1">
        <v>59</v>
      </c>
      <c r="C2341" s="1" t="s">
        <v>20</v>
      </c>
      <c r="D2341" s="1" t="s">
        <v>85</v>
      </c>
      <c r="E2341" s="1" t="str">
        <f>HYPERLINK("http://www.killedbypolice.net/victims/150637.jpg","http://www.killedbypolice.net/victims/150637.jpg")</f>
        <v>http://www.killedbypolice.net/victims/150637.jpg</v>
      </c>
      <c r="F2341" s="72">
        <v>42205</v>
      </c>
      <c r="G2341" s="1" t="s">
        <v>1132</v>
      </c>
      <c r="H2341" s="1" t="s">
        <v>723</v>
      </c>
      <c r="I2341" s="1" t="s">
        <v>73</v>
      </c>
      <c r="J2341" s="4">
        <v>77017</v>
      </c>
      <c r="K2341" s="1" t="s">
        <v>558</v>
      </c>
      <c r="L2341" s="1" t="s">
        <v>724</v>
      </c>
      <c r="M2341" s="1" t="s">
        <v>14359</v>
      </c>
      <c r="N2341" s="1" t="s">
        <v>1133</v>
      </c>
      <c r="O2341" s="1" t="s">
        <v>1010</v>
      </c>
      <c r="P2341" s="1" t="s">
        <v>401</v>
      </c>
      <c r="Q2341" s="63" t="s">
        <v>20807</v>
      </c>
      <c r="R2341" s="1" t="s">
        <v>29</v>
      </c>
      <c r="S2341" s="1" t="s">
        <v>18</v>
      </c>
      <c r="AX2341" s="44"/>
      <c r="AY2341" s="44"/>
      <c r="BC2341" s="44"/>
      <c r="BD2341" s="44"/>
      <c r="BE2341" s="44"/>
      <c r="BF2341" s="44"/>
      <c r="BG2341" s="44"/>
      <c r="BH2341" s="44"/>
      <c r="BI2341" s="44"/>
      <c r="BJ2341" s="44"/>
    </row>
    <row r="2342" spans="1:63" ht="12" customHeight="1" x14ac:dyDescent="0.15">
      <c r="A2342" s="1" t="s">
        <v>1134</v>
      </c>
      <c r="B2342" s="1">
        <v>24</v>
      </c>
      <c r="C2342" s="1" t="s">
        <v>20</v>
      </c>
      <c r="D2342" s="1" t="s">
        <v>48</v>
      </c>
      <c r="E2342" s="1" t="str">
        <f>HYPERLINK("http://www.killedbypolice.net/victims/150642.jpg","http://www.killedbypolice.net/victims/150642.jpg")</f>
        <v>http://www.killedbypolice.net/victims/150642.jpg</v>
      </c>
      <c r="F2342" s="72">
        <v>42205</v>
      </c>
      <c r="G2342" s="1" t="s">
        <v>1135</v>
      </c>
      <c r="H2342" s="1" t="s">
        <v>87</v>
      </c>
      <c r="I2342" s="1" t="s">
        <v>44</v>
      </c>
      <c r="J2342" s="4">
        <v>60632</v>
      </c>
      <c r="K2342" s="1" t="s">
        <v>88</v>
      </c>
      <c r="L2342" s="1" t="s">
        <v>89</v>
      </c>
      <c r="M2342" s="44" t="s">
        <v>2291</v>
      </c>
      <c r="N2342" s="1" t="s">
        <v>19417</v>
      </c>
      <c r="O2342" s="1" t="s">
        <v>1010</v>
      </c>
      <c r="P2342" s="1" t="s">
        <v>401</v>
      </c>
      <c r="Q2342" s="63" t="s">
        <v>20811</v>
      </c>
      <c r="R2342" s="1" t="s">
        <v>29</v>
      </c>
      <c r="S2342" s="1" t="s">
        <v>18</v>
      </c>
    </row>
    <row r="2343" spans="1:63" ht="12" customHeight="1" x14ac:dyDescent="0.2">
      <c r="A2343" s="1" t="s">
        <v>1139</v>
      </c>
      <c r="B2343" s="68">
        <v>54</v>
      </c>
      <c r="C2343" s="1" t="s">
        <v>20</v>
      </c>
      <c r="D2343" s="1" t="s">
        <v>21</v>
      </c>
      <c r="F2343" s="69">
        <v>42205</v>
      </c>
      <c r="G2343" s="1" t="s">
        <v>1140</v>
      </c>
      <c r="H2343" s="1" t="s">
        <v>1141</v>
      </c>
      <c r="I2343" s="1" t="s">
        <v>45</v>
      </c>
      <c r="J2343" s="4">
        <v>94536</v>
      </c>
      <c r="K2343" s="1" t="s">
        <v>602</v>
      </c>
      <c r="L2343" s="1" t="s">
        <v>1142</v>
      </c>
      <c r="M2343" s="1" t="s">
        <v>27</v>
      </c>
      <c r="P2343" s="1" t="s">
        <v>401</v>
      </c>
      <c r="Q2343" s="63" t="s">
        <v>20809</v>
      </c>
      <c r="R2343" s="1" t="s">
        <v>29</v>
      </c>
      <c r="S2343" s="1" t="s">
        <v>28</v>
      </c>
      <c r="T2343" s="68" t="s">
        <v>29493</v>
      </c>
      <c r="U2343" s="68" t="s">
        <v>29436</v>
      </c>
      <c r="V2343" s="68" t="s">
        <v>29439</v>
      </c>
      <c r="W2343" s="68" t="s">
        <v>100</v>
      </c>
      <c r="X2343" s="68">
        <v>759</v>
      </c>
      <c r="AX2343" s="70"/>
      <c r="AY2343" s="70"/>
      <c r="BC2343" s="66"/>
      <c r="BD2343" s="66"/>
      <c r="BE2343" s="66"/>
      <c r="BF2343" s="66"/>
      <c r="BG2343" s="66"/>
      <c r="BH2343" s="66"/>
      <c r="BI2343" s="66"/>
      <c r="BJ2343" s="66"/>
      <c r="BK2343" s="11"/>
    </row>
    <row r="2344" spans="1:63" ht="12" customHeight="1" x14ac:dyDescent="0.15">
      <c r="A2344" s="1" t="s">
        <v>1154</v>
      </c>
      <c r="B2344" s="68">
        <v>43</v>
      </c>
      <c r="C2344" s="1" t="s">
        <v>20</v>
      </c>
      <c r="D2344" s="1" t="s">
        <v>85</v>
      </c>
      <c r="E2344" s="1" t="s">
        <v>1155</v>
      </c>
      <c r="F2344" s="69">
        <v>42204</v>
      </c>
      <c r="G2344" s="1" t="s">
        <v>1156</v>
      </c>
      <c r="H2344" s="1" t="s">
        <v>547</v>
      </c>
      <c r="I2344" s="1" t="s">
        <v>69</v>
      </c>
      <c r="J2344" s="4">
        <v>45219</v>
      </c>
      <c r="K2344" s="1" t="s">
        <v>548</v>
      </c>
      <c r="L2344" s="1" t="s">
        <v>1157</v>
      </c>
      <c r="M2344" s="1" t="s">
        <v>27</v>
      </c>
      <c r="N2344" s="1" t="s">
        <v>21167</v>
      </c>
      <c r="O2344" s="1" t="s">
        <v>29627</v>
      </c>
      <c r="P2344" s="1" t="s">
        <v>29633</v>
      </c>
      <c r="Q2344" s="63" t="str">
        <f>HYPERLINK("http://www.cincinnati.com/story/news/2015/07/29/publish/30830777/","http://www.cincinnati.com/story/news/2015/07/29/publish/30830777/")</f>
        <v>http://www.cincinnati.com/story/news/2015/07/29/publish/30830777/</v>
      </c>
      <c r="R2344" s="1" t="s">
        <v>100</v>
      </c>
      <c r="S2344" s="1" t="s">
        <v>18</v>
      </c>
      <c r="T2344" s="68" t="s">
        <v>28345</v>
      </c>
      <c r="U2344" s="68" t="s">
        <v>29436</v>
      </c>
      <c r="V2344" s="68" t="s">
        <v>29437</v>
      </c>
      <c r="W2344" s="68" t="s">
        <v>555</v>
      </c>
      <c r="X2344" s="68">
        <v>653</v>
      </c>
      <c r="AX2344" s="44"/>
      <c r="AY2344" s="44"/>
      <c r="BC2344" s="44"/>
      <c r="BD2344" s="44"/>
      <c r="BE2344" s="44"/>
      <c r="BF2344" s="44"/>
      <c r="BG2344" s="44"/>
      <c r="BH2344" s="44"/>
      <c r="BI2344" s="44"/>
      <c r="BJ2344" s="44"/>
    </row>
    <row r="2345" spans="1:63" ht="12" customHeight="1" x14ac:dyDescent="0.15">
      <c r="A2345" s="1" t="s">
        <v>1166</v>
      </c>
      <c r="B2345" s="68">
        <v>46</v>
      </c>
      <c r="C2345" s="1" t="s">
        <v>20</v>
      </c>
      <c r="D2345" s="1" t="s">
        <v>37</v>
      </c>
      <c r="F2345" s="69">
        <v>42203</v>
      </c>
      <c r="G2345" s="1" t="s">
        <v>1167</v>
      </c>
      <c r="H2345" s="1" t="s">
        <v>632</v>
      </c>
      <c r="I2345" s="1" t="s">
        <v>123</v>
      </c>
      <c r="J2345" s="4">
        <v>85051</v>
      </c>
      <c r="K2345" s="1" t="s">
        <v>633</v>
      </c>
      <c r="L2345" s="1" t="s">
        <v>634</v>
      </c>
      <c r="M2345" s="1" t="s">
        <v>27</v>
      </c>
      <c r="N2345" s="1" t="s">
        <v>1168</v>
      </c>
      <c r="O2345" s="1" t="s">
        <v>1010</v>
      </c>
      <c r="P2345" s="1" t="s">
        <v>401</v>
      </c>
      <c r="Q2345" s="6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2345" s="1" t="s">
        <v>100</v>
      </c>
      <c r="S2345" s="1" t="s">
        <v>28</v>
      </c>
      <c r="T2345" s="68" t="s">
        <v>27756</v>
      </c>
      <c r="U2345" s="68" t="s">
        <v>29438</v>
      </c>
      <c r="V2345" s="68" t="s">
        <v>29439</v>
      </c>
      <c r="W2345" s="68" t="s">
        <v>100</v>
      </c>
      <c r="X2345" s="68">
        <v>652</v>
      </c>
      <c r="BK2345" s="11"/>
    </row>
    <row r="2346" spans="1:63" ht="12" customHeight="1" x14ac:dyDescent="0.15">
      <c r="A2346" s="1" t="s">
        <v>1174</v>
      </c>
      <c r="B2346" s="68">
        <v>65</v>
      </c>
      <c r="C2346" s="1" t="s">
        <v>20</v>
      </c>
      <c r="D2346" s="1" t="s">
        <v>37</v>
      </c>
      <c r="F2346" s="69">
        <v>42203</v>
      </c>
      <c r="G2346" s="1" t="s">
        <v>1175</v>
      </c>
      <c r="H2346" s="1" t="s">
        <v>1176</v>
      </c>
      <c r="I2346" s="1" t="s">
        <v>363</v>
      </c>
      <c r="J2346" s="4">
        <v>67701</v>
      </c>
      <c r="K2346" s="1" t="s">
        <v>1177</v>
      </c>
      <c r="L2346" s="1" t="s">
        <v>1178</v>
      </c>
      <c r="M2346" s="1" t="s">
        <v>27</v>
      </c>
      <c r="N2346" s="1" t="s">
        <v>1179</v>
      </c>
      <c r="O2346" s="1" t="s">
        <v>1010</v>
      </c>
      <c r="P2346" s="1" t="s">
        <v>401</v>
      </c>
      <c r="Q2346" s="6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2346" s="1" t="s">
        <v>100</v>
      </c>
      <c r="S2346" s="1" t="s">
        <v>28</v>
      </c>
      <c r="T2346" s="68" t="s">
        <v>27756</v>
      </c>
      <c r="U2346" s="68" t="s">
        <v>29438</v>
      </c>
      <c r="V2346" s="68" t="s">
        <v>29439</v>
      </c>
      <c r="W2346" s="68" t="s">
        <v>100</v>
      </c>
      <c r="X2346" s="68">
        <v>654</v>
      </c>
      <c r="BK2346" s="11"/>
    </row>
    <row r="2347" spans="1:63" ht="12" customHeight="1" x14ac:dyDescent="0.15">
      <c r="A2347" s="1" t="s">
        <v>1160</v>
      </c>
      <c r="B2347" s="1">
        <v>26</v>
      </c>
      <c r="C2347" s="1" t="s">
        <v>20</v>
      </c>
      <c r="D2347" s="1" t="s">
        <v>48</v>
      </c>
      <c r="F2347" s="72">
        <v>42203</v>
      </c>
      <c r="G2347" s="1" t="s">
        <v>1161</v>
      </c>
      <c r="H2347" s="1" t="s">
        <v>1162</v>
      </c>
      <c r="I2347" s="1" t="s">
        <v>45</v>
      </c>
      <c r="J2347" s="4">
        <v>93223</v>
      </c>
      <c r="K2347" s="1" t="s">
        <v>1163</v>
      </c>
      <c r="L2347" s="1" t="s">
        <v>1164</v>
      </c>
      <c r="M2347" s="1" t="s">
        <v>27</v>
      </c>
      <c r="N2347" s="1" t="s">
        <v>1165</v>
      </c>
      <c r="O2347" s="1" t="s">
        <v>1010</v>
      </c>
      <c r="P2347" s="1" t="s">
        <v>401</v>
      </c>
      <c r="Q2347" s="6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2347" s="1" t="s">
        <v>100</v>
      </c>
      <c r="S2347" s="1" t="s">
        <v>18</v>
      </c>
      <c r="T2347" s="68"/>
      <c r="U2347" s="68"/>
      <c r="V2347" s="68"/>
      <c r="W2347" s="68"/>
      <c r="X2347" s="68"/>
    </row>
    <row r="2348" spans="1:63" ht="12" customHeight="1" x14ac:dyDescent="0.15">
      <c r="A2348" s="1" t="s">
        <v>1180</v>
      </c>
      <c r="B2348" s="1">
        <v>30</v>
      </c>
      <c r="C2348" s="1" t="s">
        <v>20</v>
      </c>
      <c r="D2348" s="1" t="s">
        <v>37</v>
      </c>
      <c r="F2348" s="72">
        <v>42203</v>
      </c>
      <c r="G2348" s="1" t="s">
        <v>1181</v>
      </c>
      <c r="H2348" s="1" t="s">
        <v>1182</v>
      </c>
      <c r="I2348" s="1" t="s">
        <v>669</v>
      </c>
      <c r="J2348" s="4">
        <v>38654</v>
      </c>
      <c r="K2348" s="1" t="s">
        <v>1183</v>
      </c>
      <c r="L2348" s="1" t="s">
        <v>1184</v>
      </c>
      <c r="M2348" s="1" t="s">
        <v>2291</v>
      </c>
      <c r="N2348" s="1" t="s">
        <v>1372</v>
      </c>
      <c r="O2348" s="1" t="s">
        <v>1349</v>
      </c>
      <c r="P2348" s="1" t="s">
        <v>401</v>
      </c>
      <c r="Q2348" s="63" t="str">
        <f>HYPERLINK("http://www.ksdk.com/story/news/nation/2015/07/20/man-hogtied-police-death/30433375/","http://www.ksdk.com/story/news/nation/2015/07/20/man-hogtied-police-death/30433375/")</f>
        <v>http://www.ksdk.com/story/news/nation/2015/07/20/man-hogtied-police-death/30433375/</v>
      </c>
      <c r="R2348" s="1" t="s">
        <v>29</v>
      </c>
      <c r="S2348" s="1" t="s">
        <v>18</v>
      </c>
    </row>
    <row r="2349" spans="1:63" ht="12" customHeight="1" x14ac:dyDescent="0.15">
      <c r="A2349" s="1" t="s">
        <v>1169</v>
      </c>
      <c r="B2349" s="68">
        <v>22</v>
      </c>
      <c r="C2349" s="1" t="s">
        <v>20</v>
      </c>
      <c r="D2349" s="1" t="s">
        <v>37</v>
      </c>
      <c r="F2349" s="69">
        <v>42203</v>
      </c>
      <c r="G2349" s="1" t="s">
        <v>1170</v>
      </c>
      <c r="H2349" s="1" t="s">
        <v>1171</v>
      </c>
      <c r="I2349" s="1" t="s">
        <v>209</v>
      </c>
      <c r="J2349" s="4">
        <v>80526</v>
      </c>
      <c r="K2349" s="1" t="s">
        <v>553</v>
      </c>
      <c r="L2349" s="1" t="s">
        <v>1172</v>
      </c>
      <c r="M2349" s="1" t="s">
        <v>27</v>
      </c>
      <c r="N2349" s="1" t="s">
        <v>1173</v>
      </c>
      <c r="O2349" s="1" t="s">
        <v>550</v>
      </c>
      <c r="P2349" s="1" t="s">
        <v>401</v>
      </c>
      <c r="Q2349" s="6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2349" s="1" t="s">
        <v>555</v>
      </c>
      <c r="S2349" s="1" t="s">
        <v>28</v>
      </c>
      <c r="T2349" s="68" t="s">
        <v>29493</v>
      </c>
      <c r="U2349" s="68" t="s">
        <v>29438</v>
      </c>
      <c r="V2349" s="68" t="s">
        <v>29439</v>
      </c>
      <c r="W2349" s="68" t="s">
        <v>100</v>
      </c>
      <c r="X2349" s="68">
        <v>650</v>
      </c>
      <c r="AW2349" s="44"/>
      <c r="BA2349" s="11"/>
      <c r="BB2349" s="44"/>
      <c r="BK2349" s="11"/>
    </row>
    <row r="2350" spans="1:63" ht="12" customHeight="1" x14ac:dyDescent="0.2">
      <c r="A2350" s="1" t="s">
        <v>1190</v>
      </c>
      <c r="B2350" s="68">
        <v>19</v>
      </c>
      <c r="C2350" s="1" t="s">
        <v>20</v>
      </c>
      <c r="D2350" s="1" t="s">
        <v>85</v>
      </c>
      <c r="E2350" s="1" t="s">
        <v>20783</v>
      </c>
      <c r="F2350" s="69">
        <v>42202</v>
      </c>
      <c r="G2350" s="1" t="s">
        <v>1191</v>
      </c>
      <c r="H2350" s="1" t="s">
        <v>1192</v>
      </c>
      <c r="I2350" s="1" t="s">
        <v>319</v>
      </c>
      <c r="J2350" s="4">
        <v>38115</v>
      </c>
      <c r="K2350" s="1" t="s">
        <v>1193</v>
      </c>
      <c r="L2350" s="1" t="s">
        <v>1194</v>
      </c>
      <c r="M2350" s="1" t="s">
        <v>27</v>
      </c>
      <c r="N2350" s="1" t="s">
        <v>1195</v>
      </c>
      <c r="O2350" s="1" t="s">
        <v>400</v>
      </c>
      <c r="P2350" s="1" t="s">
        <v>401</v>
      </c>
      <c r="Q2350" s="63" t="str">
        <f>HYPERLINK("http://www.wmcactionnews5.com/story/29578116/man-dead-after-struggle-with-mpd-officer","http://www.wmcactionnews5.com/story/29578116/man-dead-after-struggle-with-mpd-officer")</f>
        <v>http://www.wmcactionnews5.com/story/29578116/man-dead-after-struggle-with-mpd-officer</v>
      </c>
      <c r="R2350" s="1" t="s">
        <v>100</v>
      </c>
      <c r="S2350" s="1" t="s">
        <v>18</v>
      </c>
      <c r="T2350" s="68" t="s">
        <v>28345</v>
      </c>
      <c r="U2350" s="68" t="s">
        <v>29438</v>
      </c>
      <c r="V2350" s="68" t="s">
        <v>29440</v>
      </c>
      <c r="W2350" s="68" t="s">
        <v>100</v>
      </c>
      <c r="X2350" s="68">
        <v>657</v>
      </c>
      <c r="AW2350" s="70"/>
      <c r="AX2350" s="70"/>
      <c r="AY2350" s="70"/>
      <c r="BC2350" s="44"/>
      <c r="BD2350" s="44"/>
      <c r="BE2350" s="44"/>
      <c r="BF2350" s="44"/>
      <c r="BG2350" s="44"/>
      <c r="BH2350" s="44"/>
      <c r="BI2350" s="44"/>
      <c r="BJ2350" s="44"/>
    </row>
    <row r="2351" spans="1:63" ht="12" customHeight="1" x14ac:dyDescent="0.2">
      <c r="A2351" s="1" t="s">
        <v>1186</v>
      </c>
      <c r="B2351" s="68">
        <v>23</v>
      </c>
      <c r="C2351" s="1" t="s">
        <v>20</v>
      </c>
      <c r="D2351" s="1" t="s">
        <v>85</v>
      </c>
      <c r="E2351" s="1" t="s">
        <v>1187</v>
      </c>
      <c r="F2351" s="69">
        <v>42202</v>
      </c>
      <c r="G2351" s="1" t="s">
        <v>1188</v>
      </c>
      <c r="H2351" s="1" t="s">
        <v>1060</v>
      </c>
      <c r="I2351" s="1" t="s">
        <v>62</v>
      </c>
      <c r="J2351" s="4">
        <v>32812</v>
      </c>
      <c r="K2351" s="1" t="s">
        <v>1061</v>
      </c>
      <c r="L2351" s="1" t="s">
        <v>1062</v>
      </c>
      <c r="M2351" s="68" t="s">
        <v>5411</v>
      </c>
      <c r="N2351" s="1" t="s">
        <v>1189</v>
      </c>
      <c r="O2351" s="1" t="s">
        <v>400</v>
      </c>
      <c r="P2351" s="1" t="s">
        <v>401</v>
      </c>
      <c r="Q2351" s="6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2351" s="1" t="s">
        <v>100</v>
      </c>
      <c r="S2351" s="1" t="s">
        <v>18</v>
      </c>
      <c r="T2351" s="68" t="s">
        <v>28345</v>
      </c>
      <c r="U2351" s="68" t="s">
        <v>29438</v>
      </c>
      <c r="V2351" s="68" t="s">
        <v>29440</v>
      </c>
      <c r="W2351" s="68" t="s">
        <v>100</v>
      </c>
      <c r="X2351" s="68">
        <v>651</v>
      </c>
      <c r="AW2351" s="11"/>
      <c r="AX2351" s="44"/>
      <c r="AY2351" s="44"/>
      <c r="BB2351" s="70"/>
      <c r="BC2351" s="44"/>
      <c r="BD2351" s="44"/>
      <c r="BE2351" s="44"/>
      <c r="BF2351" s="44"/>
      <c r="BG2351" s="44"/>
      <c r="BH2351" s="44"/>
      <c r="BI2351" s="44"/>
      <c r="BJ2351" s="44"/>
    </row>
    <row r="2352" spans="1:63" ht="12" customHeight="1" x14ac:dyDescent="0.15">
      <c r="A2352" s="1" t="s">
        <v>1206</v>
      </c>
      <c r="B2352" s="68">
        <v>27</v>
      </c>
      <c r="C2352" s="1" t="s">
        <v>20</v>
      </c>
      <c r="D2352" s="1" t="s">
        <v>37</v>
      </c>
      <c r="F2352" s="69">
        <v>42202</v>
      </c>
      <c r="G2352" s="1" t="s">
        <v>1207</v>
      </c>
      <c r="H2352" s="1" t="s">
        <v>1208</v>
      </c>
      <c r="I2352" s="1" t="s">
        <v>303</v>
      </c>
      <c r="J2352" s="4">
        <v>98115</v>
      </c>
      <c r="K2352" s="1" t="s">
        <v>1209</v>
      </c>
      <c r="L2352" s="1" t="s">
        <v>1210</v>
      </c>
      <c r="M2352" s="1" t="s">
        <v>27</v>
      </c>
      <c r="N2352" s="1" t="s">
        <v>1211</v>
      </c>
      <c r="O2352" s="1" t="s">
        <v>400</v>
      </c>
      <c r="P2352" s="1" t="s">
        <v>401</v>
      </c>
      <c r="Q2352" s="63" t="s">
        <v>20799</v>
      </c>
      <c r="R2352" s="1" t="s">
        <v>100</v>
      </c>
      <c r="S2352" s="1" t="s">
        <v>28</v>
      </c>
      <c r="T2352" s="68" t="s">
        <v>29493</v>
      </c>
      <c r="U2352" s="68" t="s">
        <v>29436</v>
      </c>
      <c r="V2352" s="68" t="s">
        <v>29440</v>
      </c>
      <c r="W2352" s="68" t="s">
        <v>100</v>
      </c>
      <c r="X2352" s="68">
        <v>644</v>
      </c>
      <c r="AW2352" s="44"/>
      <c r="BK2352" s="11"/>
    </row>
    <row r="2353" spans="1:63" ht="12" customHeight="1" x14ac:dyDescent="0.15">
      <c r="A2353" s="1" t="s">
        <v>1196</v>
      </c>
      <c r="B2353" s="68">
        <v>24</v>
      </c>
      <c r="C2353" s="1" t="s">
        <v>20</v>
      </c>
      <c r="D2353" s="1" t="s">
        <v>48</v>
      </c>
      <c r="F2353" s="69">
        <v>42202</v>
      </c>
      <c r="G2353" s="1" t="s">
        <v>1197</v>
      </c>
      <c r="H2353" s="1" t="s">
        <v>1198</v>
      </c>
      <c r="I2353" s="1" t="s">
        <v>73</v>
      </c>
      <c r="J2353" s="4">
        <v>78520</v>
      </c>
      <c r="K2353" s="1" t="s">
        <v>1199</v>
      </c>
      <c r="L2353" s="1" t="s">
        <v>1200</v>
      </c>
      <c r="M2353" s="1" t="s">
        <v>27</v>
      </c>
      <c r="N2353" s="1" t="s">
        <v>1201</v>
      </c>
      <c r="O2353" s="1" t="s">
        <v>400</v>
      </c>
      <c r="P2353" s="1" t="s">
        <v>401</v>
      </c>
      <c r="Q2353" s="6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2353" s="1" t="s">
        <v>100</v>
      </c>
      <c r="S2353" s="11" t="s">
        <v>35</v>
      </c>
      <c r="T2353" s="68" t="s">
        <v>29441</v>
      </c>
      <c r="U2353" s="68" t="s">
        <v>29436</v>
      </c>
      <c r="V2353" s="68" t="s">
        <v>21212</v>
      </c>
      <c r="W2353" s="68" t="s">
        <v>100</v>
      </c>
      <c r="X2353" s="68">
        <v>660</v>
      </c>
      <c r="AW2353" s="11"/>
    </row>
    <row r="2354" spans="1:63" ht="12" customHeight="1" x14ac:dyDescent="0.15">
      <c r="A2354" s="1" t="s">
        <v>1202</v>
      </c>
      <c r="B2354" s="68">
        <v>50</v>
      </c>
      <c r="C2354" s="1" t="s">
        <v>20</v>
      </c>
      <c r="D2354" s="1" t="s">
        <v>37</v>
      </c>
      <c r="F2354" s="69">
        <v>42202</v>
      </c>
      <c r="G2354" s="1" t="s">
        <v>1203</v>
      </c>
      <c r="H2354" s="1" t="s">
        <v>1204</v>
      </c>
      <c r="I2354" s="1" t="s">
        <v>45</v>
      </c>
      <c r="J2354" s="4">
        <v>92363</v>
      </c>
      <c r="K2354" s="1" t="s">
        <v>110</v>
      </c>
      <c r="L2354" s="1" t="s">
        <v>310</v>
      </c>
      <c r="M2354" s="1" t="s">
        <v>27</v>
      </c>
      <c r="N2354" s="1" t="s">
        <v>1205</v>
      </c>
      <c r="O2354" s="1" t="s">
        <v>400</v>
      </c>
      <c r="P2354" s="1" t="s">
        <v>401</v>
      </c>
      <c r="Q2354" s="63" t="str">
        <f>HYPERLINK("http://www.sbsun.com/general-news/20150718/sheriffs-deputies-shoot-kill-highland-man-in-needles","http://www.sbsun.com/general-news/20150718/sheriffs-deputies-shoot-kill-highland-man-in-needles")</f>
        <v>http://www.sbsun.com/general-news/20150718/sheriffs-deputies-shoot-kill-highland-man-in-needles</v>
      </c>
      <c r="R2354" s="1" t="s">
        <v>555</v>
      </c>
      <c r="S2354" s="1" t="s">
        <v>28</v>
      </c>
      <c r="T2354" s="68" t="s">
        <v>27756</v>
      </c>
      <c r="U2354" s="68" t="s">
        <v>29438</v>
      </c>
      <c r="V2354" s="68" t="s">
        <v>29439</v>
      </c>
      <c r="W2354" s="68" t="s">
        <v>100</v>
      </c>
      <c r="X2354" s="68">
        <v>655</v>
      </c>
      <c r="BA2354" s="11"/>
      <c r="BB2354" s="44"/>
      <c r="BK2354" s="11"/>
    </row>
    <row r="2355" spans="1:63" ht="12" customHeight="1" x14ac:dyDescent="0.15">
      <c r="A2355" s="1" t="s">
        <v>1222</v>
      </c>
      <c r="B2355" s="68">
        <v>35</v>
      </c>
      <c r="C2355" s="1" t="s">
        <v>20</v>
      </c>
      <c r="D2355" s="1" t="s">
        <v>85</v>
      </c>
      <c r="F2355" s="69">
        <v>42201</v>
      </c>
      <c r="G2355" s="1" t="s">
        <v>1223</v>
      </c>
      <c r="H2355" s="1" t="s">
        <v>1224</v>
      </c>
      <c r="I2355" s="1" t="s">
        <v>62</v>
      </c>
      <c r="J2355" s="4">
        <v>33030</v>
      </c>
      <c r="K2355" s="1" t="s">
        <v>161</v>
      </c>
      <c r="L2355" s="1" t="s">
        <v>6981</v>
      </c>
      <c r="M2355" s="1" t="s">
        <v>27</v>
      </c>
      <c r="N2355" s="1" t="s">
        <v>1225</v>
      </c>
      <c r="O2355" s="1" t="s">
        <v>400</v>
      </c>
      <c r="P2355" s="1" t="s">
        <v>401</v>
      </c>
      <c r="Q2355" s="63" t="str">
        <f>HYPERLINK("http://www.miamiherald.com/news/local/crime/article27524482.html","http://www.miamiherald.com/news/local/crime/article27524482.html")</f>
        <v>http://www.miamiherald.com/news/local/crime/article27524482.html</v>
      </c>
      <c r="R2355" s="1" t="s">
        <v>100</v>
      </c>
      <c r="S2355" s="1" t="s">
        <v>28</v>
      </c>
      <c r="T2355" s="68" t="s">
        <v>27756</v>
      </c>
      <c r="U2355" s="68" t="s">
        <v>29438</v>
      </c>
      <c r="V2355" s="68" t="s">
        <v>29439</v>
      </c>
      <c r="W2355" s="68" t="s">
        <v>100</v>
      </c>
      <c r="X2355" s="68">
        <v>647</v>
      </c>
      <c r="AW2355" s="11"/>
      <c r="AX2355" s="11"/>
      <c r="AY2355" s="11"/>
      <c r="BC2355" s="44"/>
      <c r="BD2355" s="44"/>
      <c r="BE2355" s="44"/>
      <c r="BF2355" s="44"/>
      <c r="BG2355" s="44"/>
      <c r="BH2355" s="44"/>
      <c r="BI2355" s="44"/>
      <c r="BJ2355" s="44"/>
      <c r="BK2355" s="11"/>
    </row>
    <row r="2356" spans="1:63" ht="12" customHeight="1" x14ac:dyDescent="0.15">
      <c r="A2356" s="1" t="s">
        <v>1231</v>
      </c>
      <c r="B2356" s="68">
        <v>23</v>
      </c>
      <c r="C2356" s="1" t="s">
        <v>20</v>
      </c>
      <c r="D2356" s="1" t="s">
        <v>139</v>
      </c>
      <c r="E2356" s="1" t="str">
        <f>HYPERLINK("http://media.graytvinc.com/images/saige+hack+2.jpg","http://media.graytvinc.com/images/saige+hack+2.jpg")</f>
        <v>http://media.graytvinc.com/images/saige+hack+2.jpg</v>
      </c>
      <c r="F2356" s="69">
        <v>42201</v>
      </c>
      <c r="G2356" s="1" t="s">
        <v>1232</v>
      </c>
      <c r="H2356" s="1" t="s">
        <v>1233</v>
      </c>
      <c r="I2356" s="1" t="s">
        <v>1083</v>
      </c>
      <c r="J2356" s="4">
        <v>82007</v>
      </c>
      <c r="K2356" s="1" t="s">
        <v>1234</v>
      </c>
      <c r="L2356" s="1" t="s">
        <v>1235</v>
      </c>
      <c r="M2356" s="1" t="s">
        <v>27</v>
      </c>
      <c r="N2356" s="1" t="s">
        <v>1236</v>
      </c>
      <c r="O2356" s="1" t="s">
        <v>400</v>
      </c>
      <c r="P2356" s="1" t="s">
        <v>401</v>
      </c>
      <c r="Q2356" s="6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2356" s="1" t="s">
        <v>100</v>
      </c>
      <c r="S2356" s="1" t="s">
        <v>28</v>
      </c>
      <c r="T2356" s="68" t="s">
        <v>27756</v>
      </c>
      <c r="U2356" s="68" t="s">
        <v>29438</v>
      </c>
      <c r="V2356" s="68" t="s">
        <v>29439</v>
      </c>
      <c r="W2356" s="68" t="s">
        <v>100</v>
      </c>
      <c r="X2356" s="68">
        <v>656</v>
      </c>
      <c r="AW2356" s="11"/>
      <c r="BK2356" s="11"/>
    </row>
    <row r="2357" spans="1:63" ht="12" customHeight="1" x14ac:dyDescent="0.15">
      <c r="A2357" s="1" t="s">
        <v>1237</v>
      </c>
      <c r="B2357" s="68">
        <v>29</v>
      </c>
      <c r="C2357" s="1" t="s">
        <v>20</v>
      </c>
      <c r="D2357" s="1" t="s">
        <v>37</v>
      </c>
      <c r="F2357" s="69">
        <v>42201</v>
      </c>
      <c r="G2357" s="1" t="s">
        <v>1238</v>
      </c>
      <c r="H2357" s="1" t="s">
        <v>1239</v>
      </c>
      <c r="I2357" s="1" t="s">
        <v>94</v>
      </c>
      <c r="J2357" s="4">
        <v>36467</v>
      </c>
      <c r="K2357" s="1" t="s">
        <v>1240</v>
      </c>
      <c r="L2357" s="1" t="s">
        <v>1241</v>
      </c>
      <c r="M2357" s="1" t="s">
        <v>27</v>
      </c>
      <c r="N2357" s="1" t="s">
        <v>1242</v>
      </c>
      <c r="O2357" s="1" t="s">
        <v>1010</v>
      </c>
      <c r="P2357" s="1" t="s">
        <v>401</v>
      </c>
      <c r="Q2357" s="63" t="str">
        <f>HYPERLINK("http://www.myfoxal.com/story/29566625/man-in-opp-officer-involved-shooting-dies","http://www.myfoxal.com/story/29566625/man-in-opp-officer-involved-shooting-dies")</f>
        <v>http://www.myfoxal.com/story/29566625/man-in-opp-officer-involved-shooting-dies</v>
      </c>
      <c r="R2357" s="1" t="s">
        <v>100</v>
      </c>
      <c r="S2357" s="1" t="s">
        <v>28</v>
      </c>
      <c r="T2357" s="68" t="s">
        <v>27756</v>
      </c>
      <c r="U2357" s="68" t="s">
        <v>29438</v>
      </c>
      <c r="V2357" s="68" t="s">
        <v>29440</v>
      </c>
      <c r="W2357" s="68" t="s">
        <v>100</v>
      </c>
      <c r="X2357" s="68">
        <v>664</v>
      </c>
      <c r="AW2357" s="44"/>
      <c r="BK2357" s="11"/>
    </row>
    <row r="2358" spans="1:63" ht="12" customHeight="1" x14ac:dyDescent="0.15">
      <c r="A2358" s="1" t="s">
        <v>1243</v>
      </c>
      <c r="B2358" s="68">
        <v>30</v>
      </c>
      <c r="C2358" s="1" t="s">
        <v>20</v>
      </c>
      <c r="D2358" s="1" t="s">
        <v>37</v>
      </c>
      <c r="F2358" s="69">
        <v>42201</v>
      </c>
      <c r="G2358" s="1" t="s">
        <v>1244</v>
      </c>
      <c r="H2358" s="1" t="s">
        <v>430</v>
      </c>
      <c r="I2358" s="1" t="s">
        <v>363</v>
      </c>
      <c r="J2358" s="4">
        <v>66205</v>
      </c>
      <c r="K2358" s="1" t="s">
        <v>598</v>
      </c>
      <c r="L2358" s="1" t="s">
        <v>2121</v>
      </c>
      <c r="M2358" s="1" t="s">
        <v>27</v>
      </c>
      <c r="N2358" s="1" t="s">
        <v>1245</v>
      </c>
      <c r="O2358" s="1" t="s">
        <v>400</v>
      </c>
      <c r="P2358" s="1" t="s">
        <v>401</v>
      </c>
      <c r="Q2358" s="63" t="s">
        <v>20798</v>
      </c>
      <c r="R2358" s="1" t="s">
        <v>100</v>
      </c>
      <c r="S2358" s="1" t="s">
        <v>28</v>
      </c>
      <c r="T2358" s="68" t="s">
        <v>27756</v>
      </c>
      <c r="U2358" s="68" t="s">
        <v>29438</v>
      </c>
      <c r="V2358" s="68" t="s">
        <v>21212</v>
      </c>
      <c r="W2358" s="68" t="s">
        <v>100</v>
      </c>
      <c r="X2358" s="68">
        <v>648</v>
      </c>
      <c r="AW2358" s="11"/>
      <c r="BK2358" s="11"/>
    </row>
    <row r="2359" spans="1:63" ht="12" customHeight="1" x14ac:dyDescent="0.2">
      <c r="A2359" s="1" t="s">
        <v>1212</v>
      </c>
      <c r="B2359" s="68">
        <v>24</v>
      </c>
      <c r="C2359" s="1" t="s">
        <v>20</v>
      </c>
      <c r="D2359" s="1" t="s">
        <v>21</v>
      </c>
      <c r="F2359" s="69">
        <v>42201</v>
      </c>
      <c r="G2359" s="1" t="s">
        <v>1213</v>
      </c>
      <c r="H2359" s="1" t="s">
        <v>1214</v>
      </c>
      <c r="I2359" s="1" t="s">
        <v>319</v>
      </c>
      <c r="J2359" s="4">
        <v>37406</v>
      </c>
      <c r="K2359" s="1" t="s">
        <v>548</v>
      </c>
      <c r="L2359" s="1" t="s">
        <v>1215</v>
      </c>
      <c r="M2359" s="1" t="s">
        <v>27</v>
      </c>
      <c r="N2359" s="1" t="s">
        <v>1216</v>
      </c>
      <c r="O2359" s="1" t="s">
        <v>400</v>
      </c>
      <c r="P2359" s="1" t="s">
        <v>401</v>
      </c>
      <c r="Q2359" s="63" t="str">
        <f>HYPERLINK("http://www.cnn.com/2015/07/17/us/tennessee-shooter-mohammad-youssuf-abdulazeez/","http://www.cnn.com/2015/07/17/us/tennessee-shooter-mohammad-youssuf-abdulazeez/")</f>
        <v>http://www.cnn.com/2015/07/17/us/tennessee-shooter-mohammad-youssuf-abdulazeez/</v>
      </c>
      <c r="R2359" s="68" t="s">
        <v>555</v>
      </c>
      <c r="S2359" s="1" t="s">
        <v>28</v>
      </c>
      <c r="T2359" s="68" t="s">
        <v>27756</v>
      </c>
      <c r="U2359" s="68" t="s">
        <v>29438</v>
      </c>
      <c r="V2359" s="68" t="s">
        <v>29439</v>
      </c>
      <c r="W2359" s="68" t="s">
        <v>100</v>
      </c>
      <c r="X2359" s="68">
        <v>649</v>
      </c>
      <c r="AW2359" s="11"/>
      <c r="AX2359" s="70"/>
      <c r="AY2359" s="70"/>
      <c r="BA2359" s="70"/>
      <c r="BB2359" s="44"/>
      <c r="BC2359" s="66"/>
      <c r="BD2359" s="66"/>
      <c r="BE2359" s="66"/>
      <c r="BF2359" s="66"/>
      <c r="BG2359" s="66"/>
      <c r="BH2359" s="66"/>
      <c r="BI2359" s="66"/>
      <c r="BJ2359" s="66"/>
      <c r="BK2359" s="11"/>
    </row>
    <row r="2360" spans="1:63" ht="12" customHeight="1" x14ac:dyDescent="0.15">
      <c r="A2360" s="1" t="s">
        <v>1226</v>
      </c>
      <c r="B2360" s="68">
        <v>29</v>
      </c>
      <c r="C2360" s="1" t="s">
        <v>20</v>
      </c>
      <c r="D2360" s="1" t="s">
        <v>48</v>
      </c>
      <c r="E2360" s="1" t="str">
        <f>HYPERLINK("https://localtvwiti.files.wordpress.com/2015/07/antonio-gonzales2.jpeg","https://localtvwiti.files.wordpress.com/2015/07/antonio-gonzales2.jpeg")</f>
        <v>https://localtvwiti.files.wordpress.com/2015/07/antonio-gonzales2.jpeg</v>
      </c>
      <c r="F2360" s="69">
        <v>42201</v>
      </c>
      <c r="G2360" s="1" t="s">
        <v>1227</v>
      </c>
      <c r="H2360" s="1" t="s">
        <v>1228</v>
      </c>
      <c r="I2360" s="1" t="s">
        <v>438</v>
      </c>
      <c r="J2360" s="4">
        <v>53226</v>
      </c>
      <c r="K2360" s="1" t="s">
        <v>887</v>
      </c>
      <c r="L2360" s="1" t="s">
        <v>1229</v>
      </c>
      <c r="M2360" s="1" t="s">
        <v>27</v>
      </c>
      <c r="N2360" s="1" t="s">
        <v>1230</v>
      </c>
      <c r="O2360" s="1" t="s">
        <v>1010</v>
      </c>
      <c r="P2360" s="1" t="s">
        <v>401</v>
      </c>
      <c r="Q2360" s="63" t="str">
        <f>HYPERLINK("http://www.nbc15.com/home/headlines/Reports-of-shooting-in-Monroe-318229761.html","http://www.nbc15.com/home/headlines/Reports-of-shooting-in-Monroe-318229761.html")</f>
        <v>http://www.nbc15.com/home/headlines/Reports-of-shooting-in-Monroe-318229761.html</v>
      </c>
      <c r="R2360" s="68" t="s">
        <v>555</v>
      </c>
      <c r="S2360" s="1" t="s">
        <v>28</v>
      </c>
      <c r="T2360" s="68" t="s">
        <v>29505</v>
      </c>
      <c r="U2360" s="68" t="s">
        <v>29436</v>
      </c>
      <c r="V2360" s="68" t="s">
        <v>29439</v>
      </c>
      <c r="W2360" s="68" t="s">
        <v>100</v>
      </c>
      <c r="X2360" s="68">
        <v>646</v>
      </c>
      <c r="AW2360" s="44"/>
      <c r="BA2360" s="44"/>
      <c r="BB2360" s="11"/>
      <c r="BK2360" s="11"/>
    </row>
    <row r="2361" spans="1:63" ht="12" customHeight="1" x14ac:dyDescent="0.2">
      <c r="A2361" s="1" t="s">
        <v>1217</v>
      </c>
      <c r="B2361" s="68">
        <v>25</v>
      </c>
      <c r="C2361" s="1" t="s">
        <v>20</v>
      </c>
      <c r="D2361" s="1" t="s">
        <v>85</v>
      </c>
      <c r="F2361" s="69">
        <v>42201</v>
      </c>
      <c r="G2361" s="1" t="s">
        <v>1218</v>
      </c>
      <c r="H2361" s="1" t="s">
        <v>1219</v>
      </c>
      <c r="I2361" s="1" t="s">
        <v>45</v>
      </c>
      <c r="J2361" s="4">
        <v>92553</v>
      </c>
      <c r="K2361" s="1" t="s">
        <v>783</v>
      </c>
      <c r="L2361" s="1" t="s">
        <v>1220</v>
      </c>
      <c r="M2361" s="68" t="s">
        <v>5411</v>
      </c>
      <c r="N2361" s="1" t="s">
        <v>19415</v>
      </c>
      <c r="O2361" s="1" t="s">
        <v>400</v>
      </c>
      <c r="P2361" s="1" t="s">
        <v>401</v>
      </c>
      <c r="Q2361" s="63" t="s">
        <v>19416</v>
      </c>
      <c r="R2361" s="1" t="s">
        <v>555</v>
      </c>
      <c r="S2361" s="1" t="s">
        <v>35</v>
      </c>
      <c r="T2361" s="68" t="s">
        <v>29482</v>
      </c>
      <c r="U2361" s="68" t="s">
        <v>29436</v>
      </c>
      <c r="V2361" s="68" t="s">
        <v>29439</v>
      </c>
      <c r="W2361" s="68" t="s">
        <v>100</v>
      </c>
      <c r="X2361" s="68">
        <v>642</v>
      </c>
      <c r="AW2361" s="44"/>
      <c r="AX2361" s="44"/>
      <c r="AY2361" s="44"/>
      <c r="BA2361" s="11"/>
      <c r="BB2361" s="70"/>
      <c r="BC2361" s="44"/>
      <c r="BD2361" s="44"/>
      <c r="BE2361" s="44"/>
      <c r="BF2361" s="44"/>
      <c r="BG2361" s="44"/>
      <c r="BH2361" s="44"/>
      <c r="BI2361" s="44"/>
      <c r="BJ2361" s="44"/>
    </row>
    <row r="2362" spans="1:63" ht="12" customHeight="1" x14ac:dyDescent="0.2">
      <c r="A2362" s="1" t="s">
        <v>1249</v>
      </c>
      <c r="B2362" s="68">
        <v>43</v>
      </c>
      <c r="C2362" s="1" t="s">
        <v>20</v>
      </c>
      <c r="D2362" s="1" t="s">
        <v>37</v>
      </c>
      <c r="E2362" s="1" t="str">
        <f>HYPERLINK("http://media.mlive.com/grpress/news_impact/photo/eugene-kailingjpg-1325419215b33c26.jpg","http://media.mlive.com/grpress/news_impact/photo/eugene-kailingjpg-1325419215b33c26.jpg")</f>
        <v>http://media.mlive.com/grpress/news_impact/photo/eugene-kailingjpg-1325419215b33c26.jpg</v>
      </c>
      <c r="F2362" s="69">
        <v>42200</v>
      </c>
      <c r="G2362" s="1" t="s">
        <v>1250</v>
      </c>
      <c r="H2362" s="1" t="s">
        <v>420</v>
      </c>
      <c r="I2362" s="1" t="s">
        <v>57</v>
      </c>
      <c r="J2362" s="4">
        <v>49665</v>
      </c>
      <c r="K2362" s="1" t="s">
        <v>1251</v>
      </c>
      <c r="L2362" s="1" t="s">
        <v>3953</v>
      </c>
      <c r="M2362" s="68" t="s">
        <v>5411</v>
      </c>
      <c r="N2362" s="1" t="s">
        <v>952</v>
      </c>
      <c r="O2362" s="1" t="s">
        <v>400</v>
      </c>
      <c r="P2362" s="1" t="s">
        <v>401</v>
      </c>
      <c r="Q2362" s="63" t="str">
        <f>HYPERLINK("http://www.mlive.com/news/grand-rapids/index.ssf/2015/07/no_reason_to_shoot_him_step-da.html","http://www.mlive.com/news/grand-rapids/index.ssf/2015/07/no_reason_to_shoot_him_step-da.html")</f>
        <v>http://www.mlive.com/news/grand-rapids/index.ssf/2015/07/no_reason_to_shoot_him_step-da.html</v>
      </c>
      <c r="R2362" s="68" t="s">
        <v>555</v>
      </c>
      <c r="S2362" s="11" t="s">
        <v>28</v>
      </c>
      <c r="T2362" s="68" t="s">
        <v>29450</v>
      </c>
      <c r="U2362" s="68" t="s">
        <v>29436</v>
      </c>
      <c r="V2362" s="68" t="s">
        <v>29439</v>
      </c>
      <c r="W2362" s="68" t="s">
        <v>100</v>
      </c>
      <c r="X2362" s="68">
        <v>643</v>
      </c>
      <c r="AW2362" s="64"/>
      <c r="BA2362" s="44"/>
      <c r="BB2362" s="70"/>
    </row>
    <row r="2363" spans="1:63" ht="12" customHeight="1" x14ac:dyDescent="0.2">
      <c r="A2363" s="1" t="s">
        <v>1253</v>
      </c>
      <c r="B2363" s="68">
        <v>20</v>
      </c>
      <c r="C2363" s="1" t="s">
        <v>20</v>
      </c>
      <c r="D2363" s="1" t="s">
        <v>85</v>
      </c>
      <c r="F2363" s="69">
        <v>42199</v>
      </c>
      <c r="G2363" s="1" t="s">
        <v>1254</v>
      </c>
      <c r="H2363" s="1" t="s">
        <v>1255</v>
      </c>
      <c r="I2363" s="1" t="s">
        <v>62</v>
      </c>
      <c r="J2363" s="4">
        <v>34753</v>
      </c>
      <c r="K2363" s="1" t="s">
        <v>1256</v>
      </c>
      <c r="L2363" s="1" t="s">
        <v>1257</v>
      </c>
      <c r="M2363" s="1" t="s">
        <v>27</v>
      </c>
      <c r="N2363" s="1" t="s">
        <v>1258</v>
      </c>
      <c r="O2363" s="1" t="s">
        <v>400</v>
      </c>
      <c r="P2363" s="1" t="s">
        <v>401</v>
      </c>
      <c r="Q2363" s="63" t="str">
        <f>HYPERLINK("http://www.clickorlando.com/news/1-dead-in-deputyinvolved-shooting-in-lake-county/34153664","http://www.clickorlando.com/news/1-dead-in-deputyinvolved-shooting-in-lake-county/34153664")</f>
        <v>http://www.clickorlando.com/news/1-dead-in-deputyinvolved-shooting-in-lake-county/34153664</v>
      </c>
      <c r="R2363" s="1" t="s">
        <v>100</v>
      </c>
      <c r="S2363" s="1" t="s">
        <v>28</v>
      </c>
      <c r="T2363" s="68" t="s">
        <v>27756</v>
      </c>
      <c r="U2363" s="68" t="s">
        <v>29438</v>
      </c>
      <c r="V2363" s="68" t="s">
        <v>29439</v>
      </c>
      <c r="W2363" s="68" t="s">
        <v>100</v>
      </c>
      <c r="X2363" s="68">
        <v>639</v>
      </c>
      <c r="AW2363" s="70"/>
      <c r="AX2363" s="70"/>
      <c r="AY2363" s="70"/>
      <c r="BC2363" s="44"/>
      <c r="BD2363" s="44"/>
      <c r="BE2363" s="44"/>
      <c r="BF2363" s="44"/>
      <c r="BG2363" s="44"/>
      <c r="BH2363" s="44"/>
      <c r="BI2363" s="44"/>
      <c r="BJ2363" s="44"/>
      <c r="BK2363" s="11"/>
    </row>
    <row r="2364" spans="1:63" ht="12" customHeight="1" x14ac:dyDescent="0.15">
      <c r="A2364" s="1" t="s">
        <v>1259</v>
      </c>
      <c r="B2364" s="68">
        <v>76</v>
      </c>
      <c r="C2364" s="1" t="s">
        <v>20</v>
      </c>
      <c r="D2364" s="1" t="s">
        <v>37</v>
      </c>
      <c r="F2364" s="69">
        <v>42199</v>
      </c>
      <c r="G2364" s="1" t="s">
        <v>1260</v>
      </c>
      <c r="H2364" s="1" t="s">
        <v>1261</v>
      </c>
      <c r="I2364" s="1" t="s">
        <v>69</v>
      </c>
      <c r="J2364" s="4">
        <v>44470</v>
      </c>
      <c r="K2364" s="1" t="s">
        <v>1262</v>
      </c>
      <c r="L2364" s="1" t="s">
        <v>1263</v>
      </c>
      <c r="M2364" s="1" t="s">
        <v>27</v>
      </c>
      <c r="N2364" s="1" t="s">
        <v>1264</v>
      </c>
      <c r="O2364" s="1" t="s">
        <v>400</v>
      </c>
      <c r="P2364" s="1" t="s">
        <v>401</v>
      </c>
      <c r="Q2364" s="63" t="str">
        <f>HYPERLINK("http://wkbn.com/2015/07/14/man-dies-in-shootout-with-police-in-southington/","http://wkbn.com/2015/07/14/man-dies-in-shootout-with-police-in-southington/")</f>
        <v>http://wkbn.com/2015/07/14/man-dies-in-shootout-with-police-in-southington/</v>
      </c>
      <c r="R2364" s="1" t="s">
        <v>100</v>
      </c>
      <c r="S2364" s="1" t="s">
        <v>28</v>
      </c>
      <c r="T2364" s="68" t="s">
        <v>27756</v>
      </c>
      <c r="U2364" s="68" t="s">
        <v>29438</v>
      </c>
      <c r="V2364" s="68" t="s">
        <v>29439</v>
      </c>
      <c r="W2364" s="68" t="s">
        <v>100</v>
      </c>
      <c r="X2364" s="68">
        <v>641</v>
      </c>
      <c r="BK2364" s="11"/>
    </row>
    <row r="2365" spans="1:63" ht="12" customHeight="1" x14ac:dyDescent="0.2">
      <c r="A2365" s="1" t="s">
        <v>1301</v>
      </c>
      <c r="B2365" s="68">
        <v>20</v>
      </c>
      <c r="C2365" s="1" t="s">
        <v>20</v>
      </c>
      <c r="D2365" s="1" t="s">
        <v>85</v>
      </c>
      <c r="E2365" s="1" t="s">
        <v>20284</v>
      </c>
      <c r="F2365" s="69">
        <v>42198</v>
      </c>
      <c r="G2365" s="1" t="s">
        <v>1302</v>
      </c>
      <c r="H2365" s="1" t="s">
        <v>1303</v>
      </c>
      <c r="I2365" s="1" t="s">
        <v>173</v>
      </c>
      <c r="J2365" s="4">
        <v>30083</v>
      </c>
      <c r="K2365" s="1" t="s">
        <v>1304</v>
      </c>
      <c r="L2365" s="1" t="s">
        <v>862</v>
      </c>
      <c r="M2365" s="1" t="s">
        <v>27</v>
      </c>
      <c r="N2365" s="1" t="s">
        <v>1305</v>
      </c>
      <c r="O2365" s="1" t="s">
        <v>400</v>
      </c>
      <c r="P2365" s="1" t="s">
        <v>401</v>
      </c>
      <c r="Q2365" s="63" t="s">
        <v>20797</v>
      </c>
      <c r="R2365" s="1" t="s">
        <v>100</v>
      </c>
      <c r="S2365" s="1" t="s">
        <v>28</v>
      </c>
      <c r="T2365" s="68" t="s">
        <v>27756</v>
      </c>
      <c r="U2365" s="68" t="s">
        <v>29438</v>
      </c>
      <c r="V2365" s="68" t="s">
        <v>29439</v>
      </c>
      <c r="W2365" s="68" t="s">
        <v>100</v>
      </c>
      <c r="X2365" s="68">
        <v>629</v>
      </c>
      <c r="AW2365" s="70"/>
      <c r="AX2365" s="70"/>
      <c r="AY2365" s="70"/>
      <c r="BC2365" s="44"/>
      <c r="BD2365" s="44"/>
      <c r="BE2365" s="44"/>
      <c r="BF2365" s="44"/>
      <c r="BG2365" s="44"/>
      <c r="BH2365" s="44"/>
      <c r="BI2365" s="44"/>
      <c r="BJ2365" s="44"/>
      <c r="BK2365" s="11"/>
    </row>
    <row r="2366" spans="1:63" ht="12" customHeight="1" x14ac:dyDescent="0.15">
      <c r="A2366" s="1" t="s">
        <v>1280</v>
      </c>
      <c r="B2366" s="68">
        <v>24</v>
      </c>
      <c r="C2366" s="1" t="s">
        <v>20</v>
      </c>
      <c r="D2366" s="1" t="s">
        <v>37</v>
      </c>
      <c r="F2366" s="69">
        <v>42198</v>
      </c>
      <c r="G2366" s="1" t="s">
        <v>1281</v>
      </c>
      <c r="H2366" s="1" t="s">
        <v>1282</v>
      </c>
      <c r="I2366" s="1" t="s">
        <v>45</v>
      </c>
      <c r="J2366" s="4">
        <v>96025</v>
      </c>
      <c r="K2366" s="1" t="s">
        <v>956</v>
      </c>
      <c r="L2366" s="1" t="s">
        <v>1283</v>
      </c>
      <c r="M2366" s="1" t="s">
        <v>27</v>
      </c>
      <c r="N2366" s="1" t="s">
        <v>1221</v>
      </c>
      <c r="O2366" s="1" t="s">
        <v>400</v>
      </c>
      <c r="P2366" s="1" t="s">
        <v>401</v>
      </c>
      <c r="Q2366" s="6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2366" s="1" t="s">
        <v>100</v>
      </c>
      <c r="S2366" s="1" t="s">
        <v>28</v>
      </c>
      <c r="T2366" s="68" t="s">
        <v>27756</v>
      </c>
      <c r="U2366" s="68" t="s">
        <v>29438</v>
      </c>
      <c r="V2366" s="68" t="s">
        <v>29437</v>
      </c>
      <c r="W2366" s="68" t="s">
        <v>100</v>
      </c>
      <c r="X2366" s="68">
        <v>635</v>
      </c>
      <c r="AW2366" s="11"/>
      <c r="BK2366" s="11"/>
    </row>
    <row r="2367" spans="1:63" ht="12" customHeight="1" x14ac:dyDescent="0.2">
      <c r="A2367" s="1" t="s">
        <v>1246</v>
      </c>
      <c r="B2367" s="68">
        <v>41</v>
      </c>
      <c r="C2367" s="1" t="s">
        <v>20</v>
      </c>
      <c r="D2367" s="1" t="s">
        <v>37</v>
      </c>
      <c r="F2367" s="69">
        <v>42198</v>
      </c>
      <c r="G2367" s="1" t="s">
        <v>1247</v>
      </c>
      <c r="H2367" s="1" t="s">
        <v>98</v>
      </c>
      <c r="I2367" s="1" t="s">
        <v>45</v>
      </c>
      <c r="J2367" s="4">
        <v>90291</v>
      </c>
      <c r="K2367" s="1" t="s">
        <v>98</v>
      </c>
      <c r="L2367" s="1" t="s">
        <v>99</v>
      </c>
      <c r="M2367" s="68" t="s">
        <v>5411</v>
      </c>
      <c r="N2367" s="1" t="s">
        <v>1248</v>
      </c>
      <c r="O2367" s="1" t="s">
        <v>400</v>
      </c>
      <c r="P2367" s="1" t="s">
        <v>401</v>
      </c>
      <c r="Q2367" s="63" t="str">
        <f>HYPERLINK("http://homicide.latimes.com/post/jason-charles-davis/","http://homicide.latimes.com/post/jason-charles-davis/")</f>
        <v>http://homicide.latimes.com/post/jason-charles-davis/</v>
      </c>
      <c r="R2367" s="1" t="s">
        <v>100</v>
      </c>
      <c r="S2367" s="1" t="s">
        <v>28</v>
      </c>
      <c r="T2367" s="68" t="s">
        <v>29478</v>
      </c>
      <c r="U2367" s="68" t="s">
        <v>29436</v>
      </c>
      <c r="V2367" s="68" t="s">
        <v>29439</v>
      </c>
      <c r="W2367" s="68" t="s">
        <v>100</v>
      </c>
      <c r="X2367" s="68">
        <v>645</v>
      </c>
      <c r="BB2367" s="70"/>
    </row>
    <row r="2368" spans="1:63" ht="12" customHeight="1" x14ac:dyDescent="0.15">
      <c r="A2368" s="1" t="s">
        <v>1275</v>
      </c>
      <c r="B2368" s="1">
        <v>55</v>
      </c>
      <c r="C2368" s="1" t="s">
        <v>20</v>
      </c>
      <c r="D2368" s="1" t="s">
        <v>37</v>
      </c>
      <c r="F2368" s="72">
        <v>42198</v>
      </c>
      <c r="G2368" s="1" t="s">
        <v>1276</v>
      </c>
      <c r="H2368" s="1" t="s">
        <v>619</v>
      </c>
      <c r="I2368" s="1" t="s">
        <v>366</v>
      </c>
      <c r="J2368" s="4">
        <v>28792</v>
      </c>
      <c r="K2368" s="1" t="s">
        <v>1277</v>
      </c>
      <c r="L2368" s="1" t="s">
        <v>1278</v>
      </c>
      <c r="M2368" s="1" t="s">
        <v>2291</v>
      </c>
      <c r="N2368" s="1" t="s">
        <v>1378</v>
      </c>
      <c r="O2368" s="1" t="s">
        <v>400</v>
      </c>
      <c r="P2368" s="1" t="s">
        <v>401</v>
      </c>
      <c r="Q2368" s="63" t="s">
        <v>19414</v>
      </c>
      <c r="R2368" s="1" t="s">
        <v>100</v>
      </c>
      <c r="S2368" s="1" t="s">
        <v>18</v>
      </c>
    </row>
    <row r="2369" spans="1:63" ht="12" customHeight="1" x14ac:dyDescent="0.15">
      <c r="A2369" s="1" t="s">
        <v>1270</v>
      </c>
      <c r="B2369" s="68">
        <v>23</v>
      </c>
      <c r="C2369" s="1" t="s">
        <v>20</v>
      </c>
      <c r="D2369" s="1" t="s">
        <v>48</v>
      </c>
      <c r="F2369" s="69">
        <v>42198</v>
      </c>
      <c r="G2369" s="1" t="s">
        <v>1271</v>
      </c>
      <c r="H2369" s="1" t="s">
        <v>1272</v>
      </c>
      <c r="I2369" s="1" t="s">
        <v>46</v>
      </c>
      <c r="J2369" s="4">
        <v>1902</v>
      </c>
      <c r="K2369" s="1" t="s">
        <v>528</v>
      </c>
      <c r="L2369" s="1" t="s">
        <v>1273</v>
      </c>
      <c r="M2369" s="1" t="s">
        <v>27</v>
      </c>
      <c r="N2369" s="1" t="s">
        <v>1527</v>
      </c>
      <c r="O2369" s="1" t="s">
        <v>400</v>
      </c>
      <c r="P2369" s="1" t="s">
        <v>401</v>
      </c>
      <c r="Q2369" s="6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369" s="1" t="s">
        <v>100</v>
      </c>
      <c r="S2369" s="1" t="s">
        <v>379</v>
      </c>
      <c r="T2369" s="68" t="s">
        <v>379</v>
      </c>
      <c r="U2369" s="68" t="s">
        <v>29438</v>
      </c>
      <c r="V2369" s="68" t="s">
        <v>29439</v>
      </c>
      <c r="W2369" s="68" t="s">
        <v>100</v>
      </c>
      <c r="X2369" s="68">
        <v>638</v>
      </c>
      <c r="AW2369" s="11"/>
      <c r="BK2369" s="44"/>
    </row>
    <row r="2370" spans="1:63" ht="12" customHeight="1" x14ac:dyDescent="0.15">
      <c r="A2370" s="1" t="s">
        <v>1285</v>
      </c>
      <c r="B2370" s="1">
        <v>77</v>
      </c>
      <c r="C2370" s="1" t="s">
        <v>20</v>
      </c>
      <c r="D2370" s="1" t="s">
        <v>37</v>
      </c>
      <c r="E2370" s="1" t="str">
        <f>HYPERLINK("http://www.dispatch.com/content/graphics/2015/07/13/nyal-brown.jpg","http://www.dispatch.com/content/graphics/2015/07/13/nyal-brown.jpg")</f>
        <v>http://www.dispatch.com/content/graphics/2015/07/13/nyal-brown.jpg</v>
      </c>
      <c r="F2370" s="72">
        <v>42198</v>
      </c>
      <c r="G2370" s="1" t="s">
        <v>1286</v>
      </c>
      <c r="H2370" s="1" t="s">
        <v>1287</v>
      </c>
      <c r="I2370" s="1" t="s">
        <v>69</v>
      </c>
      <c r="J2370" s="4">
        <v>43204</v>
      </c>
      <c r="K2370" s="1" t="s">
        <v>1288</v>
      </c>
      <c r="L2370" s="1" t="s">
        <v>1289</v>
      </c>
      <c r="M2370" s="1" t="s">
        <v>379</v>
      </c>
      <c r="N2370" s="1" t="s">
        <v>1290</v>
      </c>
      <c r="O2370" s="1" t="s">
        <v>400</v>
      </c>
      <c r="P2370" s="1" t="s">
        <v>401</v>
      </c>
      <c r="Q2370" s="63" t="str">
        <f>HYPERLINK("http://www.dispatch.com/content/stories/local/2015/07/13/fatal-crash-on-hilltop.html","http://www.dispatch.com/content/stories/local/2015/07/13/fatal-crash-on-hilltop.html")</f>
        <v>http://www.dispatch.com/content/stories/local/2015/07/13/fatal-crash-on-hilltop.html</v>
      </c>
      <c r="R2370" s="1" t="s">
        <v>100</v>
      </c>
      <c r="S2370" s="66" t="s">
        <v>379</v>
      </c>
      <c r="T2370" s="66" t="s">
        <v>30738</v>
      </c>
    </row>
    <row r="2371" spans="1:63" ht="12" customHeight="1" x14ac:dyDescent="0.15">
      <c r="A2371" s="1" t="s">
        <v>1265</v>
      </c>
      <c r="B2371" s="1">
        <v>28</v>
      </c>
      <c r="C2371" s="1" t="s">
        <v>114</v>
      </c>
      <c r="D2371" s="1" t="s">
        <v>85</v>
      </c>
      <c r="E2371" s="1" t="s">
        <v>1266</v>
      </c>
      <c r="F2371" s="72">
        <v>42198</v>
      </c>
      <c r="G2371" s="1" t="s">
        <v>1267</v>
      </c>
      <c r="H2371" s="1" t="s">
        <v>1268</v>
      </c>
      <c r="I2371" s="1" t="s">
        <v>73</v>
      </c>
      <c r="J2371" s="4">
        <v>77445</v>
      </c>
      <c r="K2371" s="1" t="s">
        <v>831</v>
      </c>
      <c r="L2371" s="1" t="s">
        <v>1269</v>
      </c>
      <c r="M2371" s="1" t="s">
        <v>29</v>
      </c>
      <c r="N2371" s="1" t="s">
        <v>20447</v>
      </c>
      <c r="O2371" s="1" t="s">
        <v>31036</v>
      </c>
      <c r="P2371" s="1" t="s">
        <v>31037</v>
      </c>
      <c r="Q2371" s="63"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2371" s="1" t="s">
        <v>29</v>
      </c>
      <c r="S2371" s="1" t="s">
        <v>18</v>
      </c>
      <c r="AU2371" s="11"/>
      <c r="AV2371" s="11"/>
      <c r="AW2371" s="44"/>
      <c r="AX2371" s="44"/>
      <c r="AY2371" s="44"/>
      <c r="BC2371" s="44"/>
      <c r="BD2371" s="44"/>
      <c r="BE2371" s="44"/>
      <c r="BF2371" s="44"/>
      <c r="BG2371" s="44"/>
      <c r="BH2371" s="44"/>
      <c r="BI2371" s="44"/>
      <c r="BJ2371" s="44"/>
    </row>
    <row r="2372" spans="1:63" ht="12" customHeight="1" x14ac:dyDescent="0.2">
      <c r="A2372" s="1" t="s">
        <v>1291</v>
      </c>
      <c r="B2372" s="68">
        <v>36</v>
      </c>
      <c r="C2372" s="1" t="s">
        <v>20</v>
      </c>
      <c r="D2372" s="1" t="s">
        <v>85</v>
      </c>
      <c r="E2372" s="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2372" s="69">
        <v>42197</v>
      </c>
      <c r="G2372" s="1" t="s">
        <v>1292</v>
      </c>
      <c r="H2372" s="1" t="s">
        <v>1293</v>
      </c>
      <c r="I2372" s="1" t="s">
        <v>62</v>
      </c>
      <c r="J2372" s="4">
        <v>33317</v>
      </c>
      <c r="K2372" s="1" t="s">
        <v>1123</v>
      </c>
      <c r="L2372" s="1" t="s">
        <v>1294</v>
      </c>
      <c r="M2372" s="68" t="s">
        <v>5411</v>
      </c>
      <c r="N2372" s="1" t="s">
        <v>1295</v>
      </c>
      <c r="O2372" s="1" t="s">
        <v>400</v>
      </c>
      <c r="P2372" s="1" t="s">
        <v>401</v>
      </c>
      <c r="Q2372" s="63" t="str">
        <f>HYPERLINK("http://www.sun-sentinel.com/local/broward/fl-plantation-cop-homeless-shooting-id-20150715-story.html","http://www.sun-sentinel.com/local/broward/fl-plantation-cop-homeless-shooting-id-20150715-story.html")</f>
        <v>http://www.sun-sentinel.com/local/broward/fl-plantation-cop-homeless-shooting-id-20150715-story.html</v>
      </c>
      <c r="R2372" s="1" t="s">
        <v>100</v>
      </c>
      <c r="S2372" s="1" t="s">
        <v>18</v>
      </c>
      <c r="T2372" s="68" t="s">
        <v>28345</v>
      </c>
      <c r="U2372" s="68" t="s">
        <v>29438</v>
      </c>
      <c r="V2372" s="68" t="s">
        <v>29439</v>
      </c>
      <c r="W2372" s="68" t="s">
        <v>100</v>
      </c>
      <c r="X2372" s="68">
        <v>631</v>
      </c>
      <c r="AX2372" s="44"/>
      <c r="AY2372" s="44"/>
      <c r="BB2372" s="70"/>
      <c r="BC2372" s="44"/>
      <c r="BD2372" s="44"/>
      <c r="BE2372" s="44"/>
      <c r="BF2372" s="44"/>
      <c r="BG2372" s="44"/>
      <c r="BH2372" s="44"/>
      <c r="BI2372" s="44"/>
      <c r="BJ2372" s="44"/>
    </row>
    <row r="2373" spans="1:63" ht="12" customHeight="1" x14ac:dyDescent="0.15">
      <c r="A2373" s="1" t="s">
        <v>1311</v>
      </c>
      <c r="B2373" s="68">
        <v>60</v>
      </c>
      <c r="C2373" s="1" t="s">
        <v>20</v>
      </c>
      <c r="D2373" s="1" t="s">
        <v>37</v>
      </c>
      <c r="E2373" s="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2373" s="69">
        <v>42197</v>
      </c>
      <c r="G2373" s="1" t="s">
        <v>1312</v>
      </c>
      <c r="H2373" s="1" t="s">
        <v>1313</v>
      </c>
      <c r="I2373" s="1" t="s">
        <v>73</v>
      </c>
      <c r="J2373" s="4">
        <v>78736</v>
      </c>
      <c r="K2373" s="1" t="s">
        <v>1314</v>
      </c>
      <c r="L2373" s="1" t="s">
        <v>1315</v>
      </c>
      <c r="M2373" s="1" t="s">
        <v>27</v>
      </c>
      <c r="N2373" s="1" t="s">
        <v>1316</v>
      </c>
      <c r="O2373" s="1" t="s">
        <v>400</v>
      </c>
      <c r="P2373" s="1" t="s">
        <v>401</v>
      </c>
      <c r="Q2373" s="63" t="str">
        <f>HYPERLINK("http://www.statesman.com/news/news/crime-law/man-killed-by-austin-police-officer-sunday-had-a-v/nmyKL/","http://www.statesman.com/news/news/crime-law/man-killed-by-austin-police-officer-sunday-had-a-v/nmyKL/")</f>
        <v>http://www.statesman.com/news/news/crime-law/man-killed-by-austin-police-officer-sunday-had-a-v/nmyKL/</v>
      </c>
      <c r="R2373" s="1" t="s">
        <v>100</v>
      </c>
      <c r="S2373" s="2" t="s">
        <v>28</v>
      </c>
      <c r="T2373" s="68" t="s">
        <v>27756</v>
      </c>
      <c r="U2373" s="68" t="s">
        <v>29438</v>
      </c>
      <c r="V2373" s="68" t="s">
        <v>29440</v>
      </c>
      <c r="W2373" s="68" t="s">
        <v>100</v>
      </c>
      <c r="X2373" s="68">
        <v>632</v>
      </c>
      <c r="BK2373" s="11"/>
    </row>
    <row r="2374" spans="1:63" ht="12" customHeight="1" x14ac:dyDescent="0.15">
      <c r="A2374" s="1" t="s">
        <v>1317</v>
      </c>
      <c r="B2374" s="68">
        <v>27</v>
      </c>
      <c r="C2374" s="1" t="s">
        <v>20</v>
      </c>
      <c r="D2374" s="1" t="s">
        <v>37</v>
      </c>
      <c r="E2374" s="1" t="str">
        <f>HYPERLINK("http://wac.450f.edgecastcdn.net/80450F/k2radio.com/files/2015/07/chris-benton.jpg","http://wac.450f.edgecastcdn.net/80450F/k2radio.com/files/2015/07/chris-benton.jpg")</f>
        <v>http://wac.450f.edgecastcdn.net/80450F/k2radio.com/files/2015/07/chris-benton.jpg</v>
      </c>
      <c r="F2374" s="69">
        <v>42197</v>
      </c>
      <c r="G2374" s="1" t="s">
        <v>1318</v>
      </c>
      <c r="H2374" s="1" t="s">
        <v>1319</v>
      </c>
      <c r="I2374" s="1" t="s">
        <v>1083</v>
      </c>
      <c r="J2374" s="4">
        <v>82604</v>
      </c>
      <c r="K2374" s="1" t="s">
        <v>1320</v>
      </c>
      <c r="L2374" s="1" t="s">
        <v>1321</v>
      </c>
      <c r="M2374" s="1" t="s">
        <v>27</v>
      </c>
      <c r="N2374" s="1" t="s">
        <v>1322</v>
      </c>
      <c r="O2374" s="1" t="s">
        <v>400</v>
      </c>
      <c r="P2374" s="1" t="s">
        <v>401</v>
      </c>
      <c r="Q2374" s="63" t="str">
        <f>HYPERLINK("http://www.wyomingnews.com/articles/2015/07/16/breaking_news/01breaking_7-16-15.txt#.Vdo9r_ZVikq","http://www.wyomingnews.com/articles/2015/07/16/breaking_news/01breaking_7-16-15.txt#.Vdo9r_ZVikq")</f>
        <v>http://www.wyomingnews.com/articles/2015/07/16/breaking_news/01breaking_7-16-15.txt#.Vdo9r_ZVikq</v>
      </c>
      <c r="R2374" s="1" t="s">
        <v>100</v>
      </c>
      <c r="S2374" s="2" t="s">
        <v>28</v>
      </c>
      <c r="T2374" s="68" t="s">
        <v>27756</v>
      </c>
      <c r="U2374" s="68" t="s">
        <v>29438</v>
      </c>
      <c r="V2374" s="68" t="s">
        <v>29439</v>
      </c>
      <c r="W2374" s="68" t="s">
        <v>100</v>
      </c>
      <c r="X2374" s="68">
        <v>636</v>
      </c>
      <c r="AW2374" s="44"/>
      <c r="BK2374" s="11"/>
    </row>
    <row r="2375" spans="1:63" ht="12" customHeight="1" x14ac:dyDescent="0.15">
      <c r="A2375" s="1" t="s">
        <v>1306</v>
      </c>
      <c r="B2375" s="68">
        <v>24</v>
      </c>
      <c r="C2375" s="1" t="s">
        <v>20</v>
      </c>
      <c r="D2375" s="1" t="s">
        <v>37</v>
      </c>
      <c r="F2375" s="69">
        <v>42197</v>
      </c>
      <c r="G2375" s="1" t="s">
        <v>1307</v>
      </c>
      <c r="H2375" s="1" t="s">
        <v>1308</v>
      </c>
      <c r="I2375" s="1" t="s">
        <v>44</v>
      </c>
      <c r="J2375" s="4">
        <v>60305</v>
      </c>
      <c r="K2375" s="1" t="s">
        <v>88</v>
      </c>
      <c r="L2375" s="1" t="s">
        <v>1309</v>
      </c>
      <c r="M2375" s="1" t="s">
        <v>27</v>
      </c>
      <c r="N2375" s="1" t="s">
        <v>1310</v>
      </c>
      <c r="O2375" s="1" t="s">
        <v>400</v>
      </c>
      <c r="P2375" s="1" t="s">
        <v>401</v>
      </c>
      <c r="Q2375" s="63" t="str">
        <f>HYPERLINK("http://www.oakpark.com/News/Articles/7-13-2015/Three-injured,-two-killed-in-River-Forest/","http://www.oakpark.com/News/Articles/7-13-2015/Three-injured,-two-killed-in-River-Forest/")</f>
        <v>http://www.oakpark.com/News/Articles/7-13-2015/Three-injured,-two-killed-in-River-Forest/</v>
      </c>
      <c r="R2375" s="1" t="s">
        <v>29</v>
      </c>
      <c r="S2375" s="1" t="s">
        <v>28</v>
      </c>
      <c r="T2375" s="68" t="s">
        <v>27756</v>
      </c>
      <c r="U2375" s="68" t="s">
        <v>29438</v>
      </c>
      <c r="V2375" s="68" t="s">
        <v>29439</v>
      </c>
      <c r="W2375" s="68" t="s">
        <v>100</v>
      </c>
      <c r="X2375" s="68">
        <v>633</v>
      </c>
      <c r="AW2375" s="11"/>
      <c r="BK2375" s="11"/>
    </row>
    <row r="2376" spans="1:63" ht="12" customHeight="1" x14ac:dyDescent="0.15">
      <c r="A2376" s="1" t="s">
        <v>1296</v>
      </c>
      <c r="B2376" s="68">
        <v>35</v>
      </c>
      <c r="C2376" s="1" t="s">
        <v>20</v>
      </c>
      <c r="D2376" s="1" t="s">
        <v>139</v>
      </c>
      <c r="F2376" s="69">
        <v>42197</v>
      </c>
      <c r="G2376" s="1" t="s">
        <v>1297</v>
      </c>
      <c r="H2376" s="1" t="s">
        <v>1298</v>
      </c>
      <c r="I2376" s="1" t="s">
        <v>209</v>
      </c>
      <c r="J2376" s="4">
        <v>80219</v>
      </c>
      <c r="K2376" s="1" t="s">
        <v>1298</v>
      </c>
      <c r="L2376" s="1" t="s">
        <v>1299</v>
      </c>
      <c r="M2376" s="1" t="s">
        <v>27</v>
      </c>
      <c r="N2376" s="1" t="s">
        <v>1300</v>
      </c>
      <c r="O2376" s="1" t="s">
        <v>400</v>
      </c>
      <c r="P2376" s="1" t="s">
        <v>401</v>
      </c>
      <c r="Q2376" s="6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2376" s="1" t="s">
        <v>555</v>
      </c>
      <c r="S2376" s="1" t="s">
        <v>28</v>
      </c>
      <c r="T2376" s="68" t="s">
        <v>29493</v>
      </c>
      <c r="U2376" s="68" t="s">
        <v>29436</v>
      </c>
      <c r="V2376" s="68" t="s">
        <v>29440</v>
      </c>
      <c r="W2376" s="68" t="s">
        <v>100</v>
      </c>
      <c r="X2376" s="68">
        <v>628</v>
      </c>
      <c r="AW2376" s="11"/>
      <c r="BA2376" s="11"/>
      <c r="BB2376" s="44"/>
      <c r="BK2376" s="11"/>
    </row>
    <row r="2377" spans="1:63" ht="12" customHeight="1" x14ac:dyDescent="0.15">
      <c r="A2377" s="1" t="s">
        <v>1323</v>
      </c>
      <c r="B2377" s="1">
        <v>53</v>
      </c>
      <c r="C2377" s="1" t="s">
        <v>20</v>
      </c>
      <c r="D2377" s="1" t="s">
        <v>85</v>
      </c>
      <c r="F2377" s="72">
        <v>42196</v>
      </c>
      <c r="G2377" s="1" t="s">
        <v>1324</v>
      </c>
      <c r="H2377" s="1" t="s">
        <v>1303</v>
      </c>
      <c r="I2377" s="1" t="s">
        <v>173</v>
      </c>
      <c r="J2377" s="4">
        <v>30087</v>
      </c>
      <c r="K2377" s="1" t="s">
        <v>1325</v>
      </c>
      <c r="L2377" s="1" t="s">
        <v>1326</v>
      </c>
      <c r="M2377" s="1" t="s">
        <v>391</v>
      </c>
      <c r="N2377" s="1" t="s">
        <v>1327</v>
      </c>
      <c r="O2377" s="1" t="s">
        <v>400</v>
      </c>
      <c r="P2377" s="1" t="s">
        <v>401</v>
      </c>
      <c r="Q2377" s="6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377" s="11" t="s">
        <v>964</v>
      </c>
      <c r="S2377" s="1" t="s">
        <v>18</v>
      </c>
      <c r="AU2377" s="11"/>
      <c r="AV2377" s="11"/>
      <c r="AW2377" s="11"/>
      <c r="AX2377" s="11"/>
      <c r="AY2377" s="11"/>
      <c r="BC2377" s="44"/>
      <c r="BD2377" s="44"/>
      <c r="BE2377" s="44"/>
      <c r="BF2377" s="44"/>
      <c r="BG2377" s="44"/>
      <c r="BH2377" s="44"/>
      <c r="BI2377" s="44"/>
      <c r="BJ2377" s="44"/>
    </row>
    <row r="2378" spans="1:63" ht="12" customHeight="1" x14ac:dyDescent="0.15">
      <c r="A2378" s="1" t="s">
        <v>1328</v>
      </c>
      <c r="B2378" s="68">
        <v>31</v>
      </c>
      <c r="C2378" s="1" t="s">
        <v>20</v>
      </c>
      <c r="D2378" s="1" t="s">
        <v>37</v>
      </c>
      <c r="E2378" s="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2378" s="69">
        <v>42196</v>
      </c>
      <c r="G2378" s="1" t="s">
        <v>1329</v>
      </c>
      <c r="H2378" s="1" t="s">
        <v>1330</v>
      </c>
      <c r="I2378" s="1" t="s">
        <v>45</v>
      </c>
      <c r="J2378" s="4">
        <v>95961</v>
      </c>
      <c r="K2378" s="1" t="s">
        <v>1331</v>
      </c>
      <c r="L2378" s="1" t="s">
        <v>1332</v>
      </c>
      <c r="M2378" s="1" t="s">
        <v>27</v>
      </c>
      <c r="N2378" s="1" t="s">
        <v>1284</v>
      </c>
      <c r="O2378" s="1" t="s">
        <v>400</v>
      </c>
      <c r="P2378" s="1" t="s">
        <v>401</v>
      </c>
      <c r="Q2378" s="63" t="s">
        <v>20796</v>
      </c>
      <c r="R2378" s="1" t="s">
        <v>29</v>
      </c>
      <c r="S2378" s="1" t="s">
        <v>28</v>
      </c>
      <c r="T2378" s="68" t="s">
        <v>27756</v>
      </c>
      <c r="U2378" s="68" t="s">
        <v>29438</v>
      </c>
      <c r="V2378" s="68" t="s">
        <v>29439</v>
      </c>
      <c r="W2378" s="68" t="s">
        <v>100</v>
      </c>
      <c r="X2378" s="68">
        <v>637</v>
      </c>
      <c r="AW2378" s="11"/>
      <c r="BK2378" s="11"/>
    </row>
    <row r="2379" spans="1:63" ht="12" customHeight="1" x14ac:dyDescent="0.2">
      <c r="A2379" s="1" t="s">
        <v>1336</v>
      </c>
      <c r="B2379" s="68">
        <v>20</v>
      </c>
      <c r="C2379" s="1" t="s">
        <v>20</v>
      </c>
      <c r="D2379" s="1" t="s">
        <v>85</v>
      </c>
      <c r="F2379" s="69">
        <v>42195</v>
      </c>
      <c r="G2379" s="1" t="s">
        <v>1337</v>
      </c>
      <c r="H2379" s="1" t="s">
        <v>1240</v>
      </c>
      <c r="I2379" s="1" t="s">
        <v>173</v>
      </c>
      <c r="J2379" s="4">
        <v>30016</v>
      </c>
      <c r="K2379" s="1" t="s">
        <v>1338</v>
      </c>
      <c r="L2379" s="1" t="s">
        <v>1339</v>
      </c>
      <c r="M2379" s="1" t="s">
        <v>27</v>
      </c>
      <c r="N2379" s="1" t="s">
        <v>30982</v>
      </c>
      <c r="O2379" s="1" t="s">
        <v>400</v>
      </c>
      <c r="P2379" s="1" t="s">
        <v>401</v>
      </c>
      <c r="Q2379" s="63" t="str">
        <f>HYPERLINK("http://www.ajc.com/news/news/crime-law/man-dies-after-being-shot-by-newton-deputies/nmxjG/","http://www.ajc.com/news/news/crime-law/man-dies-after-being-shot-by-newton-deputies/nmxjG/")</f>
        <v>http://www.ajc.com/news/news/crime-law/man-dies-after-being-shot-by-newton-deputies/nmxjG/</v>
      </c>
      <c r="R2379" s="1" t="s">
        <v>100</v>
      </c>
      <c r="S2379" s="2" t="s">
        <v>18</v>
      </c>
      <c r="T2379" s="68" t="s">
        <v>30116</v>
      </c>
      <c r="U2379" s="68" t="s">
        <v>29438</v>
      </c>
      <c r="V2379" s="68" t="s">
        <v>29439</v>
      </c>
      <c r="W2379" s="68" t="s">
        <v>100</v>
      </c>
      <c r="X2379" s="68">
        <v>630</v>
      </c>
      <c r="AW2379" s="70"/>
      <c r="AX2379" s="70"/>
      <c r="AY2379" s="70"/>
      <c r="BC2379" s="44"/>
      <c r="BD2379" s="44"/>
      <c r="BE2379" s="44"/>
      <c r="BF2379" s="44"/>
      <c r="BG2379" s="44"/>
      <c r="BH2379" s="44"/>
      <c r="BI2379" s="44"/>
      <c r="BJ2379" s="44"/>
    </row>
    <row r="2380" spans="1:63" ht="12" customHeight="1" x14ac:dyDescent="0.15">
      <c r="A2380" s="11" t="s">
        <v>22937</v>
      </c>
      <c r="B2380" s="68">
        <v>25</v>
      </c>
      <c r="C2380" s="11" t="s">
        <v>20</v>
      </c>
      <c r="D2380" s="11" t="s">
        <v>85</v>
      </c>
      <c r="E2380" s="11"/>
      <c r="F2380" s="69">
        <v>42195</v>
      </c>
      <c r="G2380" s="44" t="s">
        <v>22952</v>
      </c>
      <c r="H2380" s="44" t="s">
        <v>87</v>
      </c>
      <c r="I2380" s="44" t="s">
        <v>44</v>
      </c>
      <c r="J2380" s="10">
        <v>60628</v>
      </c>
      <c r="K2380" s="1" t="s">
        <v>88</v>
      </c>
      <c r="L2380" s="11" t="s">
        <v>89</v>
      </c>
      <c r="M2380" s="11" t="s">
        <v>27</v>
      </c>
      <c r="N2380" s="11" t="s">
        <v>22953</v>
      </c>
      <c r="O2380" s="11" t="s">
        <v>400</v>
      </c>
      <c r="P2380" s="11" t="s">
        <v>401</v>
      </c>
      <c r="Q2380" s="11" t="s">
        <v>22954</v>
      </c>
      <c r="R2380" s="11" t="s">
        <v>100</v>
      </c>
      <c r="S2380" s="11" t="s">
        <v>28</v>
      </c>
      <c r="T2380" s="68" t="s">
        <v>27756</v>
      </c>
      <c r="U2380" s="68" t="s">
        <v>29438</v>
      </c>
      <c r="V2380" s="68" t="s">
        <v>29439</v>
      </c>
      <c r="W2380" s="68" t="s">
        <v>100</v>
      </c>
      <c r="X2380" s="68">
        <v>1152</v>
      </c>
      <c r="Y2380" s="11"/>
      <c r="Z2380" s="11"/>
      <c r="AA2380" s="11"/>
      <c r="AB2380" s="11"/>
      <c r="AC2380" s="11"/>
      <c r="AD2380" s="11"/>
      <c r="AE2380" s="11"/>
      <c r="AF2380" s="11"/>
      <c r="AG2380" s="11"/>
      <c r="AH2380" s="11"/>
      <c r="AI2380" s="11"/>
      <c r="AJ2380" s="11"/>
      <c r="AK2380" s="11"/>
      <c r="AL2380" s="11"/>
      <c r="AW2380" s="44"/>
      <c r="AX2380" s="44"/>
      <c r="AY2380" s="44"/>
      <c r="BC2380" s="44"/>
      <c r="BD2380" s="44"/>
      <c r="BE2380" s="44"/>
      <c r="BF2380" s="44"/>
      <c r="BG2380" s="44"/>
      <c r="BH2380" s="44"/>
      <c r="BI2380" s="44"/>
      <c r="BJ2380" s="44"/>
      <c r="BK2380" s="11"/>
    </row>
    <row r="2381" spans="1:63" ht="12" customHeight="1" x14ac:dyDescent="0.15">
      <c r="A2381" s="1" t="s">
        <v>1333</v>
      </c>
      <c r="B2381" s="1">
        <v>35</v>
      </c>
      <c r="C2381" s="1" t="s">
        <v>20</v>
      </c>
      <c r="D2381" s="1" t="s">
        <v>85</v>
      </c>
      <c r="F2381" s="72">
        <v>42195</v>
      </c>
      <c r="G2381" s="1" t="s">
        <v>1334</v>
      </c>
      <c r="H2381" s="1" t="s">
        <v>705</v>
      </c>
      <c r="I2381" s="1" t="s">
        <v>94</v>
      </c>
      <c r="J2381" s="4">
        <v>35404</v>
      </c>
      <c r="K2381" s="1" t="s">
        <v>705</v>
      </c>
      <c r="L2381" s="1" t="s">
        <v>706</v>
      </c>
      <c r="M2381" s="1" t="s">
        <v>5628</v>
      </c>
      <c r="N2381" s="1" t="s">
        <v>1335</v>
      </c>
      <c r="O2381" s="1" t="s">
        <v>400</v>
      </c>
      <c r="P2381" s="1" t="s">
        <v>401</v>
      </c>
      <c r="Q2381" s="63" t="str">
        <f>HYPERLINK("http://www.al.com/news/tuscaloosa/index.ssf/2015/07/tuscaloosa_police_release_more.html","http://www.al.com/news/tuscaloosa/index.ssf/2015/07/tuscaloosa_police_release_more.html")</f>
        <v>http://www.al.com/news/tuscaloosa/index.ssf/2015/07/tuscaloosa_police_release_more.html</v>
      </c>
      <c r="R2381" s="1" t="s">
        <v>100</v>
      </c>
      <c r="S2381" s="1" t="s">
        <v>28</v>
      </c>
      <c r="AX2381" s="44"/>
      <c r="AY2381" s="44"/>
      <c r="BC2381" s="44"/>
      <c r="BD2381" s="44"/>
      <c r="BE2381" s="44"/>
      <c r="BF2381" s="44"/>
      <c r="BG2381" s="44"/>
      <c r="BH2381" s="44"/>
      <c r="BI2381" s="44"/>
      <c r="BJ2381" s="44"/>
    </row>
    <row r="2382" spans="1:63" ht="12" customHeight="1" x14ac:dyDescent="0.2">
      <c r="A2382" s="1" t="s">
        <v>1340</v>
      </c>
      <c r="B2382" s="68">
        <v>54</v>
      </c>
      <c r="C2382" s="1" t="s">
        <v>20</v>
      </c>
      <c r="D2382" s="1" t="s">
        <v>37</v>
      </c>
      <c r="F2382" s="69">
        <v>42195</v>
      </c>
      <c r="G2382" s="1" t="s">
        <v>1341</v>
      </c>
      <c r="H2382" s="1" t="s">
        <v>655</v>
      </c>
      <c r="I2382" s="1" t="s">
        <v>269</v>
      </c>
      <c r="J2382" s="4">
        <v>89146</v>
      </c>
      <c r="K2382" s="1" t="s">
        <v>570</v>
      </c>
      <c r="L2382" s="1" t="s">
        <v>571</v>
      </c>
      <c r="M2382" s="1" t="s">
        <v>27</v>
      </c>
      <c r="N2382" s="1" t="s">
        <v>1342</v>
      </c>
      <c r="O2382" s="1" t="s">
        <v>400</v>
      </c>
      <c r="P2382" s="1" t="s">
        <v>401</v>
      </c>
      <c r="Q2382" s="63" t="str">
        <f>HYPERLINK("http://lasvegassun.com/news/2015/jul/15/police-body-cam-video-shows-traffic-stop-turn-dead/","http://lasvegassun.com/news/2015/jul/15/police-body-cam-video-shows-traffic-stop-turn-dead/")</f>
        <v>http://lasvegassun.com/news/2015/jul/15/police-body-cam-video-shows-traffic-stop-turn-dead/</v>
      </c>
      <c r="R2382" s="68" t="s">
        <v>555</v>
      </c>
      <c r="S2382" s="1" t="s">
        <v>28</v>
      </c>
      <c r="T2382" s="68" t="s">
        <v>27756</v>
      </c>
      <c r="U2382" s="68" t="s">
        <v>29438</v>
      </c>
      <c r="V2382" s="68" t="s">
        <v>29439</v>
      </c>
      <c r="W2382" s="68" t="s">
        <v>555</v>
      </c>
      <c r="X2382" s="68">
        <v>626</v>
      </c>
      <c r="BA2382" s="70"/>
      <c r="BB2382" s="44"/>
      <c r="BK2382" s="11"/>
    </row>
    <row r="2383" spans="1:63" ht="12" customHeight="1" x14ac:dyDescent="0.15">
      <c r="A2383" s="1" t="s">
        <v>1343</v>
      </c>
      <c r="B2383" s="68">
        <v>27</v>
      </c>
      <c r="C2383" s="1" t="s">
        <v>20</v>
      </c>
      <c r="D2383" s="1" t="s">
        <v>85</v>
      </c>
      <c r="F2383" s="69">
        <v>42194</v>
      </c>
      <c r="G2383" s="1" t="s">
        <v>1344</v>
      </c>
      <c r="H2383" s="1" t="s">
        <v>87</v>
      </c>
      <c r="I2383" s="1" t="s">
        <v>44</v>
      </c>
      <c r="J2383" s="4">
        <v>60619</v>
      </c>
      <c r="K2383" s="1" t="s">
        <v>88</v>
      </c>
      <c r="L2383" s="1" t="s">
        <v>89</v>
      </c>
      <c r="M2383" s="1" t="s">
        <v>27</v>
      </c>
      <c r="N2383" s="1" t="s">
        <v>1345</v>
      </c>
      <c r="O2383" s="1" t="s">
        <v>400</v>
      </c>
      <c r="P2383" s="1" t="s">
        <v>401</v>
      </c>
      <c r="Q2383" s="63" t="str">
        <f>HYPERLINK("http://chicago.suntimes.com/crime/7/71/759984/chicago-police-involved-grand-crossing-shooting","http://chicago.suntimes.com/crime/7/71/759984/chicago-police-involved-grand-crossing-shooting")</f>
        <v>http://chicago.suntimes.com/crime/7/71/759984/chicago-police-involved-grand-crossing-shooting</v>
      </c>
      <c r="R2383" s="1" t="s">
        <v>100</v>
      </c>
      <c r="S2383" s="1" t="s">
        <v>28</v>
      </c>
      <c r="T2383" s="68" t="s">
        <v>27756</v>
      </c>
      <c r="U2383" s="68" t="s">
        <v>29438</v>
      </c>
      <c r="V2383" s="68" t="s">
        <v>29440</v>
      </c>
      <c r="W2383" s="68" t="s">
        <v>100</v>
      </c>
      <c r="X2383" s="68">
        <v>624</v>
      </c>
      <c r="AW2383" s="44"/>
      <c r="AX2383" s="11"/>
      <c r="AY2383" s="11"/>
      <c r="BC2383" s="44"/>
      <c r="BD2383" s="44"/>
      <c r="BE2383" s="44"/>
      <c r="BF2383" s="44"/>
      <c r="BG2383" s="44"/>
      <c r="BH2383" s="44"/>
      <c r="BI2383" s="44"/>
      <c r="BJ2383" s="44"/>
      <c r="BK2383" s="11"/>
    </row>
    <row r="2384" spans="1:63" ht="12" customHeight="1" x14ac:dyDescent="0.15">
      <c r="A2384" s="1" t="s">
        <v>1362</v>
      </c>
      <c r="B2384" s="68">
        <v>50</v>
      </c>
      <c r="C2384" s="1" t="s">
        <v>20</v>
      </c>
      <c r="D2384" s="1" t="s">
        <v>37</v>
      </c>
      <c r="E2384" s="1" t="str">
        <f>HYPERLINK("http://matchbin-assets.s3.amazonaws.com/public/sites/990/assets/26J5_1625924_profile_pic.jpg","http://matchbin-assets.s3.amazonaws.com/public/sites/990/assets/26J5_1625924_profile_pic.jpg")</f>
        <v>http://matchbin-assets.s3.amazonaws.com/public/sites/990/assets/26J5_1625924_profile_pic.jpg</v>
      </c>
      <c r="F2384" s="69">
        <v>42194</v>
      </c>
      <c r="G2384" s="1" t="s">
        <v>1363</v>
      </c>
      <c r="H2384" s="1" t="s">
        <v>1364</v>
      </c>
      <c r="I2384" s="1" t="s">
        <v>240</v>
      </c>
      <c r="J2384" s="4">
        <v>84761</v>
      </c>
      <c r="K2384" s="1" t="s">
        <v>1365</v>
      </c>
      <c r="L2384" s="1" t="s">
        <v>1366</v>
      </c>
      <c r="M2384" s="1" t="s">
        <v>27</v>
      </c>
      <c r="N2384" s="1" t="s">
        <v>1367</v>
      </c>
      <c r="O2384" s="1" t="s">
        <v>400</v>
      </c>
      <c r="P2384" s="1" t="s">
        <v>401</v>
      </c>
      <c r="Q2384" s="6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2384" s="1" t="s">
        <v>100</v>
      </c>
      <c r="S2384" s="1" t="s">
        <v>28</v>
      </c>
      <c r="T2384" s="68" t="s">
        <v>27756</v>
      </c>
      <c r="U2384" s="68" t="s">
        <v>29438</v>
      </c>
      <c r="V2384" s="68" t="s">
        <v>29439</v>
      </c>
      <c r="W2384" s="68" t="s">
        <v>100</v>
      </c>
      <c r="X2384" s="68">
        <v>622</v>
      </c>
      <c r="BK2384" s="11"/>
    </row>
    <row r="2385" spans="1:63" ht="12" customHeight="1" x14ac:dyDescent="0.2">
      <c r="A2385" s="1" t="s">
        <v>1350</v>
      </c>
      <c r="B2385" s="68">
        <v>38</v>
      </c>
      <c r="C2385" s="1" t="s">
        <v>20</v>
      </c>
      <c r="D2385" s="1" t="s">
        <v>37</v>
      </c>
      <c r="F2385" s="69">
        <v>42194</v>
      </c>
      <c r="G2385" s="1" t="s">
        <v>1351</v>
      </c>
      <c r="H2385" s="1" t="s">
        <v>98</v>
      </c>
      <c r="I2385" s="1" t="s">
        <v>45</v>
      </c>
      <c r="J2385" s="4">
        <v>92083</v>
      </c>
      <c r="K2385" s="1" t="s">
        <v>98</v>
      </c>
      <c r="L2385" s="1" t="s">
        <v>99</v>
      </c>
      <c r="M2385" s="68" t="s">
        <v>5411</v>
      </c>
      <c r="N2385" s="1" t="s">
        <v>1352</v>
      </c>
      <c r="O2385" s="1" t="s">
        <v>400</v>
      </c>
      <c r="P2385" s="1" t="s">
        <v>401</v>
      </c>
      <c r="Q2385" s="63" t="str">
        <f>HYPERLINK("http://www.scpr.org/news/2015/07/10/53025/mid-wilshire-police-shooting-suspect-in-skateboard/","http://www.scpr.org/news/2015/07/10/53025/mid-wilshire-police-shooting-suspect-in-skateboard/")</f>
        <v>http://www.scpr.org/news/2015/07/10/53025/mid-wilshire-police-shooting-suspect-in-skateboard/</v>
      </c>
      <c r="R2385" s="1" t="s">
        <v>100</v>
      </c>
      <c r="S2385" s="1" t="s">
        <v>28</v>
      </c>
      <c r="T2385" s="68" t="s">
        <v>391</v>
      </c>
      <c r="U2385" s="68" t="s">
        <v>29438</v>
      </c>
      <c r="V2385" s="68" t="s">
        <v>21212</v>
      </c>
      <c r="W2385" s="68" t="s">
        <v>100</v>
      </c>
      <c r="X2385" s="68">
        <v>627</v>
      </c>
      <c r="AW2385" s="44"/>
      <c r="BB2385" s="70"/>
    </row>
    <row r="2386" spans="1:63" ht="12" customHeight="1" x14ac:dyDescent="0.15">
      <c r="A2386" s="1" t="s">
        <v>1346</v>
      </c>
      <c r="B2386" s="68">
        <v>21</v>
      </c>
      <c r="C2386" s="1" t="s">
        <v>20</v>
      </c>
      <c r="D2386" s="1" t="s">
        <v>85</v>
      </c>
      <c r="F2386" s="69">
        <v>42194</v>
      </c>
      <c r="G2386" s="1" t="s">
        <v>1347</v>
      </c>
      <c r="H2386" s="1" t="s">
        <v>430</v>
      </c>
      <c r="I2386" s="1" t="s">
        <v>431</v>
      </c>
      <c r="J2386" s="4">
        <v>64132</v>
      </c>
      <c r="K2386" s="1" t="s">
        <v>433</v>
      </c>
      <c r="L2386" s="1" t="s">
        <v>434</v>
      </c>
      <c r="M2386" s="1" t="s">
        <v>27</v>
      </c>
      <c r="N2386" s="1" t="s">
        <v>1413</v>
      </c>
      <c r="O2386" s="1" t="s">
        <v>400</v>
      </c>
      <c r="P2386" s="1" t="s">
        <v>401</v>
      </c>
      <c r="Q2386" s="63" t="s">
        <v>19419</v>
      </c>
      <c r="R2386" s="1" t="s">
        <v>29</v>
      </c>
      <c r="S2386" s="1" t="s">
        <v>28</v>
      </c>
      <c r="T2386" s="68" t="s">
        <v>29505</v>
      </c>
      <c r="U2386" s="68" t="s">
        <v>29436</v>
      </c>
      <c r="V2386" s="68" t="s">
        <v>29439</v>
      </c>
      <c r="W2386" s="68" t="s">
        <v>100</v>
      </c>
      <c r="X2386" s="68">
        <v>634</v>
      </c>
      <c r="AW2386" s="44"/>
      <c r="AX2386" s="44"/>
      <c r="AY2386" s="44"/>
      <c r="BC2386" s="44"/>
      <c r="BD2386" s="44"/>
      <c r="BE2386" s="44"/>
      <c r="BF2386" s="44"/>
      <c r="BG2386" s="44"/>
      <c r="BH2386" s="44"/>
      <c r="BI2386" s="44"/>
      <c r="BJ2386" s="44"/>
      <c r="BK2386" s="11"/>
    </row>
    <row r="2387" spans="1:63" ht="12" customHeight="1" x14ac:dyDescent="0.15">
      <c r="A2387" s="1" t="s">
        <v>1353</v>
      </c>
      <c r="B2387" s="68">
        <v>68</v>
      </c>
      <c r="C2387" s="1" t="s">
        <v>20</v>
      </c>
      <c r="D2387" s="1" t="s">
        <v>37</v>
      </c>
      <c r="F2387" s="69">
        <v>42194</v>
      </c>
      <c r="G2387" s="1" t="s">
        <v>1354</v>
      </c>
      <c r="H2387" s="1" t="s">
        <v>632</v>
      </c>
      <c r="I2387" s="1" t="s">
        <v>123</v>
      </c>
      <c r="J2387" s="4">
        <v>85029</v>
      </c>
      <c r="K2387" s="1" t="s">
        <v>633</v>
      </c>
      <c r="L2387" s="1" t="s">
        <v>634</v>
      </c>
      <c r="M2387" s="1" t="s">
        <v>27</v>
      </c>
      <c r="N2387" s="1" t="s">
        <v>1355</v>
      </c>
      <c r="O2387" s="1" t="s">
        <v>400</v>
      </c>
      <c r="P2387" s="1" t="s">
        <v>401</v>
      </c>
      <c r="Q2387" s="6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2387" s="1" t="s">
        <v>29</v>
      </c>
      <c r="S2387" s="1" t="s">
        <v>28</v>
      </c>
      <c r="T2387" s="68" t="s">
        <v>27756</v>
      </c>
      <c r="U2387" s="68" t="s">
        <v>29438</v>
      </c>
      <c r="V2387" s="68" t="s">
        <v>29440</v>
      </c>
      <c r="W2387" s="68" t="s">
        <v>100</v>
      </c>
      <c r="X2387" s="68">
        <v>623</v>
      </c>
      <c r="BK2387" s="11"/>
    </row>
    <row r="2388" spans="1:63" ht="12" customHeight="1" x14ac:dyDescent="0.2">
      <c r="A2388" s="1" t="s">
        <v>1356</v>
      </c>
      <c r="B2388" s="68">
        <v>17</v>
      </c>
      <c r="C2388" s="1" t="s">
        <v>20</v>
      </c>
      <c r="D2388" s="1" t="s">
        <v>37</v>
      </c>
      <c r="F2388" s="69">
        <v>42194</v>
      </c>
      <c r="G2388" s="1" t="s">
        <v>1357</v>
      </c>
      <c r="H2388" s="1" t="s">
        <v>1358</v>
      </c>
      <c r="I2388" s="1" t="s">
        <v>45</v>
      </c>
      <c r="J2388" s="4">
        <v>95006</v>
      </c>
      <c r="K2388" s="1" t="s">
        <v>1359</v>
      </c>
      <c r="L2388" s="1" t="s">
        <v>1360</v>
      </c>
      <c r="M2388" s="1" t="s">
        <v>27</v>
      </c>
      <c r="N2388" s="1" t="s">
        <v>1361</v>
      </c>
      <c r="O2388" s="1" t="s">
        <v>400</v>
      </c>
      <c r="P2388" s="1" t="s">
        <v>401</v>
      </c>
      <c r="Q2388" s="6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2388" s="1" t="s">
        <v>555</v>
      </c>
      <c r="S2388" s="1" t="s">
        <v>28</v>
      </c>
      <c r="T2388" s="68" t="s">
        <v>27756</v>
      </c>
      <c r="U2388" s="68" t="s">
        <v>29438</v>
      </c>
      <c r="V2388" s="68" t="s">
        <v>29439</v>
      </c>
      <c r="W2388" s="68" t="s">
        <v>100</v>
      </c>
      <c r="X2388" s="68">
        <v>625</v>
      </c>
      <c r="AW2388" s="70"/>
      <c r="BA2388" s="11"/>
      <c r="BB2388" s="44"/>
      <c r="BK2388" s="11"/>
    </row>
    <row r="2389" spans="1:63" ht="12" customHeight="1" x14ac:dyDescent="0.15">
      <c r="A2389" s="1" t="s">
        <v>1373</v>
      </c>
      <c r="B2389" s="68">
        <v>62</v>
      </c>
      <c r="C2389" s="1" t="s">
        <v>20</v>
      </c>
      <c r="D2389" s="1" t="s">
        <v>37</v>
      </c>
      <c r="F2389" s="69">
        <v>42193</v>
      </c>
      <c r="G2389" s="1" t="s">
        <v>1374</v>
      </c>
      <c r="H2389" s="1" t="s">
        <v>1375</v>
      </c>
      <c r="I2389" s="1" t="s">
        <v>366</v>
      </c>
      <c r="J2389" s="4">
        <v>28617</v>
      </c>
      <c r="K2389" s="1" t="s">
        <v>1376</v>
      </c>
      <c r="L2389" s="1" t="s">
        <v>1377</v>
      </c>
      <c r="M2389" s="1" t="s">
        <v>27</v>
      </c>
      <c r="N2389" s="1" t="s">
        <v>1185</v>
      </c>
      <c r="O2389" s="1" t="s">
        <v>400</v>
      </c>
      <c r="P2389" s="1" t="s">
        <v>401</v>
      </c>
      <c r="Q2389" s="63" t="s">
        <v>20795</v>
      </c>
      <c r="R2389" s="11" t="s">
        <v>964</v>
      </c>
      <c r="S2389" s="1" t="s">
        <v>379</v>
      </c>
      <c r="T2389" s="68" t="s">
        <v>379</v>
      </c>
      <c r="U2389" s="68" t="s">
        <v>29438</v>
      </c>
      <c r="V2389" s="68" t="s">
        <v>29437</v>
      </c>
      <c r="W2389" s="68" t="s">
        <v>555</v>
      </c>
      <c r="X2389" s="68">
        <v>621</v>
      </c>
      <c r="BA2389" s="44"/>
      <c r="BB2389" s="44"/>
      <c r="BK2389" s="44"/>
    </row>
    <row r="2390" spans="1:63" ht="12" customHeight="1" x14ac:dyDescent="0.15">
      <c r="A2390" s="1" t="s">
        <v>1368</v>
      </c>
      <c r="B2390" s="1">
        <v>39</v>
      </c>
      <c r="C2390" s="1" t="s">
        <v>20</v>
      </c>
      <c r="D2390" s="1" t="s">
        <v>85</v>
      </c>
      <c r="E2390" s="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2390" s="72">
        <v>42193</v>
      </c>
      <c r="G2390" s="1" t="s">
        <v>29</v>
      </c>
      <c r="H2390" s="1" t="s">
        <v>1369</v>
      </c>
      <c r="I2390" s="1" t="s">
        <v>669</v>
      </c>
      <c r="J2390" s="4">
        <v>39355</v>
      </c>
      <c r="K2390" s="1" t="s">
        <v>1370</v>
      </c>
      <c r="L2390" s="1" t="s">
        <v>1371</v>
      </c>
      <c r="M2390" s="1" t="s">
        <v>2291</v>
      </c>
      <c r="N2390" s="1" t="s">
        <v>1348</v>
      </c>
      <c r="O2390" s="1" t="s">
        <v>1349</v>
      </c>
      <c r="P2390" s="1" t="s">
        <v>401</v>
      </c>
      <c r="Q2390" s="63" t="str">
        <f>HYPERLINK("http://www.wtok.com/home/headlines/New-Details-in-Stonewall-Death-Investigation-313047501.html","http://www.wtok.com/home/headlines/New-Details-in-Stonewall-Death-Investigation-313047501.html")</f>
        <v>http://www.wtok.com/home/headlines/New-Details-in-Stonewall-Death-Investigation-313047501.html</v>
      </c>
      <c r="R2390" s="1" t="s">
        <v>100</v>
      </c>
      <c r="S2390" s="1" t="s">
        <v>18</v>
      </c>
      <c r="AX2390" s="44"/>
      <c r="AY2390" s="44"/>
      <c r="BC2390" s="44"/>
      <c r="BD2390" s="44"/>
      <c r="BE2390" s="44"/>
      <c r="BF2390" s="44"/>
      <c r="BG2390" s="44"/>
      <c r="BH2390" s="44"/>
      <c r="BI2390" s="44"/>
      <c r="BJ2390" s="44"/>
    </row>
    <row r="2391" spans="1:63" ht="12" customHeight="1" x14ac:dyDescent="0.15">
      <c r="A2391" s="1" t="s">
        <v>1379</v>
      </c>
      <c r="B2391" s="68">
        <v>59</v>
      </c>
      <c r="C2391" s="1" t="s">
        <v>20</v>
      </c>
      <c r="D2391" s="1" t="s">
        <v>37</v>
      </c>
      <c r="E2391" s="1" t="str">
        <f>HYPERLINK("http://media.oregonlive.com/beaverton_news/photo/westrichjpg-51507199625e81e6.jpg","http://media.oregonlive.com/beaverton_news/photo/westrichjpg-51507199625e81e6.jpg")</f>
        <v>http://media.oregonlive.com/beaverton_news/photo/westrichjpg-51507199625e81e6.jpg</v>
      </c>
      <c r="F2391" s="69">
        <v>42193</v>
      </c>
      <c r="G2391" s="1" t="s">
        <v>1380</v>
      </c>
      <c r="H2391" s="1" t="s">
        <v>325</v>
      </c>
      <c r="I2391" s="1" t="s">
        <v>117</v>
      </c>
      <c r="J2391" s="4">
        <v>97008</v>
      </c>
      <c r="K2391" s="1" t="s">
        <v>118</v>
      </c>
      <c r="L2391" s="1" t="s">
        <v>1381</v>
      </c>
      <c r="M2391" s="1" t="s">
        <v>27</v>
      </c>
      <c r="N2391" s="1" t="s">
        <v>1382</v>
      </c>
      <c r="O2391" s="1" t="s">
        <v>400</v>
      </c>
      <c r="P2391" s="1" t="s">
        <v>401</v>
      </c>
      <c r="Q2391" s="6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2391" s="1" t="s">
        <v>555</v>
      </c>
      <c r="S2391" s="1" t="s">
        <v>28</v>
      </c>
      <c r="T2391" s="68" t="s">
        <v>27756</v>
      </c>
      <c r="U2391" s="68" t="s">
        <v>29438</v>
      </c>
      <c r="V2391" s="68" t="s">
        <v>29439</v>
      </c>
      <c r="W2391" s="68" t="s">
        <v>100</v>
      </c>
      <c r="X2391" s="68">
        <v>620</v>
      </c>
      <c r="BK2391" s="11"/>
    </row>
    <row r="2392" spans="1:63" ht="12" customHeight="1" x14ac:dyDescent="0.2">
      <c r="A2392" s="1" t="s">
        <v>1383</v>
      </c>
      <c r="B2392" s="68">
        <v>18</v>
      </c>
      <c r="C2392" s="1" t="s">
        <v>20</v>
      </c>
      <c r="D2392" s="1" t="s">
        <v>85</v>
      </c>
      <c r="F2392" s="69">
        <v>42192</v>
      </c>
      <c r="G2392" s="1" t="s">
        <v>1384</v>
      </c>
      <c r="H2392" s="1" t="s">
        <v>1385</v>
      </c>
      <c r="I2392" s="1" t="s">
        <v>73</v>
      </c>
      <c r="J2392" s="4">
        <v>77489</v>
      </c>
      <c r="K2392" s="1" t="s">
        <v>1386</v>
      </c>
      <c r="L2392" s="1" t="s">
        <v>724</v>
      </c>
      <c r="M2392" s="1" t="s">
        <v>27</v>
      </c>
      <c r="N2392" s="1" t="s">
        <v>1387</v>
      </c>
      <c r="O2392" s="1" t="s">
        <v>400</v>
      </c>
      <c r="P2392" s="1" t="s">
        <v>401</v>
      </c>
      <c r="Q2392" s="6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392" s="1" t="s">
        <v>100</v>
      </c>
      <c r="S2392" s="1" t="s">
        <v>28</v>
      </c>
      <c r="T2392" s="68" t="s">
        <v>27756</v>
      </c>
      <c r="U2392" s="68" t="s">
        <v>29438</v>
      </c>
      <c r="V2392" s="68" t="s">
        <v>29439</v>
      </c>
      <c r="W2392" s="68" t="s">
        <v>100</v>
      </c>
      <c r="X2392" s="68">
        <v>608</v>
      </c>
      <c r="AW2392" s="70"/>
      <c r="AX2392" s="70"/>
      <c r="AY2392" s="70"/>
      <c r="BC2392" s="11"/>
      <c r="BD2392" s="11"/>
      <c r="BE2392" s="11"/>
      <c r="BF2392" s="11"/>
      <c r="BG2392" s="11"/>
      <c r="BH2392" s="11"/>
      <c r="BI2392" s="11"/>
      <c r="BJ2392" s="11"/>
      <c r="BK2392" s="11"/>
    </row>
    <row r="2393" spans="1:63" ht="12" customHeight="1" x14ac:dyDescent="0.15">
      <c r="A2393" s="1" t="s">
        <v>1388</v>
      </c>
      <c r="B2393" s="68">
        <v>47</v>
      </c>
      <c r="C2393" s="1" t="s">
        <v>20</v>
      </c>
      <c r="D2393" s="1" t="s">
        <v>48</v>
      </c>
      <c r="F2393" s="69">
        <v>42192</v>
      </c>
      <c r="G2393" s="1" t="s">
        <v>1389</v>
      </c>
      <c r="H2393" s="1" t="s">
        <v>679</v>
      </c>
      <c r="I2393" s="1" t="s">
        <v>45</v>
      </c>
      <c r="J2393" s="4">
        <v>93307</v>
      </c>
      <c r="K2393" s="1" t="s">
        <v>680</v>
      </c>
      <c r="L2393" s="1" t="s">
        <v>681</v>
      </c>
      <c r="M2393" s="1" t="s">
        <v>27</v>
      </c>
      <c r="N2393" s="1" t="s">
        <v>1390</v>
      </c>
      <c r="O2393" s="1" t="s">
        <v>400</v>
      </c>
      <c r="P2393" s="1" t="s">
        <v>401</v>
      </c>
      <c r="Q2393" s="6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2393" s="1" t="s">
        <v>100</v>
      </c>
      <c r="S2393" s="1" t="s">
        <v>28</v>
      </c>
      <c r="T2393" s="68" t="s">
        <v>27756</v>
      </c>
      <c r="U2393" s="68" t="s">
        <v>29438</v>
      </c>
      <c r="V2393" s="68" t="s">
        <v>29439</v>
      </c>
      <c r="W2393" s="68" t="s">
        <v>100</v>
      </c>
      <c r="X2393" s="68">
        <v>614</v>
      </c>
      <c r="BK2393" s="11"/>
    </row>
    <row r="2394" spans="1:63" ht="12" customHeight="1" x14ac:dyDescent="0.15">
      <c r="A2394" s="1" t="s">
        <v>1403</v>
      </c>
      <c r="B2394" s="68">
        <v>28</v>
      </c>
      <c r="C2394" s="1" t="s">
        <v>20</v>
      </c>
      <c r="D2394" s="1" t="s">
        <v>37</v>
      </c>
      <c r="F2394" s="69">
        <v>42192</v>
      </c>
      <c r="G2394" s="1" t="s">
        <v>1404</v>
      </c>
      <c r="H2394" s="1" t="s">
        <v>1405</v>
      </c>
      <c r="I2394" s="1" t="s">
        <v>315</v>
      </c>
      <c r="J2394" s="4">
        <v>42701</v>
      </c>
      <c r="K2394" s="1" t="s">
        <v>1406</v>
      </c>
      <c r="L2394" s="1" t="s">
        <v>1407</v>
      </c>
      <c r="M2394" s="1" t="s">
        <v>27</v>
      </c>
      <c r="N2394" s="1" t="s">
        <v>1408</v>
      </c>
      <c r="O2394" s="1" t="s">
        <v>400</v>
      </c>
      <c r="P2394" s="1" t="s">
        <v>401</v>
      </c>
      <c r="Q2394" s="63" t="str">
        <f>HYPERLINK("http://www.wlky.com/news/man-dies-after-being-shot-by-elizabethtown-police/34052212","http://www.wlky.com/news/man-dies-after-being-shot-by-elizabethtown-police/34052212")</f>
        <v>http://www.wlky.com/news/man-dies-after-being-shot-by-elizabethtown-police/34052212</v>
      </c>
      <c r="R2394" s="1" t="s">
        <v>100</v>
      </c>
      <c r="S2394" s="1" t="s">
        <v>28</v>
      </c>
      <c r="T2394" s="68" t="s">
        <v>29493</v>
      </c>
      <c r="U2394" s="68" t="s">
        <v>29436</v>
      </c>
      <c r="V2394" s="68" t="s">
        <v>29439</v>
      </c>
      <c r="W2394" s="68" t="s">
        <v>100</v>
      </c>
      <c r="X2394" s="68">
        <v>618</v>
      </c>
      <c r="AW2394" s="44"/>
      <c r="BK2394" s="11"/>
    </row>
    <row r="2395" spans="1:63" ht="12" customHeight="1" x14ac:dyDescent="0.15">
      <c r="A2395" s="1" t="s">
        <v>1414</v>
      </c>
      <c r="B2395" s="68">
        <v>59</v>
      </c>
      <c r="C2395" s="1" t="s">
        <v>20</v>
      </c>
      <c r="D2395" s="1" t="s">
        <v>37</v>
      </c>
      <c r="E2395" s="1" t="str">
        <f>HYPERLINK("http://www.homefacts.com/images/offenders/texas/thumb/01958213.jpg","http://www.homefacts.com/images/offenders/texas/thumb/01958213.jpg")</f>
        <v>http://www.homefacts.com/images/offenders/texas/thumb/01958213.jpg</v>
      </c>
      <c r="F2395" s="69">
        <v>42192</v>
      </c>
      <c r="G2395" s="1" t="s">
        <v>1415</v>
      </c>
      <c r="H2395" s="1" t="s">
        <v>285</v>
      </c>
      <c r="I2395" s="1" t="s">
        <v>73</v>
      </c>
      <c r="J2395" s="4">
        <v>75208</v>
      </c>
      <c r="K2395" s="1" t="s">
        <v>285</v>
      </c>
      <c r="L2395" s="1" t="s">
        <v>286</v>
      </c>
      <c r="M2395" s="1" t="s">
        <v>27</v>
      </c>
      <c r="N2395" s="1" t="s">
        <v>1416</v>
      </c>
      <c r="O2395" s="1" t="s">
        <v>400</v>
      </c>
      <c r="P2395" s="1" t="s">
        <v>401</v>
      </c>
      <c r="Q2395" s="6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2395" s="1" t="s">
        <v>100</v>
      </c>
      <c r="S2395" s="1" t="s">
        <v>28</v>
      </c>
      <c r="T2395" s="68" t="s">
        <v>27756</v>
      </c>
      <c r="U2395" s="68" t="s">
        <v>29438</v>
      </c>
      <c r="V2395" s="68" t="s">
        <v>29439</v>
      </c>
      <c r="W2395" s="68" t="s">
        <v>100</v>
      </c>
      <c r="X2395" s="68">
        <v>611</v>
      </c>
      <c r="BK2395" s="11"/>
    </row>
    <row r="2396" spans="1:63" ht="12" customHeight="1" x14ac:dyDescent="0.15">
      <c r="A2396" s="1" t="s">
        <v>1426</v>
      </c>
      <c r="B2396" s="68">
        <v>33</v>
      </c>
      <c r="C2396" s="1" t="s">
        <v>20</v>
      </c>
      <c r="D2396" s="1" t="s">
        <v>37</v>
      </c>
      <c r="F2396" s="69">
        <v>42192</v>
      </c>
      <c r="G2396" s="1" t="s">
        <v>1427</v>
      </c>
      <c r="H2396" s="1" t="s">
        <v>1428</v>
      </c>
      <c r="I2396" s="1" t="s">
        <v>123</v>
      </c>
      <c r="J2396" s="4">
        <v>85204</v>
      </c>
      <c r="K2396" s="1" t="s">
        <v>633</v>
      </c>
      <c r="L2396" s="1" t="s">
        <v>1429</v>
      </c>
      <c r="M2396" s="1" t="s">
        <v>27</v>
      </c>
      <c r="N2396" s="1" t="s">
        <v>1430</v>
      </c>
      <c r="O2396" s="1" t="s">
        <v>400</v>
      </c>
      <c r="P2396" s="1" t="s">
        <v>401</v>
      </c>
      <c r="Q2396" s="6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2396" s="1" t="s">
        <v>29</v>
      </c>
      <c r="S2396" s="11" t="s">
        <v>28</v>
      </c>
      <c r="T2396" s="68" t="s">
        <v>29467</v>
      </c>
      <c r="U2396" s="68" t="s">
        <v>29436</v>
      </c>
      <c r="V2396" s="68" t="s">
        <v>29439</v>
      </c>
      <c r="W2396" s="68" t="s">
        <v>100</v>
      </c>
      <c r="X2396" s="68">
        <v>609</v>
      </c>
      <c r="AW2396" s="11"/>
      <c r="BK2396" s="11"/>
    </row>
    <row r="2397" spans="1:63" ht="12" customHeight="1" x14ac:dyDescent="0.15">
      <c r="A2397" s="1" t="s">
        <v>1409</v>
      </c>
      <c r="B2397" s="68">
        <v>35</v>
      </c>
      <c r="C2397" s="1" t="s">
        <v>20</v>
      </c>
      <c r="D2397" s="1" t="s">
        <v>37</v>
      </c>
      <c r="E2397" s="1" t="str">
        <f>HYPERLINK("http://www.kansascity.com/news/local/crime/iwklhy/picture26752486/ALTERNATES/FREE_640/Booth","http://www.kansascity.com/news/local/crime/iwklhy/picture26752486/ALTERNATES/FREE_640/Booth")</f>
        <v>http://www.kansascity.com/news/local/crime/iwklhy/picture26752486/ALTERNATES/FREE_640/Booth</v>
      </c>
      <c r="F2397" s="69">
        <v>42192</v>
      </c>
      <c r="G2397" s="1" t="s">
        <v>1410</v>
      </c>
      <c r="H2397" s="1" t="s">
        <v>1411</v>
      </c>
      <c r="I2397" s="1" t="s">
        <v>431</v>
      </c>
      <c r="J2397" s="4">
        <v>64050</v>
      </c>
      <c r="K2397" s="1" t="s">
        <v>433</v>
      </c>
      <c r="L2397" s="1" t="s">
        <v>1412</v>
      </c>
      <c r="M2397" s="1" t="s">
        <v>27</v>
      </c>
      <c r="N2397" s="1" t="s">
        <v>1074</v>
      </c>
      <c r="O2397" s="1" t="s">
        <v>400</v>
      </c>
      <c r="P2397" s="1" t="s">
        <v>401</v>
      </c>
      <c r="Q2397" s="63" t="str">
        <f>HYPERLINK("http://www.kctv5.com/story/29494552/armed-carjacking-suspect-dead-in-police-shooting","http://www.kctv5.com/story/29494552/armed-carjacking-suspect-dead-in-police-shooting")</f>
        <v>http://www.kctv5.com/story/29494552/armed-carjacking-suspect-dead-in-police-shooting</v>
      </c>
      <c r="R2397" s="1" t="s">
        <v>29</v>
      </c>
      <c r="S2397" s="1" t="s">
        <v>28</v>
      </c>
      <c r="T2397" s="68" t="s">
        <v>27756</v>
      </c>
      <c r="U2397" s="68" t="s">
        <v>29438</v>
      </c>
      <c r="V2397" s="68" t="s">
        <v>29437</v>
      </c>
      <c r="W2397" s="68" t="s">
        <v>100</v>
      </c>
      <c r="X2397" s="68">
        <v>617</v>
      </c>
      <c r="AW2397" s="11"/>
      <c r="BK2397" s="11"/>
    </row>
    <row r="2398" spans="1:63" ht="12" customHeight="1" x14ac:dyDescent="0.15">
      <c r="A2398" s="1" t="s">
        <v>1397</v>
      </c>
      <c r="B2398" s="68">
        <v>37</v>
      </c>
      <c r="C2398" s="1" t="s">
        <v>20</v>
      </c>
      <c r="D2398" s="1" t="s">
        <v>85</v>
      </c>
      <c r="F2398" s="69">
        <v>42192</v>
      </c>
      <c r="G2398" s="1" t="s">
        <v>1398</v>
      </c>
      <c r="H2398" s="1" t="s">
        <v>1399</v>
      </c>
      <c r="I2398" s="1" t="s">
        <v>81</v>
      </c>
      <c r="J2398" s="4">
        <v>8401</v>
      </c>
      <c r="K2398" s="1" t="s">
        <v>1400</v>
      </c>
      <c r="L2398" s="1" t="s">
        <v>1401</v>
      </c>
      <c r="M2398" s="1" t="s">
        <v>27</v>
      </c>
      <c r="N2398" s="1" t="s">
        <v>1402</v>
      </c>
      <c r="O2398" s="1" t="s">
        <v>400</v>
      </c>
      <c r="P2398" s="1" t="s">
        <v>401</v>
      </c>
      <c r="Q2398" s="6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398" s="1" t="s">
        <v>555</v>
      </c>
      <c r="S2398" s="1" t="s">
        <v>28</v>
      </c>
      <c r="T2398" s="68" t="s">
        <v>29493</v>
      </c>
      <c r="U2398" s="68" t="s">
        <v>29438</v>
      </c>
      <c r="V2398" s="68" t="s">
        <v>29440</v>
      </c>
      <c r="W2398" s="68" t="s">
        <v>100</v>
      </c>
      <c r="X2398" s="68">
        <v>616</v>
      </c>
      <c r="AW2398" s="11"/>
      <c r="AX2398" s="44"/>
      <c r="AY2398" s="44"/>
      <c r="BC2398" s="44"/>
      <c r="BD2398" s="44"/>
      <c r="BE2398" s="44"/>
      <c r="BF2398" s="44"/>
      <c r="BG2398" s="44"/>
      <c r="BH2398" s="44"/>
      <c r="BI2398" s="44"/>
      <c r="BJ2398" s="44"/>
      <c r="BK2398" s="11"/>
    </row>
    <row r="2399" spans="1:63" ht="12" customHeight="1" x14ac:dyDescent="0.15">
      <c r="A2399" s="1" t="s">
        <v>1391</v>
      </c>
      <c r="B2399" s="68">
        <v>39</v>
      </c>
      <c r="C2399" s="1" t="s">
        <v>20</v>
      </c>
      <c r="D2399" s="1" t="s">
        <v>48</v>
      </c>
      <c r="F2399" s="69">
        <v>42192</v>
      </c>
      <c r="G2399" s="1" t="s">
        <v>1392</v>
      </c>
      <c r="H2399" s="1" t="s">
        <v>1393</v>
      </c>
      <c r="I2399" s="1" t="s">
        <v>73</v>
      </c>
      <c r="J2399" s="4">
        <v>78542</v>
      </c>
      <c r="K2399" s="1" t="s">
        <v>1394</v>
      </c>
      <c r="L2399" s="1" t="s">
        <v>1395</v>
      </c>
      <c r="M2399" s="1" t="s">
        <v>27</v>
      </c>
      <c r="N2399" s="1" t="s">
        <v>1396</v>
      </c>
      <c r="O2399" s="1" t="s">
        <v>400</v>
      </c>
      <c r="P2399" s="1" t="s">
        <v>401</v>
      </c>
      <c r="Q2399" s="6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399" s="68" t="s">
        <v>555</v>
      </c>
      <c r="S2399" s="1" t="s">
        <v>28</v>
      </c>
      <c r="T2399" s="68" t="s">
        <v>27756</v>
      </c>
      <c r="U2399" s="68" t="s">
        <v>29438</v>
      </c>
      <c r="V2399" s="68" t="s">
        <v>29439</v>
      </c>
      <c r="W2399" s="68" t="s">
        <v>100</v>
      </c>
      <c r="X2399" s="68">
        <v>615</v>
      </c>
      <c r="AW2399" s="44"/>
      <c r="BA2399" s="44"/>
      <c r="BB2399" s="11"/>
      <c r="BK2399" s="11"/>
    </row>
    <row r="2400" spans="1:63" ht="12" customHeight="1" x14ac:dyDescent="0.15">
      <c r="A2400" s="1" t="s">
        <v>1444</v>
      </c>
      <c r="B2400" s="1">
        <v>30</v>
      </c>
      <c r="C2400" s="1" t="s">
        <v>20</v>
      </c>
      <c r="D2400" s="1" t="s">
        <v>37</v>
      </c>
      <c r="E2400" s="1" t="str">
        <f>HYPERLINK("https://localtvkstu.files.wordpress.com/2015/07/gormley.jpg","https://localtvkstu.files.wordpress.com/2015/07/gormley.jpg")</f>
        <v>https://localtvkstu.files.wordpress.com/2015/07/gormley.jpg</v>
      </c>
      <c r="F2400" s="72">
        <v>42191</v>
      </c>
      <c r="G2400" s="1" t="s">
        <v>1445</v>
      </c>
      <c r="H2400" s="1" t="s">
        <v>1446</v>
      </c>
      <c r="I2400" s="1" t="s">
        <v>240</v>
      </c>
      <c r="J2400" s="4">
        <v>84401</v>
      </c>
      <c r="K2400" s="1" t="s">
        <v>1447</v>
      </c>
      <c r="L2400" s="1" t="s">
        <v>1448</v>
      </c>
      <c r="M2400" s="1" t="s">
        <v>391</v>
      </c>
      <c r="N2400" s="1" t="s">
        <v>1449</v>
      </c>
      <c r="O2400" s="1" t="s">
        <v>400</v>
      </c>
      <c r="P2400" s="1" t="s">
        <v>401</v>
      </c>
      <c r="Q2400" s="63" t="s">
        <v>20794</v>
      </c>
      <c r="R2400" s="11" t="s">
        <v>964</v>
      </c>
      <c r="S2400" s="1" t="s">
        <v>18</v>
      </c>
      <c r="AU2400" s="11"/>
      <c r="AV2400" s="11"/>
      <c r="AW2400" s="11"/>
    </row>
    <row r="2401" spans="1:63" ht="12" customHeight="1" x14ac:dyDescent="0.15">
      <c r="A2401" s="1" t="s">
        <v>1417</v>
      </c>
      <c r="B2401" s="68">
        <v>29</v>
      </c>
      <c r="C2401" s="1" t="s">
        <v>20</v>
      </c>
      <c r="D2401" s="1" t="s">
        <v>85</v>
      </c>
      <c r="F2401" s="69">
        <v>42191</v>
      </c>
      <c r="G2401" s="1" t="s">
        <v>1418</v>
      </c>
      <c r="H2401" s="1" t="s">
        <v>98</v>
      </c>
      <c r="I2401" s="1" t="s">
        <v>45</v>
      </c>
      <c r="J2401" s="4">
        <v>91342</v>
      </c>
      <c r="K2401" s="1" t="s">
        <v>98</v>
      </c>
      <c r="L2401" s="1" t="s">
        <v>99</v>
      </c>
      <c r="M2401" s="1" t="s">
        <v>27</v>
      </c>
      <c r="N2401" s="1" t="s">
        <v>1419</v>
      </c>
      <c r="O2401" s="1" t="s">
        <v>400</v>
      </c>
      <c r="P2401" s="1" t="s">
        <v>401</v>
      </c>
      <c r="Q2401" s="63" t="str">
        <f>HYPERLINK("http://homicide.latimes.com/post/jason-m-hendley/","http://homicide.latimes.com/post/jason-m-hendley/")</f>
        <v>http://homicide.latimes.com/post/jason-m-hendley/</v>
      </c>
      <c r="R2401" s="1" t="s">
        <v>100</v>
      </c>
      <c r="S2401" s="1" t="s">
        <v>28</v>
      </c>
      <c r="T2401" s="68" t="s">
        <v>29493</v>
      </c>
      <c r="U2401" s="68" t="s">
        <v>29438</v>
      </c>
      <c r="V2401" s="68" t="s">
        <v>29439</v>
      </c>
      <c r="W2401" s="68" t="s">
        <v>100</v>
      </c>
      <c r="X2401" s="68">
        <v>619</v>
      </c>
      <c r="AW2401" s="44"/>
      <c r="AX2401" s="11"/>
      <c r="AY2401" s="11"/>
      <c r="BB2401" s="64"/>
      <c r="BC2401" s="44"/>
      <c r="BD2401" s="44"/>
      <c r="BE2401" s="44"/>
      <c r="BF2401" s="44"/>
      <c r="BG2401" s="44"/>
      <c r="BH2401" s="44"/>
      <c r="BI2401" s="44"/>
      <c r="BJ2401" s="44"/>
      <c r="BK2401" s="11"/>
    </row>
    <row r="2402" spans="1:63" ht="12" customHeight="1" x14ac:dyDescent="0.2">
      <c r="A2402" s="1" t="s">
        <v>1420</v>
      </c>
      <c r="B2402" s="68">
        <v>42</v>
      </c>
      <c r="C2402" s="1" t="s">
        <v>20</v>
      </c>
      <c r="D2402" s="1" t="s">
        <v>48</v>
      </c>
      <c r="F2402" s="69">
        <v>42191</v>
      </c>
      <c r="G2402" s="1" t="s">
        <v>1421</v>
      </c>
      <c r="H2402" s="1" t="s">
        <v>1422</v>
      </c>
      <c r="I2402" s="1" t="s">
        <v>45</v>
      </c>
      <c r="J2402" s="4">
        <v>95301</v>
      </c>
      <c r="K2402" s="1" t="s">
        <v>1423</v>
      </c>
      <c r="L2402" s="1" t="s">
        <v>1424</v>
      </c>
      <c r="M2402" s="68" t="s">
        <v>5411</v>
      </c>
      <c r="N2402" s="1" t="s">
        <v>1425</v>
      </c>
      <c r="O2402" s="1" t="s">
        <v>400</v>
      </c>
      <c r="P2402" s="1" t="s">
        <v>401</v>
      </c>
      <c r="Q2402" s="63" t="str">
        <f>HYPERLINK("http://www.mercedsunstar.com/news/local/crime/article26705443.html","http://www.mercedsunstar.com/news/local/crime/article26705443.html")</f>
        <v>http://www.mercedsunstar.com/news/local/crime/article26705443.html</v>
      </c>
      <c r="R2402" s="1" t="s">
        <v>100</v>
      </c>
      <c r="S2402" s="1" t="s">
        <v>28</v>
      </c>
      <c r="T2402" s="68" t="s">
        <v>29493</v>
      </c>
      <c r="U2402" s="68" t="s">
        <v>29438</v>
      </c>
      <c r="V2402" s="68" t="s">
        <v>29437</v>
      </c>
      <c r="W2402" s="68" t="s">
        <v>100</v>
      </c>
      <c r="X2402" s="68">
        <v>607</v>
      </c>
      <c r="BB2402" s="70"/>
    </row>
    <row r="2403" spans="1:63" ht="12" customHeight="1" x14ac:dyDescent="0.2">
      <c r="A2403" s="1" t="s">
        <v>1441</v>
      </c>
      <c r="B2403" s="68">
        <v>20</v>
      </c>
      <c r="C2403" s="1" t="s">
        <v>20</v>
      </c>
      <c r="D2403" s="1" t="s">
        <v>37</v>
      </c>
      <c r="E2403" s="1" t="str">
        <f>HYPERLINK("https://localtvkfor.files.wordpress.com/2015/07/rogers-tyler.jpg","https://localtvkfor.files.wordpress.com/2015/07/rogers-tyler.jpg")</f>
        <v>https://localtvkfor.files.wordpress.com/2015/07/rogers-tyler.jpg</v>
      </c>
      <c r="F2403" s="69">
        <v>42191</v>
      </c>
      <c r="G2403" s="1" t="s">
        <v>1442</v>
      </c>
      <c r="H2403" s="1" t="s">
        <v>1094</v>
      </c>
      <c r="I2403" s="1" t="s">
        <v>395</v>
      </c>
      <c r="J2403" s="4">
        <v>73119</v>
      </c>
      <c r="K2403" s="1" t="s">
        <v>1095</v>
      </c>
      <c r="L2403" s="1" t="s">
        <v>1096</v>
      </c>
      <c r="M2403" s="1" t="s">
        <v>27</v>
      </c>
      <c r="N2403" s="1" t="s">
        <v>1443</v>
      </c>
      <c r="O2403" s="1" t="s">
        <v>400</v>
      </c>
      <c r="P2403" s="1" t="s">
        <v>401</v>
      </c>
      <c r="Q2403" s="63" t="s">
        <v>20793</v>
      </c>
      <c r="R2403" s="1" t="s">
        <v>100</v>
      </c>
      <c r="S2403" s="1" t="s">
        <v>28</v>
      </c>
      <c r="T2403" s="68" t="s">
        <v>27756</v>
      </c>
      <c r="U2403" s="68" t="s">
        <v>29438</v>
      </c>
      <c r="V2403" s="68" t="s">
        <v>29439</v>
      </c>
      <c r="W2403" s="68" t="s">
        <v>100</v>
      </c>
      <c r="X2403" s="68">
        <v>590</v>
      </c>
      <c r="AW2403" s="70"/>
      <c r="BK2403" s="11"/>
    </row>
    <row r="2404" spans="1:63" ht="12" customHeight="1" x14ac:dyDescent="0.2">
      <c r="A2404" s="1" t="s">
        <v>1435</v>
      </c>
      <c r="B2404" s="68">
        <v>42</v>
      </c>
      <c r="C2404" s="1" t="s">
        <v>20</v>
      </c>
      <c r="D2404" s="1" t="s">
        <v>37</v>
      </c>
      <c r="F2404" s="69">
        <v>42191</v>
      </c>
      <c r="G2404" s="1" t="s">
        <v>1436</v>
      </c>
      <c r="H2404" s="1" t="s">
        <v>1437</v>
      </c>
      <c r="I2404" s="1" t="s">
        <v>506</v>
      </c>
      <c r="J2404" s="4">
        <v>3785</v>
      </c>
      <c r="K2404" s="1" t="s">
        <v>1438</v>
      </c>
      <c r="L2404" s="1" t="s">
        <v>1439</v>
      </c>
      <c r="M2404" s="1" t="s">
        <v>27</v>
      </c>
      <c r="N2404" s="1" t="s">
        <v>1048</v>
      </c>
      <c r="O2404" s="1" t="s">
        <v>400</v>
      </c>
      <c r="P2404" s="1" t="s">
        <v>401</v>
      </c>
      <c r="Q2404" s="6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404" s="68" t="s">
        <v>555</v>
      </c>
      <c r="S2404" s="1" t="s">
        <v>28</v>
      </c>
      <c r="T2404" s="68" t="s">
        <v>29493</v>
      </c>
      <c r="U2404" s="68" t="s">
        <v>29436</v>
      </c>
      <c r="V2404" s="68" t="s">
        <v>29439</v>
      </c>
      <c r="W2404" s="68" t="s">
        <v>555</v>
      </c>
      <c r="X2404" s="68">
        <v>606</v>
      </c>
      <c r="BA2404" s="70"/>
      <c r="BB2404" s="44"/>
      <c r="BK2404" s="11"/>
    </row>
    <row r="2405" spans="1:63" ht="12" customHeight="1" x14ac:dyDescent="0.2">
      <c r="A2405" s="1" t="s">
        <v>1431</v>
      </c>
      <c r="B2405" s="68">
        <v>31</v>
      </c>
      <c r="C2405" s="1" t="s">
        <v>20</v>
      </c>
      <c r="D2405" s="1" t="s">
        <v>37</v>
      </c>
      <c r="F2405" s="69">
        <v>42191</v>
      </c>
      <c r="G2405" s="1" t="s">
        <v>1432</v>
      </c>
      <c r="H2405" s="1" t="s">
        <v>1433</v>
      </c>
      <c r="I2405" s="1" t="s">
        <v>45</v>
      </c>
      <c r="J2405" s="4">
        <v>90713</v>
      </c>
      <c r="K2405" s="1" t="s">
        <v>98</v>
      </c>
      <c r="L2405" s="11" t="s">
        <v>414</v>
      </c>
      <c r="M2405" s="68" t="s">
        <v>5411</v>
      </c>
      <c r="N2405" s="1" t="s">
        <v>1434</v>
      </c>
      <c r="O2405" s="1" t="s">
        <v>400</v>
      </c>
      <c r="P2405" s="1" t="s">
        <v>401</v>
      </c>
      <c r="Q2405" s="63" t="str">
        <f>HYPERLINK("http://homicide.latimes.com/post/john-leonard-berry/","http://homicide.latimes.com/post/john-leonard-berry/")</f>
        <v>http://homicide.latimes.com/post/john-leonard-berry/</v>
      </c>
      <c r="R2405" s="68" t="s">
        <v>555</v>
      </c>
      <c r="S2405" s="1" t="s">
        <v>379</v>
      </c>
      <c r="T2405" s="68" t="s">
        <v>379</v>
      </c>
      <c r="U2405" s="68" t="s">
        <v>29438</v>
      </c>
      <c r="V2405" s="68" t="s">
        <v>21212</v>
      </c>
      <c r="W2405" s="68" t="s">
        <v>100</v>
      </c>
      <c r="X2405" s="68">
        <v>610</v>
      </c>
      <c r="AW2405" s="11"/>
      <c r="BA2405" s="44"/>
      <c r="BB2405" s="70"/>
    </row>
    <row r="2406" spans="1:63" ht="12" customHeight="1" x14ac:dyDescent="0.15">
      <c r="A2406" s="1" t="s">
        <v>1463</v>
      </c>
      <c r="B2406" s="68">
        <v>35</v>
      </c>
      <c r="C2406" s="1" t="s">
        <v>20</v>
      </c>
      <c r="D2406" s="1" t="s">
        <v>37</v>
      </c>
      <c r="E2406" s="1" t="str">
        <f>HYPERLINK("https://media.licdn.com/media/p/3/000/0d2/16d/29b38bd.jpg","https://media.licdn.com/media/p/3/000/0d2/16d/29b38bd.jpg")</f>
        <v>https://media.licdn.com/media/p/3/000/0d2/16d/29b38bd.jpg</v>
      </c>
      <c r="F2406" s="69">
        <v>42190</v>
      </c>
      <c r="G2406" s="1" t="s">
        <v>1464</v>
      </c>
      <c r="H2406" s="1" t="s">
        <v>1313</v>
      </c>
      <c r="I2406" s="1" t="s">
        <v>73</v>
      </c>
      <c r="J2406" s="4">
        <v>78701</v>
      </c>
      <c r="K2406" s="1" t="s">
        <v>1314</v>
      </c>
      <c r="L2406" s="1" t="s">
        <v>1315</v>
      </c>
      <c r="M2406" s="1" t="s">
        <v>27</v>
      </c>
      <c r="N2406" s="1" t="s">
        <v>1465</v>
      </c>
      <c r="O2406" s="1" t="s">
        <v>400</v>
      </c>
      <c r="P2406" s="1" t="s">
        <v>401</v>
      </c>
      <c r="Q2406" s="6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2406" s="1" t="s">
        <v>100</v>
      </c>
      <c r="S2406" s="1" t="s">
        <v>28</v>
      </c>
      <c r="T2406" s="68" t="s">
        <v>27756</v>
      </c>
      <c r="U2406" s="68" t="s">
        <v>29438</v>
      </c>
      <c r="V2406" s="68" t="s">
        <v>29440</v>
      </c>
      <c r="W2406" s="68" t="s">
        <v>100</v>
      </c>
      <c r="X2406" s="68">
        <v>593</v>
      </c>
      <c r="AW2406" s="11"/>
      <c r="BK2406" s="11"/>
    </row>
    <row r="2407" spans="1:63" ht="12" customHeight="1" x14ac:dyDescent="0.15">
      <c r="A2407" s="1" t="s">
        <v>1450</v>
      </c>
      <c r="B2407" s="68">
        <v>43</v>
      </c>
      <c r="C2407" s="1" t="s">
        <v>20</v>
      </c>
      <c r="D2407" s="1" t="s">
        <v>48</v>
      </c>
      <c r="F2407" s="69">
        <v>42190</v>
      </c>
      <c r="G2407" s="1" t="s">
        <v>1451</v>
      </c>
      <c r="H2407" s="1" t="s">
        <v>1452</v>
      </c>
      <c r="I2407" s="1" t="s">
        <v>45</v>
      </c>
      <c r="J2407" s="4">
        <v>90716</v>
      </c>
      <c r="K2407" s="1" t="s">
        <v>98</v>
      </c>
      <c r="L2407" s="11" t="s">
        <v>414</v>
      </c>
      <c r="M2407" s="1" t="s">
        <v>27</v>
      </c>
      <c r="N2407" s="1" t="s">
        <v>1453</v>
      </c>
      <c r="O2407" s="1" t="s">
        <v>400</v>
      </c>
      <c r="P2407" s="1" t="s">
        <v>401</v>
      </c>
      <c r="Q2407" s="6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2407" s="1" t="s">
        <v>100</v>
      </c>
      <c r="S2407" s="1" t="s">
        <v>18</v>
      </c>
      <c r="T2407" s="68" t="s">
        <v>28345</v>
      </c>
      <c r="U2407" s="68" t="s">
        <v>29436</v>
      </c>
      <c r="V2407" s="68" t="s">
        <v>29439</v>
      </c>
      <c r="W2407" s="68" t="s">
        <v>100</v>
      </c>
      <c r="X2407" s="68">
        <v>605</v>
      </c>
    </row>
    <row r="2408" spans="1:63" ht="12" customHeight="1" x14ac:dyDescent="0.2">
      <c r="A2408" s="1" t="s">
        <v>1454</v>
      </c>
      <c r="B2408" s="68">
        <v>19</v>
      </c>
      <c r="C2408" s="1" t="s">
        <v>20</v>
      </c>
      <c r="D2408" s="1" t="s">
        <v>37</v>
      </c>
      <c r="E2408" s="1" t="str">
        <f>HYPERLINK("http://cdn.patch.com/users/1372433/2015/07/T800x600/201507559ff12e799d0.png","http://cdn.patch.com/users/1372433/2015/07/T800x600/201507559ff12e799d0.png")</f>
        <v>http://cdn.patch.com/users/1372433/2015/07/T800x600/201507559ff12e799d0.png</v>
      </c>
      <c r="F2408" s="69">
        <v>42190</v>
      </c>
      <c r="G2408" s="1" t="s">
        <v>1455</v>
      </c>
      <c r="H2408" s="1" t="s">
        <v>1456</v>
      </c>
      <c r="I2408" s="1" t="s">
        <v>45</v>
      </c>
      <c r="J2408" s="4">
        <v>94566</v>
      </c>
      <c r="K2408" s="1" t="s">
        <v>602</v>
      </c>
      <c r="L2408" s="1" t="s">
        <v>1457</v>
      </c>
      <c r="M2408" s="1" t="s">
        <v>27</v>
      </c>
      <c r="N2408" s="1" t="s">
        <v>1458</v>
      </c>
      <c r="O2408" s="1" t="s">
        <v>400</v>
      </c>
      <c r="P2408" s="1" t="s">
        <v>401</v>
      </c>
      <c r="Q2408" s="6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2408" s="1" t="s">
        <v>100</v>
      </c>
      <c r="S2408" s="1" t="s">
        <v>18</v>
      </c>
      <c r="T2408" s="68" t="s">
        <v>28345</v>
      </c>
      <c r="U2408" s="68" t="s">
        <v>29438</v>
      </c>
      <c r="V2408" s="68" t="s">
        <v>29440</v>
      </c>
      <c r="W2408" s="68" t="s">
        <v>100</v>
      </c>
      <c r="X2408" s="68">
        <v>592</v>
      </c>
      <c r="AW2408" s="70"/>
      <c r="BB2408" s="64"/>
    </row>
    <row r="2409" spans="1:63" ht="12" customHeight="1" x14ac:dyDescent="0.15">
      <c r="A2409" s="1" t="s">
        <v>1459</v>
      </c>
      <c r="B2409" s="1">
        <v>25</v>
      </c>
      <c r="C2409" s="1" t="s">
        <v>20</v>
      </c>
      <c r="D2409" s="1" t="s">
        <v>37</v>
      </c>
      <c r="F2409" s="72">
        <v>42190</v>
      </c>
      <c r="G2409" s="1" t="s">
        <v>1460</v>
      </c>
      <c r="H2409" s="1" t="s">
        <v>1461</v>
      </c>
      <c r="I2409" s="1" t="s">
        <v>81</v>
      </c>
      <c r="J2409" s="4">
        <v>8731</v>
      </c>
      <c r="K2409" s="1" t="s">
        <v>643</v>
      </c>
      <c r="L2409" s="1" t="s">
        <v>1462</v>
      </c>
      <c r="M2409" s="1" t="s">
        <v>379</v>
      </c>
      <c r="N2409" s="1" t="s">
        <v>1507</v>
      </c>
      <c r="O2409" s="1" t="s">
        <v>400</v>
      </c>
      <c r="P2409" s="1" t="s">
        <v>401</v>
      </c>
      <c r="Q2409" s="63" t="str">
        <f>HYPERLINK("http://patch.com/new-jersey/lacey/toms-river-man-struck-killed-lacey-police-cruiser-0?","http://patch.com/new-jersey/lacey/toms-river-man-struck-killed-lacey-police-cruiser-0?")</f>
        <v>http://patch.com/new-jersey/lacey/toms-river-man-struck-killed-lacey-police-cruiser-0?</v>
      </c>
      <c r="R2409" s="1" t="s">
        <v>100</v>
      </c>
      <c r="S2409" s="66" t="s">
        <v>379</v>
      </c>
      <c r="T2409" s="66" t="s">
        <v>30738</v>
      </c>
    </row>
    <row r="2410" spans="1:63" ht="12" customHeight="1" x14ac:dyDescent="0.2">
      <c r="A2410" s="1" t="s">
        <v>1466</v>
      </c>
      <c r="B2410" s="68">
        <v>25</v>
      </c>
      <c r="C2410" s="1" t="s">
        <v>20</v>
      </c>
      <c r="D2410" s="1" t="s">
        <v>37</v>
      </c>
      <c r="F2410" s="69">
        <v>42190</v>
      </c>
      <c r="G2410" s="1" t="s">
        <v>1467</v>
      </c>
      <c r="H2410" s="1" t="s">
        <v>1313</v>
      </c>
      <c r="I2410" s="1" t="s">
        <v>73</v>
      </c>
      <c r="J2410" s="4">
        <v>78758</v>
      </c>
      <c r="K2410" s="1" t="s">
        <v>1314</v>
      </c>
      <c r="L2410" s="1" t="s">
        <v>1315</v>
      </c>
      <c r="M2410" s="68" t="s">
        <v>5411</v>
      </c>
      <c r="N2410" s="1" t="s">
        <v>1468</v>
      </c>
      <c r="O2410" s="1" t="s">
        <v>400</v>
      </c>
      <c r="P2410" s="1" t="s">
        <v>401</v>
      </c>
      <c r="Q2410" s="63" t="str">
        <f>HYPERLINK("http://kxan.com/2015/07/06/police-say-man-killed-in-north-austin-aimed-a-bb-pistol-at-officers/","http://kxan.com/2015/07/06/police-say-man-killed-in-north-austin-aimed-a-bb-pistol-at-officers/")</f>
        <v>http://kxan.com/2015/07/06/police-say-man-killed-in-north-austin-aimed-a-bb-pistol-at-officers/</v>
      </c>
      <c r="R2410" s="68" t="s">
        <v>555</v>
      </c>
      <c r="S2410" s="1" t="s">
        <v>18</v>
      </c>
      <c r="T2410" s="68" t="s">
        <v>29612</v>
      </c>
      <c r="U2410" s="68" t="s">
        <v>29438</v>
      </c>
      <c r="V2410" s="68" t="s">
        <v>29439</v>
      </c>
      <c r="W2410" s="68" t="s">
        <v>100</v>
      </c>
      <c r="X2410" s="68">
        <v>594</v>
      </c>
      <c r="AW2410" s="44"/>
      <c r="BA2410" s="44"/>
      <c r="BB2410" s="70"/>
    </row>
    <row r="2411" spans="1:63" ht="12" customHeight="1" x14ac:dyDescent="0.15">
      <c r="A2411" s="1" t="s">
        <v>1472</v>
      </c>
      <c r="B2411" s="68">
        <v>42</v>
      </c>
      <c r="C2411" s="1" t="s">
        <v>20</v>
      </c>
      <c r="D2411" s="1" t="s">
        <v>85</v>
      </c>
      <c r="E2411" s="1" t="str">
        <f>HYPERLINK("http://kwtv.images.worldnow.com/images/8241047_G.jpg","http://kwtv.images.worldnow.com/images/8241047_G.jpg")</f>
        <v>http://kwtv.images.worldnow.com/images/8241047_G.jpg</v>
      </c>
      <c r="F2411" s="69">
        <v>42189</v>
      </c>
      <c r="G2411" s="1" t="s">
        <v>1473</v>
      </c>
      <c r="H2411" s="1" t="s">
        <v>1094</v>
      </c>
      <c r="I2411" s="1" t="s">
        <v>395</v>
      </c>
      <c r="J2411" s="4">
        <v>73135</v>
      </c>
      <c r="K2411" s="1" t="s">
        <v>1095</v>
      </c>
      <c r="L2411" s="1" t="s">
        <v>1096</v>
      </c>
      <c r="M2411" s="1" t="s">
        <v>27</v>
      </c>
      <c r="N2411" s="1" t="s">
        <v>1474</v>
      </c>
      <c r="O2411" s="1" t="s">
        <v>400</v>
      </c>
      <c r="P2411" s="1" t="s">
        <v>401</v>
      </c>
      <c r="Q2411" s="63" t="s">
        <v>20791</v>
      </c>
      <c r="R2411" s="1" t="s">
        <v>100</v>
      </c>
      <c r="S2411" s="1" t="s">
        <v>28</v>
      </c>
      <c r="T2411" s="68" t="s">
        <v>27756</v>
      </c>
      <c r="U2411" s="68" t="s">
        <v>29438</v>
      </c>
      <c r="V2411" s="68" t="s">
        <v>29440</v>
      </c>
      <c r="W2411" s="68" t="s">
        <v>100</v>
      </c>
      <c r="X2411" s="68">
        <v>591</v>
      </c>
      <c r="AX2411" s="44"/>
      <c r="AY2411" s="44"/>
      <c r="BC2411" s="44"/>
      <c r="BD2411" s="44"/>
      <c r="BE2411" s="44"/>
      <c r="BF2411" s="44"/>
      <c r="BG2411" s="44"/>
      <c r="BH2411" s="44"/>
      <c r="BI2411" s="44"/>
      <c r="BJ2411" s="44"/>
      <c r="BK2411" s="11"/>
    </row>
    <row r="2412" spans="1:63" ht="12" customHeight="1" x14ac:dyDescent="0.15">
      <c r="A2412" s="1" t="s">
        <v>1475</v>
      </c>
      <c r="B2412" s="68">
        <v>23</v>
      </c>
      <c r="C2412" s="1" t="s">
        <v>20</v>
      </c>
      <c r="D2412" s="1" t="s">
        <v>85</v>
      </c>
      <c r="E2412" s="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2412" s="69">
        <v>42189</v>
      </c>
      <c r="G2412" s="1" t="s">
        <v>1476</v>
      </c>
      <c r="H2412" s="1" t="s">
        <v>1477</v>
      </c>
      <c r="I2412" s="1" t="s">
        <v>244</v>
      </c>
      <c r="J2412" s="4">
        <v>23607</v>
      </c>
      <c r="K2412" s="1" t="s">
        <v>1478</v>
      </c>
      <c r="L2412" s="1" t="s">
        <v>1479</v>
      </c>
      <c r="M2412" s="1" t="s">
        <v>27</v>
      </c>
      <c r="N2412" s="1" t="s">
        <v>1480</v>
      </c>
      <c r="O2412" s="1" t="s">
        <v>400</v>
      </c>
      <c r="P2412" s="1" t="s">
        <v>401</v>
      </c>
      <c r="Q2412" s="63" t="s">
        <v>20792</v>
      </c>
      <c r="R2412" s="1" t="s">
        <v>100</v>
      </c>
      <c r="S2412" s="1" t="s">
        <v>28</v>
      </c>
      <c r="T2412" s="68" t="s">
        <v>27756</v>
      </c>
      <c r="U2412" s="68" t="s">
        <v>29438</v>
      </c>
      <c r="V2412" s="68" t="s">
        <v>29440</v>
      </c>
      <c r="W2412" s="68" t="s">
        <v>100</v>
      </c>
      <c r="X2412" s="68">
        <v>596</v>
      </c>
      <c r="AW2412" s="11"/>
      <c r="AX2412" s="44"/>
      <c r="AY2412" s="44"/>
      <c r="BC2412" s="44"/>
      <c r="BD2412" s="44"/>
      <c r="BE2412" s="44"/>
      <c r="BF2412" s="44"/>
      <c r="BG2412" s="44"/>
      <c r="BH2412" s="44"/>
      <c r="BI2412" s="44"/>
      <c r="BJ2412" s="44"/>
      <c r="BK2412" s="11"/>
    </row>
    <row r="2413" spans="1:63" ht="12" customHeight="1" x14ac:dyDescent="0.15">
      <c r="A2413" s="1" t="s">
        <v>21110</v>
      </c>
      <c r="B2413" s="68">
        <v>36</v>
      </c>
      <c r="C2413" s="1" t="s">
        <v>20</v>
      </c>
      <c r="D2413" s="1" t="s">
        <v>37</v>
      </c>
      <c r="F2413" s="69">
        <v>42189</v>
      </c>
      <c r="G2413" s="1" t="s">
        <v>1481</v>
      </c>
      <c r="H2413" s="1" t="s">
        <v>1277</v>
      </c>
      <c r="I2413" s="1" t="s">
        <v>269</v>
      </c>
      <c r="J2413" s="4">
        <v>89014</v>
      </c>
      <c r="K2413" s="1" t="s">
        <v>570</v>
      </c>
      <c r="L2413" s="1" t="s">
        <v>1482</v>
      </c>
      <c r="M2413" s="1" t="s">
        <v>27</v>
      </c>
      <c r="N2413" s="1" t="s">
        <v>1483</v>
      </c>
      <c r="O2413" s="1" t="s">
        <v>400</v>
      </c>
      <c r="P2413" s="1" t="s">
        <v>401</v>
      </c>
      <c r="Q2413" s="63" t="str">
        <f>HYPERLINK("http://www.reviewjournal.com/news/las-vegas/gunman-killed-police-henderson-hotel-identified","http://www.reviewjournal.com/news/las-vegas/gunman-killed-police-henderson-hotel-identified")</f>
        <v>http://www.reviewjournal.com/news/las-vegas/gunman-killed-police-henderson-hotel-identified</v>
      </c>
      <c r="R2413" s="1" t="s">
        <v>100</v>
      </c>
      <c r="S2413" s="1" t="s">
        <v>28</v>
      </c>
      <c r="T2413" s="68" t="s">
        <v>27756</v>
      </c>
      <c r="U2413" s="68" t="s">
        <v>29438</v>
      </c>
      <c r="V2413" s="68" t="s">
        <v>29439</v>
      </c>
      <c r="W2413" s="68" t="s">
        <v>100</v>
      </c>
      <c r="X2413" s="68">
        <v>600</v>
      </c>
      <c r="BK2413" s="11"/>
    </row>
    <row r="2414" spans="1:63" ht="12" customHeight="1" x14ac:dyDescent="0.15">
      <c r="A2414" s="1" t="s">
        <v>1484</v>
      </c>
      <c r="B2414" s="68">
        <v>37</v>
      </c>
      <c r="C2414" s="1" t="s">
        <v>20</v>
      </c>
      <c r="D2414" s="1" t="s">
        <v>37</v>
      </c>
      <c r="F2414" s="69">
        <v>42189</v>
      </c>
      <c r="G2414" s="1" t="s">
        <v>1485</v>
      </c>
      <c r="H2414" s="1" t="s">
        <v>1486</v>
      </c>
      <c r="I2414" s="1" t="s">
        <v>319</v>
      </c>
      <c r="J2414" s="4">
        <v>37813</v>
      </c>
      <c r="K2414" s="1" t="s">
        <v>1487</v>
      </c>
      <c r="L2414" s="1" t="s">
        <v>1488</v>
      </c>
      <c r="M2414" s="1" t="s">
        <v>27</v>
      </c>
      <c r="N2414" s="1" t="s">
        <v>1489</v>
      </c>
      <c r="O2414" s="1" t="s">
        <v>400</v>
      </c>
      <c r="P2414" s="1" t="s">
        <v>401</v>
      </c>
      <c r="Q2414" s="6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414" s="1" t="s">
        <v>100</v>
      </c>
      <c r="S2414" s="1" t="s">
        <v>28</v>
      </c>
      <c r="T2414" s="68" t="s">
        <v>27756</v>
      </c>
      <c r="U2414" s="68" t="s">
        <v>29438</v>
      </c>
      <c r="V2414" s="68" t="s">
        <v>29439</v>
      </c>
      <c r="W2414" s="68" t="s">
        <v>100</v>
      </c>
      <c r="X2414" s="68">
        <v>595</v>
      </c>
      <c r="AW2414" s="44"/>
      <c r="BK2414" s="11"/>
    </row>
    <row r="2415" spans="1:63" ht="12" customHeight="1" x14ac:dyDescent="0.15">
      <c r="A2415" s="1" t="s">
        <v>1469</v>
      </c>
      <c r="B2415" s="1">
        <v>52</v>
      </c>
      <c r="C2415" s="1" t="s">
        <v>20</v>
      </c>
      <c r="D2415" s="1" t="s">
        <v>85</v>
      </c>
      <c r="F2415" s="72">
        <v>42189</v>
      </c>
      <c r="G2415" s="1" t="s">
        <v>1470</v>
      </c>
      <c r="H2415" s="1" t="s">
        <v>213</v>
      </c>
      <c r="I2415" s="1" t="s">
        <v>62</v>
      </c>
      <c r="J2415" s="4">
        <v>33135</v>
      </c>
      <c r="K2415" s="1" t="s">
        <v>161</v>
      </c>
      <c r="L2415" s="1" t="s">
        <v>456</v>
      </c>
      <c r="M2415" s="1" t="s">
        <v>391</v>
      </c>
      <c r="N2415" s="1" t="s">
        <v>1471</v>
      </c>
      <c r="O2415" s="1" t="s">
        <v>400</v>
      </c>
      <c r="P2415" s="1" t="s">
        <v>401</v>
      </c>
      <c r="Q2415" s="63" t="str">
        <f>HYPERLINK("http://www.miamiherald.com/news/local/community/miami-dade/little-havana/article26604022.html","http://www.miamiherald.com/news/local/community/miami-dade/little-havana/article26604022.html")</f>
        <v>http://www.miamiherald.com/news/local/community/miami-dade/little-havana/article26604022.html</v>
      </c>
      <c r="R2415" s="1" t="s">
        <v>555</v>
      </c>
      <c r="S2415" s="1" t="s">
        <v>28</v>
      </c>
      <c r="AU2415" s="11"/>
      <c r="AV2415" s="11"/>
      <c r="AW2415" s="44"/>
      <c r="AX2415" s="44"/>
      <c r="AY2415" s="44"/>
      <c r="BA2415" s="11"/>
      <c r="BB2415" s="11"/>
      <c r="BC2415" s="44"/>
      <c r="BD2415" s="44"/>
      <c r="BE2415" s="44"/>
      <c r="BF2415" s="44"/>
      <c r="BG2415" s="44"/>
      <c r="BH2415" s="44"/>
      <c r="BI2415" s="44"/>
      <c r="BJ2415" s="44"/>
    </row>
    <row r="2416" spans="1:63" ht="12" customHeight="1" x14ac:dyDescent="0.2">
      <c r="A2416" s="1" t="s">
        <v>1494</v>
      </c>
      <c r="B2416" s="68">
        <v>27</v>
      </c>
      <c r="C2416" s="1" t="s">
        <v>20</v>
      </c>
      <c r="D2416" s="1" t="s">
        <v>48</v>
      </c>
      <c r="F2416" s="69">
        <v>42188</v>
      </c>
      <c r="G2416" s="1" t="s">
        <v>1495</v>
      </c>
      <c r="H2416" s="1" t="s">
        <v>1496</v>
      </c>
      <c r="I2416" s="1" t="s">
        <v>45</v>
      </c>
      <c r="J2416" s="4">
        <v>91748</v>
      </c>
      <c r="K2416" s="1" t="s">
        <v>98</v>
      </c>
      <c r="L2416" s="1" t="s">
        <v>1497</v>
      </c>
      <c r="M2416" s="68" t="s">
        <v>5411</v>
      </c>
      <c r="N2416" s="1" t="s">
        <v>1502</v>
      </c>
      <c r="O2416" s="1" t="s">
        <v>400</v>
      </c>
      <c r="P2416" s="1" t="s">
        <v>401</v>
      </c>
      <c r="Q2416" s="63" t="str">
        <f>HYPERLINK("http://abc7.com/news/suspect-holding-knife-killed-in-west-covina-officer-involved-shooting/828284/","http://abc7.com/news/suspect-holding-knife-killed-in-west-covina-officer-involved-shooting/828284/")</f>
        <v>http://abc7.com/news/suspect-holding-knife-killed-in-west-covina-officer-involved-shooting/828284/</v>
      </c>
      <c r="R2416" s="1" t="s">
        <v>100</v>
      </c>
      <c r="S2416" s="1" t="s">
        <v>28</v>
      </c>
      <c r="T2416" s="68" t="s">
        <v>29493</v>
      </c>
      <c r="U2416" s="68" t="s">
        <v>29438</v>
      </c>
      <c r="V2416" s="68" t="s">
        <v>29439</v>
      </c>
      <c r="W2416" s="68" t="s">
        <v>100</v>
      </c>
      <c r="X2416" s="68">
        <v>597</v>
      </c>
      <c r="AW2416" s="44"/>
      <c r="BB2416" s="70"/>
    </row>
    <row r="2417" spans="1:63" ht="12" customHeight="1" x14ac:dyDescent="0.15">
      <c r="A2417" s="1" t="s">
        <v>1518</v>
      </c>
      <c r="B2417" s="68">
        <v>40</v>
      </c>
      <c r="C2417" s="1" t="s">
        <v>20</v>
      </c>
      <c r="D2417" s="1" t="s">
        <v>37</v>
      </c>
      <c r="E2417" s="1" t="str">
        <f>HYPERLINK("http://victimsofpolice.com/2015/images/Julian-Joseph.jpg","http://victimsofpolice.com/2015/images/Julian-Joseph.jpg")</f>
        <v>http://victimsofpolice.com/2015/images/Julian-Joseph.jpg</v>
      </c>
      <c r="F2417" s="69">
        <v>42188</v>
      </c>
      <c r="G2417" s="1" t="s">
        <v>1519</v>
      </c>
      <c r="H2417" s="1" t="s">
        <v>1520</v>
      </c>
      <c r="I2417" s="1" t="s">
        <v>62</v>
      </c>
      <c r="J2417" s="4">
        <v>33140</v>
      </c>
      <c r="K2417" s="1" t="s">
        <v>161</v>
      </c>
      <c r="L2417" s="1" t="s">
        <v>1521</v>
      </c>
      <c r="M2417" s="1" t="s">
        <v>27</v>
      </c>
      <c r="N2417" s="1" t="s">
        <v>1522</v>
      </c>
      <c r="O2417" s="1" t="s">
        <v>400</v>
      </c>
      <c r="P2417" s="1" t="s">
        <v>401</v>
      </c>
      <c r="Q2417" s="63" t="s">
        <v>20785</v>
      </c>
      <c r="R2417" s="1" t="s">
        <v>100</v>
      </c>
      <c r="S2417" s="1" t="s">
        <v>28</v>
      </c>
      <c r="T2417" s="68" t="s">
        <v>27756</v>
      </c>
      <c r="U2417" s="68" t="s">
        <v>29438</v>
      </c>
      <c r="V2417" s="68" t="s">
        <v>29439</v>
      </c>
      <c r="W2417" s="68" t="s">
        <v>100</v>
      </c>
      <c r="X2417" s="68">
        <v>602</v>
      </c>
      <c r="AW2417" s="44"/>
      <c r="BK2417" s="11"/>
    </row>
    <row r="2418" spans="1:63" ht="12" customHeight="1" x14ac:dyDescent="0.15">
      <c r="A2418" s="1" t="s">
        <v>1498</v>
      </c>
      <c r="B2418" s="1">
        <v>25</v>
      </c>
      <c r="C2418" s="1" t="s">
        <v>20</v>
      </c>
      <c r="D2418" s="1" t="s">
        <v>48</v>
      </c>
      <c r="E2418" s="1" t="str">
        <f>HYPERLINK("http://media.nbclosangeles.com/images/1203*675/7-3-15+Christian+Siqueiros+in-custody+death.JPG","http://media.nbclosangeles.com/images/1203*675/7-3-15+Christian+Siqueiros+in-custody+death.JPG")</f>
        <v>http://media.nbclosangeles.com/images/1203*675/7-3-15+Christian+Siqueiros+in-custody+death.JPG</v>
      </c>
      <c r="F2418" s="72">
        <v>42188</v>
      </c>
      <c r="G2418" s="1" t="s">
        <v>1499</v>
      </c>
      <c r="H2418" s="1" t="s">
        <v>1500</v>
      </c>
      <c r="I2418" s="1" t="s">
        <v>45</v>
      </c>
      <c r="J2418" s="4">
        <v>91763</v>
      </c>
      <c r="K2418" s="1" t="s">
        <v>110</v>
      </c>
      <c r="L2418" s="1" t="s">
        <v>1501</v>
      </c>
      <c r="M2418" s="1" t="s">
        <v>14359</v>
      </c>
      <c r="N2418" s="1" t="s">
        <v>1510</v>
      </c>
      <c r="O2418" s="1" t="s">
        <v>550</v>
      </c>
      <c r="P2418" s="1" t="s">
        <v>401</v>
      </c>
      <c r="Q2418" s="63" t="str">
        <f>HYPERLINK("http://abc7.com/news/man-dies-of-heart-attack-while-in-montclair-police-custody/826399/","http://abc7.com/news/man-dies-of-heart-attack-while-in-montclair-police-custody/826399/")</f>
        <v>http://abc7.com/news/man-dies-of-heart-attack-while-in-montclair-police-custody/826399/</v>
      </c>
      <c r="R2418" s="1" t="s">
        <v>100</v>
      </c>
      <c r="S2418" s="1" t="s">
        <v>18</v>
      </c>
    </row>
    <row r="2419" spans="1:63" ht="12" customHeight="1" x14ac:dyDescent="0.15">
      <c r="A2419" s="1" t="s">
        <v>1490</v>
      </c>
      <c r="B2419" s="68">
        <v>46</v>
      </c>
      <c r="C2419" s="1" t="s">
        <v>20</v>
      </c>
      <c r="D2419" s="1" t="s">
        <v>48</v>
      </c>
      <c r="F2419" s="69">
        <v>42188</v>
      </c>
      <c r="G2419" s="1" t="s">
        <v>1491</v>
      </c>
      <c r="H2419" s="1" t="s">
        <v>1492</v>
      </c>
      <c r="I2419" s="1" t="s">
        <v>45</v>
      </c>
      <c r="J2419" s="4">
        <v>93535</v>
      </c>
      <c r="K2419" s="1" t="s">
        <v>98</v>
      </c>
      <c r="L2419" s="11" t="s">
        <v>414</v>
      </c>
      <c r="M2419" s="1" t="s">
        <v>27</v>
      </c>
      <c r="N2419" s="1" t="s">
        <v>1396</v>
      </c>
      <c r="O2419" s="1" t="s">
        <v>400</v>
      </c>
      <c r="P2419" s="1" t="s">
        <v>401</v>
      </c>
      <c r="Q2419" s="63" t="s">
        <v>20789</v>
      </c>
      <c r="R2419" s="1" t="s">
        <v>29</v>
      </c>
      <c r="S2419" s="1" t="s">
        <v>28</v>
      </c>
      <c r="T2419" s="68" t="s">
        <v>27756</v>
      </c>
      <c r="U2419" s="68" t="s">
        <v>29438</v>
      </c>
      <c r="V2419" s="68" t="s">
        <v>29439</v>
      </c>
      <c r="W2419" s="68" t="s">
        <v>100</v>
      </c>
      <c r="X2419" s="68">
        <v>598</v>
      </c>
      <c r="BK2419" s="11"/>
    </row>
    <row r="2420" spans="1:63" ht="12" customHeight="1" x14ac:dyDescent="0.2">
      <c r="A2420" s="1" t="s">
        <v>1503</v>
      </c>
      <c r="B2420" s="68">
        <v>33</v>
      </c>
      <c r="C2420" s="1" t="s">
        <v>20</v>
      </c>
      <c r="D2420" s="1" t="s">
        <v>48</v>
      </c>
      <c r="F2420" s="69">
        <v>42188</v>
      </c>
      <c r="G2420" s="1" t="s">
        <v>1504</v>
      </c>
      <c r="H2420" s="1" t="s">
        <v>1505</v>
      </c>
      <c r="I2420" s="1" t="s">
        <v>81</v>
      </c>
      <c r="J2420" s="4">
        <v>8105</v>
      </c>
      <c r="K2420" s="1" t="s">
        <v>1505</v>
      </c>
      <c r="L2420" s="1" t="s">
        <v>1506</v>
      </c>
      <c r="M2420" s="1" t="s">
        <v>27</v>
      </c>
      <c r="N2420" s="1" t="s">
        <v>1440</v>
      </c>
      <c r="O2420" s="1" t="s">
        <v>400</v>
      </c>
      <c r="P2420" s="1" t="s">
        <v>401</v>
      </c>
      <c r="Q2420" s="63" t="s">
        <v>20790</v>
      </c>
      <c r="R2420" s="68" t="s">
        <v>555</v>
      </c>
      <c r="S2420" s="1" t="s">
        <v>28</v>
      </c>
      <c r="T2420" s="68" t="s">
        <v>27756</v>
      </c>
      <c r="U2420" s="68" t="s">
        <v>29438</v>
      </c>
      <c r="V2420" s="68" t="s">
        <v>29439</v>
      </c>
      <c r="W2420" s="68" t="s">
        <v>100</v>
      </c>
      <c r="X2420" s="68">
        <v>599</v>
      </c>
      <c r="AW2420" s="11"/>
      <c r="BA2420" s="70"/>
      <c r="BB2420" s="70"/>
      <c r="BK2420" s="11"/>
    </row>
    <row r="2421" spans="1:63" ht="12" customHeight="1" x14ac:dyDescent="0.15">
      <c r="A2421" s="1" t="s">
        <v>1511</v>
      </c>
      <c r="B2421" s="68">
        <v>23</v>
      </c>
      <c r="C2421" s="1" t="s">
        <v>20</v>
      </c>
      <c r="D2421" s="1" t="s">
        <v>85</v>
      </c>
      <c r="E2421" s="63" t="str">
        <f>HYPERLINK("http://jacksonville.com/sites/default/files/imagecache/premium_415_wide_scale/Suspect_1.jpg","http://jacksonville.com/sites/default/files/imagecache/premium_415_wide_scale/Suspect_1.jpg")</f>
        <v>http://jacksonville.com/sites/default/files/imagecache/premium_415_wide_scale/Suspect_1.jpg</v>
      </c>
      <c r="F2421" s="69">
        <v>42187</v>
      </c>
      <c r="G2421" s="1" t="s">
        <v>1512</v>
      </c>
      <c r="H2421" s="1" t="s">
        <v>651</v>
      </c>
      <c r="I2421" s="1" t="s">
        <v>62</v>
      </c>
      <c r="J2421" s="4">
        <v>32207</v>
      </c>
      <c r="K2421" s="1" t="s">
        <v>652</v>
      </c>
      <c r="L2421" s="11" t="s">
        <v>653</v>
      </c>
      <c r="M2421" s="1" t="s">
        <v>27</v>
      </c>
      <c r="N2421" s="1" t="s">
        <v>20845</v>
      </c>
      <c r="O2421" s="1" t="s">
        <v>29</v>
      </c>
      <c r="P2421" s="1" t="s">
        <v>401</v>
      </c>
      <c r="Q2421" s="63" t="s">
        <v>20787</v>
      </c>
      <c r="R2421" s="11" t="s">
        <v>964</v>
      </c>
      <c r="S2421" s="1" t="s">
        <v>18</v>
      </c>
      <c r="T2421" s="68" t="s">
        <v>28345</v>
      </c>
      <c r="U2421" s="68" t="s">
        <v>29438</v>
      </c>
      <c r="V2421" s="68" t="s">
        <v>29440</v>
      </c>
      <c r="W2421" s="68" t="s">
        <v>100</v>
      </c>
      <c r="X2421" s="68">
        <v>603</v>
      </c>
      <c r="AW2421" s="11"/>
      <c r="AX2421" s="44"/>
      <c r="AY2421" s="44"/>
      <c r="BA2421" s="11"/>
      <c r="BB2421" s="44"/>
      <c r="BC2421" s="44"/>
      <c r="BD2421" s="44"/>
      <c r="BE2421" s="44"/>
      <c r="BF2421" s="44"/>
      <c r="BG2421" s="44"/>
      <c r="BH2421" s="44"/>
      <c r="BI2421" s="44"/>
      <c r="BJ2421" s="44"/>
    </row>
    <row r="2422" spans="1:63" ht="12" customHeight="1" x14ac:dyDescent="0.2">
      <c r="A2422" s="1" t="s">
        <v>1508</v>
      </c>
      <c r="B2422" s="68">
        <v>60</v>
      </c>
      <c r="C2422" s="1" t="s">
        <v>20</v>
      </c>
      <c r="D2422" s="1" t="s">
        <v>21</v>
      </c>
      <c r="F2422" s="69">
        <v>42187</v>
      </c>
      <c r="G2422" s="1" t="s">
        <v>1509</v>
      </c>
      <c r="H2422" s="1" t="s">
        <v>156</v>
      </c>
      <c r="I2422" s="1" t="s">
        <v>45</v>
      </c>
      <c r="J2422" s="4">
        <v>92127</v>
      </c>
      <c r="K2422" s="1" t="s">
        <v>156</v>
      </c>
      <c r="L2422" s="1" t="s">
        <v>157</v>
      </c>
      <c r="M2422" s="1" t="s">
        <v>27</v>
      </c>
      <c r="N2422" s="1" t="s">
        <v>1493</v>
      </c>
      <c r="O2422" s="1" t="s">
        <v>400</v>
      </c>
      <c r="P2422" s="1" t="s">
        <v>401</v>
      </c>
      <c r="Q2422" s="6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2422" s="1" t="s">
        <v>100</v>
      </c>
      <c r="S2422" s="1" t="s">
        <v>28</v>
      </c>
      <c r="T2422" s="68" t="s">
        <v>29493</v>
      </c>
      <c r="U2422" s="68" t="s">
        <v>29436</v>
      </c>
      <c r="V2422" s="68" t="s">
        <v>29439</v>
      </c>
      <c r="W2422" s="68" t="s">
        <v>100</v>
      </c>
      <c r="X2422" s="68">
        <v>601</v>
      </c>
      <c r="AX2422" s="70"/>
      <c r="AY2422" s="70"/>
      <c r="BC2422" s="66"/>
      <c r="BD2422" s="66"/>
      <c r="BE2422" s="66"/>
      <c r="BF2422" s="66"/>
      <c r="BG2422" s="66"/>
      <c r="BH2422" s="66"/>
      <c r="BI2422" s="66"/>
      <c r="BJ2422" s="66"/>
      <c r="BK2422" s="11"/>
    </row>
    <row r="2423" spans="1:63" ht="12" customHeight="1" x14ac:dyDescent="0.15">
      <c r="A2423" s="1" t="s">
        <v>1513</v>
      </c>
      <c r="B2423" s="68">
        <v>59</v>
      </c>
      <c r="C2423" s="1" t="s">
        <v>20</v>
      </c>
      <c r="D2423" s="1" t="s">
        <v>30</v>
      </c>
      <c r="F2423" s="69">
        <v>42187</v>
      </c>
      <c r="G2423" s="1" t="s">
        <v>1514</v>
      </c>
      <c r="H2423" s="1" t="s">
        <v>1515</v>
      </c>
      <c r="I2423" s="1" t="s">
        <v>150</v>
      </c>
      <c r="J2423" s="4">
        <v>25976</v>
      </c>
      <c r="K2423" s="1" t="s">
        <v>1516</v>
      </c>
      <c r="L2423" s="1" t="s">
        <v>17262</v>
      </c>
      <c r="M2423" s="1" t="s">
        <v>27</v>
      </c>
      <c r="N2423" s="1" t="s">
        <v>1517</v>
      </c>
      <c r="O2423" s="1" t="s">
        <v>1010</v>
      </c>
      <c r="P2423" s="1" t="s">
        <v>401</v>
      </c>
      <c r="Q2423" s="63" t="s">
        <v>20786</v>
      </c>
      <c r="R2423" s="1" t="s">
        <v>555</v>
      </c>
      <c r="S2423" s="1" t="s">
        <v>28</v>
      </c>
      <c r="T2423" s="68" t="s">
        <v>29453</v>
      </c>
      <c r="U2423" s="68" t="s">
        <v>29438</v>
      </c>
      <c r="V2423" s="68" t="s">
        <v>29439</v>
      </c>
      <c r="W2423" s="68" t="s">
        <v>100</v>
      </c>
      <c r="X2423" s="68">
        <v>604</v>
      </c>
      <c r="BA2423" s="11"/>
      <c r="BB2423" s="44"/>
      <c r="BK2423" s="11"/>
    </row>
    <row r="2424" spans="1:63" ht="12" customHeight="1" x14ac:dyDescent="0.2">
      <c r="A2424" s="1" t="s">
        <v>1523</v>
      </c>
      <c r="B2424" s="68">
        <v>45</v>
      </c>
      <c r="C2424" s="1" t="s">
        <v>20</v>
      </c>
      <c r="D2424" s="1" t="s">
        <v>37</v>
      </c>
      <c r="E2424" s="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2424" s="69">
        <v>42187</v>
      </c>
      <c r="G2424" s="1" t="s">
        <v>1524</v>
      </c>
      <c r="H2424" s="1" t="s">
        <v>1525</v>
      </c>
      <c r="I2424" s="1" t="s">
        <v>46</v>
      </c>
      <c r="J2424" s="4">
        <v>2302</v>
      </c>
      <c r="K2424" s="1" t="s">
        <v>1071</v>
      </c>
      <c r="L2424" s="1" t="s">
        <v>1526</v>
      </c>
      <c r="M2424" s="1" t="s">
        <v>27</v>
      </c>
      <c r="N2424" s="1" t="s">
        <v>963</v>
      </c>
      <c r="O2424" s="1" t="s">
        <v>400</v>
      </c>
      <c r="P2424" s="1" t="s">
        <v>401</v>
      </c>
      <c r="Q2424" s="63" t="s">
        <v>20788</v>
      </c>
      <c r="R2424" s="68" t="s">
        <v>555</v>
      </c>
      <c r="S2424" s="1" t="s">
        <v>18</v>
      </c>
      <c r="T2424" s="68" t="s">
        <v>29612</v>
      </c>
      <c r="U2424" s="68" t="s">
        <v>29438</v>
      </c>
      <c r="V2424" s="68" t="s">
        <v>29439</v>
      </c>
      <c r="W2424" s="68" t="s">
        <v>100</v>
      </c>
      <c r="X2424" s="68">
        <v>588</v>
      </c>
      <c r="BA2424" s="70"/>
      <c r="BB2424" s="70"/>
    </row>
    <row r="2425" spans="1:63" ht="12" customHeight="1" x14ac:dyDescent="0.15">
      <c r="A2425" s="1" t="s">
        <v>1540</v>
      </c>
      <c r="B2425" s="1">
        <v>57</v>
      </c>
      <c r="C2425" s="1" t="s">
        <v>20</v>
      </c>
      <c r="D2425" s="1" t="s">
        <v>37</v>
      </c>
      <c r="E2425" s="1" t="str">
        <f>HYPERLINK("http://www.killedbypolice.net/victims/150628.jpg","http://www.killedbypolice.net/victims/150628.jpg")</f>
        <v>http://www.killedbypolice.net/victims/150628.jpg</v>
      </c>
      <c r="F2425" s="72">
        <v>42186</v>
      </c>
      <c r="G2425" s="1" t="s">
        <v>1541</v>
      </c>
      <c r="H2425" s="1" t="s">
        <v>1542</v>
      </c>
      <c r="I2425" s="1" t="s">
        <v>150</v>
      </c>
      <c r="J2425" s="4">
        <v>26452</v>
      </c>
      <c r="K2425" s="1" t="s">
        <v>1543</v>
      </c>
      <c r="L2425" s="1" t="s">
        <v>1544</v>
      </c>
      <c r="M2425" s="1" t="s">
        <v>27</v>
      </c>
      <c r="N2425" s="1" t="s">
        <v>1545</v>
      </c>
      <c r="O2425" s="1" t="s">
        <v>550</v>
      </c>
      <c r="P2425" s="1" t="s">
        <v>401</v>
      </c>
      <c r="Q2425" s="63" t="s">
        <v>20784</v>
      </c>
      <c r="R2425" s="11" t="s">
        <v>964</v>
      </c>
      <c r="S2425" s="1" t="s">
        <v>18</v>
      </c>
      <c r="T2425" s="68"/>
      <c r="U2425" s="68"/>
      <c r="V2425" s="68"/>
      <c r="W2425" s="68"/>
      <c r="X2425" s="68"/>
    </row>
    <row r="2426" spans="1:63" ht="12" customHeight="1" x14ac:dyDescent="0.2">
      <c r="A2426" s="66" t="s">
        <v>30657</v>
      </c>
      <c r="B2426" s="66">
        <v>20</v>
      </c>
      <c r="C2426" s="66" t="s">
        <v>20</v>
      </c>
      <c r="D2426" s="66" t="s">
        <v>30</v>
      </c>
      <c r="E2426" s="66"/>
      <c r="F2426" s="69">
        <v>42186</v>
      </c>
      <c r="G2426" s="66" t="s">
        <v>30658</v>
      </c>
      <c r="H2426" s="66" t="s">
        <v>1633</v>
      </c>
      <c r="I2426" s="66" t="s">
        <v>404</v>
      </c>
      <c r="J2426" s="66" t="s">
        <v>30659</v>
      </c>
      <c r="K2426" s="66" t="s">
        <v>1635</v>
      </c>
      <c r="L2426" s="66" t="s">
        <v>511</v>
      </c>
      <c r="M2426" s="66" t="s">
        <v>379</v>
      </c>
      <c r="N2426" s="66" t="s">
        <v>30660</v>
      </c>
      <c r="O2426" s="66" t="s">
        <v>1010</v>
      </c>
      <c r="P2426" s="66" t="s">
        <v>30375</v>
      </c>
      <c r="Q2426" s="76" t="s">
        <v>30661</v>
      </c>
      <c r="R2426" s="66" t="s">
        <v>964</v>
      </c>
      <c r="S2426" s="66" t="s">
        <v>379</v>
      </c>
      <c r="T2426" s="77"/>
      <c r="U2426" s="77"/>
      <c r="V2426" s="77"/>
      <c r="W2426" s="77"/>
      <c r="X2426" s="77"/>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78"/>
      <c r="AW2426" s="78"/>
      <c r="AX2426" s="78"/>
      <c r="AY2426" s="78"/>
      <c r="AZ2426" s="78"/>
      <c r="BA2426" s="78"/>
      <c r="BB2426" s="78"/>
      <c r="BC2426" s="78"/>
      <c r="BD2426" s="78"/>
      <c r="BE2426" s="78"/>
      <c r="BF2426" s="78"/>
      <c r="BG2426" s="78"/>
      <c r="BH2426" s="78"/>
      <c r="BI2426" s="78"/>
      <c r="BJ2426" s="78"/>
    </row>
    <row r="2427" spans="1:63" ht="12" customHeight="1" x14ac:dyDescent="0.15">
      <c r="A2427" s="1" t="s">
        <v>1534</v>
      </c>
      <c r="B2427" s="68">
        <v>32</v>
      </c>
      <c r="C2427" s="1" t="s">
        <v>20</v>
      </c>
      <c r="D2427" s="1" t="s">
        <v>37</v>
      </c>
      <c r="F2427" s="69">
        <v>42186</v>
      </c>
      <c r="G2427" s="1" t="s">
        <v>1535</v>
      </c>
      <c r="H2427" s="1" t="s">
        <v>1536</v>
      </c>
      <c r="I2427" s="1" t="s">
        <v>117</v>
      </c>
      <c r="J2427" s="4">
        <v>97497</v>
      </c>
      <c r="K2427" s="1" t="s">
        <v>1537</v>
      </c>
      <c r="L2427" s="1" t="s">
        <v>1538</v>
      </c>
      <c r="M2427" s="1" t="s">
        <v>27</v>
      </c>
      <c r="N2427" s="1" t="s">
        <v>1539</v>
      </c>
      <c r="O2427" s="1" t="s">
        <v>400</v>
      </c>
      <c r="P2427" s="1" t="s">
        <v>401</v>
      </c>
      <c r="Q2427" s="6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2427" s="1" t="s">
        <v>100</v>
      </c>
      <c r="S2427" s="1" t="s">
        <v>28</v>
      </c>
      <c r="T2427" s="68" t="s">
        <v>27756</v>
      </c>
      <c r="U2427" s="68" t="s">
        <v>29438</v>
      </c>
      <c r="V2427" s="68" t="s">
        <v>29437</v>
      </c>
      <c r="W2427" s="68" t="s">
        <v>100</v>
      </c>
      <c r="X2427" s="68">
        <v>589</v>
      </c>
      <c r="AW2427" s="11"/>
      <c r="BK2427" s="11"/>
    </row>
    <row r="2428" spans="1:63" ht="12" customHeight="1" x14ac:dyDescent="0.15">
      <c r="A2428" s="1" t="s">
        <v>1528</v>
      </c>
      <c r="B2428" s="68">
        <v>24</v>
      </c>
      <c r="C2428" s="1" t="s">
        <v>20</v>
      </c>
      <c r="D2428" s="1" t="s">
        <v>85</v>
      </c>
      <c r="E2428" s="63" t="str">
        <f>HYPERLINK("http://images.bimedia.net/images/150701_Kevin_Lamont_Judson_story_insert.jpg","http://images.bimedia.net/images/150701_Kevin_Lamont_Judson_story_insert.jpg")</f>
        <v>http://images.bimedia.net/images/150701_Kevin_Lamont_Judson_story_insert.jpg</v>
      </c>
      <c r="F2428" s="69">
        <v>42186</v>
      </c>
      <c r="G2428" s="1" t="s">
        <v>1529</v>
      </c>
      <c r="H2428" s="1" t="s">
        <v>1530</v>
      </c>
      <c r="I2428" s="1" t="s">
        <v>117</v>
      </c>
      <c r="J2428" s="4">
        <v>97128</v>
      </c>
      <c r="K2428" s="1" t="s">
        <v>1531</v>
      </c>
      <c r="L2428" s="1" t="s">
        <v>1532</v>
      </c>
      <c r="M2428" s="1" t="s">
        <v>27</v>
      </c>
      <c r="N2428" s="1" t="s">
        <v>1533</v>
      </c>
      <c r="O2428" s="1" t="s">
        <v>550</v>
      </c>
      <c r="P2428" s="1" t="s">
        <v>401</v>
      </c>
      <c r="Q2428" s="63" t="str">
        <f>HYPERLINK("http://www.katu.com/news/local/DA-clears-deputy-in-deadly-McMinnville-shooting-316055961.html","http://www.katu.com/news/local/DA-clears-deputy-in-deadly-McMinnville-shooting-316055961.html")</f>
        <v>http://www.katu.com/news/local/DA-clears-deputy-in-deadly-McMinnville-shooting-316055961.html</v>
      </c>
      <c r="R2428" s="1" t="s">
        <v>100</v>
      </c>
      <c r="S2428" s="68" t="s">
        <v>379</v>
      </c>
      <c r="T2428" s="68" t="s">
        <v>379</v>
      </c>
      <c r="U2428" s="68" t="s">
        <v>29438</v>
      </c>
      <c r="V2428" s="68" t="s">
        <v>29440</v>
      </c>
      <c r="W2428" s="68" t="s">
        <v>100</v>
      </c>
      <c r="X2428" s="68">
        <v>587</v>
      </c>
      <c r="AW2428" s="11"/>
      <c r="AX2428" s="44"/>
      <c r="AY2428" s="44"/>
      <c r="BC2428" s="44"/>
      <c r="BD2428" s="44"/>
      <c r="BE2428" s="44"/>
      <c r="BF2428" s="44"/>
      <c r="BG2428" s="44"/>
      <c r="BH2428" s="44"/>
      <c r="BI2428" s="44"/>
      <c r="BJ2428" s="44"/>
      <c r="BK2428" s="44"/>
    </row>
    <row r="2429" spans="1:63" ht="12" customHeight="1" x14ac:dyDescent="0.15">
      <c r="A2429" s="1" t="s">
        <v>1546</v>
      </c>
      <c r="B2429" s="68">
        <v>52</v>
      </c>
      <c r="C2429" s="1" t="s">
        <v>20</v>
      </c>
      <c r="D2429" s="1" t="s">
        <v>37</v>
      </c>
      <c r="E2429" s="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2429" s="69">
        <v>42185</v>
      </c>
      <c r="G2429" s="1" t="s">
        <v>1547</v>
      </c>
      <c r="H2429" s="1" t="s">
        <v>1288</v>
      </c>
      <c r="I2429" s="1" t="s">
        <v>366</v>
      </c>
      <c r="J2429" s="4" t="s">
        <v>1548</v>
      </c>
      <c r="K2429" s="1" t="s">
        <v>1549</v>
      </c>
      <c r="L2429" s="1" t="s">
        <v>1550</v>
      </c>
      <c r="M2429" s="1" t="s">
        <v>27</v>
      </c>
      <c r="N2429" s="1" t="s">
        <v>1551</v>
      </c>
      <c r="O2429" s="1" t="s">
        <v>400</v>
      </c>
      <c r="P2429" s="1" t="s">
        <v>401</v>
      </c>
      <c r="Q2429" s="63" t="str">
        <f>HYPERLINK("http://www.wyff4.com/news/police-man-killed-after-shootout-with-officers/33901040","http://www.wyff4.com/news/police-man-killed-after-shootout-with-officers/33901040")</f>
        <v>http://www.wyff4.com/news/police-man-killed-after-shootout-with-officers/33901040</v>
      </c>
      <c r="R2429" s="1" t="s">
        <v>100</v>
      </c>
      <c r="S2429" s="1" t="s">
        <v>28</v>
      </c>
      <c r="T2429" s="68" t="s">
        <v>27756</v>
      </c>
      <c r="U2429" s="68" t="s">
        <v>29438</v>
      </c>
      <c r="V2429" s="68" t="s">
        <v>29439</v>
      </c>
      <c r="W2429" s="68" t="s">
        <v>100</v>
      </c>
      <c r="X2429" s="68">
        <v>586</v>
      </c>
      <c r="BK2429" s="11"/>
    </row>
    <row r="2430" spans="1:63" ht="12" customHeight="1" x14ac:dyDescent="0.2">
      <c r="A2430" s="1" t="s">
        <v>1552</v>
      </c>
      <c r="B2430" s="68">
        <v>51</v>
      </c>
      <c r="C2430" s="1" t="s">
        <v>20</v>
      </c>
      <c r="D2430" s="1" t="s">
        <v>37</v>
      </c>
      <c r="F2430" s="69">
        <v>42184</v>
      </c>
      <c r="G2430" s="1" t="s">
        <v>1553</v>
      </c>
      <c r="H2430" s="1" t="s">
        <v>1554</v>
      </c>
      <c r="I2430" s="1" t="s">
        <v>423</v>
      </c>
      <c r="J2430" s="4" t="s">
        <v>1555</v>
      </c>
      <c r="K2430" s="1" t="s">
        <v>1556</v>
      </c>
      <c r="L2430" s="1" t="s">
        <v>1557</v>
      </c>
      <c r="M2430" s="1" t="s">
        <v>27</v>
      </c>
      <c r="N2430" s="1" t="s">
        <v>1558</v>
      </c>
      <c r="O2430" s="1" t="s">
        <v>400</v>
      </c>
      <c r="P2430" s="1" t="s">
        <v>401</v>
      </c>
      <c r="Q2430" s="6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430" s="68" t="s">
        <v>555</v>
      </c>
      <c r="S2430" s="1" t="s">
        <v>28</v>
      </c>
      <c r="T2430" s="68" t="s">
        <v>27756</v>
      </c>
      <c r="U2430" s="68" t="s">
        <v>29438</v>
      </c>
      <c r="V2430" s="68" t="s">
        <v>29439</v>
      </c>
      <c r="W2430" s="68" t="s">
        <v>100</v>
      </c>
      <c r="X2430" s="68">
        <v>585</v>
      </c>
      <c r="BA2430" s="70"/>
      <c r="BB2430" s="44"/>
      <c r="BK2430" s="11"/>
    </row>
    <row r="2431" spans="1:63" ht="12" customHeight="1" x14ac:dyDescent="0.15">
      <c r="A2431" s="1" t="s">
        <v>1559</v>
      </c>
      <c r="B2431" s="68">
        <v>29</v>
      </c>
      <c r="C2431" s="1" t="s">
        <v>20</v>
      </c>
      <c r="D2431" s="1" t="s">
        <v>37</v>
      </c>
      <c r="E2431" s="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2431" s="69">
        <v>42183</v>
      </c>
      <c r="G2431" s="1" t="s">
        <v>1560</v>
      </c>
      <c r="H2431" s="1" t="s">
        <v>1561</v>
      </c>
      <c r="I2431" s="1" t="s">
        <v>117</v>
      </c>
      <c r="J2431" s="4" t="s">
        <v>1562</v>
      </c>
      <c r="K2431" s="1" t="s">
        <v>1563</v>
      </c>
      <c r="L2431" s="1" t="s">
        <v>17750</v>
      </c>
      <c r="M2431" s="1" t="s">
        <v>27</v>
      </c>
      <c r="N2431" s="1" t="s">
        <v>1564</v>
      </c>
      <c r="O2431" s="1" t="s">
        <v>400</v>
      </c>
      <c r="P2431" s="1" t="s">
        <v>401</v>
      </c>
      <c r="Q2431" s="63" t="str">
        <f>HYPERLINK("http://www.kgw.com/story/news/local/2015/06/29/police-shooting-winco-parking-lot-portland/29455487/","http://www.kgw.com/story/news/local/2015/06/29/police-shooting-winco-parking-lot-portland/29455487/")</f>
        <v>http://www.kgw.com/story/news/local/2015/06/29/police-shooting-winco-parking-lot-portland/29455487/</v>
      </c>
      <c r="R2431" s="11" t="s">
        <v>964</v>
      </c>
      <c r="S2431" s="11" t="s">
        <v>18</v>
      </c>
      <c r="T2431" s="68" t="s">
        <v>29612</v>
      </c>
      <c r="U2431" s="68" t="s">
        <v>29438</v>
      </c>
      <c r="V2431" s="68" t="s">
        <v>29439</v>
      </c>
      <c r="W2431" s="68" t="s">
        <v>100</v>
      </c>
      <c r="X2431" s="68">
        <v>577</v>
      </c>
      <c r="AW2431" s="44"/>
      <c r="BA2431" s="44"/>
      <c r="BB2431" s="44"/>
    </row>
    <row r="2432" spans="1:63" ht="12" customHeight="1" x14ac:dyDescent="0.15">
      <c r="A2432" s="1" t="s">
        <v>1565</v>
      </c>
      <c r="B2432" s="1">
        <v>60</v>
      </c>
      <c r="C2432" s="1" t="s">
        <v>20</v>
      </c>
      <c r="D2432" s="1" t="s">
        <v>37</v>
      </c>
      <c r="F2432" s="72">
        <v>42183</v>
      </c>
      <c r="G2432" s="1" t="s">
        <v>1566</v>
      </c>
      <c r="H2432" s="1" t="s">
        <v>1567</v>
      </c>
      <c r="I2432" s="1" t="s">
        <v>62</v>
      </c>
      <c r="J2432" s="4" t="s">
        <v>1568</v>
      </c>
      <c r="K2432" s="1" t="s">
        <v>638</v>
      </c>
      <c r="L2432" s="1" t="s">
        <v>1569</v>
      </c>
      <c r="M2432" s="1" t="s">
        <v>379</v>
      </c>
      <c r="N2432" s="1" t="s">
        <v>1570</v>
      </c>
      <c r="O2432" s="1" t="s">
        <v>1010</v>
      </c>
      <c r="P2432" s="1" t="s">
        <v>401</v>
      </c>
      <c r="Q2432" s="63" t="str">
        <f>HYPERLINK("http://wfla.com/2015/07/09/tampa-hit-and-run-investigation-focuses-on-tpd-officer/","http://wfla.com/2015/07/09/tampa-hit-and-run-investigation-focuses-on-tpd-officer/")</f>
        <v>http://wfla.com/2015/07/09/tampa-hit-and-run-investigation-focuses-on-tpd-officer/</v>
      </c>
      <c r="R2432" s="1" t="s">
        <v>100</v>
      </c>
      <c r="S2432" s="1" t="s">
        <v>18</v>
      </c>
    </row>
    <row r="2433" spans="1:63" ht="12" customHeight="1" x14ac:dyDescent="0.15">
      <c r="A2433" s="1" t="s">
        <v>1571</v>
      </c>
      <c r="B2433" s="68">
        <v>35</v>
      </c>
      <c r="C2433" s="1" t="s">
        <v>20</v>
      </c>
      <c r="D2433" s="1" t="s">
        <v>37</v>
      </c>
      <c r="F2433" s="69">
        <v>42182</v>
      </c>
      <c r="G2433" s="1" t="s">
        <v>1572</v>
      </c>
      <c r="H2433" s="1" t="s">
        <v>1573</v>
      </c>
      <c r="I2433" s="1" t="s">
        <v>395</v>
      </c>
      <c r="J2433" s="4" t="s">
        <v>1574</v>
      </c>
      <c r="K2433" s="1" t="s">
        <v>1575</v>
      </c>
      <c r="L2433" s="1" t="s">
        <v>1576</v>
      </c>
      <c r="M2433" s="1" t="s">
        <v>27</v>
      </c>
      <c r="N2433" s="1" t="s">
        <v>1577</v>
      </c>
      <c r="O2433" s="1" t="s">
        <v>400</v>
      </c>
      <c r="P2433" s="1" t="s">
        <v>401</v>
      </c>
      <c r="Q2433" s="6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2433" s="1" t="s">
        <v>100</v>
      </c>
      <c r="S2433" s="1" t="s">
        <v>28</v>
      </c>
      <c r="T2433" s="68" t="s">
        <v>27756</v>
      </c>
      <c r="U2433" s="68" t="s">
        <v>29438</v>
      </c>
      <c r="V2433" s="68" t="s">
        <v>29439</v>
      </c>
      <c r="W2433" s="68" t="s">
        <v>555</v>
      </c>
      <c r="X2433" s="68">
        <v>580</v>
      </c>
      <c r="AW2433" s="11"/>
      <c r="BK2433" s="11"/>
    </row>
    <row r="2434" spans="1:63" ht="12" customHeight="1" x14ac:dyDescent="0.15">
      <c r="A2434" s="1" t="s">
        <v>1578</v>
      </c>
      <c r="B2434" s="68">
        <v>28</v>
      </c>
      <c r="C2434" s="1" t="s">
        <v>20</v>
      </c>
      <c r="D2434" s="1" t="s">
        <v>48</v>
      </c>
      <c r="F2434" s="69">
        <v>42181</v>
      </c>
      <c r="G2434" s="1" t="s">
        <v>1579</v>
      </c>
      <c r="H2434" s="1" t="s">
        <v>575</v>
      </c>
      <c r="I2434" s="1" t="s">
        <v>73</v>
      </c>
      <c r="J2434" s="4" t="s">
        <v>1580</v>
      </c>
      <c r="K2434" s="1" t="s">
        <v>576</v>
      </c>
      <c r="L2434" s="1" t="s">
        <v>577</v>
      </c>
      <c r="M2434" s="1" t="s">
        <v>27</v>
      </c>
      <c r="N2434" s="1" t="s">
        <v>1581</v>
      </c>
      <c r="O2434" s="1" t="s">
        <v>400</v>
      </c>
      <c r="P2434" s="1" t="s">
        <v>401</v>
      </c>
      <c r="Q2434" s="6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2434" s="1" t="s">
        <v>100</v>
      </c>
      <c r="S2434" s="1" t="s">
        <v>28</v>
      </c>
      <c r="T2434" s="68" t="s">
        <v>27756</v>
      </c>
      <c r="U2434" s="68" t="s">
        <v>29436</v>
      </c>
      <c r="V2434" s="68" t="s">
        <v>29440</v>
      </c>
      <c r="W2434" s="68" t="s">
        <v>100</v>
      </c>
      <c r="X2434" s="68">
        <v>583</v>
      </c>
      <c r="AW2434" s="44"/>
      <c r="BK2434" s="11"/>
    </row>
    <row r="2435" spans="1:63" ht="12" customHeight="1" x14ac:dyDescent="0.15">
      <c r="A2435" s="1" t="s">
        <v>1582</v>
      </c>
      <c r="B2435" s="68">
        <v>49</v>
      </c>
      <c r="C2435" s="1" t="s">
        <v>20</v>
      </c>
      <c r="D2435" s="1" t="s">
        <v>37</v>
      </c>
      <c r="E2435" s="1" t="str">
        <f>HYPERLINK("http://a.abcnews.com/images/US/HT_richard_matt_jt_150606_4x3_992.jpg","http://a.abcnews.com/images/US/HT_richard_matt_jt_150606_4x3_992.jpg")</f>
        <v>http://a.abcnews.com/images/US/HT_richard_matt_jt_150606_4x3_992.jpg</v>
      </c>
      <c r="F2435" s="69">
        <v>42181</v>
      </c>
      <c r="G2435" s="1" t="s">
        <v>1583</v>
      </c>
      <c r="H2435" s="1" t="s">
        <v>1584</v>
      </c>
      <c r="I2435" s="1" t="s">
        <v>423</v>
      </c>
      <c r="J2435" s="4" t="s">
        <v>1585</v>
      </c>
      <c r="K2435" s="1" t="s">
        <v>1288</v>
      </c>
      <c r="L2435" s="1" t="s">
        <v>1586</v>
      </c>
      <c r="M2435" s="1" t="s">
        <v>27</v>
      </c>
      <c r="N2435" s="1" t="s">
        <v>1587</v>
      </c>
      <c r="O2435" s="1" t="s">
        <v>400</v>
      </c>
      <c r="P2435" s="1" t="s">
        <v>401</v>
      </c>
      <c r="Q2435" s="6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435" s="1" t="s">
        <v>100</v>
      </c>
      <c r="S2435" s="1" t="s">
        <v>28</v>
      </c>
      <c r="T2435" s="68" t="s">
        <v>27756</v>
      </c>
      <c r="U2435" s="68" t="s">
        <v>29438</v>
      </c>
      <c r="V2435" s="68" t="s">
        <v>21212</v>
      </c>
      <c r="W2435" s="68" t="s">
        <v>100</v>
      </c>
      <c r="X2435" s="68">
        <v>579</v>
      </c>
      <c r="BK2435" s="11"/>
    </row>
    <row r="2436" spans="1:63" ht="12" customHeight="1" x14ac:dyDescent="0.15">
      <c r="A2436" s="1" t="s">
        <v>1594</v>
      </c>
      <c r="B2436" s="68">
        <v>61</v>
      </c>
      <c r="C2436" s="1" t="s">
        <v>20</v>
      </c>
      <c r="D2436" s="1" t="s">
        <v>37</v>
      </c>
      <c r="F2436" s="69">
        <v>42180</v>
      </c>
      <c r="G2436" s="1" t="s">
        <v>1595</v>
      </c>
      <c r="H2436" s="1" t="s">
        <v>1596</v>
      </c>
      <c r="I2436" s="1" t="s">
        <v>45</v>
      </c>
      <c r="J2436" s="4" t="s">
        <v>1597</v>
      </c>
      <c r="K2436" s="1" t="s">
        <v>200</v>
      </c>
      <c r="L2436" s="1" t="s">
        <v>1598</v>
      </c>
      <c r="M2436" s="1" t="s">
        <v>27</v>
      </c>
      <c r="N2436" s="1" t="s">
        <v>1599</v>
      </c>
      <c r="O2436" s="1" t="s">
        <v>400</v>
      </c>
      <c r="P2436" s="1" t="s">
        <v>401</v>
      </c>
      <c r="Q2436" s="6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436" s="1" t="s">
        <v>100</v>
      </c>
      <c r="S2436" s="1" t="s">
        <v>28</v>
      </c>
      <c r="T2436" s="68" t="s">
        <v>27756</v>
      </c>
      <c r="U2436" s="68" t="s">
        <v>29438</v>
      </c>
      <c r="V2436" s="68" t="s">
        <v>29439</v>
      </c>
      <c r="W2436" s="68" t="s">
        <v>100</v>
      </c>
      <c r="X2436" s="68">
        <v>568</v>
      </c>
      <c r="BK2436" s="11"/>
    </row>
    <row r="2437" spans="1:63" ht="12" customHeight="1" x14ac:dyDescent="0.2">
      <c r="A2437" s="1" t="s">
        <v>1588</v>
      </c>
      <c r="B2437" s="68">
        <v>41</v>
      </c>
      <c r="C2437" s="1" t="s">
        <v>20</v>
      </c>
      <c r="D2437" s="1" t="s">
        <v>85</v>
      </c>
      <c r="E2437" s="1" t="s">
        <v>20781</v>
      </c>
      <c r="F2437" s="69">
        <v>42180</v>
      </c>
      <c r="G2437" s="1" t="s">
        <v>1589</v>
      </c>
      <c r="H2437" s="1" t="s">
        <v>1590</v>
      </c>
      <c r="I2437" s="1" t="s">
        <v>52</v>
      </c>
      <c r="J2437" s="4" t="s">
        <v>1591</v>
      </c>
      <c r="K2437" s="1" t="s">
        <v>1592</v>
      </c>
      <c r="L2437" s="1" t="s">
        <v>231</v>
      </c>
      <c r="M2437" s="1" t="s">
        <v>27</v>
      </c>
      <c r="N2437" s="1" t="s">
        <v>1593</v>
      </c>
      <c r="O2437" s="1" t="s">
        <v>400</v>
      </c>
      <c r="P2437" s="1" t="s">
        <v>401</v>
      </c>
      <c r="Q2437" s="63" t="str">
        <f>HYPERLINK("http://www.baltimoresun.com/news/maryland/crime/blog/bs-md-baltimore-county-0628-20150627-story.html","http://www.baltimoresun.com/news/maryland/crime/blog/bs-md-baltimore-county-0628-20150627-story.html")</f>
        <v>http://www.baltimoresun.com/news/maryland/crime/blog/bs-md-baltimore-county-0628-20150627-story.html</v>
      </c>
      <c r="R2437" s="68" t="s">
        <v>555</v>
      </c>
      <c r="S2437" s="1" t="s">
        <v>18</v>
      </c>
      <c r="T2437" s="68" t="s">
        <v>28345</v>
      </c>
      <c r="U2437" s="68" t="s">
        <v>29436</v>
      </c>
      <c r="V2437" s="68" t="s">
        <v>29439</v>
      </c>
      <c r="W2437" s="68" t="s">
        <v>100</v>
      </c>
      <c r="X2437" s="68">
        <v>567</v>
      </c>
      <c r="AX2437" s="44"/>
      <c r="AY2437" s="44"/>
      <c r="BA2437" s="70"/>
      <c r="BB2437" s="44"/>
      <c r="BC2437" s="44"/>
      <c r="BD2437" s="44"/>
      <c r="BE2437" s="44"/>
      <c r="BF2437" s="44"/>
      <c r="BG2437" s="44"/>
      <c r="BH2437" s="44"/>
      <c r="BI2437" s="44"/>
      <c r="BJ2437" s="44"/>
    </row>
    <row r="2438" spans="1:63" ht="12" customHeight="1" x14ac:dyDescent="0.15">
      <c r="A2438" s="1" t="s">
        <v>1600</v>
      </c>
      <c r="B2438" s="68">
        <v>26</v>
      </c>
      <c r="C2438" s="1" t="s">
        <v>20</v>
      </c>
      <c r="D2438" s="1" t="s">
        <v>85</v>
      </c>
      <c r="E2438" s="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2438" s="69">
        <v>42179</v>
      </c>
      <c r="G2438" s="1" t="s">
        <v>1601</v>
      </c>
      <c r="H2438" s="1" t="s">
        <v>1602</v>
      </c>
      <c r="I2438" s="1" t="s">
        <v>244</v>
      </c>
      <c r="J2438" s="4" t="s">
        <v>1603</v>
      </c>
      <c r="K2438" s="1" t="s">
        <v>1604</v>
      </c>
      <c r="L2438" s="1" t="s">
        <v>1605</v>
      </c>
      <c r="M2438" s="1" t="s">
        <v>27</v>
      </c>
      <c r="N2438" s="1" t="s">
        <v>1606</v>
      </c>
      <c r="O2438" s="1" t="s">
        <v>400</v>
      </c>
      <c r="P2438" s="1" t="s">
        <v>401</v>
      </c>
      <c r="Q2438" s="6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2438" s="1" t="s">
        <v>29</v>
      </c>
      <c r="S2438" s="1" t="s">
        <v>28</v>
      </c>
      <c r="T2438" s="68" t="s">
        <v>27756</v>
      </c>
      <c r="U2438" s="68" t="s">
        <v>29438</v>
      </c>
      <c r="V2438" s="68" t="s">
        <v>29439</v>
      </c>
      <c r="W2438" s="68" t="s">
        <v>555</v>
      </c>
      <c r="X2438" s="68">
        <v>569</v>
      </c>
      <c r="AW2438" s="44"/>
      <c r="AX2438" s="44"/>
      <c r="AY2438" s="44"/>
      <c r="BC2438" s="44"/>
      <c r="BD2438" s="44"/>
      <c r="BE2438" s="44"/>
      <c r="BF2438" s="44"/>
      <c r="BG2438" s="44"/>
      <c r="BH2438" s="44"/>
      <c r="BI2438" s="44"/>
      <c r="BJ2438" s="44"/>
      <c r="BK2438" s="11"/>
    </row>
    <row r="2439" spans="1:63" ht="12" customHeight="1" x14ac:dyDescent="0.15">
      <c r="A2439" s="1" t="s">
        <v>1625</v>
      </c>
      <c r="B2439" s="68">
        <v>32</v>
      </c>
      <c r="C2439" s="1" t="s">
        <v>20</v>
      </c>
      <c r="D2439" s="1" t="s">
        <v>37</v>
      </c>
      <c r="E2439" s="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2439" s="69">
        <v>42178</v>
      </c>
      <c r="G2439" s="1" t="s">
        <v>1626</v>
      </c>
      <c r="H2439" s="1" t="s">
        <v>1627</v>
      </c>
      <c r="I2439" s="1" t="s">
        <v>463</v>
      </c>
      <c r="J2439" s="4" t="s">
        <v>1628</v>
      </c>
      <c r="K2439" s="1" t="s">
        <v>938</v>
      </c>
      <c r="L2439" s="1" t="s">
        <v>1629</v>
      </c>
      <c r="M2439" s="1" t="s">
        <v>27</v>
      </c>
      <c r="N2439" s="1" t="s">
        <v>1630</v>
      </c>
      <c r="O2439" s="1" t="s">
        <v>550</v>
      </c>
      <c r="P2439" s="1" t="s">
        <v>401</v>
      </c>
      <c r="Q2439" s="6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2439" s="1" t="s">
        <v>100</v>
      </c>
      <c r="S2439" s="13" t="s">
        <v>28</v>
      </c>
      <c r="T2439" s="68" t="s">
        <v>27756</v>
      </c>
      <c r="U2439" s="68" t="s">
        <v>29438</v>
      </c>
      <c r="V2439" s="68" t="s">
        <v>29439</v>
      </c>
      <c r="W2439" s="68" t="s">
        <v>100</v>
      </c>
      <c r="X2439" s="68">
        <v>726</v>
      </c>
      <c r="AW2439" s="11"/>
      <c r="BK2439" s="11"/>
    </row>
    <row r="2440" spans="1:63" ht="12" customHeight="1" x14ac:dyDescent="0.15">
      <c r="A2440" s="1" t="s">
        <v>1607</v>
      </c>
      <c r="B2440" s="68">
        <v>22</v>
      </c>
      <c r="C2440" s="1" t="s">
        <v>20</v>
      </c>
      <c r="D2440" s="1" t="s">
        <v>37</v>
      </c>
      <c r="F2440" s="69">
        <v>42178</v>
      </c>
      <c r="G2440" s="1" t="s">
        <v>1608</v>
      </c>
      <c r="H2440" s="1" t="s">
        <v>1609</v>
      </c>
      <c r="I2440" s="1" t="s">
        <v>363</v>
      </c>
      <c r="J2440" s="4" t="s">
        <v>1610</v>
      </c>
      <c r="K2440" s="1" t="s">
        <v>1611</v>
      </c>
      <c r="L2440" s="1" t="s">
        <v>1612</v>
      </c>
      <c r="M2440" s="1" t="s">
        <v>27</v>
      </c>
      <c r="N2440" s="1" t="s">
        <v>1613</v>
      </c>
      <c r="O2440" s="1" t="s">
        <v>400</v>
      </c>
      <c r="P2440" s="1" t="s">
        <v>401</v>
      </c>
      <c r="Q2440" s="63" t="str">
        <f>HYPERLINK("http://www.kansas.com/news/local/article25221067.html","http://www.kansas.com/news/local/article25221067.html")</f>
        <v>http://www.kansas.com/news/local/article25221067.html</v>
      </c>
      <c r="R2440" s="1" t="s">
        <v>29</v>
      </c>
      <c r="S2440" s="1" t="s">
        <v>28</v>
      </c>
      <c r="T2440" s="68" t="s">
        <v>29493</v>
      </c>
      <c r="U2440" s="68" t="s">
        <v>29438</v>
      </c>
      <c r="V2440" s="68" t="s">
        <v>29439</v>
      </c>
      <c r="W2440" s="68" t="s">
        <v>100</v>
      </c>
      <c r="X2440" s="68">
        <v>574</v>
      </c>
      <c r="AW2440" s="44"/>
      <c r="BK2440" s="11"/>
    </row>
    <row r="2441" spans="1:63" ht="12" customHeight="1" x14ac:dyDescent="0.15">
      <c r="A2441" s="1" t="s">
        <v>1614</v>
      </c>
      <c r="B2441" s="68">
        <v>34</v>
      </c>
      <c r="C2441" s="1" t="s">
        <v>20</v>
      </c>
      <c r="D2441" s="1" t="s">
        <v>37</v>
      </c>
      <c r="F2441" s="69">
        <v>42178</v>
      </c>
      <c r="G2441" s="1" t="s">
        <v>1615</v>
      </c>
      <c r="H2441" s="1" t="s">
        <v>216</v>
      </c>
      <c r="I2441" s="1" t="s">
        <v>217</v>
      </c>
      <c r="J2441" s="4" t="s">
        <v>1616</v>
      </c>
      <c r="K2441" s="1" t="s">
        <v>420</v>
      </c>
      <c r="L2441" s="1" t="s">
        <v>218</v>
      </c>
      <c r="M2441" s="1" t="s">
        <v>27</v>
      </c>
      <c r="N2441" s="1" t="s">
        <v>1617</v>
      </c>
      <c r="O2441" s="1" t="s">
        <v>400</v>
      </c>
      <c r="P2441" s="1" t="s">
        <v>401</v>
      </c>
      <c r="Q2441" s="63" t="str">
        <f>HYPERLINK("http://www.wthr.com/story/29391400/impd-officer-involved-in-shooting-after-short-pursuit","http://www.wthr.com/story/29391400/impd-officer-involved-in-shooting-after-short-pursuit")</f>
        <v>http://www.wthr.com/story/29391400/impd-officer-involved-in-shooting-after-short-pursuit</v>
      </c>
      <c r="R2441" s="1" t="s">
        <v>29</v>
      </c>
      <c r="S2441" s="1" t="s">
        <v>18</v>
      </c>
      <c r="T2441" s="68" t="s">
        <v>28345</v>
      </c>
      <c r="U2441" s="68" t="s">
        <v>29436</v>
      </c>
      <c r="V2441" s="68" t="s">
        <v>29437</v>
      </c>
      <c r="W2441" s="68" t="s">
        <v>100</v>
      </c>
      <c r="X2441" s="68">
        <v>572</v>
      </c>
      <c r="AW2441" s="11"/>
    </row>
    <row r="2442" spans="1:63" ht="12" customHeight="1" x14ac:dyDescent="0.15">
      <c r="A2442" s="1" t="s">
        <v>1618</v>
      </c>
      <c r="B2442" s="68">
        <v>49</v>
      </c>
      <c r="C2442" s="1" t="s">
        <v>20</v>
      </c>
      <c r="D2442" s="1" t="s">
        <v>37</v>
      </c>
      <c r="E2442" s="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2442" s="69">
        <v>42178</v>
      </c>
      <c r="G2442" s="1" t="s">
        <v>1619</v>
      </c>
      <c r="H2442" s="1" t="s">
        <v>1620</v>
      </c>
      <c r="I2442" s="1" t="s">
        <v>73</v>
      </c>
      <c r="J2442" s="4" t="s">
        <v>1621</v>
      </c>
      <c r="K2442" s="1" t="s">
        <v>1622</v>
      </c>
      <c r="L2442" s="1" t="s">
        <v>1623</v>
      </c>
      <c r="M2442" s="1" t="s">
        <v>27</v>
      </c>
      <c r="N2442" s="1" t="s">
        <v>1624</v>
      </c>
      <c r="O2442" s="1" t="s">
        <v>400</v>
      </c>
      <c r="P2442" s="1" t="s">
        <v>401</v>
      </c>
      <c r="Q2442" s="63" t="str">
        <f>HYPERLINK("http://www.star-telegram.com/news/local/community/fort-worth/article25340344.html","http://www.star-telegram.com/news/local/community/fort-worth/article25340344.html")</f>
        <v>http://www.star-telegram.com/news/local/community/fort-worth/article25340344.html</v>
      </c>
      <c r="R2442" s="1" t="s">
        <v>555</v>
      </c>
      <c r="S2442" s="1" t="s">
        <v>28</v>
      </c>
      <c r="T2442" s="68" t="s">
        <v>29493</v>
      </c>
      <c r="U2442" s="68" t="s">
        <v>29436</v>
      </c>
      <c r="V2442" s="68" t="s">
        <v>29440</v>
      </c>
      <c r="W2442" s="68" t="s">
        <v>100</v>
      </c>
      <c r="X2442" s="68">
        <v>575</v>
      </c>
      <c r="BA2442" s="11"/>
      <c r="BB2442" s="44"/>
      <c r="BK2442" s="11"/>
    </row>
    <row r="2443" spans="1:63" ht="12" customHeight="1" x14ac:dyDescent="0.15">
      <c r="A2443" s="1" t="s">
        <v>1651</v>
      </c>
      <c r="B2443" s="68">
        <v>60</v>
      </c>
      <c r="C2443" s="1" t="s">
        <v>20</v>
      </c>
      <c r="D2443" s="1" t="s">
        <v>37</v>
      </c>
      <c r="E2443" s="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2443" s="69">
        <v>42177</v>
      </c>
      <c r="G2443" s="1" t="s">
        <v>1652</v>
      </c>
      <c r="H2443" s="1" t="s">
        <v>1653</v>
      </c>
      <c r="I2443" s="1" t="s">
        <v>366</v>
      </c>
      <c r="J2443" s="4" t="s">
        <v>1654</v>
      </c>
      <c r="K2443" s="1" t="s">
        <v>1655</v>
      </c>
      <c r="L2443" s="1" t="s">
        <v>1656</v>
      </c>
      <c r="M2443" s="1" t="s">
        <v>27</v>
      </c>
      <c r="N2443" s="1" t="s">
        <v>1657</v>
      </c>
      <c r="O2443" s="1" t="s">
        <v>400</v>
      </c>
      <c r="P2443" s="1" t="s">
        <v>401</v>
      </c>
      <c r="Q2443" s="63" t="str">
        <f>HYPERLINK("http://www.wxii12.com/news/sheriffs-deputy-shot-in-wilkes-county/33705684","http://www.wxii12.com/news/sheriffs-deputy-shot-in-wilkes-county/33705684")</f>
        <v>http://www.wxii12.com/news/sheriffs-deputy-shot-in-wilkes-county/33705684</v>
      </c>
      <c r="R2443" s="1" t="s">
        <v>100</v>
      </c>
      <c r="S2443" s="1" t="s">
        <v>28</v>
      </c>
      <c r="T2443" s="68" t="s">
        <v>27756</v>
      </c>
      <c r="U2443" s="68" t="s">
        <v>29438</v>
      </c>
      <c r="V2443" s="68" t="s">
        <v>29440</v>
      </c>
      <c r="W2443" s="68" t="s">
        <v>100</v>
      </c>
      <c r="X2443" s="68">
        <v>566</v>
      </c>
      <c r="BK2443" s="44"/>
    </row>
    <row r="2444" spans="1:63" ht="12" customHeight="1" x14ac:dyDescent="0.2">
      <c r="A2444" s="1" t="s">
        <v>1631</v>
      </c>
      <c r="B2444" s="68">
        <v>20</v>
      </c>
      <c r="C2444" s="1" t="s">
        <v>20</v>
      </c>
      <c r="D2444" s="1" t="s">
        <v>85</v>
      </c>
      <c r="E2444" s="1" t="str">
        <f>HYPERLINK("http://www.post-gazette.com/image/2015/06/23/420x_q90_cMC_z_ca0,37,614,753/HarrisTyrone.jpg","http://www.post-gazette.com/image/2015/06/23/420x_q90_cMC_z_ca0,37,614,753/HarrisTyrone.jpg")</f>
        <v>http://www.post-gazette.com/image/2015/06/23/420x_q90_cMC_z_ca0,37,614,753/HarrisTyrone.jpg</v>
      </c>
      <c r="F2444" s="69">
        <v>42177</v>
      </c>
      <c r="G2444" s="1" t="s">
        <v>1632</v>
      </c>
      <c r="H2444" s="1" t="s">
        <v>1633</v>
      </c>
      <c r="I2444" s="1" t="s">
        <v>404</v>
      </c>
      <c r="J2444" s="4" t="s">
        <v>1634</v>
      </c>
      <c r="K2444" s="1" t="s">
        <v>1635</v>
      </c>
      <c r="L2444" s="1" t="s">
        <v>1636</v>
      </c>
      <c r="M2444" s="1" t="s">
        <v>27</v>
      </c>
      <c r="N2444" s="1" t="s">
        <v>1637</v>
      </c>
      <c r="O2444" s="1" t="s">
        <v>400</v>
      </c>
      <c r="P2444" s="1" t="s">
        <v>401</v>
      </c>
      <c r="Q2444" s="6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2444" s="1" t="s">
        <v>29</v>
      </c>
      <c r="S2444" s="1" t="s">
        <v>28</v>
      </c>
      <c r="T2444" s="68" t="s">
        <v>27756</v>
      </c>
      <c r="U2444" s="68" t="s">
        <v>29438</v>
      </c>
      <c r="V2444" s="68" t="s">
        <v>29437</v>
      </c>
      <c r="W2444" s="68" t="s">
        <v>100</v>
      </c>
      <c r="X2444" s="68">
        <v>576</v>
      </c>
      <c r="AW2444" s="70"/>
      <c r="AX2444" s="70"/>
      <c r="AY2444" s="70"/>
      <c r="BC2444" s="44"/>
      <c r="BD2444" s="44"/>
      <c r="BE2444" s="44"/>
      <c r="BF2444" s="44"/>
      <c r="BG2444" s="44"/>
      <c r="BH2444" s="44"/>
      <c r="BI2444" s="44"/>
      <c r="BJ2444" s="44"/>
      <c r="BK2444" s="44"/>
    </row>
    <row r="2445" spans="1:63" ht="12" customHeight="1" x14ac:dyDescent="0.15">
      <c r="A2445" s="1" t="s">
        <v>1638</v>
      </c>
      <c r="B2445" s="68">
        <v>35</v>
      </c>
      <c r="C2445" s="1" t="s">
        <v>20</v>
      </c>
      <c r="D2445" s="1" t="s">
        <v>48</v>
      </c>
      <c r="F2445" s="69">
        <v>42177</v>
      </c>
      <c r="G2445" s="1" t="s">
        <v>1639</v>
      </c>
      <c r="H2445" s="1" t="s">
        <v>1640</v>
      </c>
      <c r="I2445" s="1" t="s">
        <v>45</v>
      </c>
      <c r="J2445" s="4" t="s">
        <v>1641</v>
      </c>
      <c r="K2445" s="1" t="s">
        <v>1642</v>
      </c>
      <c r="L2445" s="1" t="s">
        <v>1643</v>
      </c>
      <c r="M2445" s="1" t="s">
        <v>27</v>
      </c>
      <c r="N2445" s="1" t="s">
        <v>1644</v>
      </c>
      <c r="O2445" s="1" t="s">
        <v>400</v>
      </c>
      <c r="P2445" s="1" t="s">
        <v>401</v>
      </c>
      <c r="Q2445" s="63" t="str">
        <f>HYPERLINK("http://www.sacbee.com/news/local/crime/article25297567.html","http://www.sacbee.com/news/local/crime/article25297567.html")</f>
        <v>http://www.sacbee.com/news/local/crime/article25297567.html</v>
      </c>
      <c r="R2445" s="1" t="s">
        <v>29</v>
      </c>
      <c r="S2445" s="1" t="s">
        <v>28</v>
      </c>
      <c r="T2445" s="68" t="s">
        <v>27756</v>
      </c>
      <c r="U2445" s="68" t="s">
        <v>29438</v>
      </c>
      <c r="V2445" s="68" t="s">
        <v>29439</v>
      </c>
      <c r="W2445" s="68" t="s">
        <v>100</v>
      </c>
      <c r="X2445" s="68">
        <v>570</v>
      </c>
      <c r="AW2445" s="11"/>
      <c r="BK2445" s="11"/>
    </row>
    <row r="2446" spans="1:63" ht="12" customHeight="1" x14ac:dyDescent="0.15">
      <c r="A2446" s="1" t="s">
        <v>1645</v>
      </c>
      <c r="B2446" s="68">
        <v>29</v>
      </c>
      <c r="C2446" s="1" t="s">
        <v>20</v>
      </c>
      <c r="D2446" s="1" t="s">
        <v>37</v>
      </c>
      <c r="E2446" s="1" t="str">
        <f>HYPERLINK("http://chronicle.augusta.com/sites/default/files/imagecache/superphoto/14501857.jpg","http://chronicle.augusta.com/sites/default/files/imagecache/superphoto/14501857.jpg")</f>
        <v>http://chronicle.augusta.com/sites/default/files/imagecache/superphoto/14501857.jpg</v>
      </c>
      <c r="F2446" s="69">
        <v>42177</v>
      </c>
      <c r="G2446" s="1" t="s">
        <v>1646</v>
      </c>
      <c r="H2446" s="1" t="s">
        <v>1647</v>
      </c>
      <c r="I2446" s="1" t="s">
        <v>173</v>
      </c>
      <c r="J2446" s="4" t="s">
        <v>1648</v>
      </c>
      <c r="K2446" s="1" t="s">
        <v>874</v>
      </c>
      <c r="L2446" s="1" t="s">
        <v>1649</v>
      </c>
      <c r="M2446" s="1" t="s">
        <v>27</v>
      </c>
      <c r="N2446" s="1" t="s">
        <v>1650</v>
      </c>
      <c r="O2446" s="1" t="s">
        <v>400</v>
      </c>
      <c r="P2446" s="1" t="s">
        <v>401</v>
      </c>
      <c r="Q2446" s="6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2446" s="68" t="s">
        <v>555</v>
      </c>
      <c r="S2446" s="1" t="s">
        <v>28</v>
      </c>
      <c r="T2446" s="68" t="s">
        <v>27756</v>
      </c>
      <c r="U2446" s="68" t="s">
        <v>29438</v>
      </c>
      <c r="V2446" s="68" t="s">
        <v>29439</v>
      </c>
      <c r="W2446" s="68" t="s">
        <v>100</v>
      </c>
      <c r="X2446" s="68">
        <v>573</v>
      </c>
      <c r="AW2446" s="44"/>
      <c r="BA2446" s="44"/>
      <c r="BB2446" s="11"/>
      <c r="BK2446" s="11"/>
    </row>
    <row r="2447" spans="1:63" ht="12" customHeight="1" x14ac:dyDescent="0.15">
      <c r="A2447" s="1" t="s">
        <v>1658</v>
      </c>
      <c r="B2447" s="1">
        <v>23</v>
      </c>
      <c r="C2447" s="1" t="s">
        <v>20</v>
      </c>
      <c r="D2447" s="1" t="s">
        <v>48</v>
      </c>
      <c r="E2447" s="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2447" s="72">
        <v>42176</v>
      </c>
      <c r="G2447" s="1" t="s">
        <v>1659</v>
      </c>
      <c r="H2447" s="1" t="s">
        <v>1660</v>
      </c>
      <c r="I2447" s="1" t="s">
        <v>790</v>
      </c>
      <c r="J2447" s="4" t="s">
        <v>1661</v>
      </c>
      <c r="K2447" s="1" t="s">
        <v>1662</v>
      </c>
      <c r="L2447" s="1" t="s">
        <v>1663</v>
      </c>
      <c r="M2447" s="44" t="s">
        <v>2291</v>
      </c>
      <c r="N2447" s="1" t="s">
        <v>1664</v>
      </c>
      <c r="O2447" s="1" t="s">
        <v>400</v>
      </c>
      <c r="P2447" s="1" t="s">
        <v>401</v>
      </c>
      <c r="Q2447" s="63" t="str">
        <f>HYPERLINK("http://www.ktvb.com/story/news/crime/2015/06/25/allen--hernandez-owyhee-sheriff/29283099/","http://www.ktvb.com/story/news/crime/2015/06/25/allen--hernandez-owyhee-sheriff/29283099/")</f>
        <v>http://www.ktvb.com/story/news/crime/2015/06/25/allen--hernandez-owyhee-sheriff/29283099/</v>
      </c>
      <c r="R2447" s="1" t="s">
        <v>100</v>
      </c>
      <c r="S2447" s="1" t="s">
        <v>18</v>
      </c>
    </row>
    <row r="2448" spans="1:63" ht="12" customHeight="1" x14ac:dyDescent="0.15">
      <c r="A2448" s="1" t="s">
        <v>1665</v>
      </c>
      <c r="B2448" s="68">
        <v>24</v>
      </c>
      <c r="C2448" s="1" t="s">
        <v>20</v>
      </c>
      <c r="D2448" s="1" t="s">
        <v>48</v>
      </c>
      <c r="E2448" s="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2448" s="69">
        <v>42176</v>
      </c>
      <c r="G2448" s="1" t="s">
        <v>1666</v>
      </c>
      <c r="H2448" s="1" t="s">
        <v>1667</v>
      </c>
      <c r="I2448" s="1" t="s">
        <v>45</v>
      </c>
      <c r="J2448" s="4" t="s">
        <v>1668</v>
      </c>
      <c r="K2448" s="1" t="s">
        <v>98</v>
      </c>
      <c r="L2448" s="1" t="s">
        <v>1669</v>
      </c>
      <c r="M2448" s="1" t="s">
        <v>27</v>
      </c>
      <c r="N2448" s="1" t="s">
        <v>1670</v>
      </c>
      <c r="O2448" s="1" t="s">
        <v>400</v>
      </c>
      <c r="P2448" s="1" t="s">
        <v>401</v>
      </c>
      <c r="Q2448" s="63" t="str">
        <f>HYPERLINK("http://homicide.latimes.com/post/adrian-simental/","http://homicide.latimes.com/post/adrian-simental/")</f>
        <v>http://homicide.latimes.com/post/adrian-simental/</v>
      </c>
      <c r="R2448" s="68" t="s">
        <v>555</v>
      </c>
      <c r="S2448" s="13" t="s">
        <v>18</v>
      </c>
      <c r="T2448" s="68" t="s">
        <v>28345</v>
      </c>
      <c r="U2448" s="68" t="s">
        <v>29436</v>
      </c>
      <c r="V2448" s="68" t="s">
        <v>29439</v>
      </c>
      <c r="W2448" s="68" t="s">
        <v>100</v>
      </c>
      <c r="X2448" s="68">
        <v>555</v>
      </c>
      <c r="AW2448" s="11"/>
      <c r="BA2448" s="44"/>
      <c r="BB2448" s="11"/>
    </row>
    <row r="2449" spans="1:63" ht="12" customHeight="1" x14ac:dyDescent="0.2">
      <c r="A2449" s="1" t="s">
        <v>1671</v>
      </c>
      <c r="B2449" s="68">
        <v>49</v>
      </c>
      <c r="C2449" s="1" t="s">
        <v>20</v>
      </c>
      <c r="D2449" s="1" t="s">
        <v>37</v>
      </c>
      <c r="E2449" s="1" t="str">
        <f>HYPERLINK("http://d3trabu2dfbdfb.cloudfront.net/4/6/4658528_300x300.jpeg","http://d3trabu2dfbdfb.cloudfront.net/4/6/4658528_300x300.jpeg")</f>
        <v>http://d3trabu2dfbdfb.cloudfront.net/4/6/4658528_300x300.jpeg</v>
      </c>
      <c r="F2449" s="69">
        <v>42176</v>
      </c>
      <c r="G2449" s="1" t="s">
        <v>1672</v>
      </c>
      <c r="H2449" s="1" t="s">
        <v>723</v>
      </c>
      <c r="I2449" s="1" t="s">
        <v>73</v>
      </c>
      <c r="J2449" s="4" t="s">
        <v>1673</v>
      </c>
      <c r="K2449" s="1" t="s">
        <v>558</v>
      </c>
      <c r="L2449" s="1" t="s">
        <v>559</v>
      </c>
      <c r="M2449" s="1" t="s">
        <v>27</v>
      </c>
      <c r="N2449" s="1" t="s">
        <v>1674</v>
      </c>
      <c r="O2449" s="1" t="s">
        <v>400</v>
      </c>
      <c r="P2449" s="1" t="s">
        <v>401</v>
      </c>
      <c r="Q2449" s="6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449" s="68" t="s">
        <v>555</v>
      </c>
      <c r="S2449" s="1" t="s">
        <v>35</v>
      </c>
      <c r="T2449" s="68" t="s">
        <v>29483</v>
      </c>
      <c r="U2449" s="68" t="s">
        <v>29436</v>
      </c>
      <c r="V2449" s="68" t="s">
        <v>29439</v>
      </c>
      <c r="W2449" s="68" t="s">
        <v>100</v>
      </c>
      <c r="X2449" s="68">
        <v>556</v>
      </c>
      <c r="BA2449" s="70"/>
      <c r="BB2449" s="70"/>
    </row>
    <row r="2450" spans="1:63" ht="12" customHeight="1" x14ac:dyDescent="0.15">
      <c r="A2450" s="1" t="s">
        <v>1679</v>
      </c>
      <c r="B2450" s="1">
        <v>32</v>
      </c>
      <c r="C2450" s="1" t="s">
        <v>20</v>
      </c>
      <c r="D2450" s="1" t="s">
        <v>85</v>
      </c>
      <c r="F2450" s="72">
        <v>42175</v>
      </c>
      <c r="G2450" s="1" t="s">
        <v>1680</v>
      </c>
      <c r="H2450" s="1" t="s">
        <v>189</v>
      </c>
      <c r="I2450" s="1" t="s">
        <v>25</v>
      </c>
      <c r="J2450" s="4" t="s">
        <v>1681</v>
      </c>
      <c r="K2450" s="1" t="s">
        <v>1682</v>
      </c>
      <c r="L2450" s="1" t="s">
        <v>1683</v>
      </c>
      <c r="M2450" s="1" t="s">
        <v>391</v>
      </c>
      <c r="N2450" s="1" t="s">
        <v>1684</v>
      </c>
      <c r="O2450" s="1" t="s">
        <v>400</v>
      </c>
      <c r="P2450" s="1" t="s">
        <v>401</v>
      </c>
      <c r="Q2450" s="63" t="str">
        <f>HYPERLINK("http://theadvocate.com/news/12712188-123/father-at-a-loss-for","http://theadvocate.com/news/12712188-123/father-at-a-loss-for")</f>
        <v>http://theadvocate.com/news/12712188-123/father-at-a-loss-for</v>
      </c>
      <c r="R2450" s="11" t="s">
        <v>964</v>
      </c>
      <c r="S2450" s="1" t="s">
        <v>18</v>
      </c>
      <c r="AU2450" s="11"/>
      <c r="AV2450" s="11"/>
      <c r="AW2450" s="11"/>
      <c r="AX2450" s="11"/>
      <c r="AY2450" s="11"/>
      <c r="BC2450" s="44"/>
      <c r="BD2450" s="44"/>
      <c r="BE2450" s="44"/>
      <c r="BF2450" s="44"/>
      <c r="BG2450" s="44"/>
      <c r="BH2450" s="44"/>
      <c r="BI2450" s="44"/>
      <c r="BJ2450" s="44"/>
    </row>
    <row r="2451" spans="1:63" ht="12" customHeight="1" x14ac:dyDescent="0.15">
      <c r="A2451" s="1" t="s">
        <v>1685</v>
      </c>
      <c r="B2451" s="1">
        <v>21</v>
      </c>
      <c r="C2451" s="1" t="s">
        <v>20</v>
      </c>
      <c r="D2451" s="1" t="s">
        <v>85</v>
      </c>
      <c r="E2451" s="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2451" s="72">
        <v>42175</v>
      </c>
      <c r="G2451" s="1" t="s">
        <v>1686</v>
      </c>
      <c r="H2451" s="1" t="s">
        <v>1687</v>
      </c>
      <c r="I2451" s="1" t="s">
        <v>94</v>
      </c>
      <c r="J2451" s="4" t="s">
        <v>1688</v>
      </c>
      <c r="K2451" s="1" t="s">
        <v>705</v>
      </c>
      <c r="L2451" s="1" t="s">
        <v>1689</v>
      </c>
      <c r="M2451" s="1" t="s">
        <v>391</v>
      </c>
      <c r="N2451" s="1" t="s">
        <v>1690</v>
      </c>
      <c r="O2451" s="1" t="s">
        <v>400</v>
      </c>
      <c r="P2451" s="1" t="s">
        <v>401</v>
      </c>
      <c r="Q2451" s="63" t="str">
        <f>HYPERLINK("http://www.tuscaloosanews.com/article/20150622/news/150629934?p=1&amp;tc=pg","http://www.tuscaloosanews.com/article/20150622/news/150629934?p=1&amp;tc=pg")</f>
        <v>http://www.tuscaloosanews.com/article/20150622/news/150629934?p=1&amp;tc=pg</v>
      </c>
      <c r="R2451" s="1" t="s">
        <v>100</v>
      </c>
      <c r="S2451" s="13" t="s">
        <v>18</v>
      </c>
      <c r="AU2451" s="11"/>
      <c r="AV2451" s="11"/>
      <c r="AW2451" s="11"/>
      <c r="AX2451" s="44"/>
      <c r="AY2451" s="44"/>
      <c r="BC2451" s="44"/>
      <c r="BD2451" s="44"/>
      <c r="BE2451" s="44"/>
      <c r="BF2451" s="44"/>
      <c r="BG2451" s="44"/>
      <c r="BH2451" s="44"/>
      <c r="BI2451" s="44"/>
      <c r="BJ2451" s="44"/>
    </row>
    <row r="2452" spans="1:63" ht="12" customHeight="1" x14ac:dyDescent="0.15">
      <c r="A2452" s="1" t="s">
        <v>1675</v>
      </c>
      <c r="B2452" s="68">
        <v>23</v>
      </c>
      <c r="C2452" s="1" t="s">
        <v>20</v>
      </c>
      <c r="D2452" s="1" t="s">
        <v>85</v>
      </c>
      <c r="F2452" s="69">
        <v>42175</v>
      </c>
      <c r="G2452" s="1" t="s">
        <v>1676</v>
      </c>
      <c r="H2452" s="1" t="s">
        <v>87</v>
      </c>
      <c r="I2452" s="1" t="s">
        <v>44</v>
      </c>
      <c r="J2452" s="4" t="s">
        <v>1677</v>
      </c>
      <c r="K2452" s="1" t="s">
        <v>88</v>
      </c>
      <c r="L2452" s="1" t="s">
        <v>89</v>
      </c>
      <c r="M2452" s="1" t="s">
        <v>27</v>
      </c>
      <c r="N2452" s="1" t="s">
        <v>1678</v>
      </c>
      <c r="O2452" s="1" t="s">
        <v>400</v>
      </c>
      <c r="P2452" s="1" t="s">
        <v>401</v>
      </c>
      <c r="Q2452" s="6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2452" s="1" t="s">
        <v>100</v>
      </c>
      <c r="S2452" s="1" t="s">
        <v>28</v>
      </c>
      <c r="T2452" s="68" t="s">
        <v>27756</v>
      </c>
      <c r="U2452" s="68" t="s">
        <v>29438</v>
      </c>
      <c r="V2452" s="68" t="s">
        <v>29440</v>
      </c>
      <c r="W2452" s="68" t="s">
        <v>100</v>
      </c>
      <c r="X2452" s="68">
        <v>582</v>
      </c>
      <c r="AW2452" s="11"/>
      <c r="AX2452" s="44"/>
      <c r="AY2452" s="44"/>
      <c r="BC2452" s="44"/>
      <c r="BD2452" s="44"/>
      <c r="BE2452" s="44"/>
      <c r="BF2452" s="44"/>
      <c r="BG2452" s="44"/>
      <c r="BH2452" s="44"/>
      <c r="BI2452" s="44"/>
      <c r="BJ2452" s="44"/>
      <c r="BK2452" s="44"/>
    </row>
    <row r="2453" spans="1:63" ht="12" customHeight="1" x14ac:dyDescent="0.15">
      <c r="A2453" s="1" t="s">
        <v>1701</v>
      </c>
      <c r="B2453" s="68">
        <v>50</v>
      </c>
      <c r="C2453" s="1" t="s">
        <v>20</v>
      </c>
      <c r="D2453" s="1" t="s">
        <v>48</v>
      </c>
      <c r="F2453" s="69">
        <v>42174</v>
      </c>
      <c r="G2453" s="1" t="s">
        <v>1702</v>
      </c>
      <c r="H2453" s="1" t="s">
        <v>1703</v>
      </c>
      <c r="I2453" s="1" t="s">
        <v>209</v>
      </c>
      <c r="J2453" s="4" t="s">
        <v>1704</v>
      </c>
      <c r="K2453" s="1" t="s">
        <v>1705</v>
      </c>
      <c r="L2453" s="1" t="s">
        <v>1706</v>
      </c>
      <c r="M2453" s="1" t="s">
        <v>27</v>
      </c>
      <c r="N2453" s="1" t="s">
        <v>1707</v>
      </c>
      <c r="O2453" s="1" t="s">
        <v>400</v>
      </c>
      <c r="P2453" s="1" t="s">
        <v>401</v>
      </c>
      <c r="Q2453" s="63" t="str">
        <f>HYPERLINK("http://www.greeleytribune.com/news/16932384-113/weld-district-attorney-releases-names-of-man-woman","http://www.greeleytribune.com/news/16932384-113/weld-district-attorney-releases-names-of-man-woman")</f>
        <v>http://www.greeleytribune.com/news/16932384-113/weld-district-attorney-releases-names-of-man-woman</v>
      </c>
      <c r="R2453" s="1" t="s">
        <v>100</v>
      </c>
      <c r="S2453" s="1" t="s">
        <v>28</v>
      </c>
      <c r="T2453" s="68" t="s">
        <v>27756</v>
      </c>
      <c r="U2453" s="68" t="s">
        <v>29438</v>
      </c>
      <c r="V2453" s="68" t="s">
        <v>29439</v>
      </c>
      <c r="W2453" s="68" t="s">
        <v>100</v>
      </c>
      <c r="X2453" s="68">
        <v>565</v>
      </c>
      <c r="BK2453" s="44"/>
    </row>
    <row r="2454" spans="1:63" ht="12" customHeight="1" x14ac:dyDescent="0.2">
      <c r="A2454" s="1" t="s">
        <v>1691</v>
      </c>
      <c r="B2454" s="68">
        <v>21</v>
      </c>
      <c r="C2454" s="1" t="s">
        <v>20</v>
      </c>
      <c r="D2454" s="1" t="s">
        <v>85</v>
      </c>
      <c r="E2454" s="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454" s="69">
        <v>42174</v>
      </c>
      <c r="G2454" s="1" t="s">
        <v>1692</v>
      </c>
      <c r="H2454" s="1" t="s">
        <v>547</v>
      </c>
      <c r="I2454" s="1" t="s">
        <v>69</v>
      </c>
      <c r="J2454" s="4" t="s">
        <v>1693</v>
      </c>
      <c r="K2454" s="1" t="s">
        <v>548</v>
      </c>
      <c r="L2454" s="1" t="s">
        <v>549</v>
      </c>
      <c r="M2454" s="1" t="s">
        <v>27</v>
      </c>
      <c r="N2454" s="1" t="s">
        <v>1694</v>
      </c>
      <c r="O2454" s="1" t="s">
        <v>400</v>
      </c>
      <c r="P2454" s="1" t="s">
        <v>401</v>
      </c>
      <c r="Q2454" s="63" t="str">
        <f>HYPERLINK("http://www.cincinnati.com/story/news/2015/06/19/trepierre-hummons-past/29018599/","http://www.cincinnati.com/story/news/2015/06/19/trepierre-hummons-past/29018599/")</f>
        <v>http://www.cincinnati.com/story/news/2015/06/19/trepierre-hummons-past/29018599/</v>
      </c>
      <c r="R2454" s="68" t="s">
        <v>555</v>
      </c>
      <c r="S2454" s="1" t="s">
        <v>28</v>
      </c>
      <c r="T2454" s="68" t="s">
        <v>27756</v>
      </c>
      <c r="U2454" s="68" t="s">
        <v>29438</v>
      </c>
      <c r="V2454" s="68" t="s">
        <v>29439</v>
      </c>
      <c r="W2454" s="68" t="s">
        <v>100</v>
      </c>
      <c r="X2454" s="68">
        <v>560</v>
      </c>
      <c r="AW2454" s="44"/>
      <c r="AX2454" s="44"/>
      <c r="AY2454" s="44"/>
      <c r="BA2454" s="70"/>
      <c r="BB2454" s="44"/>
      <c r="BC2454" s="44"/>
      <c r="BD2454" s="44"/>
      <c r="BE2454" s="44"/>
      <c r="BF2454" s="44"/>
      <c r="BG2454" s="44"/>
      <c r="BH2454" s="44"/>
      <c r="BI2454" s="44"/>
      <c r="BJ2454" s="44"/>
      <c r="BK2454" s="44"/>
    </row>
    <row r="2455" spans="1:63" ht="12" customHeight="1" x14ac:dyDescent="0.15">
      <c r="A2455" s="1" t="s">
        <v>1695</v>
      </c>
      <c r="B2455" s="68">
        <v>44</v>
      </c>
      <c r="C2455" s="1" t="s">
        <v>20</v>
      </c>
      <c r="D2455" s="1" t="s">
        <v>48</v>
      </c>
      <c r="F2455" s="69">
        <v>42174</v>
      </c>
      <c r="G2455" s="1" t="s">
        <v>1696</v>
      </c>
      <c r="H2455" s="1" t="s">
        <v>1697</v>
      </c>
      <c r="I2455" s="1" t="s">
        <v>46</v>
      </c>
      <c r="J2455" s="4" t="s">
        <v>1698</v>
      </c>
      <c r="K2455" s="1" t="s">
        <v>1699</v>
      </c>
      <c r="L2455" s="1" t="s">
        <v>16424</v>
      </c>
      <c r="M2455" s="1" t="s">
        <v>27</v>
      </c>
      <c r="N2455" s="1" t="s">
        <v>1700</v>
      </c>
      <c r="O2455" s="1" t="s">
        <v>400</v>
      </c>
      <c r="P2455" s="1" t="s">
        <v>401</v>
      </c>
      <c r="Q2455" s="63" t="str">
        <f>HYPERLINK("http://www.necn.com/news/new-england/Sister-Speaks-Out-About-Police-Involved-Shooting-308721631.html","http://www.necn.com/news/new-england/Sister-Speaks-Out-About-Police-Involved-Shooting-308721631.html")</f>
        <v>http://www.necn.com/news/new-england/Sister-Speaks-Out-About-Police-Involved-Shooting-308721631.html</v>
      </c>
      <c r="R2455" s="1" t="s">
        <v>555</v>
      </c>
      <c r="S2455" s="1" t="s">
        <v>28</v>
      </c>
      <c r="T2455" s="68" t="s">
        <v>29493</v>
      </c>
      <c r="U2455" s="68" t="s">
        <v>29436</v>
      </c>
      <c r="V2455" s="68" t="s">
        <v>29440</v>
      </c>
      <c r="W2455" s="68" t="s">
        <v>100</v>
      </c>
      <c r="X2455" s="68">
        <v>558</v>
      </c>
      <c r="BA2455" s="11"/>
      <c r="BB2455" s="44"/>
      <c r="BK2455" s="44"/>
    </row>
    <row r="2456" spans="1:63" ht="12" customHeight="1" x14ac:dyDescent="0.15">
      <c r="A2456" s="1" t="s">
        <v>1708</v>
      </c>
      <c r="B2456" s="68">
        <v>58</v>
      </c>
      <c r="C2456" s="1" t="s">
        <v>20</v>
      </c>
      <c r="D2456" s="1" t="s">
        <v>37</v>
      </c>
      <c r="F2456" s="69">
        <v>42173</v>
      </c>
      <c r="G2456" s="1" t="s">
        <v>1709</v>
      </c>
      <c r="H2456" s="1" t="s">
        <v>1710</v>
      </c>
      <c r="I2456" s="1" t="s">
        <v>423</v>
      </c>
      <c r="J2456" s="4" t="s">
        <v>1711</v>
      </c>
      <c r="K2456" s="1" t="s">
        <v>1712</v>
      </c>
      <c r="L2456" s="1" t="s">
        <v>582</v>
      </c>
      <c r="M2456" s="1" t="s">
        <v>27</v>
      </c>
      <c r="N2456" s="1" t="s">
        <v>1713</v>
      </c>
      <c r="O2456" s="1" t="s">
        <v>400</v>
      </c>
      <c r="P2456" s="1" t="s">
        <v>401</v>
      </c>
      <c r="Q2456" s="6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2456" s="1" t="s">
        <v>29</v>
      </c>
      <c r="S2456" s="1" t="s">
        <v>28</v>
      </c>
      <c r="T2456" s="68" t="s">
        <v>29493</v>
      </c>
      <c r="U2456" s="68" t="s">
        <v>29438</v>
      </c>
      <c r="V2456" s="68" t="s">
        <v>29440</v>
      </c>
      <c r="W2456" s="68" t="s">
        <v>100</v>
      </c>
      <c r="X2456" s="68">
        <v>564</v>
      </c>
      <c r="BK2456" s="44"/>
    </row>
    <row r="2457" spans="1:63" ht="12" customHeight="1" x14ac:dyDescent="0.15">
      <c r="A2457" s="1" t="s">
        <v>1720</v>
      </c>
      <c r="B2457" s="68">
        <v>40</v>
      </c>
      <c r="C2457" s="1" t="s">
        <v>114</v>
      </c>
      <c r="D2457" s="1" t="s">
        <v>37</v>
      </c>
      <c r="F2457" s="69">
        <v>42172</v>
      </c>
      <c r="G2457" s="1" t="s">
        <v>1721</v>
      </c>
      <c r="H2457" s="1" t="s">
        <v>1722</v>
      </c>
      <c r="I2457" s="1" t="s">
        <v>94</v>
      </c>
      <c r="J2457" s="4" t="s">
        <v>1723</v>
      </c>
      <c r="K2457" s="1" t="s">
        <v>1724</v>
      </c>
      <c r="L2457" s="1" t="s">
        <v>1725</v>
      </c>
      <c r="M2457" s="1" t="s">
        <v>27</v>
      </c>
      <c r="N2457" s="1" t="s">
        <v>1726</v>
      </c>
      <c r="O2457" s="1" t="s">
        <v>400</v>
      </c>
      <c r="P2457" s="1" t="s">
        <v>401</v>
      </c>
      <c r="Q2457" s="6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2457" s="1" t="s">
        <v>100</v>
      </c>
      <c r="S2457" s="1" t="s">
        <v>28</v>
      </c>
      <c r="T2457" s="68" t="s">
        <v>27756</v>
      </c>
      <c r="U2457" s="68" t="s">
        <v>29438</v>
      </c>
      <c r="V2457" s="68" t="s">
        <v>29437</v>
      </c>
      <c r="W2457" s="68" t="s">
        <v>100</v>
      </c>
      <c r="X2457" s="68">
        <v>557</v>
      </c>
      <c r="AW2457" s="44"/>
      <c r="BK2457" s="44"/>
    </row>
    <row r="2458" spans="1:63" ht="12" customHeight="1" x14ac:dyDescent="0.15">
      <c r="A2458" s="1" t="s">
        <v>1727</v>
      </c>
      <c r="B2458" s="68">
        <v>48</v>
      </c>
      <c r="C2458" s="1" t="s">
        <v>20</v>
      </c>
      <c r="D2458" s="1" t="s">
        <v>37</v>
      </c>
      <c r="F2458" s="69">
        <v>42172</v>
      </c>
      <c r="G2458" s="1" t="s">
        <v>1728</v>
      </c>
      <c r="H2458" s="1" t="s">
        <v>449</v>
      </c>
      <c r="I2458" s="1" t="s">
        <v>195</v>
      </c>
      <c r="J2458" s="4" t="s">
        <v>1729</v>
      </c>
      <c r="K2458" s="1" t="s">
        <v>786</v>
      </c>
      <c r="L2458" s="1" t="s">
        <v>450</v>
      </c>
      <c r="M2458" s="1" t="s">
        <v>27</v>
      </c>
      <c r="N2458" s="1" t="s">
        <v>1730</v>
      </c>
      <c r="O2458" s="1" t="s">
        <v>400</v>
      </c>
      <c r="P2458" s="1" t="s">
        <v>401</v>
      </c>
      <c r="Q2458" s="63" t="str">
        <f>HYPERLINK("http://www.kob.com/article/stories/s3831288.shtml#.Vem0QNNVhBc","http://www.kob.com/article/stories/s3831288.shtml#.Vem0QNNVhBc")</f>
        <v>http://www.kob.com/article/stories/s3831288.shtml#.Vem0QNNVhBc</v>
      </c>
      <c r="R2458" s="68" t="s">
        <v>555</v>
      </c>
      <c r="S2458" s="1" t="s">
        <v>28</v>
      </c>
      <c r="T2458" s="68" t="s">
        <v>27756</v>
      </c>
      <c r="U2458" s="68" t="s">
        <v>29438</v>
      </c>
      <c r="V2458" s="68" t="s">
        <v>29439</v>
      </c>
      <c r="W2458" s="68" t="s">
        <v>100</v>
      </c>
      <c r="X2458" s="68">
        <v>561</v>
      </c>
      <c r="BA2458" s="44"/>
      <c r="BB2458" s="11"/>
      <c r="BK2458" s="44"/>
    </row>
    <row r="2459" spans="1:63" ht="12" customHeight="1" x14ac:dyDescent="0.15">
      <c r="A2459" s="1" t="s">
        <v>1731</v>
      </c>
      <c r="B2459" s="1">
        <v>42</v>
      </c>
      <c r="C2459" s="1" t="s">
        <v>20</v>
      </c>
      <c r="D2459" s="1" t="s">
        <v>85</v>
      </c>
      <c r="E2459" s="1" t="s">
        <v>20782</v>
      </c>
      <c r="F2459" s="72">
        <v>42171</v>
      </c>
      <c r="G2459" s="1" t="s">
        <v>1732</v>
      </c>
      <c r="H2459" s="1" t="s">
        <v>1733</v>
      </c>
      <c r="I2459" s="1" t="s">
        <v>62</v>
      </c>
      <c r="J2459" s="4" t="s">
        <v>1734</v>
      </c>
      <c r="K2459" s="1" t="s">
        <v>1735</v>
      </c>
      <c r="L2459" s="1" t="s">
        <v>1736</v>
      </c>
      <c r="M2459" s="1" t="s">
        <v>29</v>
      </c>
      <c r="N2459" s="1" t="s">
        <v>1737</v>
      </c>
      <c r="O2459" s="1" t="s">
        <v>400</v>
      </c>
      <c r="P2459" s="1" t="s">
        <v>401</v>
      </c>
      <c r="Q2459" s="63"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2459" s="11" t="s">
        <v>964</v>
      </c>
      <c r="S2459" s="1" t="s">
        <v>18</v>
      </c>
      <c r="AU2459" s="11"/>
      <c r="AV2459" s="11"/>
      <c r="AW2459" s="44"/>
      <c r="AX2459" s="44"/>
      <c r="AY2459" s="44"/>
      <c r="BC2459" s="44"/>
      <c r="BD2459" s="44"/>
      <c r="BE2459" s="44"/>
      <c r="BF2459" s="44"/>
      <c r="BG2459" s="44"/>
      <c r="BH2459" s="44"/>
      <c r="BI2459" s="44"/>
      <c r="BJ2459" s="44"/>
    </row>
    <row r="2460" spans="1:63" ht="12" customHeight="1" x14ac:dyDescent="0.15">
      <c r="A2460" s="1" t="s">
        <v>1745</v>
      </c>
      <c r="B2460" s="68">
        <v>28</v>
      </c>
      <c r="C2460" s="1" t="s">
        <v>20</v>
      </c>
      <c r="D2460" s="68" t="s">
        <v>48</v>
      </c>
      <c r="F2460" s="69">
        <v>42171</v>
      </c>
      <c r="G2460" s="1" t="s">
        <v>1746</v>
      </c>
      <c r="H2460" s="1" t="s">
        <v>1747</v>
      </c>
      <c r="I2460" s="1" t="s">
        <v>45</v>
      </c>
      <c r="J2460" s="4" t="s">
        <v>1748</v>
      </c>
      <c r="K2460" s="1" t="s">
        <v>1163</v>
      </c>
      <c r="L2460" s="1" t="s">
        <v>1749</v>
      </c>
      <c r="M2460" s="1" t="s">
        <v>27</v>
      </c>
      <c r="N2460" s="1" t="s">
        <v>1750</v>
      </c>
      <c r="O2460" s="1" t="s">
        <v>400</v>
      </c>
      <c r="P2460" s="1" t="s">
        <v>401</v>
      </c>
      <c r="Q2460" s="6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2460" s="1" t="s">
        <v>100</v>
      </c>
      <c r="S2460" s="1" t="s">
        <v>28</v>
      </c>
      <c r="T2460" s="68" t="s">
        <v>27756</v>
      </c>
      <c r="U2460" s="68" t="s">
        <v>29438</v>
      </c>
      <c r="V2460" s="68" t="s">
        <v>29439</v>
      </c>
      <c r="W2460" s="68" t="s">
        <v>100</v>
      </c>
      <c r="X2460" s="68">
        <v>559</v>
      </c>
      <c r="AW2460" s="44"/>
      <c r="BK2460" s="44"/>
    </row>
    <row r="2461" spans="1:63" ht="12" customHeight="1" x14ac:dyDescent="0.15">
      <c r="A2461" s="1" t="s">
        <v>1714</v>
      </c>
      <c r="B2461" s="68">
        <v>31</v>
      </c>
      <c r="C2461" s="1" t="s">
        <v>20</v>
      </c>
      <c r="D2461" s="1" t="s">
        <v>139</v>
      </c>
      <c r="F2461" s="69">
        <v>42171</v>
      </c>
      <c r="G2461" s="1" t="s">
        <v>29</v>
      </c>
      <c r="H2461" s="1" t="s">
        <v>1715</v>
      </c>
      <c r="I2461" s="1" t="s">
        <v>1716</v>
      </c>
      <c r="K2461" s="1" t="s">
        <v>1717</v>
      </c>
      <c r="L2461" s="1" t="s">
        <v>1718</v>
      </c>
      <c r="M2461" s="1" t="s">
        <v>27</v>
      </c>
      <c r="N2461" s="1" t="s">
        <v>1719</v>
      </c>
      <c r="O2461" s="1" t="s">
        <v>400</v>
      </c>
      <c r="P2461" s="1" t="s">
        <v>401</v>
      </c>
      <c r="Q2461" s="6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2461" s="1" t="s">
        <v>100</v>
      </c>
      <c r="S2461" s="1" t="s">
        <v>28</v>
      </c>
      <c r="T2461" s="68" t="s">
        <v>27756</v>
      </c>
      <c r="U2461" s="68" t="s">
        <v>29438</v>
      </c>
      <c r="V2461" s="68" t="s">
        <v>29439</v>
      </c>
      <c r="W2461" s="68" t="s">
        <v>100</v>
      </c>
      <c r="X2461" s="68">
        <v>563</v>
      </c>
      <c r="AW2461" s="11"/>
      <c r="BK2461" s="44"/>
    </row>
    <row r="2462" spans="1:63" ht="12" customHeight="1" x14ac:dyDescent="0.15">
      <c r="A2462" s="1" t="s">
        <v>1738</v>
      </c>
      <c r="B2462" s="1">
        <v>51</v>
      </c>
      <c r="C2462" s="1" t="s">
        <v>114</v>
      </c>
      <c r="D2462" s="1" t="s">
        <v>37</v>
      </c>
      <c r="F2462" s="72">
        <v>42171</v>
      </c>
      <c r="G2462" s="1" t="s">
        <v>1739</v>
      </c>
      <c r="H2462" s="1" t="s">
        <v>1740</v>
      </c>
      <c r="I2462" s="1" t="s">
        <v>81</v>
      </c>
      <c r="J2462" s="4" t="s">
        <v>1741</v>
      </c>
      <c r="K2462" s="1" t="s">
        <v>1742</v>
      </c>
      <c r="L2462" s="1" t="s">
        <v>1743</v>
      </c>
      <c r="M2462" s="1" t="s">
        <v>27</v>
      </c>
      <c r="N2462" s="1" t="s">
        <v>1744</v>
      </c>
      <c r="O2462" s="1" t="s">
        <v>29661</v>
      </c>
      <c r="P2462" s="1" t="s">
        <v>29662</v>
      </c>
      <c r="Q2462" s="63" t="str">
        <f>HYPERLINK("http://newyork.cbslocal.com/2015/06/17/neptune-police-officer-shooting/","http://newyork.cbslocal.com/2015/06/17/neptune-police-officer-shooting/")</f>
        <v>http://newyork.cbslocal.com/2015/06/17/neptune-police-officer-shooting/</v>
      </c>
      <c r="R2462" s="1" t="s">
        <v>100</v>
      </c>
      <c r="S2462" s="1" t="s">
        <v>18</v>
      </c>
      <c r="T2462" s="68"/>
      <c r="U2462" s="68"/>
      <c r="V2462" s="68"/>
      <c r="W2462" s="68"/>
      <c r="X2462" s="68"/>
    </row>
    <row r="2463" spans="1:63" ht="12" customHeight="1" x14ac:dyDescent="0.2">
      <c r="A2463" s="11" t="s">
        <v>23210</v>
      </c>
      <c r="B2463" s="11">
        <v>47</v>
      </c>
      <c r="C2463" s="11" t="s">
        <v>20</v>
      </c>
      <c r="D2463" s="11" t="s">
        <v>85</v>
      </c>
      <c r="E2463" s="11" t="s">
        <v>23211</v>
      </c>
      <c r="F2463" s="72">
        <v>42170</v>
      </c>
      <c r="G2463" s="11" t="s">
        <v>23212</v>
      </c>
      <c r="H2463" s="11" t="s">
        <v>2101</v>
      </c>
      <c r="I2463" s="11" t="s">
        <v>81</v>
      </c>
      <c r="J2463" s="17">
        <v>8618</v>
      </c>
      <c r="K2463" s="1" t="s">
        <v>2902</v>
      </c>
      <c r="L2463" s="11" t="s">
        <v>2103</v>
      </c>
      <c r="M2463" s="11" t="s">
        <v>23213</v>
      </c>
      <c r="N2463" s="11" t="s">
        <v>23214</v>
      </c>
      <c r="O2463" s="11" t="s">
        <v>400</v>
      </c>
      <c r="P2463" s="11" t="s">
        <v>401</v>
      </c>
      <c r="Q2463" s="11" t="s">
        <v>23215</v>
      </c>
      <c r="R2463" s="11" t="s">
        <v>100</v>
      </c>
      <c r="S2463" s="11" t="s">
        <v>18</v>
      </c>
      <c r="T2463" s="11"/>
      <c r="U2463" s="11"/>
      <c r="V2463" s="11"/>
      <c r="W2463" s="11"/>
      <c r="X2463" s="11"/>
      <c r="Y2463" s="11"/>
      <c r="Z2463" s="11"/>
      <c r="AA2463" s="11"/>
      <c r="AB2463" s="11"/>
      <c r="AC2463" s="11"/>
      <c r="AD2463" s="11"/>
      <c r="AE2463" s="11"/>
      <c r="AF2463" s="11"/>
      <c r="AG2463" s="11"/>
      <c r="AH2463" s="11"/>
      <c r="AI2463" s="11"/>
      <c r="AJ2463" s="11"/>
      <c r="AK2463" s="11"/>
      <c r="AL2463" s="11"/>
      <c r="AU2463" s="70"/>
      <c r="AV2463" s="70"/>
      <c r="AW2463" s="70"/>
      <c r="AX2463" s="44"/>
      <c r="AY2463" s="44"/>
      <c r="BC2463" s="44"/>
      <c r="BD2463" s="44"/>
      <c r="BE2463" s="44"/>
      <c r="BF2463" s="44"/>
      <c r="BG2463" s="44"/>
      <c r="BH2463" s="44"/>
      <c r="BI2463" s="44"/>
      <c r="BJ2463" s="44"/>
    </row>
    <row r="2464" spans="1:63" ht="12" customHeight="1" x14ac:dyDescent="0.15">
      <c r="A2464" s="1" t="s">
        <v>1751</v>
      </c>
      <c r="B2464" s="68">
        <v>22</v>
      </c>
      <c r="C2464" s="1" t="s">
        <v>20</v>
      </c>
      <c r="D2464" s="1" t="s">
        <v>85</v>
      </c>
      <c r="E2464" s="1" t="str">
        <f>HYPERLINK("http://www.kcra.com/image/view/-/33606430/medRes/1/-/maxh/460/maxw/620/-/xldfqjz/-/Kris-Jackson-061615-jpg.jpg","http://www.kcra.com/image/view/-/33606430/medRes/1/-/maxh/460/maxw/620/-/xldfqjz/-/Kris-Jackson-061615-jpg.jpg")</f>
        <v>http://www.kcra.com/image/view/-/33606430/medRes/1/-/maxh/460/maxw/620/-/xldfqjz/-/Kris-Jackson-061615-jpg.jpg</v>
      </c>
      <c r="F2464" s="69">
        <v>42170</v>
      </c>
      <c r="G2464" s="1" t="s">
        <v>1752</v>
      </c>
      <c r="H2464" s="1" t="s">
        <v>1753</v>
      </c>
      <c r="I2464" s="1" t="s">
        <v>45</v>
      </c>
      <c r="J2464" s="4" t="s">
        <v>1754</v>
      </c>
      <c r="K2464" s="1" t="s">
        <v>1755</v>
      </c>
      <c r="L2464" s="1" t="s">
        <v>1756</v>
      </c>
      <c r="M2464" s="1" t="s">
        <v>27</v>
      </c>
      <c r="N2464" s="1" t="s">
        <v>1757</v>
      </c>
      <c r="O2464" s="1" t="s">
        <v>400</v>
      </c>
      <c r="P2464" s="1" t="s">
        <v>401</v>
      </c>
      <c r="Q2464" s="63" t="s">
        <v>20842</v>
      </c>
      <c r="R2464" s="1" t="s">
        <v>100</v>
      </c>
      <c r="S2464" s="1" t="s">
        <v>18</v>
      </c>
      <c r="T2464" s="68" t="s">
        <v>28345</v>
      </c>
      <c r="U2464" s="68" t="s">
        <v>29436</v>
      </c>
      <c r="V2464" s="68" t="s">
        <v>29440</v>
      </c>
      <c r="W2464" s="68" t="s">
        <v>100</v>
      </c>
      <c r="X2464" s="68">
        <v>550</v>
      </c>
      <c r="AW2464" s="44"/>
      <c r="AX2464" s="44"/>
      <c r="AY2464" s="44"/>
      <c r="BC2464" s="44"/>
      <c r="BD2464" s="44"/>
      <c r="BE2464" s="44"/>
      <c r="BF2464" s="44"/>
      <c r="BG2464" s="44"/>
      <c r="BH2464" s="44"/>
      <c r="BI2464" s="44"/>
      <c r="BJ2464" s="44"/>
    </row>
    <row r="2465" spans="1:63" ht="12" customHeight="1" x14ac:dyDescent="0.15">
      <c r="A2465" s="1" t="s">
        <v>1758</v>
      </c>
      <c r="B2465" s="68">
        <v>28</v>
      </c>
      <c r="C2465" s="1" t="s">
        <v>20</v>
      </c>
      <c r="D2465" s="1" t="s">
        <v>48</v>
      </c>
      <c r="E2465" s="1" t="str">
        <f>HYPERLINK("https://tribfox40.files.wordpress.com/2015/06/kenneth-garcia.jpg","https://tribfox40.files.wordpress.com/2015/06/kenneth-garcia.jpg")</f>
        <v>https://tribfox40.files.wordpress.com/2015/06/kenneth-garcia.jpg</v>
      </c>
      <c r="F2465" s="69">
        <v>42169</v>
      </c>
      <c r="G2465" s="1" t="s">
        <v>1759</v>
      </c>
      <c r="H2465" s="1" t="s">
        <v>1760</v>
      </c>
      <c r="I2465" s="1" t="s">
        <v>45</v>
      </c>
      <c r="J2465" s="4" t="s">
        <v>1761</v>
      </c>
      <c r="K2465" s="1" t="s">
        <v>1762</v>
      </c>
      <c r="L2465" s="1" t="s">
        <v>1763</v>
      </c>
      <c r="M2465" s="1" t="s">
        <v>27</v>
      </c>
      <c r="N2465" s="1" t="s">
        <v>1764</v>
      </c>
      <c r="O2465" s="1" t="s">
        <v>400</v>
      </c>
      <c r="P2465" s="1" t="s">
        <v>401</v>
      </c>
      <c r="Q2465" s="6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2465" s="1" t="s">
        <v>100</v>
      </c>
      <c r="S2465" s="1" t="s">
        <v>379</v>
      </c>
      <c r="T2465" s="68" t="s">
        <v>379</v>
      </c>
      <c r="U2465" s="68" t="s">
        <v>29438</v>
      </c>
      <c r="V2465" s="68" t="s">
        <v>29437</v>
      </c>
      <c r="W2465" s="68" t="s">
        <v>100</v>
      </c>
      <c r="X2465" s="68">
        <v>547</v>
      </c>
      <c r="AW2465" s="44"/>
      <c r="BK2465" s="44"/>
    </row>
    <row r="2466" spans="1:63" ht="12" customHeight="1" x14ac:dyDescent="0.2">
      <c r="A2466" s="1" t="s">
        <v>1765</v>
      </c>
      <c r="B2466" s="68">
        <v>15</v>
      </c>
      <c r="C2466" s="1" t="s">
        <v>20</v>
      </c>
      <c r="D2466" s="1" t="s">
        <v>37</v>
      </c>
      <c r="E2466" s="1" t="str">
        <f>HYPERLINK("http://media.cmgdigital.com/shared/img/photos/2015/06/15/08/8a/Zane_Terryn.jpg","http://media.cmgdigital.com/shared/img/photos/2015/06/15/08/8a/Zane_Terryn.jpg")</f>
        <v>http://media.cmgdigital.com/shared/img/photos/2015/06/15/08/8a/Zane_Terryn.jpg</v>
      </c>
      <c r="F2466" s="69">
        <v>42169</v>
      </c>
      <c r="G2466" s="1" t="s">
        <v>1766</v>
      </c>
      <c r="H2466" s="1" t="s">
        <v>1767</v>
      </c>
      <c r="I2466" s="1" t="s">
        <v>62</v>
      </c>
      <c r="J2466" s="4" t="s">
        <v>1768</v>
      </c>
      <c r="K2466" s="1" t="s">
        <v>1769</v>
      </c>
      <c r="L2466" s="1" t="s">
        <v>1025</v>
      </c>
      <c r="M2466" s="1" t="s">
        <v>27</v>
      </c>
      <c r="N2466" s="1" t="s">
        <v>1770</v>
      </c>
      <c r="O2466" s="1" t="s">
        <v>400</v>
      </c>
      <c r="P2466" s="1" t="s">
        <v>401</v>
      </c>
      <c r="Q2466" s="63" t="str">
        <f>HYPERLINK("http://www.wftv.com/news/news/local/trooper-teens-idd-brevard-county-shooting/nmdGr/","http://www.wftv.com/news/news/local/trooper-teens-idd-brevard-county-shooting/nmdGr/")</f>
        <v>http://www.wftv.com/news/news/local/trooper-teens-idd-brevard-county-shooting/nmdGr/</v>
      </c>
      <c r="R2466" s="1" t="s">
        <v>555</v>
      </c>
      <c r="S2466" s="1" t="s">
        <v>28</v>
      </c>
      <c r="T2466" s="68" t="s">
        <v>27756</v>
      </c>
      <c r="U2466" s="68" t="s">
        <v>29438</v>
      </c>
      <c r="V2466" s="68" t="s">
        <v>29439</v>
      </c>
      <c r="W2466" s="68" t="s">
        <v>100</v>
      </c>
      <c r="X2466" s="68">
        <v>551</v>
      </c>
      <c r="AW2466" s="70"/>
      <c r="BA2466" s="11"/>
      <c r="BB2466" s="44"/>
      <c r="BK2466" s="44"/>
    </row>
    <row r="2467" spans="1:63" ht="12" customHeight="1" x14ac:dyDescent="0.15">
      <c r="A2467" s="1" t="s">
        <v>1775</v>
      </c>
      <c r="B2467" s="68">
        <v>35</v>
      </c>
      <c r="C2467" s="1" t="s">
        <v>20</v>
      </c>
      <c r="D2467" s="1" t="s">
        <v>85</v>
      </c>
      <c r="E2467" s="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2467" s="69">
        <v>42168</v>
      </c>
      <c r="G2467" s="1" t="s">
        <v>1776</v>
      </c>
      <c r="H2467" s="1" t="s">
        <v>890</v>
      </c>
      <c r="I2467" s="1" t="s">
        <v>315</v>
      </c>
      <c r="J2467" s="4" t="s">
        <v>1777</v>
      </c>
      <c r="K2467" s="1" t="s">
        <v>1778</v>
      </c>
      <c r="L2467" s="1" t="s">
        <v>891</v>
      </c>
      <c r="M2467" s="1" t="s">
        <v>27</v>
      </c>
      <c r="N2467" s="1" t="s">
        <v>1779</v>
      </c>
      <c r="O2467" s="1" t="s">
        <v>1010</v>
      </c>
      <c r="P2467" s="1" t="s">
        <v>401</v>
      </c>
      <c r="Q2467" s="6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2467" s="11" t="s">
        <v>964</v>
      </c>
      <c r="S2467" s="11" t="s">
        <v>35</v>
      </c>
      <c r="T2467" s="68" t="s">
        <v>29484</v>
      </c>
      <c r="U2467" s="68" t="s">
        <v>29436</v>
      </c>
      <c r="V2467" s="68" t="s">
        <v>29439</v>
      </c>
      <c r="W2467" s="68" t="s">
        <v>100</v>
      </c>
      <c r="X2467" s="68">
        <v>548</v>
      </c>
      <c r="AW2467" s="11"/>
      <c r="AX2467" s="11"/>
      <c r="AY2467" s="11"/>
      <c r="BA2467" s="44"/>
      <c r="BB2467" s="44"/>
      <c r="BC2467" s="44"/>
      <c r="BD2467" s="44"/>
      <c r="BE2467" s="44"/>
      <c r="BF2467" s="44"/>
      <c r="BG2467" s="44"/>
      <c r="BH2467" s="44"/>
      <c r="BI2467" s="44"/>
      <c r="BJ2467" s="44"/>
    </row>
    <row r="2468" spans="1:63" ht="12" customHeight="1" x14ac:dyDescent="0.15">
      <c r="A2468" s="1" t="s">
        <v>1799</v>
      </c>
      <c r="B2468" s="68">
        <v>46</v>
      </c>
      <c r="C2468" s="1" t="s">
        <v>20</v>
      </c>
      <c r="D2468" s="1" t="s">
        <v>37</v>
      </c>
      <c r="E2468" s="1" t="str">
        <f>HYPERLINK("http://assets.mediaspanonline.com/prod/11889528/7206529_h400.jpg","http://assets.mediaspanonline.com/prod/11889528/7206529_h400.jpg")</f>
        <v>http://assets.mediaspanonline.com/prod/11889528/7206529_h400.jpg</v>
      </c>
      <c r="F2468" s="69">
        <v>42168</v>
      </c>
      <c r="G2468" s="1" t="s">
        <v>1800</v>
      </c>
      <c r="H2468" s="1" t="s">
        <v>1801</v>
      </c>
      <c r="I2468" s="1" t="s">
        <v>217</v>
      </c>
      <c r="J2468" s="4" t="s">
        <v>1802</v>
      </c>
      <c r="K2468" s="1" t="s">
        <v>1803</v>
      </c>
      <c r="L2468" s="1" t="s">
        <v>1804</v>
      </c>
      <c r="M2468" s="1" t="s">
        <v>27</v>
      </c>
      <c r="N2468" s="1" t="s">
        <v>1805</v>
      </c>
      <c r="O2468" s="1" t="s">
        <v>1010</v>
      </c>
      <c r="P2468" s="1" t="s">
        <v>401</v>
      </c>
      <c r="Q2468" s="63" t="str">
        <f>HYPERLINK("http://wane.com/2015/06/15/coroner-releases-identity-of-man-shot-by-officer/","http://wane.com/2015/06/15/coroner-releases-identity-of-man-shot-by-officer/")</f>
        <v>http://wane.com/2015/06/15/coroner-releases-identity-of-man-shot-by-officer/</v>
      </c>
      <c r="R2468" s="1" t="s">
        <v>100</v>
      </c>
      <c r="S2468" s="1" t="s">
        <v>28</v>
      </c>
      <c r="T2468" s="68" t="s">
        <v>27756</v>
      </c>
      <c r="U2468" s="68" t="s">
        <v>29438</v>
      </c>
      <c r="V2468" s="68" t="s">
        <v>29439</v>
      </c>
      <c r="W2468" s="68" t="s">
        <v>100</v>
      </c>
      <c r="X2468" s="68">
        <v>546</v>
      </c>
      <c r="BK2468" s="44"/>
    </row>
    <row r="2469" spans="1:63" ht="12" customHeight="1" x14ac:dyDescent="0.15">
      <c r="A2469" s="1" t="s">
        <v>1780</v>
      </c>
      <c r="B2469" s="1">
        <v>24</v>
      </c>
      <c r="C2469" s="1" t="s">
        <v>114</v>
      </c>
      <c r="D2469" s="1" t="s">
        <v>37</v>
      </c>
      <c r="E2469" s="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2469" s="72">
        <v>42168</v>
      </c>
      <c r="G2469" s="1" t="s">
        <v>1781</v>
      </c>
      <c r="H2469" s="1" t="s">
        <v>1782</v>
      </c>
      <c r="I2469" s="1" t="s">
        <v>32</v>
      </c>
      <c r="J2469" s="4" t="s">
        <v>1783</v>
      </c>
      <c r="K2469" s="1" t="s">
        <v>1784</v>
      </c>
      <c r="L2469" s="1" t="s">
        <v>1785</v>
      </c>
      <c r="M2469" s="1" t="s">
        <v>27</v>
      </c>
      <c r="N2469" s="1" t="s">
        <v>1786</v>
      </c>
      <c r="O2469" s="1" t="s">
        <v>1787</v>
      </c>
      <c r="P2469" s="1" t="s">
        <v>401</v>
      </c>
      <c r="Q2469" s="63" t="str">
        <f>HYPERLINK("http://www.wrdw.com/home/headlines/Shooting-on-Coulter-Drive-in-North-Augusta-307293011.html","http://www.wrdw.com/home/headlines/Shooting-on-Coulter-Drive-in-North-Augusta-307293011.html")</f>
        <v>http://www.wrdw.com/home/headlines/Shooting-on-Coulter-Drive-in-North-Augusta-307293011.html</v>
      </c>
      <c r="R2469" s="1" t="s">
        <v>100</v>
      </c>
      <c r="S2469" s="1" t="s">
        <v>35</v>
      </c>
      <c r="T2469" s="68"/>
      <c r="U2469" s="68"/>
      <c r="V2469" s="68"/>
      <c r="W2469" s="68"/>
      <c r="X2469" s="68"/>
    </row>
    <row r="2470" spans="1:63" ht="12" customHeight="1" x14ac:dyDescent="0.15">
      <c r="A2470" s="1" t="s">
        <v>1771</v>
      </c>
      <c r="B2470" s="1">
        <v>47</v>
      </c>
      <c r="C2470" s="1" t="s">
        <v>20</v>
      </c>
      <c r="D2470" s="1" t="s">
        <v>85</v>
      </c>
      <c r="E2470" s="1" t="str">
        <f>HYPERLINK("http://whns.images.worldnow.com/images/8077680_G.jpg","http://whns.images.worldnow.com/images/8077680_G.jpg")</f>
        <v>http://whns.images.worldnow.com/images/8077680_G.jpg</v>
      </c>
      <c r="F2470" s="72">
        <v>42168</v>
      </c>
      <c r="G2470" s="1" t="s">
        <v>1772</v>
      </c>
      <c r="H2470" s="1" t="s">
        <v>33</v>
      </c>
      <c r="I2470" s="1" t="s">
        <v>32</v>
      </c>
      <c r="J2470" s="4" t="s">
        <v>1773</v>
      </c>
      <c r="K2470" s="1" t="s">
        <v>33</v>
      </c>
      <c r="L2470" s="1" t="s">
        <v>34</v>
      </c>
      <c r="M2470" s="1" t="s">
        <v>379</v>
      </c>
      <c r="N2470" s="1" t="s">
        <v>1774</v>
      </c>
      <c r="O2470" s="1" t="s">
        <v>1010</v>
      </c>
      <c r="P2470" s="1" t="s">
        <v>401</v>
      </c>
      <c r="Q2470" s="63"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2470" s="1" t="s">
        <v>100</v>
      </c>
      <c r="S2470" s="66" t="s">
        <v>379</v>
      </c>
      <c r="T2470" s="66" t="s">
        <v>30738</v>
      </c>
      <c r="AX2470" s="44"/>
      <c r="AY2470" s="44"/>
      <c r="BC2470" s="44"/>
      <c r="BD2470" s="44"/>
      <c r="BE2470" s="44"/>
      <c r="BF2470" s="44"/>
      <c r="BG2470" s="44"/>
      <c r="BH2470" s="44"/>
      <c r="BI2470" s="44"/>
      <c r="BJ2470" s="44"/>
    </row>
    <row r="2471" spans="1:63" ht="12" customHeight="1" x14ac:dyDescent="0.15">
      <c r="A2471" s="1" t="s">
        <v>1788</v>
      </c>
      <c r="B2471" s="1">
        <v>51</v>
      </c>
      <c r="C2471" s="1" t="s">
        <v>20</v>
      </c>
      <c r="D2471" s="1" t="s">
        <v>37</v>
      </c>
      <c r="E2471" s="1" t="str">
        <f>HYPERLINK("http://media.cmgdigital.com/shared/img/photos/2015/07/01/63/fb/jimmy_payne_alteredREV2.jpg","http://media.cmgdigital.com/shared/img/photos/2015/07/01/63/fb/jimmy_payne_alteredREV2.jpg")</f>
        <v>http://media.cmgdigital.com/shared/img/photos/2015/07/01/63/fb/jimmy_payne_alteredREV2.jpg</v>
      </c>
      <c r="F2471" s="72">
        <v>42168</v>
      </c>
      <c r="G2471" s="1" t="s">
        <v>1789</v>
      </c>
      <c r="H2471" s="1" t="s">
        <v>1790</v>
      </c>
      <c r="I2471" s="1" t="s">
        <v>69</v>
      </c>
      <c r="J2471" s="4" t="s">
        <v>1791</v>
      </c>
      <c r="K2471" s="1" t="s">
        <v>1056</v>
      </c>
      <c r="L2471" s="1" t="s">
        <v>1792</v>
      </c>
      <c r="M2471" s="1" t="s">
        <v>379</v>
      </c>
      <c r="N2471" s="1" t="s">
        <v>1793</v>
      </c>
      <c r="O2471" s="1" t="s">
        <v>400</v>
      </c>
      <c r="P2471" s="1" t="s">
        <v>401</v>
      </c>
      <c r="Q2471" s="63" t="str">
        <f>HYPERLINK("http://www.whio.com/news/news/officer-on-leave-during-crash-investigation/nmjmX/","http://www.whio.com/news/news/officer-on-leave-during-crash-investigation/nmjmX/")</f>
        <v>http://www.whio.com/news/news/officer-on-leave-during-crash-investigation/nmjmX/</v>
      </c>
      <c r="R2471" s="1" t="s">
        <v>100</v>
      </c>
      <c r="S2471" s="66" t="s">
        <v>379</v>
      </c>
      <c r="T2471" s="66" t="s">
        <v>30738</v>
      </c>
    </row>
    <row r="2472" spans="1:63" ht="12" customHeight="1" x14ac:dyDescent="0.2">
      <c r="A2472" s="1" t="s">
        <v>1794</v>
      </c>
      <c r="B2472" s="68">
        <v>35</v>
      </c>
      <c r="C2472" s="1" t="s">
        <v>20</v>
      </c>
      <c r="D2472" s="1" t="s">
        <v>37</v>
      </c>
      <c r="E2472" s="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2472" s="69">
        <v>42168</v>
      </c>
      <c r="G2472" s="1" t="s">
        <v>1795</v>
      </c>
      <c r="H2472" s="1" t="s">
        <v>1796</v>
      </c>
      <c r="I2472" s="1" t="s">
        <v>73</v>
      </c>
      <c r="J2472" s="4" t="s">
        <v>1797</v>
      </c>
      <c r="K2472" s="1" t="s">
        <v>285</v>
      </c>
      <c r="L2472" s="1" t="s">
        <v>286</v>
      </c>
      <c r="M2472" s="1" t="s">
        <v>27</v>
      </c>
      <c r="N2472" s="1" t="s">
        <v>1798</v>
      </c>
      <c r="O2472" s="1" t="s">
        <v>1010</v>
      </c>
      <c r="P2472" s="1" t="s">
        <v>401</v>
      </c>
      <c r="Q2472" s="6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2472" s="68" t="s">
        <v>555</v>
      </c>
      <c r="S2472" s="1" t="s">
        <v>28</v>
      </c>
      <c r="T2472" s="68" t="s">
        <v>29491</v>
      </c>
      <c r="U2472" s="68" t="s">
        <v>29438</v>
      </c>
      <c r="V2472" s="68" t="s">
        <v>29439</v>
      </c>
      <c r="W2472" s="68" t="s">
        <v>100</v>
      </c>
      <c r="X2472" s="68">
        <v>549</v>
      </c>
      <c r="AW2472" s="11"/>
      <c r="BA2472" s="70"/>
      <c r="BB2472" s="44"/>
      <c r="BK2472" s="44"/>
    </row>
    <row r="2473" spans="1:63" ht="12" customHeight="1" x14ac:dyDescent="0.2">
      <c r="A2473" s="1" t="s">
        <v>1806</v>
      </c>
      <c r="B2473" s="68">
        <v>17</v>
      </c>
      <c r="C2473" s="1" t="s">
        <v>114</v>
      </c>
      <c r="D2473" s="1" t="s">
        <v>37</v>
      </c>
      <c r="E2473" s="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473" s="69">
        <v>42167</v>
      </c>
      <c r="G2473" s="1" t="s">
        <v>1807</v>
      </c>
      <c r="H2473" s="1" t="s">
        <v>1808</v>
      </c>
      <c r="I2473" s="1" t="s">
        <v>217</v>
      </c>
      <c r="J2473" s="4" t="s">
        <v>1809</v>
      </c>
      <c r="K2473" s="1" t="s">
        <v>53</v>
      </c>
      <c r="L2473" s="1" t="s">
        <v>1810</v>
      </c>
      <c r="M2473" s="1" t="s">
        <v>27</v>
      </c>
      <c r="N2473" s="1" t="s">
        <v>1811</v>
      </c>
      <c r="O2473" s="1" t="s">
        <v>550</v>
      </c>
      <c r="P2473" s="1" t="s">
        <v>401</v>
      </c>
      <c r="Q2473" s="6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473" s="68" t="s">
        <v>555</v>
      </c>
      <c r="S2473" s="11" t="s">
        <v>18</v>
      </c>
      <c r="T2473" s="68" t="s">
        <v>29612</v>
      </c>
      <c r="U2473" s="68" t="s">
        <v>29438</v>
      </c>
      <c r="V2473" s="68" t="s">
        <v>29439</v>
      </c>
      <c r="W2473" s="68" t="s">
        <v>100</v>
      </c>
      <c r="X2473" s="68">
        <v>553</v>
      </c>
      <c r="AW2473" s="70"/>
      <c r="BA2473" s="70"/>
      <c r="BB2473" s="44"/>
    </row>
    <row r="2474" spans="1:63" ht="12" customHeight="1" x14ac:dyDescent="0.2">
      <c r="A2474" s="1" t="s">
        <v>1812</v>
      </c>
      <c r="B2474" s="1">
        <v>50</v>
      </c>
      <c r="C2474" s="1" t="s">
        <v>20</v>
      </c>
      <c r="D2474" s="1" t="s">
        <v>37</v>
      </c>
      <c r="E2474" s="1" t="str">
        <f>HYPERLINK("http://wvns.images.worldnow.com/images/8063652_G.jpg","http://wvns.images.worldnow.com/images/8063652_G.jpg")</f>
        <v>http://wvns.images.worldnow.com/images/8063652_G.jpg</v>
      </c>
      <c r="F2474" s="72">
        <v>42167</v>
      </c>
      <c r="G2474" s="1" t="s">
        <v>1813</v>
      </c>
      <c r="H2474" s="1" t="s">
        <v>1814</v>
      </c>
      <c r="I2474" s="1" t="s">
        <v>150</v>
      </c>
      <c r="J2474" s="4">
        <v>25059</v>
      </c>
      <c r="K2474" s="1" t="s">
        <v>1516</v>
      </c>
      <c r="L2474" s="1" t="s">
        <v>1815</v>
      </c>
      <c r="M2474" s="11" t="s">
        <v>22940</v>
      </c>
      <c r="P2474" s="1" t="s">
        <v>401</v>
      </c>
      <c r="Q2474" s="63" t="str">
        <f>HYPERLINK("http://www.wowktv.com/story/29310449/inmate-death-reported-at-mount-olive-prison-in-fayette-county","http://www.wowktv.com/story/29310449/inmate-death-reported-at-mount-olive-prison-in-fayette-county")</f>
        <v>http://www.wowktv.com/story/29310449/inmate-death-reported-at-mount-olive-prison-in-fayette-county</v>
      </c>
      <c r="R2474" s="1" t="s">
        <v>29</v>
      </c>
      <c r="S2474" s="1" t="s">
        <v>18</v>
      </c>
      <c r="AT2474" s="70"/>
      <c r="AU2474" s="70"/>
      <c r="AW2474" s="44"/>
      <c r="AX2474" s="44"/>
      <c r="AY2474" s="44"/>
      <c r="BK2474" s="78"/>
    </row>
    <row r="2475" spans="1:63" ht="12" customHeight="1" x14ac:dyDescent="0.15">
      <c r="A2475" s="1" t="s">
        <v>1816</v>
      </c>
      <c r="B2475" s="68">
        <v>40</v>
      </c>
      <c r="C2475" s="1" t="s">
        <v>20</v>
      </c>
      <c r="D2475" s="1" t="s">
        <v>85</v>
      </c>
      <c r="E2475" s="1" t="str">
        <f>HYPERLINK("http://www.trbimg.com/img-557a9e9e/turbine/fl-pompano-beach-fatal-shoot-bso-20150611-003/550/550x309","http://www.trbimg.com/img-557a9e9e/turbine/fl-pompano-beach-fatal-shoot-bso-20150611-003/550/550x309")</f>
        <v>http://www.trbimg.com/img-557a9e9e/turbine/fl-pompano-beach-fatal-shoot-bso-20150611-003/550/550x309</v>
      </c>
      <c r="F2475" s="69">
        <v>42166</v>
      </c>
      <c r="G2475" s="1" t="s">
        <v>1817</v>
      </c>
      <c r="H2475" s="1" t="s">
        <v>1818</v>
      </c>
      <c r="I2475" s="1" t="s">
        <v>62</v>
      </c>
      <c r="J2475" s="4" t="s">
        <v>1819</v>
      </c>
      <c r="K2475" s="1" t="s">
        <v>1123</v>
      </c>
      <c r="L2475" s="1" t="s">
        <v>4384</v>
      </c>
      <c r="M2475" s="1" t="s">
        <v>27</v>
      </c>
      <c r="N2475" s="1" t="s">
        <v>1820</v>
      </c>
      <c r="O2475" s="1" t="s">
        <v>1010</v>
      </c>
      <c r="P2475" s="1" t="s">
        <v>401</v>
      </c>
      <c r="Q2475" s="63" t="str">
        <f>HYPERLINK("http://www.local10.com/news/bso-investigates-deputyinvolved-shooting-in-pompano-beach/33522974","http://www.local10.com/news/bso-investigates-deputyinvolved-shooting-in-pompano-beach/33522974")</f>
        <v>http://www.local10.com/news/bso-investigates-deputyinvolved-shooting-in-pompano-beach/33522974</v>
      </c>
      <c r="R2475" s="1" t="s">
        <v>100</v>
      </c>
      <c r="S2475" s="1" t="s">
        <v>28</v>
      </c>
      <c r="T2475" s="68" t="s">
        <v>27756</v>
      </c>
      <c r="U2475" s="68" t="s">
        <v>29438</v>
      </c>
      <c r="V2475" s="68" t="s">
        <v>29439</v>
      </c>
      <c r="W2475" s="68" t="s">
        <v>100</v>
      </c>
      <c r="X2475" s="68">
        <v>541</v>
      </c>
      <c r="AW2475" s="44"/>
      <c r="AX2475" s="44"/>
      <c r="AY2475" s="44"/>
      <c r="BC2475" s="44"/>
      <c r="BD2475" s="44"/>
      <c r="BE2475" s="44"/>
      <c r="BF2475" s="44"/>
      <c r="BG2475" s="44"/>
      <c r="BH2475" s="44"/>
      <c r="BI2475" s="44"/>
      <c r="BJ2475" s="44"/>
      <c r="BK2475" s="11"/>
    </row>
    <row r="2476" spans="1:63" ht="12" customHeight="1" x14ac:dyDescent="0.15">
      <c r="A2476" s="1" t="s">
        <v>1821</v>
      </c>
      <c r="B2476" s="68">
        <v>46</v>
      </c>
      <c r="C2476" s="1" t="s">
        <v>20</v>
      </c>
      <c r="D2476" s="1" t="s">
        <v>85</v>
      </c>
      <c r="E2476" s="1" t="str">
        <f>HYPERLINK("http://i.dailymail.co.uk/i/pix/2015/06/12/08/298F3F8200000578-3120464-image-m-3_1434095771297.jpg","http://i.dailymail.co.uk/i/pix/2015/06/12/08/298F3F8200000578-3120464-image-m-3_1434095771297.jpg")</f>
        <v>http://i.dailymail.co.uk/i/pix/2015/06/12/08/298F3F8200000578-3120464-image-m-3_1434095771297.jpg</v>
      </c>
      <c r="F2476" s="69">
        <v>42166</v>
      </c>
      <c r="G2476" s="1" t="s">
        <v>1822</v>
      </c>
      <c r="H2476" s="1" t="s">
        <v>213</v>
      </c>
      <c r="I2476" s="1" t="s">
        <v>62</v>
      </c>
      <c r="J2476" s="4" t="s">
        <v>1823</v>
      </c>
      <c r="K2476" s="1" t="s">
        <v>161</v>
      </c>
      <c r="L2476" s="1" t="s">
        <v>456</v>
      </c>
      <c r="M2476" s="1" t="s">
        <v>27</v>
      </c>
      <c r="N2476" s="1" t="s">
        <v>1824</v>
      </c>
      <c r="O2476" s="1" t="s">
        <v>1010</v>
      </c>
      <c r="P2476" s="1" t="s">
        <v>401</v>
      </c>
      <c r="Q2476" s="63" t="str">
        <f>HYPERLINK("http://miami.cbslocal.com/2015/06/11/witnesses-police-officer-shoots-homeless-man-five-times-in-miami/","http://miami.cbslocal.com/2015/06/11/witnesses-police-officer-shoots-homeless-man-five-times-in-miami/")</f>
        <v>http://miami.cbslocal.com/2015/06/11/witnesses-police-officer-shoots-homeless-man-five-times-in-miami/</v>
      </c>
      <c r="R2476" s="1" t="s">
        <v>29</v>
      </c>
      <c r="S2476" s="11" t="s">
        <v>35</v>
      </c>
      <c r="T2476" s="68" t="s">
        <v>29441</v>
      </c>
      <c r="U2476" s="68" t="s">
        <v>29436</v>
      </c>
      <c r="V2476" s="68" t="s">
        <v>29439</v>
      </c>
      <c r="W2476" s="68" t="s">
        <v>100</v>
      </c>
      <c r="X2476" s="68">
        <v>543</v>
      </c>
      <c r="AX2476" s="44"/>
      <c r="AY2476" s="44"/>
      <c r="BC2476" s="44"/>
      <c r="BD2476" s="44"/>
      <c r="BE2476" s="44"/>
      <c r="BF2476" s="44"/>
      <c r="BG2476" s="44"/>
      <c r="BH2476" s="44"/>
      <c r="BI2476" s="44"/>
      <c r="BJ2476" s="44"/>
    </row>
    <row r="2477" spans="1:63" ht="12" customHeight="1" x14ac:dyDescent="0.15">
      <c r="A2477" s="1" t="s">
        <v>1829</v>
      </c>
      <c r="B2477" s="68">
        <v>22</v>
      </c>
      <c r="C2477" s="1" t="s">
        <v>20</v>
      </c>
      <c r="D2477" s="1" t="s">
        <v>48</v>
      </c>
      <c r="E2477" s="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2477" s="69">
        <v>42166</v>
      </c>
      <c r="G2477" s="1" t="s">
        <v>1830</v>
      </c>
      <c r="H2477" s="1" t="s">
        <v>1831</v>
      </c>
      <c r="I2477" s="1" t="s">
        <v>81</v>
      </c>
      <c r="J2477" s="4" t="s">
        <v>1832</v>
      </c>
      <c r="K2477" s="1" t="s">
        <v>1833</v>
      </c>
      <c r="L2477" s="1" t="s">
        <v>1834</v>
      </c>
      <c r="M2477" s="1" t="s">
        <v>27</v>
      </c>
      <c r="N2477" s="1" t="s">
        <v>1835</v>
      </c>
      <c r="O2477" s="1" t="s">
        <v>1010</v>
      </c>
      <c r="P2477" s="1" t="s">
        <v>401</v>
      </c>
      <c r="Q2477" s="6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2477" s="1" t="s">
        <v>555</v>
      </c>
      <c r="S2477" s="1" t="s">
        <v>28</v>
      </c>
      <c r="T2477" s="68" t="s">
        <v>29493</v>
      </c>
      <c r="U2477" s="68" t="s">
        <v>29436</v>
      </c>
      <c r="V2477" s="68" t="s">
        <v>29439</v>
      </c>
      <c r="W2477" s="68" t="s">
        <v>100</v>
      </c>
      <c r="X2477" s="68">
        <v>545</v>
      </c>
      <c r="AW2477" s="44"/>
      <c r="BA2477" s="11"/>
      <c r="BB2477" s="44"/>
      <c r="BK2477" s="11"/>
    </row>
    <row r="2478" spans="1:63" ht="12" customHeight="1" x14ac:dyDescent="0.15">
      <c r="A2478" s="1" t="s">
        <v>1825</v>
      </c>
      <c r="B2478" s="68">
        <v>28</v>
      </c>
      <c r="C2478" s="1" t="s">
        <v>20</v>
      </c>
      <c r="D2478" s="1" t="s">
        <v>48</v>
      </c>
      <c r="E2478" s="1" t="str">
        <f>HYPERLINK("http://victimsofpolice.com/2015/images/Mark-Flores-Jr.jpg","http://victimsofpolice.com/2015/images/Mark-Flores-Jr.jpg")</f>
        <v>http://victimsofpolice.com/2015/images/Mark-Flores-Jr.jpg</v>
      </c>
      <c r="F2478" s="69">
        <v>42166</v>
      </c>
      <c r="G2478" s="1" t="s">
        <v>1826</v>
      </c>
      <c r="H2478" s="1" t="s">
        <v>575</v>
      </c>
      <c r="I2478" s="1" t="s">
        <v>73</v>
      </c>
      <c r="J2478" s="4" t="s">
        <v>1827</v>
      </c>
      <c r="K2478" s="1" t="s">
        <v>576</v>
      </c>
      <c r="L2478" s="1" t="s">
        <v>585</v>
      </c>
      <c r="M2478" s="1" t="s">
        <v>27</v>
      </c>
      <c r="N2478" s="1" t="s">
        <v>1828</v>
      </c>
      <c r="O2478" s="1" t="s">
        <v>400</v>
      </c>
      <c r="P2478" s="1" t="s">
        <v>401</v>
      </c>
      <c r="Q2478" s="63" t="str">
        <f>HYPERLINK("http://www.ksat.com/news/father-says-mental-issues-triggered-gun-fight-with-son","http://www.ksat.com/news/father-says-mental-issues-triggered-gun-fight-with-son")</f>
        <v>http://www.ksat.com/news/father-says-mental-issues-triggered-gun-fight-with-son</v>
      </c>
      <c r="R2478" s="1" t="s">
        <v>555</v>
      </c>
      <c r="S2478" s="1" t="s">
        <v>28</v>
      </c>
      <c r="T2478" s="68" t="s">
        <v>27756</v>
      </c>
      <c r="U2478" s="68" t="s">
        <v>29438</v>
      </c>
      <c r="V2478" s="68" t="s">
        <v>29439</v>
      </c>
      <c r="W2478" s="68" t="s">
        <v>100</v>
      </c>
      <c r="X2478" s="68">
        <v>544</v>
      </c>
      <c r="AW2478" s="44"/>
      <c r="BA2478" s="11"/>
      <c r="BB2478" s="44"/>
      <c r="BK2478" s="44"/>
    </row>
    <row r="2479" spans="1:63" ht="12" customHeight="1" x14ac:dyDescent="0.15">
      <c r="A2479" s="1" t="s">
        <v>1836</v>
      </c>
      <c r="B2479" s="68">
        <v>86</v>
      </c>
      <c r="C2479" s="1" t="s">
        <v>20</v>
      </c>
      <c r="D2479" s="1" t="s">
        <v>37</v>
      </c>
      <c r="F2479" s="69">
        <v>42166</v>
      </c>
      <c r="G2479" s="1" t="s">
        <v>1837</v>
      </c>
      <c r="H2479" s="1" t="s">
        <v>51</v>
      </c>
      <c r="I2479" s="1" t="s">
        <v>319</v>
      </c>
      <c r="J2479" s="4" t="s">
        <v>1838</v>
      </c>
      <c r="K2479" s="1" t="s">
        <v>1839</v>
      </c>
      <c r="L2479" s="1" t="s">
        <v>1840</v>
      </c>
      <c r="M2479" s="1" t="s">
        <v>27</v>
      </c>
      <c r="N2479" s="1" t="s">
        <v>1841</v>
      </c>
      <c r="O2479" s="1" t="s">
        <v>400</v>
      </c>
      <c r="P2479" s="1" t="s">
        <v>401</v>
      </c>
      <c r="Q2479" s="63" t="str">
        <f>HYPERLINK("http://www.wsmv.com/story/29298752/officer-involved-fatal-shooting-reported-in-columbia","http://www.wsmv.com/story/29298752/officer-involved-fatal-shooting-reported-in-columbia")</f>
        <v>http://www.wsmv.com/story/29298752/officer-involved-fatal-shooting-reported-in-columbia</v>
      </c>
      <c r="R2479" s="68" t="s">
        <v>555</v>
      </c>
      <c r="S2479" s="1" t="s">
        <v>28</v>
      </c>
      <c r="T2479" s="68" t="s">
        <v>27756</v>
      </c>
      <c r="U2479" s="68" t="s">
        <v>29438</v>
      </c>
      <c r="V2479" s="68" t="s">
        <v>29439</v>
      </c>
      <c r="W2479" s="68" t="s">
        <v>100</v>
      </c>
      <c r="X2479" s="68">
        <v>542</v>
      </c>
      <c r="BA2479" s="44"/>
      <c r="BB2479" s="11"/>
      <c r="BK2479" s="11"/>
    </row>
    <row r="2480" spans="1:63" ht="12" customHeight="1" x14ac:dyDescent="0.2">
      <c r="A2480" s="1" t="s">
        <v>1842</v>
      </c>
      <c r="B2480" s="68">
        <v>19</v>
      </c>
      <c r="C2480" s="1" t="s">
        <v>20</v>
      </c>
      <c r="D2480" s="1" t="s">
        <v>85</v>
      </c>
      <c r="E2480" s="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2480" s="69">
        <v>42165</v>
      </c>
      <c r="G2480" s="1" t="s">
        <v>1843</v>
      </c>
      <c r="H2480" s="1" t="s">
        <v>1844</v>
      </c>
      <c r="I2480" s="1" t="s">
        <v>423</v>
      </c>
      <c r="J2480" s="4" t="s">
        <v>1845</v>
      </c>
      <c r="K2480" s="1" t="s">
        <v>754</v>
      </c>
      <c r="L2480" s="1" t="s">
        <v>582</v>
      </c>
      <c r="M2480" s="1" t="s">
        <v>27</v>
      </c>
      <c r="N2480" s="1" t="s">
        <v>1846</v>
      </c>
      <c r="O2480" s="1" t="s">
        <v>400</v>
      </c>
      <c r="P2480" s="1" t="s">
        <v>401</v>
      </c>
      <c r="Q2480" s="6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2480" s="1" t="s">
        <v>100</v>
      </c>
      <c r="S2480" s="13" t="s">
        <v>28</v>
      </c>
      <c r="T2480" s="68" t="s">
        <v>27756</v>
      </c>
      <c r="U2480" s="68" t="s">
        <v>29438</v>
      </c>
      <c r="V2480" s="68" t="s">
        <v>29439</v>
      </c>
      <c r="W2480" s="68" t="s">
        <v>100</v>
      </c>
      <c r="X2480" s="68">
        <v>540</v>
      </c>
      <c r="AW2480" s="70"/>
      <c r="AX2480" s="70"/>
      <c r="AY2480" s="70"/>
      <c r="BC2480" s="44"/>
      <c r="BD2480" s="44"/>
      <c r="BE2480" s="44"/>
      <c r="BF2480" s="44"/>
      <c r="BG2480" s="44"/>
      <c r="BH2480" s="44"/>
      <c r="BI2480" s="44"/>
      <c r="BJ2480" s="44"/>
      <c r="BK2480" s="11"/>
    </row>
    <row r="2481" spans="1:63" ht="12" customHeight="1" x14ac:dyDescent="0.15">
      <c r="A2481" s="1" t="s">
        <v>1850</v>
      </c>
      <c r="B2481" s="1">
        <v>25</v>
      </c>
      <c r="C2481" s="1" t="s">
        <v>20</v>
      </c>
      <c r="D2481" s="1" t="s">
        <v>85</v>
      </c>
      <c r="F2481" s="72">
        <v>42164</v>
      </c>
      <c r="G2481" s="1" t="s">
        <v>1851</v>
      </c>
      <c r="H2481" s="1" t="s">
        <v>285</v>
      </c>
      <c r="I2481" s="1" t="s">
        <v>73</v>
      </c>
      <c r="J2481" s="4" t="s">
        <v>1852</v>
      </c>
      <c r="K2481" s="1" t="s">
        <v>285</v>
      </c>
      <c r="L2481" s="1" t="s">
        <v>286</v>
      </c>
      <c r="M2481" s="1" t="s">
        <v>391</v>
      </c>
      <c r="N2481" s="1" t="s">
        <v>1853</v>
      </c>
      <c r="O2481" s="1" t="s">
        <v>1854</v>
      </c>
      <c r="P2481" s="1" t="s">
        <v>401</v>
      </c>
      <c r="Q2481" s="63" t="str">
        <f>HYPERLINK("http://www.dallasnews.com/news/metro/20150609-man-who-died-after-police-used-stun-gun-identified.ece","http://www.dallasnews.com/news/metro/20150609-man-who-died-after-police-used-stun-gun-identified.ece")</f>
        <v>http://www.dallasnews.com/news/metro/20150609-man-who-died-after-police-used-stun-gun-identified.ece</v>
      </c>
      <c r="R2481" s="1" t="s">
        <v>100</v>
      </c>
      <c r="S2481" s="13" t="s">
        <v>18</v>
      </c>
      <c r="AU2481" s="11"/>
      <c r="AV2481" s="11"/>
      <c r="AW2481" s="11"/>
      <c r="AX2481" s="44"/>
      <c r="AY2481" s="44"/>
      <c r="BC2481" s="44"/>
      <c r="BD2481" s="44"/>
      <c r="BE2481" s="44"/>
      <c r="BF2481" s="44"/>
      <c r="BG2481" s="44"/>
      <c r="BH2481" s="44"/>
      <c r="BI2481" s="44"/>
      <c r="BJ2481" s="44"/>
    </row>
    <row r="2482" spans="1:63" ht="12" customHeight="1" x14ac:dyDescent="0.15">
      <c r="A2482" s="1" t="s">
        <v>1855</v>
      </c>
      <c r="B2482" s="68">
        <v>45</v>
      </c>
      <c r="C2482" s="1" t="s">
        <v>20</v>
      </c>
      <c r="D2482" s="1" t="s">
        <v>37</v>
      </c>
      <c r="E2482" s="1" t="s">
        <v>20290</v>
      </c>
      <c r="F2482" s="69">
        <v>42164</v>
      </c>
      <c r="G2482" s="1" t="s">
        <v>1856</v>
      </c>
      <c r="H2482" s="1" t="s">
        <v>1857</v>
      </c>
      <c r="I2482" s="1" t="s">
        <v>73</v>
      </c>
      <c r="J2482" s="4" t="s">
        <v>1858</v>
      </c>
      <c r="K2482" s="1" t="s">
        <v>558</v>
      </c>
      <c r="L2482" s="1" t="s">
        <v>1859</v>
      </c>
      <c r="M2482" s="1" t="s">
        <v>27</v>
      </c>
      <c r="N2482" s="1" t="s">
        <v>1860</v>
      </c>
      <c r="O2482" s="1" t="s">
        <v>1010</v>
      </c>
      <c r="P2482" s="1" t="s">
        <v>401</v>
      </c>
      <c r="Q2482" s="6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482" s="1" t="s">
        <v>100</v>
      </c>
      <c r="S2482" s="13" t="s">
        <v>28</v>
      </c>
      <c r="T2482" s="68" t="s">
        <v>27756</v>
      </c>
      <c r="U2482" s="68" t="s">
        <v>29438</v>
      </c>
      <c r="V2482" s="68" t="s">
        <v>29437</v>
      </c>
      <c r="W2482" s="68" t="s">
        <v>100</v>
      </c>
      <c r="X2482" s="68">
        <v>535</v>
      </c>
      <c r="BK2482" s="11"/>
    </row>
    <row r="2483" spans="1:63" ht="12" customHeight="1" x14ac:dyDescent="0.15">
      <c r="A2483" s="1" t="str">
        <f>HYPERLINK("http://www.killedbypolice.net/victims/150505.jpg","Ryan Keith Bolinger")</f>
        <v>Ryan Keith Bolinger</v>
      </c>
      <c r="B2483" s="68">
        <v>28</v>
      </c>
      <c r="C2483" s="1" t="s">
        <v>20</v>
      </c>
      <c r="D2483" s="1" t="s">
        <v>37</v>
      </c>
      <c r="F2483" s="69">
        <v>42164</v>
      </c>
      <c r="G2483" s="1" t="s">
        <v>1861</v>
      </c>
      <c r="H2483" s="1" t="s">
        <v>1862</v>
      </c>
      <c r="I2483" s="1" t="s">
        <v>370</v>
      </c>
      <c r="J2483" s="4" t="s">
        <v>1863</v>
      </c>
      <c r="K2483" s="1" t="s">
        <v>1864</v>
      </c>
      <c r="L2483" s="1" t="s">
        <v>1865</v>
      </c>
      <c r="M2483" s="1" t="s">
        <v>27</v>
      </c>
      <c r="N2483" s="1" t="s">
        <v>1866</v>
      </c>
      <c r="O2483" s="1" t="s">
        <v>400</v>
      </c>
      <c r="P2483" s="1" t="s">
        <v>401</v>
      </c>
      <c r="Q2483" s="6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2483" s="1" t="s">
        <v>100</v>
      </c>
      <c r="S2483" s="13" t="s">
        <v>18</v>
      </c>
      <c r="T2483" s="68" t="s">
        <v>28345</v>
      </c>
      <c r="U2483" s="68" t="s">
        <v>29436</v>
      </c>
      <c r="V2483" s="68" t="s">
        <v>29437</v>
      </c>
      <c r="W2483" s="68" t="s">
        <v>100</v>
      </c>
      <c r="X2483" s="68">
        <v>539</v>
      </c>
      <c r="AW2483" s="44"/>
    </row>
    <row r="2484" spans="1:63" ht="12" customHeight="1" x14ac:dyDescent="0.15">
      <c r="A2484" s="1" t="str">
        <f>HYPERLINK("http://www.killedbypolice.net/victims/150501.jpg","Jeremy John Linhart")</f>
        <v>Jeremy John Linhart</v>
      </c>
      <c r="B2484" s="68">
        <v>30</v>
      </c>
      <c r="C2484" s="1" t="s">
        <v>20</v>
      </c>
      <c r="D2484" s="1" t="s">
        <v>37</v>
      </c>
      <c r="F2484" s="69">
        <v>42164</v>
      </c>
      <c r="G2484" s="1" t="s">
        <v>1867</v>
      </c>
      <c r="H2484" s="1" t="s">
        <v>1868</v>
      </c>
      <c r="I2484" s="1" t="s">
        <v>69</v>
      </c>
      <c r="J2484" s="4" t="s">
        <v>1869</v>
      </c>
      <c r="K2484" s="1" t="s">
        <v>1870</v>
      </c>
      <c r="L2484" s="1" t="s">
        <v>1871</v>
      </c>
      <c r="M2484" s="1" t="s">
        <v>27</v>
      </c>
      <c r="N2484" s="1" t="s">
        <v>1872</v>
      </c>
      <c r="O2484" s="1" t="s">
        <v>400</v>
      </c>
      <c r="P2484" s="1" t="s">
        <v>401</v>
      </c>
      <c r="Q2484" s="63" t="str">
        <f>HYPERLINK("https://www.toledoblade.com/Police-Fire/2015/06/09/Findlay-officer-involved-in-shooting.html","https://www.toledoblade.com/Police-Fire/2015/06/09/Findlay-officer-involved-in-shooting.html")</f>
        <v>https://www.toledoblade.com/Police-Fire/2015/06/09/Findlay-officer-involved-in-shooting.html</v>
      </c>
      <c r="R2484" s="1" t="s">
        <v>100</v>
      </c>
      <c r="S2484" s="13" t="s">
        <v>28</v>
      </c>
      <c r="T2484" s="68" t="s">
        <v>27756</v>
      </c>
      <c r="U2484" s="68" t="s">
        <v>29438</v>
      </c>
      <c r="V2484" s="68" t="s">
        <v>29439</v>
      </c>
      <c r="W2484" s="68" t="s">
        <v>100</v>
      </c>
      <c r="X2484" s="68">
        <v>525</v>
      </c>
      <c r="AW2484" s="11"/>
    </row>
    <row r="2485" spans="1:63" ht="12" customHeight="1" x14ac:dyDescent="0.15">
      <c r="A2485" s="1" t="str">
        <f>HYPERLINK("http://www.killedbypolice.net/victims/150504.jpg","QuanDavier Hicks")</f>
        <v>QuanDavier Hicks</v>
      </c>
      <c r="B2485" s="68">
        <v>22</v>
      </c>
      <c r="C2485" s="1" t="s">
        <v>20</v>
      </c>
      <c r="D2485" s="1" t="s">
        <v>85</v>
      </c>
      <c r="E2485" s="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485" s="69">
        <v>42164</v>
      </c>
      <c r="G2485" s="1" t="s">
        <v>1847</v>
      </c>
      <c r="H2485" s="1" t="s">
        <v>547</v>
      </c>
      <c r="I2485" s="1" t="s">
        <v>69</v>
      </c>
      <c r="J2485" s="4" t="s">
        <v>1848</v>
      </c>
      <c r="K2485" s="1" t="s">
        <v>548</v>
      </c>
      <c r="L2485" s="1" t="s">
        <v>549</v>
      </c>
      <c r="M2485" s="1" t="s">
        <v>27</v>
      </c>
      <c r="N2485" s="1" t="s">
        <v>1849</v>
      </c>
      <c r="O2485" s="1" t="s">
        <v>1010</v>
      </c>
      <c r="P2485" s="1" t="s">
        <v>401</v>
      </c>
      <c r="Q2485" s="63" t="str">
        <f>HYPERLINK("http://www.cincinnati.com/story/news/crime/2015/06/09/officer-involved-shooting-northside/28778129/","http://www.cincinnati.com/story/news/crime/2015/06/09/officer-involved-shooting-northside/28778129/")</f>
        <v>http://www.cincinnati.com/story/news/crime/2015/06/09/officer-involved-shooting-northside/28778129/</v>
      </c>
      <c r="R2485" s="1" t="s">
        <v>29</v>
      </c>
      <c r="S2485" s="13" t="s">
        <v>28</v>
      </c>
      <c r="T2485" s="68" t="s">
        <v>27756</v>
      </c>
      <c r="U2485" s="68" t="s">
        <v>29438</v>
      </c>
      <c r="V2485" s="68" t="s">
        <v>29439</v>
      </c>
      <c r="W2485" s="68" t="s">
        <v>100</v>
      </c>
      <c r="X2485" s="68">
        <v>538</v>
      </c>
      <c r="AW2485" s="44"/>
      <c r="AX2485" s="44"/>
      <c r="AY2485" s="44"/>
      <c r="BC2485" s="44"/>
      <c r="BD2485" s="44"/>
      <c r="BE2485" s="44"/>
      <c r="BF2485" s="44"/>
      <c r="BG2485" s="44"/>
      <c r="BH2485" s="44"/>
      <c r="BI2485" s="44"/>
      <c r="BJ2485" s="44"/>
      <c r="BK2485" s="11"/>
    </row>
    <row r="2486" spans="1:63" ht="12" customHeight="1" x14ac:dyDescent="0.15">
      <c r="A2486" s="1" t="str">
        <f>HYPERLINK("http://www.killedbypolice.net/victims/150499.jpg","Mario Ocasio")</f>
        <v>Mario Ocasio</v>
      </c>
      <c r="B2486" s="1">
        <v>51</v>
      </c>
      <c r="C2486" s="1" t="s">
        <v>20</v>
      </c>
      <c r="D2486" s="1" t="s">
        <v>48</v>
      </c>
      <c r="F2486" s="72">
        <v>42163</v>
      </c>
      <c r="G2486" s="1" t="s">
        <v>1895</v>
      </c>
      <c r="H2486" s="1" t="s">
        <v>754</v>
      </c>
      <c r="I2486" s="1" t="s">
        <v>423</v>
      </c>
      <c r="J2486" s="4" t="s">
        <v>1896</v>
      </c>
      <c r="K2486" s="1" t="s">
        <v>1844</v>
      </c>
      <c r="L2486" s="1" t="s">
        <v>582</v>
      </c>
      <c r="M2486" s="1" t="s">
        <v>391</v>
      </c>
      <c r="N2486" s="1" t="s">
        <v>1897</v>
      </c>
      <c r="O2486" s="1" t="s">
        <v>400</v>
      </c>
      <c r="P2486" s="1" t="s">
        <v>401</v>
      </c>
      <c r="Q2486" s="63" t="str">
        <f>HYPERLINK("http://www.nydailynews.com/new-york/bronx/bronx-man-shocked-taser-cops-dies-sources-article-1.2250703","http://www.nydailynews.com/new-york/bronx/bronx-man-shocked-taser-cops-dies-sources-article-1.2250703")</f>
        <v>http://www.nydailynews.com/new-york/bronx/bronx-man-shocked-taser-cops-dies-sources-article-1.2250703</v>
      </c>
      <c r="R2486" s="11" t="s">
        <v>964</v>
      </c>
      <c r="S2486" s="13" t="s">
        <v>18</v>
      </c>
      <c r="AU2486" s="11"/>
      <c r="AV2486" s="11"/>
      <c r="AW2486" s="11"/>
    </row>
    <row r="2487" spans="1:63" ht="12" customHeight="1" x14ac:dyDescent="0.15">
      <c r="A2487" s="1" t="str">
        <f>HYPERLINK("http://www.killedbypolice.net/victims/150498.jpg","Rene Garcia")</f>
        <v>Rene Garcia</v>
      </c>
      <c r="B2487" s="68">
        <v>30</v>
      </c>
      <c r="C2487" s="1" t="s">
        <v>20</v>
      </c>
      <c r="D2487" s="1" t="s">
        <v>48</v>
      </c>
      <c r="F2487" s="69">
        <v>42163</v>
      </c>
      <c r="G2487" s="1" t="s">
        <v>1878</v>
      </c>
      <c r="H2487" s="1" t="s">
        <v>1879</v>
      </c>
      <c r="I2487" s="1" t="s">
        <v>45</v>
      </c>
      <c r="J2487" s="4" t="s">
        <v>1880</v>
      </c>
      <c r="K2487" s="1" t="s">
        <v>1061</v>
      </c>
      <c r="L2487" s="1" t="s">
        <v>1881</v>
      </c>
      <c r="M2487" s="1" t="s">
        <v>27</v>
      </c>
      <c r="N2487" s="1" t="s">
        <v>1882</v>
      </c>
      <c r="O2487" s="1" t="s">
        <v>400</v>
      </c>
      <c r="P2487" s="1" t="s">
        <v>401</v>
      </c>
      <c r="Q2487" s="63" t="str">
        <f>HYPERLINK("http://www.ocregister.com/articles/shooting-665164-personnel-dispatchers.html","http://www.ocregister.com/articles/shooting-665164-personnel-dispatchers.html")</f>
        <v>http://www.ocregister.com/articles/shooting-665164-personnel-dispatchers.html</v>
      </c>
      <c r="R2487" s="1" t="s">
        <v>555</v>
      </c>
      <c r="S2487" s="13" t="s">
        <v>28</v>
      </c>
      <c r="T2487" s="68" t="s">
        <v>29493</v>
      </c>
      <c r="U2487" s="68" t="s">
        <v>29436</v>
      </c>
      <c r="V2487" s="68" t="s">
        <v>29439</v>
      </c>
      <c r="W2487" s="68" t="s">
        <v>555</v>
      </c>
      <c r="X2487" s="68">
        <v>524</v>
      </c>
      <c r="AW2487" s="11"/>
      <c r="BA2487" s="11"/>
      <c r="BB2487" s="44"/>
      <c r="BK2487" s="11"/>
    </row>
    <row r="2488" spans="1:63" ht="12" customHeight="1" x14ac:dyDescent="0.15">
      <c r="A2488" s="1" t="s">
        <v>1889</v>
      </c>
      <c r="B2488" s="68">
        <v>69</v>
      </c>
      <c r="C2488" s="1" t="s">
        <v>20</v>
      </c>
      <c r="D2488" s="68" t="s">
        <v>37</v>
      </c>
      <c r="F2488" s="69">
        <v>42163</v>
      </c>
      <c r="G2488" s="1" t="s">
        <v>1890</v>
      </c>
      <c r="H2488" s="1" t="s">
        <v>1891</v>
      </c>
      <c r="I2488" s="1" t="s">
        <v>123</v>
      </c>
      <c r="J2488" s="4" t="s">
        <v>1892</v>
      </c>
      <c r="K2488" s="1" t="s">
        <v>633</v>
      </c>
      <c r="L2488" s="1" t="s">
        <v>1893</v>
      </c>
      <c r="M2488" s="1" t="s">
        <v>27</v>
      </c>
      <c r="N2488" s="1" t="s">
        <v>1894</v>
      </c>
      <c r="O2488" s="1" t="s">
        <v>1010</v>
      </c>
      <c r="P2488" s="1" t="s">
        <v>401</v>
      </c>
      <c r="Q2488" s="63" t="str">
        <f>HYPERLINK("http://www.azfamily.com/story/29270558/deputy-involved-shooting-in-sun-city","http://www.azfamily.com/story/29270558/deputy-involved-shooting-in-sun-city")</f>
        <v>http://www.azfamily.com/story/29270558/deputy-involved-shooting-in-sun-city</v>
      </c>
      <c r="R2488" s="1" t="s">
        <v>555</v>
      </c>
      <c r="S2488" s="13" t="s">
        <v>28</v>
      </c>
      <c r="T2488" s="68" t="s">
        <v>27756</v>
      </c>
      <c r="U2488" s="68" t="s">
        <v>29438</v>
      </c>
      <c r="V2488" s="68" t="s">
        <v>29439</v>
      </c>
      <c r="W2488" s="68" t="s">
        <v>100</v>
      </c>
      <c r="X2488" s="68">
        <v>526</v>
      </c>
      <c r="BA2488" s="11"/>
      <c r="BB2488" s="44"/>
      <c r="BK2488" s="11"/>
    </row>
    <row r="2489" spans="1:63" ht="12" customHeight="1" x14ac:dyDescent="0.15">
      <c r="A2489" s="1" t="s">
        <v>1883</v>
      </c>
      <c r="B2489" s="68">
        <v>54</v>
      </c>
      <c r="C2489" s="1" t="s">
        <v>20</v>
      </c>
      <c r="D2489" s="1" t="s">
        <v>37</v>
      </c>
      <c r="F2489" s="69">
        <v>42163</v>
      </c>
      <c r="G2489" s="1" t="s">
        <v>1884</v>
      </c>
      <c r="H2489" s="1" t="s">
        <v>1885</v>
      </c>
      <c r="I2489" s="1" t="s">
        <v>217</v>
      </c>
      <c r="J2489" s="4" t="s">
        <v>1886</v>
      </c>
      <c r="K2489" s="1" t="s">
        <v>420</v>
      </c>
      <c r="L2489" s="1" t="s">
        <v>1887</v>
      </c>
      <c r="M2489" s="1" t="s">
        <v>27</v>
      </c>
      <c r="N2489" s="1" t="s">
        <v>1888</v>
      </c>
      <c r="O2489" s="1" t="s">
        <v>400</v>
      </c>
      <c r="P2489" s="1" t="s">
        <v>401</v>
      </c>
      <c r="Q2489" s="63" t="str">
        <f>HYPERLINK("http://www.indystar.com/story/news/crime/2015/06/08/police-shooting-suspect-dead-beech-grove/28700455/","http://www.indystar.com/story/news/crime/2015/06/08/police-shooting-suspect-dead-beech-grove/28700455/")</f>
        <v>http://www.indystar.com/story/news/crime/2015/06/08/police-shooting-suspect-dead-beech-grove/28700455/</v>
      </c>
      <c r="R2489" s="1" t="s">
        <v>555</v>
      </c>
      <c r="S2489" s="13" t="s">
        <v>28</v>
      </c>
      <c r="T2489" s="68" t="s">
        <v>27756</v>
      </c>
      <c r="U2489" s="68" t="s">
        <v>29438</v>
      </c>
      <c r="V2489" s="68" t="s">
        <v>29439</v>
      </c>
      <c r="W2489" s="68" t="s">
        <v>100</v>
      </c>
      <c r="X2489" s="68">
        <v>523</v>
      </c>
      <c r="BA2489" s="11"/>
      <c r="BB2489" s="44"/>
      <c r="BK2489" s="11"/>
    </row>
    <row r="2490" spans="1:63" ht="12" customHeight="1" x14ac:dyDescent="0.2">
      <c r="A2490" s="1" t="str">
        <f>HYPERLINK("http://www.killedbypolice.net/victims/150496.jpg","Matthew Wayne McDaniel")</f>
        <v>Matthew Wayne McDaniel</v>
      </c>
      <c r="B2490" s="68">
        <v>36</v>
      </c>
      <c r="C2490" s="1" t="s">
        <v>20</v>
      </c>
      <c r="D2490" s="1" t="s">
        <v>21</v>
      </c>
      <c r="F2490" s="69">
        <v>42162</v>
      </c>
      <c r="G2490" s="1" t="s">
        <v>1873</v>
      </c>
      <c r="H2490" s="1" t="s">
        <v>1874</v>
      </c>
      <c r="I2490" s="1" t="s">
        <v>62</v>
      </c>
      <c r="J2490" s="4" t="s">
        <v>1875</v>
      </c>
      <c r="K2490" s="1" t="s">
        <v>1769</v>
      </c>
      <c r="L2490" s="1" t="s">
        <v>1876</v>
      </c>
      <c r="M2490" s="1" t="s">
        <v>27</v>
      </c>
      <c r="N2490" s="1" t="s">
        <v>1877</v>
      </c>
      <c r="O2490" s="1" t="s">
        <v>1010</v>
      </c>
      <c r="P2490" s="1" t="s">
        <v>401</v>
      </c>
      <c r="Q2490" s="63" t="str">
        <f>HYPERLINK("http://www.wftv.com/news/news/local/police-person-interest-killed-melbourne-officer-in/nmX7b/","http://www.wftv.com/news/news/local/police-person-interest-killed-melbourne-officer-in/nmX7b/")</f>
        <v>http://www.wftv.com/news/news/local/police-person-interest-killed-melbourne-officer-in/nmX7b/</v>
      </c>
      <c r="R2490" s="1" t="s">
        <v>29</v>
      </c>
      <c r="S2490" s="13" t="s">
        <v>28</v>
      </c>
      <c r="T2490" s="68" t="s">
        <v>27756</v>
      </c>
      <c r="U2490" s="68" t="s">
        <v>29438</v>
      </c>
      <c r="V2490" s="68" t="s">
        <v>29439</v>
      </c>
      <c r="W2490" s="68" t="s">
        <v>100</v>
      </c>
      <c r="X2490" s="68">
        <v>514</v>
      </c>
      <c r="AX2490" s="70"/>
      <c r="AY2490" s="70"/>
      <c r="BC2490" s="66"/>
      <c r="BD2490" s="66"/>
      <c r="BE2490" s="66"/>
      <c r="BF2490" s="66"/>
      <c r="BG2490" s="66"/>
      <c r="BH2490" s="66"/>
      <c r="BI2490" s="66"/>
      <c r="BJ2490" s="66"/>
      <c r="BK2490" s="11"/>
    </row>
    <row r="2491" spans="1:63" ht="12" customHeight="1" x14ac:dyDescent="0.15">
      <c r="A2491" s="1" t="s">
        <v>1905</v>
      </c>
      <c r="B2491" s="68">
        <v>58</v>
      </c>
      <c r="C2491" s="1" t="s">
        <v>20</v>
      </c>
      <c r="D2491" s="1" t="s">
        <v>37</v>
      </c>
      <c r="F2491" s="69">
        <v>42162</v>
      </c>
      <c r="G2491" s="1" t="s">
        <v>1906</v>
      </c>
      <c r="H2491" s="1" t="s">
        <v>1907</v>
      </c>
      <c r="I2491" s="1" t="s">
        <v>303</v>
      </c>
      <c r="J2491" s="4">
        <v>98674</v>
      </c>
      <c r="K2491" s="1" t="s">
        <v>1908</v>
      </c>
      <c r="L2491" s="1" t="s">
        <v>1909</v>
      </c>
      <c r="M2491" s="1" t="s">
        <v>27</v>
      </c>
      <c r="N2491" s="1" t="s">
        <v>1910</v>
      </c>
      <c r="O2491" s="1" t="s">
        <v>400</v>
      </c>
      <c r="P2491" s="1" t="s">
        <v>401</v>
      </c>
      <c r="Q2491" s="6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2491" s="1" t="s">
        <v>555</v>
      </c>
      <c r="S2491" s="13" t="s">
        <v>28</v>
      </c>
      <c r="T2491" s="68" t="s">
        <v>27756</v>
      </c>
      <c r="U2491" s="68" t="s">
        <v>29438</v>
      </c>
      <c r="V2491" s="68" t="s">
        <v>29439</v>
      </c>
      <c r="W2491" s="68" t="s">
        <v>100</v>
      </c>
      <c r="X2491" s="68">
        <v>517</v>
      </c>
      <c r="BA2491" s="11"/>
      <c r="BB2491" s="44"/>
      <c r="BK2491" s="11"/>
    </row>
    <row r="2492" spans="1:63" ht="12" customHeight="1" x14ac:dyDescent="0.15">
      <c r="A2492" s="1" t="s">
        <v>1898</v>
      </c>
      <c r="B2492" s="68">
        <v>53</v>
      </c>
      <c r="C2492" s="1" t="s">
        <v>20</v>
      </c>
      <c r="D2492" s="1" t="s">
        <v>37</v>
      </c>
      <c r="E2492" s="1" t="s">
        <v>20293</v>
      </c>
      <c r="F2492" s="69">
        <v>42161</v>
      </c>
      <c r="G2492" s="1" t="s">
        <v>1899</v>
      </c>
      <c r="H2492" s="1" t="s">
        <v>1900</v>
      </c>
      <c r="I2492" s="1" t="s">
        <v>62</v>
      </c>
      <c r="J2492" s="4" t="s">
        <v>1901</v>
      </c>
      <c r="K2492" s="1" t="s">
        <v>1902</v>
      </c>
      <c r="L2492" s="1" t="s">
        <v>1903</v>
      </c>
      <c r="M2492" s="1" t="s">
        <v>27</v>
      </c>
      <c r="N2492" s="1" t="s">
        <v>1904</v>
      </c>
      <c r="O2492" s="1" t="s">
        <v>400</v>
      </c>
      <c r="P2492" s="1" t="s">
        <v>401</v>
      </c>
      <c r="Q2492" s="63" t="str">
        <f>HYPERLINK("http://www.wfla.com/story/29258795/suspect-dead-after-deputy-involved-shooting-in-sarasota","http://www.wfla.com/story/29258795/suspect-dead-after-deputy-involved-shooting-in-sarasota")</f>
        <v>http://www.wfla.com/story/29258795/suspect-dead-after-deputy-involved-shooting-in-sarasota</v>
      </c>
      <c r="R2492" s="11" t="s">
        <v>964</v>
      </c>
      <c r="S2492" s="13" t="s">
        <v>28</v>
      </c>
      <c r="T2492" s="68" t="s">
        <v>27756</v>
      </c>
      <c r="U2492" s="68" t="s">
        <v>29438</v>
      </c>
      <c r="V2492" s="68" t="s">
        <v>29439</v>
      </c>
      <c r="W2492" s="68" t="s">
        <v>100</v>
      </c>
      <c r="X2492" s="68">
        <v>516</v>
      </c>
      <c r="BA2492" s="44"/>
      <c r="BB2492" s="44"/>
      <c r="BK2492" s="11"/>
    </row>
    <row r="2493" spans="1:63" ht="12" customHeight="1" x14ac:dyDescent="0.2">
      <c r="A2493" s="1" t="str">
        <f>HYPERLINK("http://www.killedbypolice.net/victims/150490.jpg","Demouria Hogg")</f>
        <v>Demouria Hogg</v>
      </c>
      <c r="B2493" s="68">
        <v>30</v>
      </c>
      <c r="C2493" s="1" t="s">
        <v>20</v>
      </c>
      <c r="D2493" s="1" t="s">
        <v>85</v>
      </c>
      <c r="F2493" s="69">
        <v>42161</v>
      </c>
      <c r="G2493" s="1" t="s">
        <v>1911</v>
      </c>
      <c r="H2493" s="1" t="s">
        <v>601</v>
      </c>
      <c r="I2493" s="1" t="s">
        <v>45</v>
      </c>
      <c r="J2493" s="4" t="s">
        <v>1912</v>
      </c>
      <c r="K2493" s="1" t="s">
        <v>602</v>
      </c>
      <c r="L2493" s="1" t="s">
        <v>603</v>
      </c>
      <c r="M2493" s="68" t="s">
        <v>5411</v>
      </c>
      <c r="N2493" s="1" t="s">
        <v>1913</v>
      </c>
      <c r="O2493" s="1" t="s">
        <v>1010</v>
      </c>
      <c r="P2493" s="1" t="s">
        <v>401</v>
      </c>
      <c r="Q2493" s="63" t="str">
        <f>HYPERLINK("http://www.sfgate.com/crime/article/Oakland-police-shoot-suspect-near-Lake-Merritt-6311221.php","http://www.sfgate.com/crime/article/Oakland-police-shoot-suspect-near-Lake-Merritt-6311221.php")</f>
        <v>http://www.sfgate.com/crime/article/Oakland-police-shoot-suspect-near-Lake-Merritt-6311221.php</v>
      </c>
      <c r="R2493" s="1" t="s">
        <v>100</v>
      </c>
      <c r="S2493" s="13" t="s">
        <v>28</v>
      </c>
      <c r="T2493" s="68" t="s">
        <v>27756</v>
      </c>
      <c r="U2493" s="68" t="s">
        <v>29438</v>
      </c>
      <c r="V2493" s="68" t="s">
        <v>29439</v>
      </c>
      <c r="W2493" s="68" t="s">
        <v>555</v>
      </c>
      <c r="X2493" s="68">
        <v>515</v>
      </c>
      <c r="AW2493" s="11"/>
      <c r="AX2493" s="11"/>
      <c r="AY2493" s="11"/>
      <c r="BB2493" s="70"/>
      <c r="BC2493" s="44"/>
      <c r="BD2493" s="44"/>
      <c r="BE2493" s="44"/>
      <c r="BF2493" s="44"/>
      <c r="BG2493" s="44"/>
      <c r="BH2493" s="44"/>
      <c r="BI2493" s="44"/>
      <c r="BJ2493" s="44"/>
    </row>
    <row r="2494" spans="1:63" ht="12" customHeight="1" x14ac:dyDescent="0.15">
      <c r="A2494" s="1" t="str">
        <f>HYPERLINK("http://www.killedbypolice.net/victims/150491.jpg","Alejandro Campos Fernandez")</f>
        <v>Alejandro Campos Fernandez</v>
      </c>
      <c r="B2494" s="68">
        <v>45</v>
      </c>
      <c r="C2494" s="1" t="s">
        <v>20</v>
      </c>
      <c r="D2494" s="1" t="s">
        <v>48</v>
      </c>
      <c r="F2494" s="69">
        <v>42161</v>
      </c>
      <c r="G2494" s="1" t="s">
        <v>1927</v>
      </c>
      <c r="H2494" s="1" t="s">
        <v>1928</v>
      </c>
      <c r="I2494" s="1" t="s">
        <v>45</v>
      </c>
      <c r="J2494" s="4" t="s">
        <v>1929</v>
      </c>
      <c r="K2494" s="1" t="s">
        <v>1359</v>
      </c>
      <c r="L2494" s="1" t="s">
        <v>1930</v>
      </c>
      <c r="M2494" s="1" t="s">
        <v>27</v>
      </c>
      <c r="N2494" s="1" t="s">
        <v>1931</v>
      </c>
      <c r="O2494" s="1" t="s">
        <v>1010</v>
      </c>
      <c r="P2494" s="1" t="s">
        <v>401</v>
      </c>
      <c r="Q2494" s="6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2494" s="1" t="s">
        <v>100</v>
      </c>
      <c r="S2494" s="13" t="s">
        <v>28</v>
      </c>
      <c r="T2494" s="68" t="s">
        <v>27756</v>
      </c>
      <c r="U2494" s="68" t="s">
        <v>29438</v>
      </c>
      <c r="V2494" s="68" t="s">
        <v>29440</v>
      </c>
      <c r="W2494" s="68" t="s">
        <v>100</v>
      </c>
      <c r="X2494" s="68">
        <v>518</v>
      </c>
      <c r="BK2494" s="11"/>
    </row>
    <row r="2495" spans="1:63" ht="12" customHeight="1" x14ac:dyDescent="0.15">
      <c r="A2495" s="1" t="str">
        <f>HYPERLINK("http://www.killedbypolice.net/victims/150489.jpg","Damien James Ramirez")</f>
        <v>Damien James Ramirez</v>
      </c>
      <c r="B2495" s="68">
        <v>27</v>
      </c>
      <c r="C2495" s="1" t="s">
        <v>20</v>
      </c>
      <c r="D2495" s="1" t="s">
        <v>48</v>
      </c>
      <c r="F2495" s="69">
        <v>42161</v>
      </c>
      <c r="G2495" s="1" t="s">
        <v>1921</v>
      </c>
      <c r="H2495" s="1" t="s">
        <v>1922</v>
      </c>
      <c r="I2495" s="1" t="s">
        <v>209</v>
      </c>
      <c r="J2495" s="4" t="s">
        <v>1923</v>
      </c>
      <c r="K2495" s="1" t="s">
        <v>1924</v>
      </c>
      <c r="L2495" s="1" t="s">
        <v>1925</v>
      </c>
      <c r="M2495" s="1" t="s">
        <v>27</v>
      </c>
      <c r="N2495" s="1" t="s">
        <v>1926</v>
      </c>
      <c r="O2495" s="1" t="s">
        <v>1010</v>
      </c>
      <c r="P2495" s="1" t="s">
        <v>401</v>
      </c>
      <c r="Q2495" s="63" t="str">
        <f>HYPERLINK("http://www.denverpost.com/news/ci_28264788/man-was-fatally-shot-following-high-speed-chase","http://www.denverpost.com/news/ci_28264788/man-was-fatally-shot-following-high-speed-chase")</f>
        <v>http://www.denverpost.com/news/ci_28264788/man-was-fatally-shot-following-high-speed-chase</v>
      </c>
      <c r="R2495" s="1" t="s">
        <v>100</v>
      </c>
      <c r="S2495" s="13" t="s">
        <v>28</v>
      </c>
      <c r="T2495" s="68" t="s">
        <v>27756</v>
      </c>
      <c r="U2495" s="68" t="s">
        <v>29438</v>
      </c>
      <c r="V2495" s="68" t="s">
        <v>29437</v>
      </c>
      <c r="W2495" s="68" t="s">
        <v>100</v>
      </c>
      <c r="X2495" s="68">
        <v>522</v>
      </c>
      <c r="AW2495" s="44"/>
      <c r="BK2495" s="11"/>
    </row>
    <row r="2496" spans="1:63" ht="12" customHeight="1" x14ac:dyDescent="0.15">
      <c r="A2496" s="1" t="s">
        <v>1914</v>
      </c>
      <c r="B2496" s="1">
        <v>19</v>
      </c>
      <c r="C2496" s="1" t="s">
        <v>20</v>
      </c>
      <c r="D2496" s="1" t="s">
        <v>85</v>
      </c>
      <c r="F2496" s="72">
        <v>42161</v>
      </c>
      <c r="G2496" s="1" t="s">
        <v>1915</v>
      </c>
      <c r="H2496" s="1" t="s">
        <v>1916</v>
      </c>
      <c r="I2496" s="1" t="s">
        <v>173</v>
      </c>
      <c r="J2496" s="4" t="s">
        <v>1917</v>
      </c>
      <c r="K2496" s="1" t="s">
        <v>1556</v>
      </c>
      <c r="L2496" s="1" t="s">
        <v>1918</v>
      </c>
      <c r="M2496" s="1" t="s">
        <v>379</v>
      </c>
      <c r="N2496" s="1" t="s">
        <v>1919</v>
      </c>
      <c r="O2496" s="1" t="s">
        <v>1010</v>
      </c>
      <c r="P2496" s="1" t="s">
        <v>401</v>
      </c>
      <c r="Q2496" s="63" t="s">
        <v>1920</v>
      </c>
      <c r="R2496" s="1" t="s">
        <v>100</v>
      </c>
      <c r="S2496" s="1" t="s">
        <v>379</v>
      </c>
      <c r="AX2496" s="44"/>
      <c r="AY2496" s="44"/>
      <c r="BC2496" s="44"/>
      <c r="BD2496" s="44"/>
      <c r="BE2496" s="44"/>
      <c r="BF2496" s="44"/>
      <c r="BG2496" s="44"/>
      <c r="BH2496" s="44"/>
      <c r="BI2496" s="44"/>
      <c r="BJ2496" s="44"/>
    </row>
    <row r="2497" spans="1:63" ht="12" customHeight="1" x14ac:dyDescent="0.15">
      <c r="A2497" s="1" t="s">
        <v>1939</v>
      </c>
      <c r="B2497" s="68">
        <v>42</v>
      </c>
      <c r="C2497" s="1" t="s">
        <v>20</v>
      </c>
      <c r="D2497" s="1" t="s">
        <v>37</v>
      </c>
      <c r="F2497" s="69">
        <v>42161</v>
      </c>
      <c r="G2497" s="1" t="s">
        <v>1940</v>
      </c>
      <c r="H2497" s="1" t="s">
        <v>1941</v>
      </c>
      <c r="I2497" s="1" t="s">
        <v>73</v>
      </c>
      <c r="J2497" s="4" t="s">
        <v>1942</v>
      </c>
      <c r="K2497" s="1" t="s">
        <v>1941</v>
      </c>
      <c r="L2497" s="1" t="s">
        <v>1943</v>
      </c>
      <c r="M2497" s="1" t="s">
        <v>27</v>
      </c>
      <c r="N2497" s="1" t="s">
        <v>1944</v>
      </c>
      <c r="O2497" s="1" t="s">
        <v>550</v>
      </c>
      <c r="P2497" s="1" t="s">
        <v>401</v>
      </c>
      <c r="Q2497" s="63" t="str">
        <f>HYPERLINK("http://www.wboy.com/story/29256189/monongalia-county-deputies-shoot-suspect-after-vehicle-pursuit","http://www.wboy.com/story/29256189/monongalia-county-deputies-shoot-suspect-after-vehicle-pursuit")</f>
        <v>http://www.wboy.com/story/29256189/monongalia-county-deputies-shoot-suspect-after-vehicle-pursuit</v>
      </c>
      <c r="R2497" s="68" t="s">
        <v>555</v>
      </c>
      <c r="S2497" s="13" t="s">
        <v>28</v>
      </c>
      <c r="T2497" s="68" t="s">
        <v>29478</v>
      </c>
      <c r="U2497" s="68" t="s">
        <v>29436</v>
      </c>
      <c r="V2497" s="68" t="s">
        <v>29439</v>
      </c>
      <c r="W2497" s="68" t="s">
        <v>100</v>
      </c>
      <c r="X2497" s="68">
        <v>519</v>
      </c>
      <c r="BA2497" s="44"/>
      <c r="BB2497" s="11"/>
      <c r="BK2497" s="11"/>
    </row>
    <row r="2498" spans="1:63" ht="12" customHeight="1" x14ac:dyDescent="0.15">
      <c r="A2498" s="1" t="s">
        <v>1945</v>
      </c>
      <c r="B2498" s="1">
        <v>33</v>
      </c>
      <c r="C2498" s="1" t="s">
        <v>20</v>
      </c>
      <c r="D2498" s="1" t="s">
        <v>85</v>
      </c>
      <c r="E2498" s="1" t="s">
        <v>20780</v>
      </c>
      <c r="F2498" s="72">
        <v>42160</v>
      </c>
      <c r="G2498" s="1" t="s">
        <v>1946</v>
      </c>
      <c r="H2498" s="1" t="s">
        <v>1100</v>
      </c>
      <c r="I2498" s="1" t="s">
        <v>404</v>
      </c>
      <c r="J2498" s="4" t="s">
        <v>1947</v>
      </c>
      <c r="K2498" s="1" t="s">
        <v>1100</v>
      </c>
      <c r="L2498" s="1" t="s">
        <v>1101</v>
      </c>
      <c r="M2498" s="1" t="s">
        <v>27</v>
      </c>
      <c r="N2498" s="1" t="s">
        <v>1948</v>
      </c>
      <c r="O2498" s="1" t="s">
        <v>1010</v>
      </c>
      <c r="P2498" s="1" t="s">
        <v>401</v>
      </c>
      <c r="Q2498" s="63" t="str">
        <f>HYPERLINK("http://www.nbcphiladelphia.com/news/breaking/Rising-Sun-Pizza-Robbery-Shooting-306241121.html","http://www.nbcphiladelphia.com/news/breaking/Rising-Sun-Pizza-Robbery-Shooting-306241121.html")</f>
        <v>http://www.nbcphiladelphia.com/news/breaking/Rising-Sun-Pizza-Robbery-Shooting-306241121.html</v>
      </c>
      <c r="R2498" s="1" t="s">
        <v>100</v>
      </c>
      <c r="S2498" s="13" t="s">
        <v>28</v>
      </c>
      <c r="T2498" s="68"/>
      <c r="U2498" s="68"/>
      <c r="V2498" s="68"/>
      <c r="W2498" s="68"/>
      <c r="X2498" s="68"/>
      <c r="AX2498" s="44"/>
      <c r="AY2498" s="44"/>
      <c r="BC2498" s="44"/>
      <c r="BD2498" s="44"/>
      <c r="BE2498" s="44"/>
      <c r="BF2498" s="44"/>
      <c r="BG2498" s="44"/>
      <c r="BH2498" s="44"/>
      <c r="BI2498" s="44"/>
      <c r="BJ2498" s="44"/>
      <c r="BK2498" s="11"/>
    </row>
    <row r="2499" spans="1:63" ht="12" customHeight="1" x14ac:dyDescent="0.15">
      <c r="A2499" s="1" t="s">
        <v>1949</v>
      </c>
      <c r="B2499" s="68">
        <v>50</v>
      </c>
      <c r="C2499" s="1" t="s">
        <v>20</v>
      </c>
      <c r="D2499" s="1" t="s">
        <v>48</v>
      </c>
      <c r="F2499" s="69">
        <v>42160</v>
      </c>
      <c r="G2499" s="1" t="s">
        <v>1950</v>
      </c>
      <c r="H2499" s="1" t="s">
        <v>1951</v>
      </c>
      <c r="I2499" s="1" t="s">
        <v>45</v>
      </c>
      <c r="J2499" s="4" t="s">
        <v>1952</v>
      </c>
      <c r="K2499" s="1" t="s">
        <v>1953</v>
      </c>
      <c r="L2499" s="1" t="s">
        <v>1954</v>
      </c>
      <c r="M2499" s="1" t="s">
        <v>27</v>
      </c>
      <c r="N2499" s="1" t="s">
        <v>1955</v>
      </c>
      <c r="O2499" s="1" t="s">
        <v>400</v>
      </c>
      <c r="P2499" s="1" t="s">
        <v>401</v>
      </c>
      <c r="Q2499" s="6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2499" s="1" t="s">
        <v>100</v>
      </c>
      <c r="S2499" s="13" t="s">
        <v>28</v>
      </c>
      <c r="T2499" s="68" t="s">
        <v>27756</v>
      </c>
      <c r="U2499" s="68" t="s">
        <v>29438</v>
      </c>
      <c r="V2499" s="68" t="s">
        <v>29439</v>
      </c>
      <c r="W2499" s="68" t="s">
        <v>100</v>
      </c>
      <c r="X2499" s="68">
        <v>520</v>
      </c>
      <c r="BK2499" s="11"/>
    </row>
    <row r="2500" spans="1:63" ht="12" customHeight="1" x14ac:dyDescent="0.15">
      <c r="A2500" s="1" t="str">
        <f>HYPERLINK("http://www.killedbypolice.net/victims/150488.jpg","Donald J. Pinkerton-DeVito III")</f>
        <v>Donald J. Pinkerton-DeVito III</v>
      </c>
      <c r="B2500" s="1">
        <v>23</v>
      </c>
      <c r="C2500" s="1" t="s">
        <v>20</v>
      </c>
      <c r="D2500" s="1" t="s">
        <v>37</v>
      </c>
      <c r="F2500" s="72">
        <v>42160</v>
      </c>
      <c r="G2500" s="1" t="s">
        <v>1956</v>
      </c>
      <c r="H2500" s="1" t="s">
        <v>945</v>
      </c>
      <c r="I2500" s="1" t="s">
        <v>45</v>
      </c>
      <c r="J2500" s="4" t="s">
        <v>1957</v>
      </c>
      <c r="K2500" s="1" t="s">
        <v>945</v>
      </c>
      <c r="L2500" s="1" t="s">
        <v>946</v>
      </c>
      <c r="M2500" s="1" t="s">
        <v>379</v>
      </c>
      <c r="N2500" s="1" t="s">
        <v>1958</v>
      </c>
      <c r="O2500" s="1" t="s">
        <v>1010</v>
      </c>
      <c r="P2500" s="1" t="s">
        <v>401</v>
      </c>
      <c r="Q2500" s="63"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2500" s="1" t="s">
        <v>100</v>
      </c>
      <c r="S2500" s="13" t="s">
        <v>18</v>
      </c>
    </row>
    <row r="2501" spans="1:63" ht="12" customHeight="1" x14ac:dyDescent="0.15">
      <c r="A2501" s="1" t="s">
        <v>1932</v>
      </c>
      <c r="B2501" s="68">
        <v>45</v>
      </c>
      <c r="C2501" s="1" t="s">
        <v>114</v>
      </c>
      <c r="D2501" s="1" t="s">
        <v>37</v>
      </c>
      <c r="F2501" s="69">
        <v>42160</v>
      </c>
      <c r="G2501" s="1" t="s">
        <v>1933</v>
      </c>
      <c r="H2501" s="1" t="s">
        <v>1934</v>
      </c>
      <c r="I2501" s="1" t="s">
        <v>150</v>
      </c>
      <c r="J2501" s="4" t="s">
        <v>1935</v>
      </c>
      <c r="K2501" s="1" t="s">
        <v>1936</v>
      </c>
      <c r="L2501" s="1" t="s">
        <v>1937</v>
      </c>
      <c r="M2501" s="1" t="s">
        <v>27</v>
      </c>
      <c r="N2501" s="1" t="s">
        <v>1938</v>
      </c>
      <c r="O2501" s="1" t="s">
        <v>1010</v>
      </c>
      <c r="P2501" s="1" t="s">
        <v>401</v>
      </c>
      <c r="Q2501" s="63" t="str">
        <f>HYPERLINK("http://www.mrt.com/news/crime/article_eccc8aa0-0ccd-11e5-92a5-e30a35ff1af1.html","http://www.mrt.com/news/crime/article_eccc8aa0-0ccd-11e5-92a5-e30a35ff1af1.html")</f>
        <v>http://www.mrt.com/news/crime/article_eccc8aa0-0ccd-11e5-92a5-e30a35ff1af1.html</v>
      </c>
      <c r="R2501" s="1" t="s">
        <v>100</v>
      </c>
      <c r="S2501" s="13" t="s">
        <v>379</v>
      </c>
      <c r="T2501" s="68" t="s">
        <v>379</v>
      </c>
      <c r="U2501" s="68" t="s">
        <v>29436</v>
      </c>
      <c r="V2501" s="68" t="s">
        <v>29437</v>
      </c>
      <c r="W2501" s="68" t="s">
        <v>100</v>
      </c>
      <c r="X2501" s="68">
        <v>521</v>
      </c>
      <c r="BK2501" s="44"/>
    </row>
    <row r="2502" spans="1:63" ht="12" customHeight="1" x14ac:dyDescent="0.15">
      <c r="A2502" s="1" t="str">
        <f>HYPERLINK("http://www.killedbypolice.net/victims/150483.jpg","Sherman Byrd")</f>
        <v>Sherman Byrd</v>
      </c>
      <c r="B2502" s="1">
        <v>24</v>
      </c>
      <c r="C2502" s="1" t="s">
        <v>20</v>
      </c>
      <c r="D2502" s="1" t="s">
        <v>85</v>
      </c>
      <c r="F2502" s="72">
        <v>42159</v>
      </c>
      <c r="G2502" s="1" t="s">
        <v>1959</v>
      </c>
      <c r="H2502" s="1" t="s">
        <v>403</v>
      </c>
      <c r="I2502" s="1" t="s">
        <v>404</v>
      </c>
      <c r="J2502" s="4" t="s">
        <v>1960</v>
      </c>
      <c r="K2502" s="1" t="s">
        <v>403</v>
      </c>
      <c r="L2502" s="1" t="s">
        <v>1961</v>
      </c>
      <c r="M2502" s="1" t="s">
        <v>379</v>
      </c>
      <c r="N2502" s="1" t="s">
        <v>1962</v>
      </c>
      <c r="O2502" s="1" t="s">
        <v>400</v>
      </c>
      <c r="P2502" s="1" t="s">
        <v>401</v>
      </c>
      <c r="Q2502" s="63" t="str">
        <f>HYPERLINK("http://philadelphia.cbslocal.com/2015/06/04/police-cruiser-hits-kills-man-fleeing-officers-in-chester/","http://philadelphia.cbslocal.com/2015/06/04/police-cruiser-hits-kills-man-fleeing-officers-in-chester/")</f>
        <v>http://philadelphia.cbslocal.com/2015/06/04/police-cruiser-hits-kills-man-fleeing-officers-in-chester/</v>
      </c>
      <c r="R2502" s="1" t="s">
        <v>29</v>
      </c>
      <c r="S2502" s="13" t="s">
        <v>28</v>
      </c>
      <c r="AX2502" s="44"/>
      <c r="AY2502" s="44"/>
      <c r="BC2502" s="44"/>
      <c r="BD2502" s="44"/>
      <c r="BE2502" s="44"/>
      <c r="BF2502" s="44"/>
      <c r="BG2502" s="44"/>
      <c r="BH2502" s="44"/>
      <c r="BI2502" s="44"/>
      <c r="BJ2502" s="44"/>
    </row>
    <row r="2503" spans="1:63" ht="12" customHeight="1" x14ac:dyDescent="0.15">
      <c r="A2503" s="1" t="s">
        <v>1963</v>
      </c>
      <c r="B2503" s="68">
        <v>46</v>
      </c>
      <c r="C2503" s="1" t="s">
        <v>20</v>
      </c>
      <c r="D2503" s="1" t="s">
        <v>48</v>
      </c>
      <c r="F2503" s="69">
        <v>42158</v>
      </c>
      <c r="G2503" s="1" t="s">
        <v>1964</v>
      </c>
      <c r="H2503" s="1" t="s">
        <v>1965</v>
      </c>
      <c r="I2503" s="1" t="s">
        <v>45</v>
      </c>
      <c r="J2503" s="4" t="s">
        <v>1966</v>
      </c>
      <c r="K2503" s="1" t="s">
        <v>680</v>
      </c>
      <c r="L2503" s="1" t="s">
        <v>1967</v>
      </c>
      <c r="M2503" s="1" t="s">
        <v>27</v>
      </c>
      <c r="N2503" s="1" t="s">
        <v>1968</v>
      </c>
      <c r="O2503" s="1" t="s">
        <v>400</v>
      </c>
      <c r="P2503" s="1" t="s">
        <v>401</v>
      </c>
      <c r="Q2503" s="63" t="str">
        <f>HYPERLINK("http://www.turnto23.com/news/local-news/delano-pd-shoot-kill-man-after-he-fires-at-police","http://www.turnto23.com/news/local-news/delano-pd-shoot-kill-man-after-he-fires-at-police")</f>
        <v>http://www.turnto23.com/news/local-news/delano-pd-shoot-kill-man-after-he-fires-at-police</v>
      </c>
      <c r="R2503" s="1" t="s">
        <v>100</v>
      </c>
      <c r="S2503" s="13" t="s">
        <v>28</v>
      </c>
      <c r="T2503" s="68" t="s">
        <v>27756</v>
      </c>
      <c r="U2503" s="68" t="s">
        <v>29438</v>
      </c>
      <c r="V2503" s="68" t="s">
        <v>29437</v>
      </c>
      <c r="W2503" s="68" t="s">
        <v>100</v>
      </c>
      <c r="X2503" s="68">
        <v>512</v>
      </c>
      <c r="BK2503" s="11"/>
    </row>
    <row r="2504" spans="1:63" ht="12" customHeight="1" x14ac:dyDescent="0.2">
      <c r="A2504" s="1" t="str">
        <f>HYPERLINK("http://www.killedbypolice.net/victims/150485.jpg","Rudy Baca")</f>
        <v>Rudy Baca</v>
      </c>
      <c r="B2504" s="68">
        <v>36</v>
      </c>
      <c r="C2504" s="1" t="s">
        <v>20</v>
      </c>
      <c r="D2504" s="1" t="s">
        <v>48</v>
      </c>
      <c r="F2504" s="69">
        <v>42158</v>
      </c>
      <c r="G2504" s="1" t="s">
        <v>1969</v>
      </c>
      <c r="H2504" s="1" t="s">
        <v>1970</v>
      </c>
      <c r="I2504" s="1" t="s">
        <v>195</v>
      </c>
      <c r="J2504" s="4" t="s">
        <v>1971</v>
      </c>
      <c r="K2504" s="1" t="s">
        <v>1972</v>
      </c>
      <c r="L2504" s="1" t="s">
        <v>1973</v>
      </c>
      <c r="M2504" s="68" t="s">
        <v>5411</v>
      </c>
      <c r="N2504" s="1" t="s">
        <v>1974</v>
      </c>
      <c r="O2504" s="1" t="s">
        <v>400</v>
      </c>
      <c r="P2504" s="1" t="s">
        <v>401</v>
      </c>
      <c r="Q2504" s="63" t="str">
        <f>HYPERLINK("http://www.koat.com/news/valencia-county-deputy-involved-in-shooting/33383626","http://www.koat.com/news/valencia-county-deputy-involved-in-shooting/33383626")</f>
        <v>http://www.koat.com/news/valencia-county-deputy-involved-in-shooting/33383626</v>
      </c>
      <c r="R2504" s="1" t="s">
        <v>100</v>
      </c>
      <c r="S2504" s="13" t="s">
        <v>18</v>
      </c>
      <c r="T2504" s="68" t="s">
        <v>28345</v>
      </c>
      <c r="U2504" s="68" t="s">
        <v>29438</v>
      </c>
      <c r="V2504" s="68" t="s">
        <v>29439</v>
      </c>
      <c r="W2504" s="68" t="s">
        <v>100</v>
      </c>
      <c r="X2504" s="68">
        <v>513</v>
      </c>
      <c r="AW2504" s="44"/>
      <c r="BB2504" s="70"/>
    </row>
    <row r="2505" spans="1:63" ht="12" customHeight="1" x14ac:dyDescent="0.15">
      <c r="A2505" s="1" t="s">
        <v>1982</v>
      </c>
      <c r="B2505" s="68">
        <v>33</v>
      </c>
      <c r="C2505" s="1" t="s">
        <v>20</v>
      </c>
      <c r="D2505" s="1" t="s">
        <v>48</v>
      </c>
      <c r="F2505" s="69">
        <v>42158</v>
      </c>
      <c r="G2505" s="1" t="s">
        <v>1983</v>
      </c>
      <c r="H2505" s="1" t="s">
        <v>723</v>
      </c>
      <c r="I2505" s="1" t="s">
        <v>73</v>
      </c>
      <c r="J2505" s="4" t="s">
        <v>1984</v>
      </c>
      <c r="K2505" s="1" t="s">
        <v>558</v>
      </c>
      <c r="L2505" s="1" t="s">
        <v>724</v>
      </c>
      <c r="M2505" s="1" t="s">
        <v>27</v>
      </c>
      <c r="N2505" s="1" t="s">
        <v>1985</v>
      </c>
      <c r="O2505" s="1" t="s">
        <v>1010</v>
      </c>
      <c r="P2505" s="1" t="s">
        <v>401</v>
      </c>
      <c r="Q2505" s="63" t="str">
        <f>HYPERLINK("http://www.khou.com/story/news/crime/2015/06/03/chase-ends--shooting-southeast-houston/28402107/","http://www.khou.com/story/news/crime/2015/06/03/chase-ends--shooting-southeast-houston/28402107/")</f>
        <v>http://www.khou.com/story/news/crime/2015/06/03/chase-ends--shooting-southeast-houston/28402107/</v>
      </c>
      <c r="R2505" s="1" t="s">
        <v>29</v>
      </c>
      <c r="S2505" s="13" t="s">
        <v>28</v>
      </c>
      <c r="T2505" s="68" t="s">
        <v>29493</v>
      </c>
      <c r="U2505" s="68" t="s">
        <v>29436</v>
      </c>
      <c r="V2505" s="68" t="s">
        <v>29437</v>
      </c>
      <c r="W2505" s="68" t="s">
        <v>100</v>
      </c>
      <c r="X2505" s="68">
        <v>510</v>
      </c>
      <c r="AW2505" s="11"/>
      <c r="BK2505" s="11"/>
    </row>
    <row r="2506" spans="1:63" ht="12" customHeight="1" x14ac:dyDescent="0.2">
      <c r="A2506" s="1" t="s">
        <v>1975</v>
      </c>
      <c r="B2506" s="68">
        <v>18</v>
      </c>
      <c r="C2506" s="1" t="s">
        <v>20</v>
      </c>
      <c r="D2506" s="1" t="s">
        <v>48</v>
      </c>
      <c r="F2506" s="69">
        <v>42158</v>
      </c>
      <c r="G2506" s="1" t="s">
        <v>1976</v>
      </c>
      <c r="H2506" s="1" t="s">
        <v>1977</v>
      </c>
      <c r="I2506" s="1" t="s">
        <v>73</v>
      </c>
      <c r="J2506" s="4" t="s">
        <v>1978</v>
      </c>
      <c r="K2506" s="1" t="s">
        <v>1979</v>
      </c>
      <c r="L2506" s="1" t="s">
        <v>1980</v>
      </c>
      <c r="M2506" s="1" t="s">
        <v>27</v>
      </c>
      <c r="N2506" s="1" t="s">
        <v>1981</v>
      </c>
      <c r="O2506" s="1" t="s">
        <v>1010</v>
      </c>
      <c r="P2506" s="1" t="s">
        <v>401</v>
      </c>
      <c r="Q2506" s="6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506" s="1" t="s">
        <v>555</v>
      </c>
      <c r="S2506" s="13" t="s">
        <v>28</v>
      </c>
      <c r="T2506" s="68" t="s">
        <v>27756</v>
      </c>
      <c r="U2506" s="68" t="s">
        <v>29438</v>
      </c>
      <c r="V2506" s="68" t="s">
        <v>29437</v>
      </c>
      <c r="W2506" s="68" t="s">
        <v>100</v>
      </c>
      <c r="X2506" s="68">
        <v>509</v>
      </c>
      <c r="AW2506" s="70"/>
      <c r="BA2506" s="11"/>
      <c r="BB2506" s="44"/>
      <c r="BK2506" s="11"/>
    </row>
    <row r="2507" spans="1:63" ht="12" customHeight="1" x14ac:dyDescent="0.15">
      <c r="A2507" s="1" t="s">
        <v>1986</v>
      </c>
      <c r="B2507" s="68">
        <v>56</v>
      </c>
      <c r="C2507" s="1" t="s">
        <v>20</v>
      </c>
      <c r="D2507" s="1" t="s">
        <v>37</v>
      </c>
      <c r="E2507" s="1" t="s">
        <v>20292</v>
      </c>
      <c r="F2507" s="69">
        <v>42158</v>
      </c>
      <c r="G2507" s="1" t="s">
        <v>1987</v>
      </c>
      <c r="H2507" s="1" t="s">
        <v>1988</v>
      </c>
      <c r="I2507" s="1" t="s">
        <v>81</v>
      </c>
      <c r="J2507" s="4" t="s">
        <v>1989</v>
      </c>
      <c r="K2507" s="1" t="s">
        <v>1990</v>
      </c>
      <c r="L2507" s="1" t="s">
        <v>1991</v>
      </c>
      <c r="M2507" s="1" t="s">
        <v>27</v>
      </c>
      <c r="N2507" s="1" t="s">
        <v>1992</v>
      </c>
      <c r="O2507" s="1" t="s">
        <v>400</v>
      </c>
      <c r="P2507" s="1" t="s">
        <v>401</v>
      </c>
      <c r="Q2507" s="6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2507" s="68" t="s">
        <v>555</v>
      </c>
      <c r="S2507" s="13" t="s">
        <v>28</v>
      </c>
      <c r="T2507" s="68" t="s">
        <v>27756</v>
      </c>
      <c r="U2507" s="68" t="s">
        <v>29438</v>
      </c>
      <c r="V2507" s="68" t="s">
        <v>29439</v>
      </c>
      <c r="W2507" s="68" t="s">
        <v>100</v>
      </c>
      <c r="X2507" s="68">
        <v>511</v>
      </c>
      <c r="BA2507" s="44"/>
      <c r="BB2507" s="11"/>
      <c r="BK2507" s="11"/>
    </row>
    <row r="2508" spans="1:63" ht="12" customHeight="1" x14ac:dyDescent="0.15">
      <c r="A2508" s="1" t="str">
        <f>HYPERLINK("http://www.killedbypolice.net/victims/150478.jpg","Usaamah Rahim")</f>
        <v>Usaamah Rahim</v>
      </c>
      <c r="B2508" s="68">
        <v>26</v>
      </c>
      <c r="C2508" s="1" t="s">
        <v>20</v>
      </c>
      <c r="D2508" s="1" t="s">
        <v>85</v>
      </c>
      <c r="F2508" s="69">
        <v>42157</v>
      </c>
      <c r="G2508" s="1" t="s">
        <v>1998</v>
      </c>
      <c r="H2508" s="1" t="s">
        <v>1999</v>
      </c>
      <c r="I2508" s="1" t="s">
        <v>46</v>
      </c>
      <c r="J2508" s="4" t="s">
        <v>2000</v>
      </c>
      <c r="K2508" s="1" t="s">
        <v>1699</v>
      </c>
      <c r="L2508" s="1" t="s">
        <v>3230</v>
      </c>
      <c r="M2508" s="1" t="s">
        <v>27</v>
      </c>
      <c r="N2508" s="1" t="s">
        <v>2001</v>
      </c>
      <c r="O2508" s="1" t="s">
        <v>550</v>
      </c>
      <c r="P2508" s="1" t="s">
        <v>401</v>
      </c>
      <c r="Q2508" s="63" t="str">
        <f>HYPERLINK("http://www.whdh.com/story/29215946/one-dead-after-officer-involved-shooting-in-roslindale","http://www.whdh.com/story/29215946/one-dead-after-officer-involved-shooting-in-roslindale")</f>
        <v>http://www.whdh.com/story/29215946/one-dead-after-officer-involved-shooting-in-roslindale</v>
      </c>
      <c r="R2508" s="1" t="s">
        <v>29</v>
      </c>
      <c r="S2508" s="13" t="s">
        <v>28</v>
      </c>
      <c r="T2508" s="68" t="s">
        <v>29493</v>
      </c>
      <c r="U2508" s="68" t="s">
        <v>29436</v>
      </c>
      <c r="V2508" s="68" t="s">
        <v>29439</v>
      </c>
      <c r="W2508" s="68" t="s">
        <v>100</v>
      </c>
      <c r="X2508" s="68">
        <v>507</v>
      </c>
      <c r="AW2508" s="44"/>
      <c r="AX2508" s="11"/>
      <c r="AY2508" s="11"/>
      <c r="BC2508" s="44"/>
      <c r="BD2508" s="44"/>
      <c r="BE2508" s="44"/>
      <c r="BF2508" s="44"/>
      <c r="BG2508" s="44"/>
      <c r="BH2508" s="44"/>
      <c r="BI2508" s="44"/>
      <c r="BJ2508" s="44"/>
      <c r="BK2508" s="11"/>
    </row>
    <row r="2509" spans="1:63" ht="12" customHeight="1" x14ac:dyDescent="0.15">
      <c r="A2509" s="1" t="s">
        <v>20255</v>
      </c>
      <c r="B2509" s="1">
        <v>51</v>
      </c>
      <c r="C2509" s="1" t="s">
        <v>20</v>
      </c>
      <c r="D2509" s="1" t="s">
        <v>85</v>
      </c>
      <c r="E2509" s="1" t="s">
        <v>20256</v>
      </c>
      <c r="F2509" s="72">
        <v>42157</v>
      </c>
      <c r="G2509" s="1" t="s">
        <v>20257</v>
      </c>
      <c r="H2509" s="1" t="s">
        <v>20258</v>
      </c>
      <c r="I2509" s="1" t="s">
        <v>94</v>
      </c>
      <c r="J2509" s="3" t="s">
        <v>20259</v>
      </c>
      <c r="K2509" s="2" t="s">
        <v>5417</v>
      </c>
      <c r="L2509" s="2" t="s">
        <v>20260</v>
      </c>
      <c r="M2509" s="2" t="s">
        <v>379</v>
      </c>
      <c r="N2509" s="2" t="s">
        <v>20262</v>
      </c>
      <c r="O2509" s="2" t="s">
        <v>400</v>
      </c>
      <c r="P2509" s="1" t="s">
        <v>401</v>
      </c>
      <c r="Q2509" s="7" t="s">
        <v>20261</v>
      </c>
      <c r="R2509" s="2" t="s">
        <v>29</v>
      </c>
      <c r="S2509" s="2" t="s">
        <v>379</v>
      </c>
      <c r="AX2509" s="44"/>
      <c r="AY2509" s="44"/>
      <c r="BC2509" s="44"/>
      <c r="BD2509" s="44"/>
      <c r="BE2509" s="44"/>
      <c r="BF2509" s="44"/>
      <c r="BG2509" s="44"/>
      <c r="BH2509" s="44"/>
      <c r="BI2509" s="44"/>
      <c r="BJ2509" s="44"/>
    </row>
    <row r="2510" spans="1:63" ht="12" customHeight="1" x14ac:dyDescent="0.2">
      <c r="A2510" s="1" t="str">
        <f>HYPERLINK("http://www.killedbypolice.net/victims/150479.jpg","Kamal Dajani")</f>
        <v>Kamal Dajani</v>
      </c>
      <c r="B2510" s="68">
        <v>26</v>
      </c>
      <c r="C2510" s="1" t="s">
        <v>20</v>
      </c>
      <c r="D2510" s="1" t="s">
        <v>21</v>
      </c>
      <c r="F2510" s="69">
        <v>42157</v>
      </c>
      <c r="G2510" s="1" t="s">
        <v>1993</v>
      </c>
      <c r="H2510" s="1" t="s">
        <v>1994</v>
      </c>
      <c r="I2510" s="1" t="s">
        <v>73</v>
      </c>
      <c r="J2510" s="4" t="s">
        <v>1995</v>
      </c>
      <c r="K2510" s="1" t="s">
        <v>74</v>
      </c>
      <c r="L2510" s="1" t="s">
        <v>1996</v>
      </c>
      <c r="M2510" s="1" t="s">
        <v>27</v>
      </c>
      <c r="N2510" s="1" t="s">
        <v>1997</v>
      </c>
      <c r="O2510" s="1" t="s">
        <v>400</v>
      </c>
      <c r="P2510" s="1" t="s">
        <v>401</v>
      </c>
      <c r="Q2510" s="6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2510" s="1" t="s">
        <v>555</v>
      </c>
      <c r="S2510" s="13" t="s">
        <v>28</v>
      </c>
      <c r="T2510" s="68" t="s">
        <v>29493</v>
      </c>
      <c r="U2510" s="68" t="s">
        <v>29438</v>
      </c>
      <c r="V2510" s="68" t="s">
        <v>29439</v>
      </c>
      <c r="W2510" s="68" t="s">
        <v>100</v>
      </c>
      <c r="X2510" s="68">
        <v>508</v>
      </c>
      <c r="AW2510" s="44"/>
      <c r="AX2510" s="70"/>
      <c r="AY2510" s="70"/>
      <c r="BA2510" s="11"/>
      <c r="BB2510" s="44"/>
      <c r="BC2510" s="66"/>
      <c r="BD2510" s="66"/>
      <c r="BE2510" s="66"/>
      <c r="BF2510" s="66"/>
      <c r="BG2510" s="66"/>
      <c r="BH2510" s="66"/>
      <c r="BI2510" s="66"/>
      <c r="BJ2510" s="66"/>
      <c r="BK2510" s="11"/>
    </row>
    <row r="2511" spans="1:63" ht="12" customHeight="1" x14ac:dyDescent="0.2">
      <c r="A2511" s="1" t="str">
        <f>HYPERLINK("http://www.killedbypolice.net/victims/150476.jpg","Joseph M. Ladd")</f>
        <v>Joseph M. Ladd</v>
      </c>
      <c r="B2511" s="68">
        <v>23</v>
      </c>
      <c r="C2511" s="1" t="s">
        <v>20</v>
      </c>
      <c r="D2511" s="1" t="s">
        <v>37</v>
      </c>
      <c r="F2511" s="69">
        <v>42156</v>
      </c>
      <c r="G2511" s="1" t="s">
        <v>2002</v>
      </c>
      <c r="H2511" s="1" t="s">
        <v>2003</v>
      </c>
      <c r="I2511" s="1" t="s">
        <v>423</v>
      </c>
      <c r="J2511" s="4" t="s">
        <v>2004</v>
      </c>
      <c r="K2511" s="1" t="s">
        <v>1104</v>
      </c>
      <c r="L2511" s="1" t="s">
        <v>2005</v>
      </c>
      <c r="M2511" s="1" t="s">
        <v>27</v>
      </c>
      <c r="N2511" s="1" t="s">
        <v>2006</v>
      </c>
      <c r="O2511" s="1" t="s">
        <v>400</v>
      </c>
      <c r="P2511" s="1" t="s">
        <v>401</v>
      </c>
      <c r="Q2511" s="6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2511" s="68" t="s">
        <v>555</v>
      </c>
      <c r="S2511" s="13" t="s">
        <v>28</v>
      </c>
      <c r="T2511" s="68" t="s">
        <v>27756</v>
      </c>
      <c r="U2511" s="68" t="s">
        <v>29438</v>
      </c>
      <c r="V2511" s="68" t="s">
        <v>21212</v>
      </c>
      <c r="W2511" s="68" t="s">
        <v>100</v>
      </c>
      <c r="X2511" s="68">
        <v>505</v>
      </c>
      <c r="AW2511" s="11"/>
      <c r="BA2511" s="70"/>
      <c r="BB2511" s="70"/>
      <c r="BK2511" s="11"/>
    </row>
    <row r="2512" spans="1:63" ht="12" customHeight="1" x14ac:dyDescent="0.15">
      <c r="A2512" s="1" t="str">
        <f>HYPERLINK("http://www.killedbypolice.net/victims/150475.jpg","James D. Bushey")</f>
        <v>James D. Bushey</v>
      </c>
      <c r="B2512" s="68">
        <v>47</v>
      </c>
      <c r="C2512" s="1" t="s">
        <v>20</v>
      </c>
      <c r="D2512" s="1" t="s">
        <v>37</v>
      </c>
      <c r="F2512" s="69">
        <v>42155</v>
      </c>
      <c r="G2512" s="1" t="s">
        <v>2007</v>
      </c>
      <c r="H2512" s="1" t="s">
        <v>2008</v>
      </c>
      <c r="I2512" s="1" t="s">
        <v>73</v>
      </c>
      <c r="J2512" s="4" t="s">
        <v>2009</v>
      </c>
      <c r="K2512" s="1" t="s">
        <v>252</v>
      </c>
      <c r="L2512" s="1" t="s">
        <v>2010</v>
      </c>
      <c r="M2512" s="1" t="s">
        <v>27</v>
      </c>
      <c r="N2512" s="1" t="s">
        <v>2011</v>
      </c>
      <c r="O2512" s="1" t="s">
        <v>400</v>
      </c>
      <c r="P2512" s="1" t="s">
        <v>401</v>
      </c>
      <c r="Q2512" s="63" t="str">
        <f>HYPERLINK("http://www.kplctv.com/story/29203366/palestine-police-id-victim-in-officer-involved-shooting","http://www.kplctv.com/story/29203366/palestine-police-id-victim-in-officer-involved-shooting")</f>
        <v>http://www.kplctv.com/story/29203366/palestine-police-id-victim-in-officer-involved-shooting</v>
      </c>
      <c r="R2512" s="1" t="s">
        <v>100</v>
      </c>
      <c r="S2512" s="11" t="s">
        <v>18</v>
      </c>
      <c r="T2512" s="68" t="s">
        <v>29612</v>
      </c>
      <c r="U2512" s="68" t="s">
        <v>29438</v>
      </c>
      <c r="V2512" s="68" t="s">
        <v>29439</v>
      </c>
      <c r="W2512" s="68" t="s">
        <v>555</v>
      </c>
      <c r="X2512" s="68">
        <v>504</v>
      </c>
    </row>
    <row r="2513" spans="1:63" ht="12" customHeight="1" x14ac:dyDescent="0.2">
      <c r="A2513" s="11" t="s">
        <v>22934</v>
      </c>
      <c r="B2513" s="11">
        <v>45</v>
      </c>
      <c r="C2513" s="11" t="s">
        <v>20</v>
      </c>
      <c r="D2513" s="11" t="s">
        <v>85</v>
      </c>
      <c r="E2513" s="11"/>
      <c r="F2513" s="72">
        <v>42155</v>
      </c>
      <c r="G2513" s="44" t="s">
        <v>22939</v>
      </c>
      <c r="H2513" s="44" t="s">
        <v>2158</v>
      </c>
      <c r="I2513" s="44" t="s">
        <v>94</v>
      </c>
      <c r="J2513" s="10">
        <v>35806</v>
      </c>
      <c r="K2513" s="1" t="s">
        <v>2160</v>
      </c>
      <c r="L2513" s="44" t="s">
        <v>2161</v>
      </c>
      <c r="M2513" s="11" t="s">
        <v>22940</v>
      </c>
      <c r="N2513" s="11" t="s">
        <v>22941</v>
      </c>
      <c r="O2513" s="11" t="s">
        <v>400</v>
      </c>
      <c r="P2513" s="11" t="s">
        <v>401</v>
      </c>
      <c r="Q2513" s="11" t="s">
        <v>22942</v>
      </c>
      <c r="R2513" s="11" t="s">
        <v>29</v>
      </c>
      <c r="S2513" s="11" t="s">
        <v>18</v>
      </c>
      <c r="T2513" s="11"/>
      <c r="U2513" s="11"/>
      <c r="V2513" s="11"/>
      <c r="W2513" s="11"/>
      <c r="X2513" s="11"/>
      <c r="Y2513" s="11"/>
      <c r="Z2513" s="11"/>
      <c r="AA2513" s="11"/>
      <c r="AB2513" s="11"/>
      <c r="AC2513" s="11"/>
      <c r="AD2513" s="11"/>
      <c r="AE2513" s="11"/>
      <c r="AF2513" s="11"/>
      <c r="AG2513" s="11"/>
      <c r="AH2513" s="11"/>
      <c r="AI2513" s="11"/>
      <c r="AJ2513" s="11"/>
      <c r="AK2513" s="11"/>
      <c r="AT2513" s="70"/>
      <c r="AU2513" s="70"/>
      <c r="AW2513" s="44"/>
      <c r="AX2513" s="44"/>
      <c r="BB2513" s="44"/>
      <c r="BC2513" s="44"/>
      <c r="BD2513" s="44"/>
      <c r="BE2513" s="44"/>
      <c r="BF2513" s="44"/>
      <c r="BG2513" s="44"/>
      <c r="BH2513" s="44"/>
      <c r="BI2513" s="44"/>
      <c r="BK2513" s="78"/>
    </row>
    <row r="2514" spans="1:63" ht="12" customHeight="1" x14ac:dyDescent="0.15">
      <c r="A2514" s="1" t="s">
        <v>2012</v>
      </c>
      <c r="B2514" s="1">
        <v>50</v>
      </c>
      <c r="C2514" s="1" t="s">
        <v>20</v>
      </c>
      <c r="D2514" s="1" t="s">
        <v>85</v>
      </c>
      <c r="E2514" s="1" t="s">
        <v>2013</v>
      </c>
      <c r="F2514" s="72">
        <v>42155</v>
      </c>
      <c r="G2514" s="1" t="s">
        <v>2014</v>
      </c>
      <c r="H2514" s="1" t="s">
        <v>2003</v>
      </c>
      <c r="I2514" s="1" t="s">
        <v>423</v>
      </c>
      <c r="J2514" s="4" t="s">
        <v>2015</v>
      </c>
      <c r="K2514" s="1" t="s">
        <v>1104</v>
      </c>
      <c r="L2514" s="1" t="s">
        <v>2016</v>
      </c>
      <c r="M2514" s="1" t="s">
        <v>391</v>
      </c>
      <c r="N2514" s="1" t="s">
        <v>2017</v>
      </c>
      <c r="O2514" s="1" t="s">
        <v>1010</v>
      </c>
      <c r="P2514" s="1" t="s">
        <v>401</v>
      </c>
      <c r="Q2514" s="6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2514" s="1" t="s">
        <v>29</v>
      </c>
      <c r="S2514" s="13" t="s">
        <v>18</v>
      </c>
      <c r="AU2514" s="11"/>
      <c r="AV2514" s="11"/>
      <c r="AW2514" s="11"/>
      <c r="AX2514" s="11"/>
      <c r="AY2514" s="11"/>
      <c r="BC2514" s="44"/>
      <c r="BD2514" s="44"/>
      <c r="BE2514" s="44"/>
      <c r="BF2514" s="44"/>
      <c r="BG2514" s="44"/>
      <c r="BH2514" s="44"/>
      <c r="BI2514" s="44"/>
      <c r="BJ2514" s="44"/>
    </row>
    <row r="2515" spans="1:63" ht="12" customHeight="1" x14ac:dyDescent="0.15">
      <c r="A2515" s="1" t="s">
        <v>2018</v>
      </c>
      <c r="B2515" s="68">
        <v>40</v>
      </c>
      <c r="C2515" s="1" t="s">
        <v>20</v>
      </c>
      <c r="D2515" s="1" t="s">
        <v>37</v>
      </c>
      <c r="F2515" s="69">
        <v>42155</v>
      </c>
      <c r="G2515" s="1" t="s">
        <v>2019</v>
      </c>
      <c r="H2515" s="1" t="s">
        <v>2020</v>
      </c>
      <c r="I2515" s="1" t="s">
        <v>117</v>
      </c>
      <c r="J2515" s="4" t="s">
        <v>2021</v>
      </c>
      <c r="K2515" s="1" t="s">
        <v>433</v>
      </c>
      <c r="L2515" s="1" t="s">
        <v>2022</v>
      </c>
      <c r="M2515" s="1" t="s">
        <v>27</v>
      </c>
      <c r="N2515" s="1" t="s">
        <v>2023</v>
      </c>
      <c r="O2515" s="1" t="s">
        <v>400</v>
      </c>
      <c r="P2515" s="1" t="s">
        <v>401</v>
      </c>
      <c r="Q2515" s="63" t="s">
        <v>2024</v>
      </c>
      <c r="R2515" s="1" t="s">
        <v>555</v>
      </c>
      <c r="S2515" s="13" t="s">
        <v>28</v>
      </c>
      <c r="T2515" s="68" t="s">
        <v>27756</v>
      </c>
      <c r="U2515" s="68" t="s">
        <v>29438</v>
      </c>
      <c r="V2515" s="68" t="s">
        <v>29439</v>
      </c>
      <c r="W2515" s="68" t="s">
        <v>100</v>
      </c>
      <c r="X2515" s="68">
        <v>503</v>
      </c>
      <c r="AW2515" s="44"/>
      <c r="BA2515" s="11"/>
      <c r="BB2515" s="44"/>
      <c r="BK2515" s="11"/>
    </row>
    <row r="2516" spans="1:63" ht="12" customHeight="1" x14ac:dyDescent="0.15">
      <c r="A2516" s="1" t="s">
        <v>2025</v>
      </c>
      <c r="B2516" s="68">
        <v>39</v>
      </c>
      <c r="C2516" s="1" t="s">
        <v>20</v>
      </c>
      <c r="D2516" s="1" t="s">
        <v>48</v>
      </c>
      <c r="E2516" s="1" t="s">
        <v>2026</v>
      </c>
      <c r="F2516" s="69">
        <v>42154</v>
      </c>
      <c r="G2516" s="1" t="s">
        <v>2027</v>
      </c>
      <c r="H2516" s="1" t="s">
        <v>2028</v>
      </c>
      <c r="I2516" s="1" t="s">
        <v>319</v>
      </c>
      <c r="J2516" s="4" t="s">
        <v>2029</v>
      </c>
      <c r="K2516" s="1" t="s">
        <v>879</v>
      </c>
      <c r="L2516" s="1" t="s">
        <v>880</v>
      </c>
      <c r="M2516" s="1" t="s">
        <v>27</v>
      </c>
      <c r="N2516" s="1" t="s">
        <v>2030</v>
      </c>
      <c r="O2516" s="1" t="s">
        <v>1010</v>
      </c>
      <c r="P2516" s="1" t="s">
        <v>401</v>
      </c>
      <c r="Q2516" s="6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2516" s="1" t="s">
        <v>100</v>
      </c>
      <c r="S2516" s="11" t="s">
        <v>18</v>
      </c>
      <c r="T2516" s="68" t="s">
        <v>29612</v>
      </c>
      <c r="U2516" s="68" t="s">
        <v>29438</v>
      </c>
      <c r="V2516" s="68" t="s">
        <v>29439</v>
      </c>
      <c r="W2516" s="68" t="s">
        <v>100</v>
      </c>
      <c r="X2516" s="68">
        <v>501</v>
      </c>
      <c r="AW2516" s="44"/>
    </row>
    <row r="2517" spans="1:63" ht="12" customHeight="1" x14ac:dyDescent="0.2">
      <c r="A2517" s="1" t="s">
        <v>2031</v>
      </c>
      <c r="B2517" s="68">
        <v>19</v>
      </c>
      <c r="C2517" s="1" t="s">
        <v>20</v>
      </c>
      <c r="D2517" s="1" t="s">
        <v>37</v>
      </c>
      <c r="E2517" s="1" t="s">
        <v>2032</v>
      </c>
      <c r="F2517" s="69">
        <v>42154</v>
      </c>
      <c r="G2517" s="1" t="s">
        <v>2033</v>
      </c>
      <c r="H2517" s="1" t="s">
        <v>2034</v>
      </c>
      <c r="I2517" s="1" t="s">
        <v>123</v>
      </c>
      <c r="J2517" s="4" t="s">
        <v>2035</v>
      </c>
      <c r="K2517" s="1" t="s">
        <v>179</v>
      </c>
      <c r="L2517" s="1" t="s">
        <v>2036</v>
      </c>
      <c r="M2517" s="1" t="s">
        <v>27</v>
      </c>
      <c r="N2517" s="1" t="s">
        <v>2037</v>
      </c>
      <c r="O2517" s="1" t="s">
        <v>400</v>
      </c>
      <c r="P2517" s="1" t="s">
        <v>401</v>
      </c>
      <c r="Q2517" s="63" t="s">
        <v>2038</v>
      </c>
      <c r="R2517" s="1" t="s">
        <v>100</v>
      </c>
      <c r="S2517" s="13" t="s">
        <v>18</v>
      </c>
      <c r="T2517" s="68" t="s">
        <v>28345</v>
      </c>
      <c r="U2517" s="68" t="s">
        <v>29438</v>
      </c>
      <c r="V2517" s="68" t="s">
        <v>29440</v>
      </c>
      <c r="W2517" s="68" t="s">
        <v>100</v>
      </c>
      <c r="X2517" s="68">
        <v>500</v>
      </c>
      <c r="AW2517" s="70"/>
    </row>
    <row r="2518" spans="1:63" ht="12" customHeight="1" x14ac:dyDescent="0.15">
      <c r="A2518" s="1" t="s">
        <v>2053</v>
      </c>
      <c r="B2518" s="68">
        <v>36</v>
      </c>
      <c r="C2518" s="1" t="s">
        <v>20</v>
      </c>
      <c r="D2518" s="1" t="s">
        <v>85</v>
      </c>
      <c r="E2518" s="1" t="s">
        <v>2054</v>
      </c>
      <c r="F2518" s="69">
        <v>42153</v>
      </c>
      <c r="G2518" s="1" t="s">
        <v>2055</v>
      </c>
      <c r="H2518" s="1" t="s">
        <v>2056</v>
      </c>
      <c r="I2518" s="1" t="s">
        <v>81</v>
      </c>
      <c r="J2518" s="4" t="s">
        <v>2057</v>
      </c>
      <c r="K2518" s="1" t="s">
        <v>1833</v>
      </c>
      <c r="L2518" s="1" t="s">
        <v>2058</v>
      </c>
      <c r="M2518" s="1" t="s">
        <v>27</v>
      </c>
      <c r="N2518" s="1" t="s">
        <v>2059</v>
      </c>
      <c r="O2518" s="1" t="s">
        <v>2060</v>
      </c>
      <c r="P2518" s="1" t="s">
        <v>401</v>
      </c>
      <c r="Q2518" s="63" t="str">
        <f>HYPERLINK("http://newyork.cbslocal.com/2015/05/29/lyndhurst-library-police-shooting/","http://newyork.cbslocal.com/2015/05/29/lyndhurst-library-police-shooting/")</f>
        <v>http://newyork.cbslocal.com/2015/05/29/lyndhurst-library-police-shooting/</v>
      </c>
      <c r="R2518" s="1" t="s">
        <v>100</v>
      </c>
      <c r="S2518" s="13" t="s">
        <v>28</v>
      </c>
      <c r="T2518" s="68" t="s">
        <v>29493</v>
      </c>
      <c r="U2518" s="68" t="s">
        <v>29436</v>
      </c>
      <c r="V2518" s="68" t="s">
        <v>29439</v>
      </c>
      <c r="W2518" s="68" t="s">
        <v>100</v>
      </c>
      <c r="X2518" s="68">
        <v>497</v>
      </c>
      <c r="AW2518" s="44"/>
      <c r="AX2518" s="44"/>
      <c r="AY2518" s="44"/>
      <c r="BC2518" s="44"/>
      <c r="BD2518" s="44"/>
      <c r="BE2518" s="44"/>
      <c r="BF2518" s="44"/>
      <c r="BG2518" s="44"/>
      <c r="BH2518" s="44"/>
      <c r="BI2518" s="44"/>
      <c r="BJ2518" s="44"/>
      <c r="BK2518" s="11"/>
    </row>
    <row r="2519" spans="1:63" ht="12" customHeight="1" x14ac:dyDescent="0.15">
      <c r="A2519" s="1" t="s">
        <v>2039</v>
      </c>
      <c r="B2519" s="68">
        <v>35</v>
      </c>
      <c r="C2519" s="1" t="s">
        <v>20</v>
      </c>
      <c r="D2519" s="1" t="s">
        <v>37</v>
      </c>
      <c r="E2519" s="1" t="s">
        <v>2040</v>
      </c>
      <c r="F2519" s="69">
        <v>42153</v>
      </c>
      <c r="G2519" s="1" t="s">
        <v>2041</v>
      </c>
      <c r="H2519" s="1" t="s">
        <v>2042</v>
      </c>
      <c r="I2519" s="1" t="s">
        <v>395</v>
      </c>
      <c r="J2519" s="4" t="s">
        <v>2043</v>
      </c>
      <c r="K2519" s="1" t="s">
        <v>2044</v>
      </c>
      <c r="L2519" s="1" t="s">
        <v>2045</v>
      </c>
      <c r="M2519" s="1" t="s">
        <v>27</v>
      </c>
      <c r="N2519" s="1" t="s">
        <v>29614</v>
      </c>
      <c r="O2519" s="1" t="s">
        <v>400</v>
      </c>
      <c r="P2519" s="1" t="s">
        <v>401</v>
      </c>
      <c r="Q2519" s="63" t="s">
        <v>2046</v>
      </c>
      <c r="R2519" s="1" t="s">
        <v>100</v>
      </c>
      <c r="S2519" s="2" t="s">
        <v>35</v>
      </c>
      <c r="T2519" s="68" t="s">
        <v>27756</v>
      </c>
      <c r="U2519" s="68" t="s">
        <v>29438</v>
      </c>
      <c r="V2519" s="68" t="s">
        <v>29439</v>
      </c>
      <c r="W2519" s="68" t="s">
        <v>100</v>
      </c>
      <c r="X2519" s="68">
        <v>498</v>
      </c>
      <c r="AW2519" s="11"/>
    </row>
    <row r="2520" spans="1:63" ht="12" customHeight="1" x14ac:dyDescent="0.15">
      <c r="A2520" s="1" t="s">
        <v>2047</v>
      </c>
      <c r="B2520" s="68">
        <v>55</v>
      </c>
      <c r="C2520" s="1" t="s">
        <v>20</v>
      </c>
      <c r="D2520" s="1" t="s">
        <v>37</v>
      </c>
      <c r="F2520" s="69">
        <v>42153</v>
      </c>
      <c r="G2520" s="1" t="s">
        <v>2048</v>
      </c>
      <c r="H2520" s="1" t="s">
        <v>2049</v>
      </c>
      <c r="I2520" s="1" t="s">
        <v>117</v>
      </c>
      <c r="J2520" s="4" t="s">
        <v>2050</v>
      </c>
      <c r="K2520" s="1" t="s">
        <v>1537</v>
      </c>
      <c r="L2520" s="1" t="s">
        <v>2051</v>
      </c>
      <c r="M2520" s="1" t="s">
        <v>27</v>
      </c>
      <c r="N2520" s="1" t="s">
        <v>2052</v>
      </c>
      <c r="O2520" s="1" t="s">
        <v>400</v>
      </c>
      <c r="P2520" s="1" t="s">
        <v>401</v>
      </c>
      <c r="Q2520" s="63" t="str">
        <f>HYPERLINK("http://koin.com/2015/05/30/osp-troopers-shoot-kill-man-in-wilderville/","http://koin.com/2015/05/30/osp-troopers-shoot-kill-man-in-wilderville/")</f>
        <v>http://koin.com/2015/05/30/osp-troopers-shoot-kill-man-in-wilderville/</v>
      </c>
      <c r="R2520" s="1" t="s">
        <v>29</v>
      </c>
      <c r="S2520" s="13" t="s">
        <v>28</v>
      </c>
      <c r="T2520" s="68" t="s">
        <v>27756</v>
      </c>
      <c r="U2520" s="68" t="s">
        <v>29438</v>
      </c>
      <c r="V2520" s="68" t="s">
        <v>29439</v>
      </c>
      <c r="W2520" s="68" t="s">
        <v>100</v>
      </c>
      <c r="X2520" s="68">
        <v>499</v>
      </c>
      <c r="BK2520" s="44"/>
    </row>
    <row r="2521" spans="1:63" ht="12" customHeight="1" x14ac:dyDescent="0.15">
      <c r="A2521" s="1" t="str">
        <f>HYPERLINK("http://www.killedbypolice.net/victims/150477.jpg","Billy J. Collins")</f>
        <v>Billy J. Collins</v>
      </c>
      <c r="B2521" s="1">
        <v>56</v>
      </c>
      <c r="C2521" s="1" t="s">
        <v>20</v>
      </c>
      <c r="D2521" s="1" t="s">
        <v>37</v>
      </c>
      <c r="E2521" s="1" t="s">
        <v>2065</v>
      </c>
      <c r="F2521" s="72">
        <v>42153</v>
      </c>
      <c r="G2521" s="1" t="s">
        <v>2066</v>
      </c>
      <c r="H2521" s="1" t="s">
        <v>2067</v>
      </c>
      <c r="I2521" s="1" t="s">
        <v>315</v>
      </c>
      <c r="J2521" s="4" t="s">
        <v>2068</v>
      </c>
      <c r="K2521" s="1" t="s">
        <v>2069</v>
      </c>
      <c r="L2521" s="1" t="s">
        <v>2070</v>
      </c>
      <c r="M2521" s="1" t="s">
        <v>391</v>
      </c>
      <c r="N2521" s="1" t="s">
        <v>2071</v>
      </c>
      <c r="O2521" s="1" t="s">
        <v>400</v>
      </c>
      <c r="P2521" s="1" t="s">
        <v>401</v>
      </c>
      <c r="Q2521" s="6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2521" s="1" t="s">
        <v>29</v>
      </c>
      <c r="S2521" s="13" t="s">
        <v>28</v>
      </c>
      <c r="AU2521" s="11"/>
      <c r="AV2521" s="11"/>
      <c r="AW2521" s="11"/>
    </row>
    <row r="2522" spans="1:63" ht="12" customHeight="1" x14ac:dyDescent="0.15">
      <c r="A2522" s="1" t="s">
        <v>2061</v>
      </c>
      <c r="B2522" s="1">
        <v>35</v>
      </c>
      <c r="C2522" s="1" t="s">
        <v>20</v>
      </c>
      <c r="D2522" s="1" t="s">
        <v>48</v>
      </c>
      <c r="F2522" s="72">
        <v>42153</v>
      </c>
      <c r="G2522" s="1" t="s">
        <v>2062</v>
      </c>
      <c r="H2522" s="1" t="s">
        <v>1733</v>
      </c>
      <c r="I2522" s="1" t="s">
        <v>62</v>
      </c>
      <c r="J2522" s="4" t="s">
        <v>2063</v>
      </c>
      <c r="K2522" s="1" t="s">
        <v>1735</v>
      </c>
      <c r="L2522" s="1" t="s">
        <v>1736</v>
      </c>
      <c r="M2522" s="1" t="s">
        <v>29</v>
      </c>
      <c r="P2522" s="1" t="s">
        <v>401</v>
      </c>
      <c r="Q2522" s="63" t="s">
        <v>2064</v>
      </c>
      <c r="R2522" s="1" t="s">
        <v>29</v>
      </c>
      <c r="S2522" s="13" t="s">
        <v>18</v>
      </c>
      <c r="AU2522" s="11"/>
      <c r="AV2522" s="11"/>
      <c r="AW2522" s="44"/>
    </row>
    <row r="2523" spans="1:63" ht="12" customHeight="1" x14ac:dyDescent="0.2">
      <c r="A2523" s="1" t="s">
        <v>2098</v>
      </c>
      <c r="B2523" s="68">
        <v>18</v>
      </c>
      <c r="C2523" s="1" t="s">
        <v>20</v>
      </c>
      <c r="D2523" s="1" t="s">
        <v>37</v>
      </c>
      <c r="E2523" s="1" t="s">
        <v>2099</v>
      </c>
      <c r="F2523" s="69">
        <v>42152</v>
      </c>
      <c r="G2523" s="1" t="s">
        <v>2100</v>
      </c>
      <c r="H2523" s="1" t="s">
        <v>2101</v>
      </c>
      <c r="I2523" s="1" t="s">
        <v>57</v>
      </c>
      <c r="J2523" s="4" t="s">
        <v>2102</v>
      </c>
      <c r="K2523" s="1" t="s">
        <v>1128</v>
      </c>
      <c r="L2523" s="1" t="s">
        <v>2103</v>
      </c>
      <c r="M2523" s="68" t="s">
        <v>5411</v>
      </c>
      <c r="N2523" s="1" t="s">
        <v>2104</v>
      </c>
      <c r="O2523" s="1" t="s">
        <v>400</v>
      </c>
      <c r="P2523" s="1" t="s">
        <v>401</v>
      </c>
      <c r="Q2523" s="63" t="str">
        <f>HYPERLINK("http://www.clickondetroit.com/news/man-attacks-officer-shot-by-police-trenton/33276844","http://www.clickondetroit.com/news/man-attacks-officer-shot-by-police-trenton/33276844")</f>
        <v>http://www.clickondetroit.com/news/man-attacks-officer-shot-by-police-trenton/33276844</v>
      </c>
      <c r="R2523" s="11" t="s">
        <v>964</v>
      </c>
      <c r="S2523" s="13" t="s">
        <v>28</v>
      </c>
      <c r="T2523" s="68" t="s">
        <v>29485</v>
      </c>
      <c r="U2523" s="68" t="s">
        <v>29438</v>
      </c>
      <c r="V2523" s="68" t="s">
        <v>29439</v>
      </c>
      <c r="W2523" s="68" t="s">
        <v>100</v>
      </c>
      <c r="X2523" s="68">
        <v>494</v>
      </c>
      <c r="AW2523" s="70"/>
      <c r="BA2523" s="44"/>
      <c r="BB2523" s="70"/>
    </row>
    <row r="2524" spans="1:63" ht="12" customHeight="1" x14ac:dyDescent="0.15">
      <c r="A2524" s="1" t="s">
        <v>2086</v>
      </c>
      <c r="B2524" s="68">
        <v>32</v>
      </c>
      <c r="C2524" s="1" t="s">
        <v>20</v>
      </c>
      <c r="D2524" s="1" t="s">
        <v>85</v>
      </c>
      <c r="E2524" s="1" t="s">
        <v>22943</v>
      </c>
      <c r="F2524" s="69">
        <v>42152</v>
      </c>
      <c r="G2524" s="1" t="s">
        <v>2087</v>
      </c>
      <c r="H2524" s="1" t="s">
        <v>2088</v>
      </c>
      <c r="I2524" s="1" t="s">
        <v>209</v>
      </c>
      <c r="J2524" s="4">
        <v>80233</v>
      </c>
      <c r="K2524" s="1" t="s">
        <v>1924</v>
      </c>
      <c r="L2524" s="1" t="s">
        <v>2089</v>
      </c>
      <c r="M2524" s="1" t="s">
        <v>27</v>
      </c>
      <c r="N2524" s="1" t="s">
        <v>2090</v>
      </c>
      <c r="O2524" s="1" t="s">
        <v>29</v>
      </c>
      <c r="P2524" s="1" t="s">
        <v>401</v>
      </c>
      <c r="Q2524" s="6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2524" s="1" t="s">
        <v>100</v>
      </c>
      <c r="S2524" s="13" t="s">
        <v>28</v>
      </c>
      <c r="T2524" s="68" t="s">
        <v>27756</v>
      </c>
      <c r="U2524" s="68" t="s">
        <v>29438</v>
      </c>
      <c r="V2524" s="68" t="s">
        <v>29439</v>
      </c>
      <c r="W2524" s="68" t="s">
        <v>100</v>
      </c>
      <c r="X2524" s="68">
        <v>490</v>
      </c>
      <c r="AW2524" s="11"/>
      <c r="AX2524" s="11"/>
      <c r="AY2524" s="11"/>
      <c r="BC2524" s="44"/>
      <c r="BD2524" s="44"/>
      <c r="BE2524" s="44"/>
      <c r="BF2524" s="44"/>
      <c r="BG2524" s="44"/>
      <c r="BH2524" s="44"/>
      <c r="BI2524" s="44"/>
      <c r="BJ2524" s="44"/>
      <c r="BK2524" s="44"/>
    </row>
    <row r="2525" spans="1:63" ht="12" customHeight="1" x14ac:dyDescent="0.15">
      <c r="A2525" s="1" t="s">
        <v>2077</v>
      </c>
      <c r="B2525" s="68">
        <v>40</v>
      </c>
      <c r="C2525" s="1" t="s">
        <v>20</v>
      </c>
      <c r="D2525" s="1" t="s">
        <v>85</v>
      </c>
      <c r="E2525" s="1" t="s">
        <v>2078</v>
      </c>
      <c r="F2525" s="69">
        <v>42152</v>
      </c>
      <c r="G2525" s="1" t="s">
        <v>2079</v>
      </c>
      <c r="H2525" s="1" t="s">
        <v>2080</v>
      </c>
      <c r="I2525" s="1" t="s">
        <v>173</v>
      </c>
      <c r="J2525" s="4" t="s">
        <v>2081</v>
      </c>
      <c r="K2525" s="1" t="s">
        <v>2082</v>
      </c>
      <c r="L2525" s="1" t="s">
        <v>2083</v>
      </c>
      <c r="M2525" s="1" t="s">
        <v>27</v>
      </c>
      <c r="N2525" s="1" t="s">
        <v>2084</v>
      </c>
      <c r="O2525" s="1" t="s">
        <v>2085</v>
      </c>
      <c r="P2525" s="1" t="s">
        <v>401</v>
      </c>
      <c r="Q2525" s="6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2525" s="1" t="s">
        <v>100</v>
      </c>
      <c r="S2525" s="13" t="s">
        <v>28</v>
      </c>
      <c r="T2525" s="68" t="s">
        <v>27756</v>
      </c>
      <c r="U2525" s="68" t="s">
        <v>29438</v>
      </c>
      <c r="V2525" s="68" t="s">
        <v>29439</v>
      </c>
      <c r="W2525" s="68" t="s">
        <v>100</v>
      </c>
      <c r="X2525" s="68">
        <v>493</v>
      </c>
      <c r="AW2525" s="44"/>
      <c r="AX2525" s="44"/>
      <c r="AY2525" s="44"/>
      <c r="BC2525" s="11"/>
      <c r="BD2525" s="11"/>
      <c r="BE2525" s="11"/>
      <c r="BF2525" s="11"/>
      <c r="BG2525" s="11"/>
      <c r="BH2525" s="11"/>
      <c r="BI2525" s="11"/>
      <c r="BJ2525" s="11"/>
      <c r="BK2525" s="44"/>
    </row>
    <row r="2526" spans="1:63" ht="12" customHeight="1" x14ac:dyDescent="0.15">
      <c r="A2526" s="1" t="s">
        <v>2105</v>
      </c>
      <c r="B2526" s="68">
        <v>60</v>
      </c>
      <c r="C2526" s="1" t="s">
        <v>20</v>
      </c>
      <c r="D2526" s="1" t="s">
        <v>37</v>
      </c>
      <c r="E2526" s="1" t="s">
        <v>2106</v>
      </c>
      <c r="F2526" s="69">
        <v>42152</v>
      </c>
      <c r="G2526" s="1" t="s">
        <v>2107</v>
      </c>
      <c r="H2526" s="1" t="s">
        <v>1492</v>
      </c>
      <c r="I2526" s="1" t="s">
        <v>32</v>
      </c>
      <c r="J2526" s="4" t="s">
        <v>2108</v>
      </c>
      <c r="K2526" s="1" t="s">
        <v>1492</v>
      </c>
      <c r="L2526" s="1" t="s">
        <v>2109</v>
      </c>
      <c r="M2526" s="1" t="s">
        <v>27</v>
      </c>
      <c r="N2526" s="1" t="s">
        <v>2110</v>
      </c>
      <c r="O2526" s="1" t="s">
        <v>400</v>
      </c>
      <c r="P2526" s="1" t="s">
        <v>401</v>
      </c>
      <c r="Q2526" s="63" t="str">
        <f>HYPERLINK("http://www.wsoctv.com/news/news/local/sled-responding-possible-officer-involved-shooting/nmQSJ/","http://www.wsoctv.com/news/news/local/sled-responding-possible-officer-involved-shooting/nmQSJ/")</f>
        <v>http://www.wsoctv.com/news/news/local/sled-responding-possible-officer-involved-shooting/nmQSJ/</v>
      </c>
      <c r="R2526" s="1" t="s">
        <v>29</v>
      </c>
      <c r="S2526" s="13" t="s">
        <v>28</v>
      </c>
      <c r="T2526" s="68" t="s">
        <v>27756</v>
      </c>
      <c r="U2526" s="68" t="s">
        <v>29438</v>
      </c>
      <c r="V2526" s="68" t="s">
        <v>29439</v>
      </c>
      <c r="W2526" s="68" t="s">
        <v>100</v>
      </c>
      <c r="X2526" s="68">
        <v>488</v>
      </c>
      <c r="BK2526" s="44"/>
    </row>
    <row r="2527" spans="1:63" ht="12" customHeight="1" x14ac:dyDescent="0.2">
      <c r="A2527" s="1" t="s">
        <v>2072</v>
      </c>
      <c r="B2527" s="68">
        <v>20</v>
      </c>
      <c r="C2527" s="1" t="s">
        <v>20</v>
      </c>
      <c r="D2527" s="1" t="s">
        <v>21</v>
      </c>
      <c r="E2527" s="1" t="s">
        <v>2073</v>
      </c>
      <c r="F2527" s="69">
        <v>42151</v>
      </c>
      <c r="G2527" s="1" t="s">
        <v>2074</v>
      </c>
      <c r="H2527" s="1" t="s">
        <v>489</v>
      </c>
      <c r="I2527" s="1" t="s">
        <v>45</v>
      </c>
      <c r="J2527" s="4" t="s">
        <v>2075</v>
      </c>
      <c r="K2527" s="1" t="s">
        <v>98</v>
      </c>
      <c r="L2527" s="1" t="s">
        <v>490</v>
      </c>
      <c r="M2527" s="68" t="s">
        <v>5411</v>
      </c>
      <c r="N2527" s="1" t="s">
        <v>2076</v>
      </c>
      <c r="O2527" s="1" t="s">
        <v>400</v>
      </c>
      <c r="P2527" s="1" t="s">
        <v>401</v>
      </c>
      <c r="Q2527" s="6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2527" s="11" t="s">
        <v>964</v>
      </c>
      <c r="S2527" s="13" t="s">
        <v>18</v>
      </c>
      <c r="T2527" s="68" t="s">
        <v>28345</v>
      </c>
      <c r="U2527" s="68" t="s">
        <v>29436</v>
      </c>
      <c r="V2527" s="68" t="s">
        <v>29439</v>
      </c>
      <c r="W2527" s="68" t="s">
        <v>100</v>
      </c>
      <c r="X2527" s="68">
        <v>491</v>
      </c>
      <c r="AW2527" s="70"/>
      <c r="AX2527" s="70"/>
      <c r="AY2527" s="70"/>
      <c r="BA2527" s="44"/>
      <c r="BB2527" s="70"/>
      <c r="BC2527" s="70"/>
      <c r="BD2527" s="70"/>
      <c r="BE2527" s="70"/>
      <c r="BF2527" s="70"/>
      <c r="BG2527" s="70"/>
      <c r="BH2527" s="70"/>
      <c r="BI2527" s="70"/>
      <c r="BJ2527" s="70"/>
    </row>
    <row r="2528" spans="1:63" ht="12" customHeight="1" x14ac:dyDescent="0.15">
      <c r="A2528" s="1" t="s">
        <v>2117</v>
      </c>
      <c r="B2528" s="1">
        <v>34</v>
      </c>
      <c r="C2528" s="1" t="s">
        <v>20</v>
      </c>
      <c r="D2528" s="1" t="s">
        <v>37</v>
      </c>
      <c r="E2528" s="1" t="s">
        <v>2118</v>
      </c>
      <c r="F2528" s="72">
        <v>42151</v>
      </c>
      <c r="G2528" s="1" t="s">
        <v>2119</v>
      </c>
      <c r="H2528" s="1" t="s">
        <v>430</v>
      </c>
      <c r="I2528" s="1" t="s">
        <v>363</v>
      </c>
      <c r="J2528" s="4" t="s">
        <v>2120</v>
      </c>
      <c r="K2528" s="1" t="s">
        <v>598</v>
      </c>
      <c r="L2528" s="1" t="s">
        <v>2121</v>
      </c>
      <c r="M2528" s="1" t="s">
        <v>391</v>
      </c>
      <c r="N2528" s="1" t="s">
        <v>2122</v>
      </c>
      <c r="O2528" s="1" t="s">
        <v>1010</v>
      </c>
      <c r="P2528" s="1" t="s">
        <v>401</v>
      </c>
      <c r="Q2528" s="6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2528" s="11" t="s">
        <v>964</v>
      </c>
      <c r="S2528" s="13" t="s">
        <v>18</v>
      </c>
      <c r="AU2528" s="11"/>
      <c r="AV2528" s="11"/>
      <c r="AW2528" s="11"/>
    </row>
    <row r="2529" spans="1:63" ht="12" customHeight="1" x14ac:dyDescent="0.15">
      <c r="A2529" s="1" t="s">
        <v>2123</v>
      </c>
      <c r="B2529" s="68">
        <v>39</v>
      </c>
      <c r="C2529" s="1" t="s">
        <v>20</v>
      </c>
      <c r="D2529" s="1" t="s">
        <v>37</v>
      </c>
      <c r="F2529" s="69">
        <v>42151</v>
      </c>
      <c r="G2529" s="1" t="s">
        <v>2124</v>
      </c>
      <c r="H2529" s="1" t="s">
        <v>2125</v>
      </c>
      <c r="I2529" s="1" t="s">
        <v>81</v>
      </c>
      <c r="J2529" s="4" t="s">
        <v>2126</v>
      </c>
      <c r="K2529" s="1" t="s">
        <v>1742</v>
      </c>
      <c r="L2529" s="1" t="s">
        <v>2127</v>
      </c>
      <c r="M2529" s="1" t="s">
        <v>27</v>
      </c>
      <c r="N2529" s="1" t="s">
        <v>2128</v>
      </c>
      <c r="O2529" s="1" t="s">
        <v>400</v>
      </c>
      <c r="P2529" s="1" t="s">
        <v>401</v>
      </c>
      <c r="Q2529" s="6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2529" s="1" t="s">
        <v>29</v>
      </c>
      <c r="S2529" s="13" t="s">
        <v>28</v>
      </c>
      <c r="T2529" s="68" t="s">
        <v>29493</v>
      </c>
      <c r="U2529" s="68" t="s">
        <v>29438</v>
      </c>
      <c r="V2529" s="68" t="s">
        <v>29439</v>
      </c>
      <c r="W2529" s="68" t="s">
        <v>100</v>
      </c>
      <c r="X2529" s="68">
        <v>480</v>
      </c>
      <c r="AW2529" s="44"/>
      <c r="BK2529" s="44"/>
    </row>
    <row r="2530" spans="1:63" ht="12" customHeight="1" x14ac:dyDescent="0.15">
      <c r="A2530" s="1" t="s">
        <v>2091</v>
      </c>
      <c r="B2530" s="68">
        <v>57</v>
      </c>
      <c r="C2530" s="1" t="s">
        <v>20</v>
      </c>
      <c r="D2530" s="1" t="s">
        <v>37</v>
      </c>
      <c r="F2530" s="69">
        <v>42151</v>
      </c>
      <c r="G2530" s="1" t="s">
        <v>2092</v>
      </c>
      <c r="H2530" s="1" t="s">
        <v>2093</v>
      </c>
      <c r="I2530" s="1" t="s">
        <v>173</v>
      </c>
      <c r="J2530" s="4" t="s">
        <v>2094</v>
      </c>
      <c r="K2530" s="1" t="s">
        <v>2095</v>
      </c>
      <c r="L2530" s="1" t="s">
        <v>2096</v>
      </c>
      <c r="M2530" s="1" t="s">
        <v>27</v>
      </c>
      <c r="N2530" s="1" t="s">
        <v>2097</v>
      </c>
      <c r="O2530" s="1" t="s">
        <v>400</v>
      </c>
      <c r="P2530" s="1" t="s">
        <v>401</v>
      </c>
      <c r="Q2530" s="63" t="str">
        <f>HYPERLINK("http://www.macon.com/2015/05/28/3768612/putnam-deputy-shoots-and-kills.html","http://www.macon.com/2015/05/28/3768612/putnam-deputy-shoots-and-kills.html")</f>
        <v>http://www.macon.com/2015/05/28/3768612/putnam-deputy-shoots-and-kills.html</v>
      </c>
      <c r="R2530" s="1" t="s">
        <v>555</v>
      </c>
      <c r="S2530" s="13" t="s">
        <v>28</v>
      </c>
      <c r="T2530" s="68" t="s">
        <v>29493</v>
      </c>
      <c r="U2530" s="68" t="s">
        <v>29438</v>
      </c>
      <c r="V2530" s="68" t="s">
        <v>29439</v>
      </c>
      <c r="W2530" s="68" t="s">
        <v>100</v>
      </c>
      <c r="X2530" s="68">
        <v>482</v>
      </c>
      <c r="BA2530" s="11"/>
      <c r="BB2530" s="44"/>
      <c r="BK2530" s="44"/>
    </row>
    <row r="2531" spans="1:63" ht="12" customHeight="1" x14ac:dyDescent="0.15">
      <c r="A2531" s="1" t="s">
        <v>2129</v>
      </c>
      <c r="B2531" s="68">
        <v>24</v>
      </c>
      <c r="C2531" s="1" t="s">
        <v>20</v>
      </c>
      <c r="D2531" s="1" t="s">
        <v>37</v>
      </c>
      <c r="E2531" s="1" t="s">
        <v>2130</v>
      </c>
      <c r="F2531" s="69">
        <v>42151</v>
      </c>
      <c r="G2531" s="1" t="s">
        <v>2131</v>
      </c>
      <c r="H2531" s="1" t="s">
        <v>2132</v>
      </c>
      <c r="I2531" s="1" t="s">
        <v>395</v>
      </c>
      <c r="J2531" s="4" t="s">
        <v>2133</v>
      </c>
      <c r="K2531" s="1" t="s">
        <v>1095</v>
      </c>
      <c r="L2531" s="1" t="s">
        <v>2134</v>
      </c>
      <c r="M2531" s="1" t="s">
        <v>27</v>
      </c>
      <c r="N2531" s="1" t="s">
        <v>2135</v>
      </c>
      <c r="O2531" s="1" t="s">
        <v>400</v>
      </c>
      <c r="P2531" s="1" t="s">
        <v>401</v>
      </c>
      <c r="Q2531" s="63" t="str">
        <f>HYPERLINK("http://kfor.com/2015/05/27/breaking-news-officer-involved-shooting-in-edmond/","http://kfor.com/2015/05/27/breaking-news-officer-involved-shooting-in-edmond/")</f>
        <v>http://kfor.com/2015/05/27/breaking-news-officer-involved-shooting-in-edmond/</v>
      </c>
      <c r="R2531" s="1" t="s">
        <v>555</v>
      </c>
      <c r="S2531" s="11" t="s">
        <v>18</v>
      </c>
      <c r="T2531" s="68" t="s">
        <v>29612</v>
      </c>
      <c r="U2531" s="68" t="s">
        <v>29438</v>
      </c>
      <c r="V2531" s="68" t="s">
        <v>29439</v>
      </c>
      <c r="W2531" s="68" t="s">
        <v>100</v>
      </c>
      <c r="X2531" s="68">
        <v>481</v>
      </c>
      <c r="AW2531" s="11"/>
      <c r="BA2531" s="11"/>
      <c r="BB2531" s="44"/>
    </row>
    <row r="2532" spans="1:63" ht="12" customHeight="1" x14ac:dyDescent="0.2">
      <c r="A2532" s="1" t="s">
        <v>2111</v>
      </c>
      <c r="B2532" s="68">
        <v>33</v>
      </c>
      <c r="C2532" s="1" t="s">
        <v>20</v>
      </c>
      <c r="D2532" s="1" t="s">
        <v>37</v>
      </c>
      <c r="F2532" s="69">
        <v>42151</v>
      </c>
      <c r="G2532" s="1" t="s">
        <v>2112</v>
      </c>
      <c r="H2532" s="1" t="s">
        <v>2113</v>
      </c>
      <c r="I2532" s="1" t="s">
        <v>45</v>
      </c>
      <c r="J2532" s="4" t="s">
        <v>2114</v>
      </c>
      <c r="K2532" s="1" t="s">
        <v>156</v>
      </c>
      <c r="L2532" s="1" t="s">
        <v>2115</v>
      </c>
      <c r="M2532" s="68" t="s">
        <v>5411</v>
      </c>
      <c r="N2532" s="1" t="s">
        <v>2116</v>
      </c>
      <c r="O2532" s="1" t="s">
        <v>1010</v>
      </c>
      <c r="P2532" s="1" t="s">
        <v>401</v>
      </c>
      <c r="Q2532" s="63" t="str">
        <f>HYPERLINK("http://www.nbcsandiego.com/news/local/Reported-Shots-Fired-Alpine-305259931.html","http://www.nbcsandiego.com/news/local/Reported-Shots-Fired-Alpine-305259931.html")</f>
        <v>http://www.nbcsandiego.com/news/local/Reported-Shots-Fired-Alpine-305259931.html</v>
      </c>
      <c r="R2532" s="1" t="s">
        <v>555</v>
      </c>
      <c r="S2532" s="2" t="s">
        <v>35</v>
      </c>
      <c r="T2532" s="68" t="s">
        <v>29452</v>
      </c>
      <c r="U2532" s="68" t="s">
        <v>29436</v>
      </c>
      <c r="V2532" s="68" t="s">
        <v>29439</v>
      </c>
      <c r="W2532" s="68" t="s">
        <v>100</v>
      </c>
      <c r="X2532" s="68">
        <v>492</v>
      </c>
      <c r="AW2532" s="11"/>
      <c r="BA2532" s="11"/>
      <c r="BB2532" s="70"/>
      <c r="BK2532" s="11"/>
    </row>
    <row r="2533" spans="1:63" ht="12" customHeight="1" x14ac:dyDescent="0.15">
      <c r="A2533" s="1" t="s">
        <v>2136</v>
      </c>
      <c r="B2533" s="68">
        <v>51</v>
      </c>
      <c r="C2533" s="1" t="s">
        <v>20</v>
      </c>
      <c r="D2533" s="1" t="s">
        <v>85</v>
      </c>
      <c r="E2533" s="1" t="s">
        <v>2137</v>
      </c>
      <c r="F2533" s="69">
        <v>42150</v>
      </c>
      <c r="G2533" s="1" t="s">
        <v>2138</v>
      </c>
      <c r="H2533" s="1" t="s">
        <v>754</v>
      </c>
      <c r="I2533" s="1" t="s">
        <v>423</v>
      </c>
      <c r="J2533" s="4" t="s">
        <v>2139</v>
      </c>
      <c r="K2533" s="1" t="s">
        <v>754</v>
      </c>
      <c r="L2533" s="1" t="s">
        <v>582</v>
      </c>
      <c r="M2533" s="1" t="s">
        <v>27</v>
      </c>
      <c r="N2533" s="1" t="s">
        <v>2140</v>
      </c>
      <c r="O2533" s="1" t="s">
        <v>1010</v>
      </c>
      <c r="P2533" s="1" t="s">
        <v>401</v>
      </c>
      <c r="Q2533" s="63" t="str">
        <f>HYPERLINK("http://pix11.com/2015/05/26/police-shoot-man-in-brooklyn-school-parking-lot/","http://pix11.com/2015/05/26/police-shoot-man-in-brooklyn-school-parking-lot/")</f>
        <v>http://pix11.com/2015/05/26/police-shoot-man-in-brooklyn-school-parking-lot/</v>
      </c>
      <c r="R2533" s="1" t="s">
        <v>100</v>
      </c>
      <c r="S2533" s="13" t="s">
        <v>28</v>
      </c>
      <c r="T2533" s="68" t="s">
        <v>27756</v>
      </c>
      <c r="U2533" s="68" t="s">
        <v>29438</v>
      </c>
      <c r="V2533" s="68" t="s">
        <v>29439</v>
      </c>
      <c r="W2533" s="68" t="s">
        <v>100</v>
      </c>
      <c r="X2533" s="68">
        <v>477</v>
      </c>
      <c r="AX2533" s="44"/>
      <c r="AY2533" s="44"/>
      <c r="BC2533" s="44"/>
      <c r="BD2533" s="44"/>
      <c r="BE2533" s="44"/>
      <c r="BF2533" s="44"/>
      <c r="BG2533" s="44"/>
      <c r="BH2533" s="44"/>
      <c r="BI2533" s="44"/>
      <c r="BJ2533" s="44"/>
      <c r="BK2533" s="44"/>
    </row>
    <row r="2534" spans="1:63" ht="12" customHeight="1" x14ac:dyDescent="0.15">
      <c r="A2534" s="1" t="s">
        <v>2141</v>
      </c>
      <c r="B2534" s="68">
        <v>24</v>
      </c>
      <c r="C2534" s="1" t="s">
        <v>20</v>
      </c>
      <c r="D2534" s="1" t="s">
        <v>37</v>
      </c>
      <c r="E2534" s="1" t="s">
        <v>2142</v>
      </c>
      <c r="F2534" s="69">
        <v>42150</v>
      </c>
      <c r="G2534" s="1" t="s">
        <v>2143</v>
      </c>
      <c r="H2534" s="1" t="s">
        <v>2144</v>
      </c>
      <c r="I2534" s="1" t="s">
        <v>25</v>
      </c>
      <c r="J2534" s="4" t="s">
        <v>2145</v>
      </c>
      <c r="K2534" s="1" t="s">
        <v>2146</v>
      </c>
      <c r="L2534" s="1" t="s">
        <v>405</v>
      </c>
      <c r="M2534" s="1" t="s">
        <v>27</v>
      </c>
      <c r="N2534" s="1" t="s">
        <v>2147</v>
      </c>
      <c r="O2534" s="1" t="s">
        <v>1010</v>
      </c>
      <c r="P2534" s="1" t="s">
        <v>401</v>
      </c>
      <c r="Q2534" s="63" t="str">
        <f>HYPERLINK("http://www.nbcdfw.com/news/local/9-Year-Old-Child-Reported-Missing-in-Benbrook-304947651.html","http://www.nbcdfw.com/news/local/9-Year-Old-Child-Reported-Missing-in-Benbrook-304947651.html")</f>
        <v>http://www.nbcdfw.com/news/local/9-Year-Old-Child-Reported-Missing-in-Benbrook-304947651.html</v>
      </c>
      <c r="R2534" s="1" t="s">
        <v>100</v>
      </c>
      <c r="S2534" s="11" t="s">
        <v>35</v>
      </c>
      <c r="T2534" s="68" t="s">
        <v>29441</v>
      </c>
      <c r="U2534" s="68" t="s">
        <v>29438</v>
      </c>
      <c r="V2534" s="68" t="s">
        <v>29439</v>
      </c>
      <c r="W2534" s="68" t="s">
        <v>100</v>
      </c>
      <c r="X2534" s="68">
        <v>479</v>
      </c>
      <c r="AW2534" s="11"/>
    </row>
    <row r="2535" spans="1:63" ht="12" customHeight="1" x14ac:dyDescent="0.15">
      <c r="A2535" s="1" t="s">
        <v>2148</v>
      </c>
      <c r="B2535" s="68">
        <v>62</v>
      </c>
      <c r="C2535" s="1" t="s">
        <v>20</v>
      </c>
      <c r="D2535" s="1" t="s">
        <v>37</v>
      </c>
      <c r="F2535" s="69">
        <v>42150</v>
      </c>
      <c r="G2535" s="1" t="s">
        <v>2149</v>
      </c>
      <c r="H2535" s="1" t="s">
        <v>2150</v>
      </c>
      <c r="I2535" s="1" t="s">
        <v>303</v>
      </c>
      <c r="J2535" s="4" t="s">
        <v>2151</v>
      </c>
      <c r="K2535" s="1" t="s">
        <v>2150</v>
      </c>
      <c r="L2535" s="1" t="s">
        <v>2152</v>
      </c>
      <c r="M2535" s="1" t="s">
        <v>27</v>
      </c>
      <c r="N2535" s="1" t="s">
        <v>2153</v>
      </c>
      <c r="O2535" s="1" t="s">
        <v>2154</v>
      </c>
      <c r="P2535" s="1" t="s">
        <v>401</v>
      </c>
      <c r="Q2535" s="63" t="str">
        <f>HYPERLINK("http://www.kirotv.com/news/news/breaking-news-deputy-shoots-kills-man-near-monroe/nmNnq/","http://www.kirotv.com/news/news/breaking-news-deputy-shoots-kills-man-near-monroe/nmNnq/")</f>
        <v>http://www.kirotv.com/news/news/breaking-news-deputy-shoots-kills-man-near-monroe/nmNnq/</v>
      </c>
      <c r="R2535" s="68" t="s">
        <v>555</v>
      </c>
      <c r="S2535" s="13" t="s">
        <v>28</v>
      </c>
      <c r="T2535" s="68" t="s">
        <v>27756</v>
      </c>
      <c r="U2535" s="68" t="s">
        <v>29438</v>
      </c>
      <c r="V2535" s="68" t="s">
        <v>29439</v>
      </c>
      <c r="W2535" s="68" t="s">
        <v>100</v>
      </c>
      <c r="X2535" s="68">
        <v>530</v>
      </c>
      <c r="BA2535" s="44"/>
      <c r="BB2535" s="11"/>
      <c r="BK2535" s="44"/>
    </row>
    <row r="2536" spans="1:63" ht="12" customHeight="1" x14ac:dyDescent="0.15">
      <c r="A2536" s="1" t="s">
        <v>2155</v>
      </c>
      <c r="B2536" s="68">
        <v>36</v>
      </c>
      <c r="C2536" s="1" t="s">
        <v>20</v>
      </c>
      <c r="D2536" s="1" t="s">
        <v>85</v>
      </c>
      <c r="E2536" s="1" t="s">
        <v>2156</v>
      </c>
      <c r="F2536" s="69">
        <v>42149</v>
      </c>
      <c r="G2536" s="1" t="s">
        <v>2157</v>
      </c>
      <c r="H2536" s="1" t="s">
        <v>2158</v>
      </c>
      <c r="I2536" s="1" t="s">
        <v>94</v>
      </c>
      <c r="J2536" s="4" t="s">
        <v>2159</v>
      </c>
      <c r="K2536" s="1" t="s">
        <v>2160</v>
      </c>
      <c r="L2536" s="1" t="s">
        <v>2161</v>
      </c>
      <c r="M2536" s="1" t="s">
        <v>27</v>
      </c>
      <c r="N2536" s="1" t="s">
        <v>2162</v>
      </c>
      <c r="O2536" s="1" t="s">
        <v>1010</v>
      </c>
      <c r="P2536" s="1" t="s">
        <v>401</v>
      </c>
      <c r="Q2536" s="6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2536" s="68" t="s">
        <v>555</v>
      </c>
      <c r="S2536" s="13" t="s">
        <v>28</v>
      </c>
      <c r="T2536" s="68" t="s">
        <v>29493</v>
      </c>
      <c r="U2536" s="68" t="s">
        <v>29438</v>
      </c>
      <c r="V2536" s="68" t="s">
        <v>29439</v>
      </c>
      <c r="W2536" s="68" t="s">
        <v>100</v>
      </c>
      <c r="X2536" s="68">
        <v>476</v>
      </c>
      <c r="AW2536" s="44"/>
      <c r="AX2536" s="44"/>
      <c r="AY2536" s="44"/>
      <c r="BA2536" s="44"/>
      <c r="BB2536" s="11"/>
      <c r="BC2536" s="44"/>
      <c r="BD2536" s="44"/>
      <c r="BE2536" s="44"/>
      <c r="BF2536" s="44"/>
      <c r="BG2536" s="44"/>
      <c r="BH2536" s="44"/>
      <c r="BI2536" s="44"/>
      <c r="BJ2536" s="44"/>
      <c r="BK2536" s="44"/>
    </row>
    <row r="2537" spans="1:63" ht="12" customHeight="1" x14ac:dyDescent="0.15">
      <c r="A2537" s="1" t="s">
        <v>2163</v>
      </c>
      <c r="B2537" s="68">
        <v>31</v>
      </c>
      <c r="C2537" s="1" t="s">
        <v>114</v>
      </c>
      <c r="D2537" s="1" t="s">
        <v>37</v>
      </c>
      <c r="F2537" s="69">
        <v>42149</v>
      </c>
      <c r="G2537" s="1" t="s">
        <v>2164</v>
      </c>
      <c r="H2537" s="1" t="s">
        <v>1313</v>
      </c>
      <c r="I2537" s="1" t="s">
        <v>73</v>
      </c>
      <c r="J2537" s="4" t="s">
        <v>2165</v>
      </c>
      <c r="K2537" s="1" t="s">
        <v>1314</v>
      </c>
      <c r="L2537" s="1" t="s">
        <v>1315</v>
      </c>
      <c r="M2537" s="1" t="s">
        <v>27</v>
      </c>
      <c r="N2537" s="1" t="s">
        <v>2166</v>
      </c>
      <c r="O2537" s="1" t="s">
        <v>1010</v>
      </c>
      <c r="P2537" s="1" t="s">
        <v>401</v>
      </c>
      <c r="Q2537" s="63" t="str">
        <f>HYPERLINK("http://kxan.com/2015/05/25/woman-shot-dead-after-five-hour-standoff-with-apd-swat-officers/","http://kxan.com/2015/05/25/woman-shot-dead-after-five-hour-standoff-with-apd-swat-officers/")</f>
        <v>http://kxan.com/2015/05/25/woman-shot-dead-after-five-hour-standoff-with-apd-swat-officers/</v>
      </c>
      <c r="R2537" s="1" t="s">
        <v>555</v>
      </c>
      <c r="S2537" s="13" t="s">
        <v>28</v>
      </c>
      <c r="T2537" s="68" t="s">
        <v>27756</v>
      </c>
      <c r="U2537" s="68" t="s">
        <v>29438</v>
      </c>
      <c r="V2537" s="68" t="s">
        <v>29439</v>
      </c>
      <c r="W2537" s="68" t="s">
        <v>100</v>
      </c>
      <c r="X2537" s="68">
        <v>475</v>
      </c>
      <c r="AW2537" s="11"/>
      <c r="BA2537" s="11"/>
      <c r="BB2537" s="44"/>
      <c r="BK2537" s="44"/>
    </row>
    <row r="2538" spans="1:63" ht="12" customHeight="1" x14ac:dyDescent="0.15">
      <c r="A2538" s="1" t="s">
        <v>2179</v>
      </c>
      <c r="B2538" s="68">
        <v>47</v>
      </c>
      <c r="C2538" s="1" t="s">
        <v>20</v>
      </c>
      <c r="D2538" s="1" t="s">
        <v>37</v>
      </c>
      <c r="E2538" s="1" t="s">
        <v>2180</v>
      </c>
      <c r="F2538" s="69">
        <v>42147</v>
      </c>
      <c r="G2538" s="1" t="s">
        <v>2181</v>
      </c>
      <c r="H2538" s="1" t="s">
        <v>2182</v>
      </c>
      <c r="I2538" s="1" t="s">
        <v>431</v>
      </c>
      <c r="J2538" s="4" t="s">
        <v>2183</v>
      </c>
      <c r="K2538" s="1" t="s">
        <v>2184</v>
      </c>
      <c r="L2538" s="1" t="s">
        <v>2185</v>
      </c>
      <c r="M2538" s="1" t="s">
        <v>27</v>
      </c>
      <c r="N2538" s="1" t="s">
        <v>2186</v>
      </c>
      <c r="O2538" s="1" t="s">
        <v>1010</v>
      </c>
      <c r="P2538" s="1" t="s">
        <v>401</v>
      </c>
      <c r="Q2538" s="6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2538" s="1" t="s">
        <v>100</v>
      </c>
      <c r="S2538" s="13" t="s">
        <v>28</v>
      </c>
      <c r="T2538" s="68" t="s">
        <v>27756</v>
      </c>
      <c r="U2538" s="68" t="s">
        <v>29438</v>
      </c>
      <c r="V2538" s="68" t="s">
        <v>29439</v>
      </c>
      <c r="W2538" s="68" t="s">
        <v>100</v>
      </c>
      <c r="X2538" s="68">
        <v>473</v>
      </c>
      <c r="BK2538" s="44"/>
    </row>
    <row r="2539" spans="1:63" ht="12" customHeight="1" x14ac:dyDescent="0.15">
      <c r="A2539" s="1" t="s">
        <v>2167</v>
      </c>
      <c r="B2539" s="68">
        <v>40</v>
      </c>
      <c r="C2539" s="1" t="s">
        <v>20</v>
      </c>
      <c r="D2539" s="1" t="s">
        <v>37</v>
      </c>
      <c r="F2539" s="69">
        <v>42147</v>
      </c>
      <c r="G2539" s="1" t="s">
        <v>2168</v>
      </c>
      <c r="H2539" s="1" t="s">
        <v>2169</v>
      </c>
      <c r="I2539" s="1" t="s">
        <v>123</v>
      </c>
      <c r="J2539" s="4" t="s">
        <v>2170</v>
      </c>
      <c r="K2539" s="1" t="s">
        <v>2171</v>
      </c>
      <c r="L2539" s="1" t="s">
        <v>2172</v>
      </c>
      <c r="M2539" s="1" t="s">
        <v>27</v>
      </c>
      <c r="N2539" s="1" t="s">
        <v>2173</v>
      </c>
      <c r="O2539" s="1" t="s">
        <v>400</v>
      </c>
      <c r="P2539" s="1" t="s">
        <v>401</v>
      </c>
      <c r="Q2539" s="63" t="str">
        <f>HYPERLINK("http://www.kpho.com/story/29143797/suspect-dead-following-police-shooting-in-eagar-ariz","http://www.kpho.com/story/29143797/suspect-dead-following-police-shooting-in-eagar-ariz")</f>
        <v>http://www.kpho.com/story/29143797/suspect-dead-following-police-shooting-in-eagar-ariz</v>
      </c>
      <c r="R2539" s="1" t="s">
        <v>29</v>
      </c>
      <c r="S2539" s="13" t="s">
        <v>28</v>
      </c>
      <c r="T2539" s="68" t="s">
        <v>27756</v>
      </c>
      <c r="U2539" s="68" t="s">
        <v>29438</v>
      </c>
      <c r="V2539" s="68" t="s">
        <v>29437</v>
      </c>
      <c r="W2539" s="68" t="s">
        <v>100</v>
      </c>
      <c r="X2539" s="68">
        <v>474</v>
      </c>
      <c r="AW2539" s="44"/>
      <c r="BK2539" s="44"/>
    </row>
    <row r="2540" spans="1:63" ht="12" customHeight="1" x14ac:dyDescent="0.15">
      <c r="A2540" s="1" t="s">
        <v>2174</v>
      </c>
      <c r="B2540" s="68">
        <v>25</v>
      </c>
      <c r="C2540" s="1" t="s">
        <v>20</v>
      </c>
      <c r="D2540" s="1" t="s">
        <v>85</v>
      </c>
      <c r="F2540" s="69">
        <v>42147</v>
      </c>
      <c r="G2540" s="1" t="s">
        <v>2175</v>
      </c>
      <c r="H2540" s="1" t="s">
        <v>444</v>
      </c>
      <c r="I2540" s="1" t="s">
        <v>57</v>
      </c>
      <c r="J2540" s="4" t="s">
        <v>2176</v>
      </c>
      <c r="K2540" s="1" t="s">
        <v>1128</v>
      </c>
      <c r="L2540" s="1" t="s">
        <v>2177</v>
      </c>
      <c r="M2540" s="1" t="s">
        <v>27</v>
      </c>
      <c r="N2540" s="1" t="s">
        <v>2178</v>
      </c>
      <c r="O2540" s="1" t="s">
        <v>1010</v>
      </c>
      <c r="P2540" s="1" t="s">
        <v>401</v>
      </c>
      <c r="Q2540" s="6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2540" s="1" t="s">
        <v>555</v>
      </c>
      <c r="S2540" s="13" t="s">
        <v>28</v>
      </c>
      <c r="T2540" s="68" t="s">
        <v>27756</v>
      </c>
      <c r="U2540" s="68" t="s">
        <v>29438</v>
      </c>
      <c r="V2540" s="68" t="s">
        <v>29439</v>
      </c>
      <c r="W2540" s="68" t="s">
        <v>100</v>
      </c>
      <c r="X2540" s="68">
        <v>529</v>
      </c>
      <c r="AW2540" s="44"/>
      <c r="AX2540" s="44"/>
      <c r="AY2540" s="44"/>
      <c r="BC2540" s="44"/>
      <c r="BD2540" s="44"/>
      <c r="BE2540" s="44"/>
      <c r="BF2540" s="44"/>
      <c r="BG2540" s="44"/>
      <c r="BH2540" s="44"/>
      <c r="BI2540" s="44"/>
      <c r="BJ2540" s="44"/>
      <c r="BK2540" s="44"/>
    </row>
    <row r="2541" spans="1:63" ht="12" customHeight="1" x14ac:dyDescent="0.15">
      <c r="A2541" s="1" t="s">
        <v>2187</v>
      </c>
      <c r="B2541" s="68">
        <v>40</v>
      </c>
      <c r="C2541" s="1" t="s">
        <v>20</v>
      </c>
      <c r="D2541" s="1" t="s">
        <v>37</v>
      </c>
      <c r="E2541" s="1" t="s">
        <v>2188</v>
      </c>
      <c r="F2541" s="69">
        <v>42146</v>
      </c>
      <c r="G2541" s="1" t="s">
        <v>2189</v>
      </c>
      <c r="H2541" s="1" t="s">
        <v>2190</v>
      </c>
      <c r="I2541" s="1" t="s">
        <v>404</v>
      </c>
      <c r="J2541" s="4" t="s">
        <v>2191</v>
      </c>
      <c r="K2541" s="1" t="s">
        <v>2190</v>
      </c>
      <c r="L2541" s="1" t="s">
        <v>9350</v>
      </c>
      <c r="M2541" s="1" t="s">
        <v>27</v>
      </c>
      <c r="N2541" s="1" t="s">
        <v>2192</v>
      </c>
      <c r="O2541" s="1" t="s">
        <v>400</v>
      </c>
      <c r="P2541" s="1" t="s">
        <v>401</v>
      </c>
      <c r="Q2541" s="63" t="str">
        <f>HYPERLINK("http://www.wpxi.com/news/news/local/troopers-shoot-person-inside-grocery-store/nmMF2/","http://www.wpxi.com/news/news/local/troopers-shoot-person-inside-grocery-store/nmMF2/")</f>
        <v>http://www.wpxi.com/news/news/local/troopers-shoot-person-inside-grocery-store/nmMF2/</v>
      </c>
      <c r="R2541" s="1" t="s">
        <v>100</v>
      </c>
      <c r="S2541" s="13" t="s">
        <v>18</v>
      </c>
      <c r="T2541" s="68" t="s">
        <v>29612</v>
      </c>
      <c r="U2541" s="68" t="s">
        <v>29438</v>
      </c>
      <c r="V2541" s="68" t="s">
        <v>29439</v>
      </c>
      <c r="W2541" s="68" t="s">
        <v>100</v>
      </c>
      <c r="X2541" s="68">
        <v>472</v>
      </c>
      <c r="AW2541" s="44"/>
    </row>
    <row r="2542" spans="1:63" ht="12" customHeight="1" x14ac:dyDescent="0.15">
      <c r="A2542" s="1" t="s">
        <v>2199</v>
      </c>
      <c r="B2542" s="68">
        <v>29</v>
      </c>
      <c r="C2542" s="1" t="s">
        <v>20</v>
      </c>
      <c r="D2542" s="1" t="s">
        <v>85</v>
      </c>
      <c r="E2542" s="1" t="s">
        <v>2200</v>
      </c>
      <c r="F2542" s="69">
        <v>42145</v>
      </c>
      <c r="G2542" s="1" t="s">
        <v>2201</v>
      </c>
      <c r="H2542" s="1" t="s">
        <v>2196</v>
      </c>
      <c r="I2542" s="1" t="s">
        <v>62</v>
      </c>
      <c r="J2542" s="4" t="s">
        <v>2202</v>
      </c>
      <c r="K2542" s="1" t="s">
        <v>1123</v>
      </c>
      <c r="L2542" s="1" t="s">
        <v>2203</v>
      </c>
      <c r="M2542" s="1" t="s">
        <v>27</v>
      </c>
      <c r="N2542" s="1" t="s">
        <v>2204</v>
      </c>
      <c r="O2542" s="1" t="s">
        <v>1010</v>
      </c>
      <c r="P2542" s="1" t="s">
        <v>401</v>
      </c>
      <c r="Q2542" s="63" t="str">
        <f>HYPERLINK("http://www.wsvn.com/story/29128211/man-dead-after-barricading-himself-inside-fort-lauderdale-home","http://www.wsvn.com/story/29128211/man-dead-after-barricading-himself-inside-fort-lauderdale-home")</f>
        <v>http://www.wsvn.com/story/29128211/man-dead-after-barricading-himself-inside-fort-lauderdale-home</v>
      </c>
      <c r="R2542" s="11" t="s">
        <v>964</v>
      </c>
      <c r="S2542" s="13" t="s">
        <v>28</v>
      </c>
      <c r="T2542" s="68" t="s">
        <v>29493</v>
      </c>
      <c r="U2542" s="68" t="s">
        <v>29438</v>
      </c>
      <c r="V2542" s="68" t="s">
        <v>29439</v>
      </c>
      <c r="W2542" s="68" t="s">
        <v>100</v>
      </c>
      <c r="X2542" s="68">
        <v>483</v>
      </c>
      <c r="AW2542" s="44"/>
      <c r="AX2542" s="11"/>
      <c r="AY2542" s="11"/>
      <c r="BA2542" s="44"/>
      <c r="BB2542" s="44"/>
      <c r="BC2542" s="44"/>
      <c r="BD2542" s="44"/>
      <c r="BE2542" s="44"/>
      <c r="BF2542" s="44"/>
      <c r="BG2542" s="44"/>
      <c r="BH2542" s="44"/>
      <c r="BI2542" s="44"/>
      <c r="BJ2542" s="44"/>
      <c r="BK2542" s="44"/>
    </row>
    <row r="2543" spans="1:63" ht="12" customHeight="1" x14ac:dyDescent="0.15">
      <c r="A2543" s="1" t="s">
        <v>2213</v>
      </c>
      <c r="B2543" s="68">
        <v>32</v>
      </c>
      <c r="C2543" s="1" t="s">
        <v>20</v>
      </c>
      <c r="D2543" s="1" t="s">
        <v>85</v>
      </c>
      <c r="E2543" s="1" t="s">
        <v>2214</v>
      </c>
      <c r="F2543" s="69">
        <v>42145</v>
      </c>
      <c r="G2543" s="1" t="s">
        <v>2215</v>
      </c>
      <c r="H2543" s="1" t="s">
        <v>2216</v>
      </c>
      <c r="I2543" s="1" t="s">
        <v>32</v>
      </c>
      <c r="J2543" s="4" t="s">
        <v>2217</v>
      </c>
      <c r="K2543" s="1" t="s">
        <v>2216</v>
      </c>
      <c r="L2543" s="1" t="s">
        <v>2218</v>
      </c>
      <c r="M2543" s="1" t="s">
        <v>27</v>
      </c>
      <c r="N2543" s="1" t="s">
        <v>2219</v>
      </c>
      <c r="O2543" s="1" t="s">
        <v>1010</v>
      </c>
      <c r="P2543" s="1" t="s">
        <v>401</v>
      </c>
      <c r="Q2543" s="6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2543" s="1" t="s">
        <v>100</v>
      </c>
      <c r="S2543" s="13" t="s">
        <v>28</v>
      </c>
      <c r="T2543" s="68" t="s">
        <v>27756</v>
      </c>
      <c r="U2543" s="68" t="s">
        <v>29438</v>
      </c>
      <c r="V2543" s="68" t="s">
        <v>29439</v>
      </c>
      <c r="W2543" s="68" t="s">
        <v>100</v>
      </c>
      <c r="X2543" s="68">
        <v>487</v>
      </c>
      <c r="AW2543" s="11"/>
      <c r="AX2543" s="11"/>
      <c r="AY2543" s="11"/>
      <c r="BC2543" s="44"/>
      <c r="BD2543" s="44"/>
      <c r="BE2543" s="44"/>
      <c r="BF2543" s="44"/>
      <c r="BG2543" s="44"/>
      <c r="BH2543" s="44"/>
      <c r="BI2543" s="44"/>
      <c r="BJ2543" s="44"/>
      <c r="BK2543" s="44"/>
    </row>
    <row r="2544" spans="1:63" ht="12" customHeight="1" x14ac:dyDescent="0.15">
      <c r="A2544" s="1" t="s">
        <v>2235</v>
      </c>
      <c r="B2544" s="68">
        <v>43</v>
      </c>
      <c r="C2544" s="1" t="s">
        <v>20</v>
      </c>
      <c r="D2544" s="1" t="s">
        <v>37</v>
      </c>
      <c r="E2544" s="1" t="s">
        <v>2236</v>
      </c>
      <c r="F2544" s="69">
        <v>42145</v>
      </c>
      <c r="G2544" s="1" t="s">
        <v>2237</v>
      </c>
      <c r="H2544" s="1" t="s">
        <v>2216</v>
      </c>
      <c r="I2544" s="1" t="s">
        <v>32</v>
      </c>
      <c r="J2544" s="4" t="s">
        <v>2238</v>
      </c>
      <c r="K2544" s="1" t="s">
        <v>2216</v>
      </c>
      <c r="L2544" s="1" t="s">
        <v>2239</v>
      </c>
      <c r="M2544" s="1" t="s">
        <v>27</v>
      </c>
      <c r="N2544" s="1" t="s">
        <v>2240</v>
      </c>
      <c r="O2544" s="1" t="s">
        <v>1010</v>
      </c>
      <c r="P2544" s="1" t="s">
        <v>401</v>
      </c>
      <c r="Q2544" s="6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2544" s="1" t="s">
        <v>100</v>
      </c>
      <c r="S2544" s="13" t="s">
        <v>28</v>
      </c>
      <c r="T2544" s="68" t="s">
        <v>29493</v>
      </c>
      <c r="U2544" s="68" t="s">
        <v>29438</v>
      </c>
      <c r="V2544" s="68" t="s">
        <v>29439</v>
      </c>
      <c r="W2544" s="68" t="s">
        <v>100</v>
      </c>
      <c r="X2544" s="68">
        <v>484</v>
      </c>
      <c r="BK2544" s="44"/>
    </row>
    <row r="2545" spans="1:63" ht="12" customHeight="1" x14ac:dyDescent="0.15">
      <c r="A2545" s="1" t="s">
        <v>2193</v>
      </c>
      <c r="B2545" s="1">
        <v>26</v>
      </c>
      <c r="C2545" s="1" t="s">
        <v>20</v>
      </c>
      <c r="D2545" s="1" t="s">
        <v>85</v>
      </c>
      <c r="E2545" s="1" t="s">
        <v>2194</v>
      </c>
      <c r="F2545" s="72">
        <v>42145</v>
      </c>
      <c r="G2545" s="1" t="s">
        <v>2195</v>
      </c>
      <c r="H2545" s="1" t="s">
        <v>2196</v>
      </c>
      <c r="I2545" s="1" t="s">
        <v>62</v>
      </c>
      <c r="J2545" s="4" t="s">
        <v>2197</v>
      </c>
      <c r="K2545" s="1" t="s">
        <v>1123</v>
      </c>
      <c r="L2545" s="1" t="s">
        <v>4384</v>
      </c>
      <c r="M2545" s="1" t="s">
        <v>29</v>
      </c>
      <c r="N2545" s="1" t="s">
        <v>2198</v>
      </c>
      <c r="O2545" s="1" t="s">
        <v>1010</v>
      </c>
      <c r="P2545" s="1" t="s">
        <v>401</v>
      </c>
      <c r="Q2545" s="63" t="str">
        <f>HYPERLINK("http://www.local10.com/news/markus-clark-dies-at-florida-medical-center-after-arrest/33152392","http://www.local10.com/news/markus-clark-dies-at-florida-medical-center-after-arrest/33152392")</f>
        <v>http://www.local10.com/news/markus-clark-dies-at-florida-medical-center-after-arrest/33152392</v>
      </c>
      <c r="R2545" s="1" t="s">
        <v>29</v>
      </c>
      <c r="S2545" s="13" t="s">
        <v>18</v>
      </c>
      <c r="AU2545" s="11"/>
      <c r="AV2545" s="11"/>
      <c r="AW2545" s="44"/>
      <c r="AX2545" s="44"/>
      <c r="AY2545" s="44"/>
      <c r="BC2545" s="44"/>
      <c r="BD2545" s="44"/>
      <c r="BE2545" s="44"/>
      <c r="BF2545" s="44"/>
      <c r="BG2545" s="44"/>
      <c r="BH2545" s="44"/>
      <c r="BI2545" s="44"/>
      <c r="BJ2545" s="44"/>
    </row>
    <row r="2546" spans="1:63" ht="12" customHeight="1" x14ac:dyDescent="0.2">
      <c r="A2546" s="1" t="s">
        <v>2220</v>
      </c>
      <c r="B2546" s="68">
        <v>24</v>
      </c>
      <c r="C2546" s="1" t="s">
        <v>20</v>
      </c>
      <c r="D2546" s="1" t="s">
        <v>48</v>
      </c>
      <c r="E2546" s="1" t="s">
        <v>2221</v>
      </c>
      <c r="F2546" s="69">
        <v>42145</v>
      </c>
      <c r="G2546" s="1" t="s">
        <v>2222</v>
      </c>
      <c r="H2546" s="1" t="s">
        <v>1831</v>
      </c>
      <c r="I2546" s="1" t="s">
        <v>81</v>
      </c>
      <c r="J2546" s="4" t="s">
        <v>1832</v>
      </c>
      <c r="K2546" s="1" t="s">
        <v>1833</v>
      </c>
      <c r="L2546" s="1" t="s">
        <v>1834</v>
      </c>
      <c r="M2546" s="1" t="s">
        <v>27</v>
      </c>
      <c r="N2546" s="1" t="s">
        <v>2223</v>
      </c>
      <c r="O2546" s="1" t="s">
        <v>1010</v>
      </c>
      <c r="P2546" s="1" t="s">
        <v>401</v>
      </c>
      <c r="Q2546" s="6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2546" s="68" t="s">
        <v>555</v>
      </c>
      <c r="S2546" s="13" t="s">
        <v>28</v>
      </c>
      <c r="T2546" s="68" t="s">
        <v>29493</v>
      </c>
      <c r="U2546" s="68" t="s">
        <v>29436</v>
      </c>
      <c r="V2546" s="68" t="s">
        <v>29439</v>
      </c>
      <c r="W2546" s="68" t="s">
        <v>100</v>
      </c>
      <c r="X2546" s="68">
        <v>485</v>
      </c>
      <c r="AW2546" s="11"/>
      <c r="BA2546" s="70"/>
      <c r="BB2546" s="44"/>
      <c r="BK2546" s="44"/>
    </row>
    <row r="2547" spans="1:63" ht="12" customHeight="1" x14ac:dyDescent="0.15">
      <c r="A2547" s="1" t="s">
        <v>2224</v>
      </c>
      <c r="B2547" s="68">
        <v>22</v>
      </c>
      <c r="C2547" s="1" t="s">
        <v>20</v>
      </c>
      <c r="D2547" s="1" t="s">
        <v>48</v>
      </c>
      <c r="F2547" s="69">
        <v>42145</v>
      </c>
      <c r="G2547" s="1" t="s">
        <v>2225</v>
      </c>
      <c r="H2547" s="1" t="s">
        <v>857</v>
      </c>
      <c r="I2547" s="1" t="s">
        <v>73</v>
      </c>
      <c r="J2547" s="4" t="s">
        <v>2226</v>
      </c>
      <c r="K2547" s="1" t="s">
        <v>857</v>
      </c>
      <c r="L2547" s="1" t="s">
        <v>858</v>
      </c>
      <c r="M2547" s="1" t="s">
        <v>27</v>
      </c>
      <c r="N2547" s="1" t="s">
        <v>2227</v>
      </c>
      <c r="O2547" s="1" t="s">
        <v>550</v>
      </c>
      <c r="P2547" s="1" t="s">
        <v>401</v>
      </c>
      <c r="Q2547" s="63" t="str">
        <f>HYPERLINK("http://www.elpasotimes.com/latestnews/ci_28159979/officer-involved-shooting-northeast-el-paso","http://www.elpasotimes.com/latestnews/ci_28159979/officer-involved-shooting-northeast-el-paso")</f>
        <v>http://www.elpasotimes.com/latestnews/ci_28159979/officer-involved-shooting-northeast-el-paso</v>
      </c>
      <c r="R2547" s="1" t="s">
        <v>555</v>
      </c>
      <c r="S2547" s="13" t="s">
        <v>28</v>
      </c>
      <c r="T2547" s="68" t="s">
        <v>27756</v>
      </c>
      <c r="U2547" s="68" t="s">
        <v>29441</v>
      </c>
      <c r="V2547" s="68" t="s">
        <v>29439</v>
      </c>
      <c r="W2547" s="68" t="s">
        <v>100</v>
      </c>
      <c r="X2547" s="68">
        <v>469</v>
      </c>
      <c r="AW2547" s="44"/>
      <c r="BA2547" s="11"/>
      <c r="BB2547" s="44"/>
      <c r="BK2547" s="44"/>
    </row>
    <row r="2548" spans="1:63" ht="12" customHeight="1" x14ac:dyDescent="0.15">
      <c r="A2548" s="1" t="s">
        <v>2205</v>
      </c>
      <c r="B2548" s="68">
        <v>38</v>
      </c>
      <c r="C2548" s="1" t="s">
        <v>20</v>
      </c>
      <c r="D2548" s="1" t="s">
        <v>85</v>
      </c>
      <c r="E2548" s="1" t="s">
        <v>2206</v>
      </c>
      <c r="F2548" s="69">
        <v>42144</v>
      </c>
      <c r="G2548" s="1" t="s">
        <v>2207</v>
      </c>
      <c r="H2548" s="1" t="s">
        <v>2208</v>
      </c>
      <c r="I2548" s="1" t="s">
        <v>315</v>
      </c>
      <c r="J2548" s="4" t="s">
        <v>2209</v>
      </c>
      <c r="K2548" s="1" t="s">
        <v>2210</v>
      </c>
      <c r="L2548" s="1" t="s">
        <v>2211</v>
      </c>
      <c r="M2548" s="1" t="s">
        <v>27</v>
      </c>
      <c r="N2548" s="1" t="s">
        <v>2212</v>
      </c>
      <c r="O2548" s="1" t="s">
        <v>1010</v>
      </c>
      <c r="P2548" s="1" t="s">
        <v>401</v>
      </c>
      <c r="Q2548" s="63" t="str">
        <f>HYPERLINK("http://www.wave3.com/story/29120867/shooting-investigation-in-owensboro","http://www.wave3.com/story/29120867/shooting-investigation-in-owensboro")</f>
        <v>http://www.wave3.com/story/29120867/shooting-investigation-in-owensboro</v>
      </c>
      <c r="R2548" s="1" t="s">
        <v>100</v>
      </c>
      <c r="S2548" s="13" t="s">
        <v>28</v>
      </c>
      <c r="T2548" s="68" t="s">
        <v>27756</v>
      </c>
      <c r="U2548" s="68" t="s">
        <v>29438</v>
      </c>
      <c r="V2548" s="68" t="s">
        <v>29439</v>
      </c>
      <c r="W2548" s="68" t="s">
        <v>100</v>
      </c>
      <c r="X2548" s="68">
        <v>468</v>
      </c>
      <c r="AW2548" s="44"/>
      <c r="AX2548" s="44"/>
      <c r="AY2548" s="44"/>
      <c r="BA2548" s="64"/>
      <c r="BC2548" s="44"/>
      <c r="BD2548" s="44"/>
      <c r="BE2548" s="44"/>
      <c r="BF2548" s="44"/>
      <c r="BG2548" s="44"/>
      <c r="BH2548" s="44"/>
      <c r="BI2548" s="44"/>
      <c r="BJ2548" s="44"/>
      <c r="BK2548" s="44"/>
    </row>
    <row r="2549" spans="1:63" ht="12" customHeight="1" x14ac:dyDescent="0.15">
      <c r="A2549" s="1" t="s">
        <v>2249</v>
      </c>
      <c r="B2549" s="68">
        <v>26</v>
      </c>
      <c r="C2549" s="1" t="s">
        <v>20</v>
      </c>
      <c r="D2549" s="1" t="s">
        <v>85</v>
      </c>
      <c r="E2549" s="1" t="s">
        <v>2250</v>
      </c>
      <c r="F2549" s="69">
        <v>42144</v>
      </c>
      <c r="G2549" s="1" t="s">
        <v>2251</v>
      </c>
      <c r="H2549" s="1" t="s">
        <v>1627</v>
      </c>
      <c r="I2549" s="1" t="s">
        <v>463</v>
      </c>
      <c r="J2549" s="4" t="s">
        <v>2252</v>
      </c>
      <c r="K2549" s="1" t="s">
        <v>938</v>
      </c>
      <c r="L2549" s="1" t="s">
        <v>2253</v>
      </c>
      <c r="M2549" s="1" t="s">
        <v>27</v>
      </c>
      <c r="N2549" s="1" t="s">
        <v>2254</v>
      </c>
      <c r="O2549" s="1" t="s">
        <v>550</v>
      </c>
      <c r="P2549" s="1" t="s">
        <v>401</v>
      </c>
      <c r="Q2549" s="63" t="str">
        <f>HYPERLINK("http://www.wowt.com/home/headlines/Police-Officer-Shot-304450711.html?ref=711","http://www.wowt.com/home/headlines/Police-Officer-Shot-304450711.html?ref=711")</f>
        <v>http://www.wowt.com/home/headlines/Police-Officer-Shot-304450711.html?ref=711</v>
      </c>
      <c r="R2549" s="1" t="s">
        <v>100</v>
      </c>
      <c r="S2549" s="13" t="s">
        <v>28</v>
      </c>
      <c r="T2549" s="68" t="s">
        <v>27756</v>
      </c>
      <c r="U2549" s="68" t="s">
        <v>29438</v>
      </c>
      <c r="V2549" s="68" t="s">
        <v>29439</v>
      </c>
      <c r="W2549" s="68" t="s">
        <v>100</v>
      </c>
      <c r="X2549" s="68">
        <v>489</v>
      </c>
      <c r="AW2549" s="44"/>
      <c r="AX2549" s="11"/>
      <c r="AY2549" s="11"/>
      <c r="BC2549" s="44"/>
      <c r="BD2549" s="44"/>
      <c r="BE2549" s="44"/>
      <c r="BF2549" s="44"/>
      <c r="BG2549" s="44"/>
      <c r="BH2549" s="44"/>
      <c r="BI2549" s="44"/>
      <c r="BJ2549" s="44"/>
      <c r="BK2549" s="44"/>
    </row>
    <row r="2550" spans="1:63" ht="12" customHeight="1" x14ac:dyDescent="0.15">
      <c r="A2550" s="1" t="s">
        <v>2270</v>
      </c>
      <c r="B2550" s="68">
        <v>29</v>
      </c>
      <c r="C2550" s="1" t="s">
        <v>20</v>
      </c>
      <c r="D2550" s="1" t="s">
        <v>85</v>
      </c>
      <c r="E2550" s="1" t="s">
        <v>2271</v>
      </c>
      <c r="F2550" s="69">
        <v>42144</v>
      </c>
      <c r="G2550" s="1" t="s">
        <v>2272</v>
      </c>
      <c r="H2550" s="1" t="s">
        <v>1492</v>
      </c>
      <c r="I2550" s="1" t="s">
        <v>404</v>
      </c>
      <c r="J2550" s="4" t="s">
        <v>2273</v>
      </c>
      <c r="K2550" s="1" t="s">
        <v>1492</v>
      </c>
      <c r="L2550" s="1" t="s">
        <v>2274</v>
      </c>
      <c r="M2550" s="1" t="s">
        <v>27</v>
      </c>
      <c r="N2550" s="1" t="s">
        <v>2275</v>
      </c>
      <c r="O2550" s="1" t="s">
        <v>1010</v>
      </c>
      <c r="P2550" s="1" t="s">
        <v>401</v>
      </c>
      <c r="Q2550" s="63" t="str">
        <f>HYPERLINK("http://www.wgal.com/news/breaking-news-officer-shot-in-lancaster/33104470","http://www.wgal.com/news/breaking-news-officer-shot-in-lancaster/33104470")</f>
        <v>http://www.wgal.com/news/breaking-news-officer-shot-in-lancaster/33104470</v>
      </c>
      <c r="R2550" s="1" t="s">
        <v>100</v>
      </c>
      <c r="S2550" s="13" t="s">
        <v>28</v>
      </c>
      <c r="T2550" s="68" t="s">
        <v>27756</v>
      </c>
      <c r="U2550" s="68" t="s">
        <v>29438</v>
      </c>
      <c r="V2550" s="68" t="s">
        <v>29439</v>
      </c>
      <c r="W2550" s="68" t="s">
        <v>100</v>
      </c>
      <c r="X2550" s="68">
        <v>466</v>
      </c>
      <c r="AW2550" s="44"/>
      <c r="AX2550" s="11"/>
      <c r="AY2550" s="11"/>
      <c r="BC2550" s="44"/>
      <c r="BD2550" s="44"/>
      <c r="BE2550" s="44"/>
      <c r="BF2550" s="44"/>
      <c r="BG2550" s="44"/>
      <c r="BH2550" s="44"/>
      <c r="BI2550" s="44"/>
      <c r="BJ2550" s="44"/>
      <c r="BK2550" s="44"/>
    </row>
    <row r="2551" spans="1:63" ht="12" customHeight="1" x14ac:dyDescent="0.2">
      <c r="A2551" s="1" t="s">
        <v>2263</v>
      </c>
      <c r="B2551" s="68">
        <v>52</v>
      </c>
      <c r="C2551" s="1" t="s">
        <v>20</v>
      </c>
      <c r="D2551" s="1" t="s">
        <v>37</v>
      </c>
      <c r="E2551" s="1" t="s">
        <v>2264</v>
      </c>
      <c r="F2551" s="69">
        <v>42144</v>
      </c>
      <c r="G2551" s="1" t="s">
        <v>2265</v>
      </c>
      <c r="H2551" s="1" t="s">
        <v>1105</v>
      </c>
      <c r="I2551" s="1" t="s">
        <v>69</v>
      </c>
      <c r="J2551" s="4" t="s">
        <v>2266</v>
      </c>
      <c r="K2551" s="1" t="s">
        <v>2267</v>
      </c>
      <c r="L2551" s="1" t="s">
        <v>2268</v>
      </c>
      <c r="M2551" s="68" t="s">
        <v>5411</v>
      </c>
      <c r="N2551" s="1" t="s">
        <v>2269</v>
      </c>
      <c r="O2551" s="1" t="s">
        <v>1010</v>
      </c>
      <c r="P2551" s="1" t="s">
        <v>401</v>
      </c>
      <c r="Q2551" s="6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2551" s="1" t="s">
        <v>100</v>
      </c>
      <c r="S2551" s="13" t="s">
        <v>28</v>
      </c>
      <c r="T2551" s="68" t="s">
        <v>29493</v>
      </c>
      <c r="U2551" s="68" t="s">
        <v>29436</v>
      </c>
      <c r="V2551" s="68" t="s">
        <v>29439</v>
      </c>
      <c r="W2551" s="68" t="s">
        <v>100</v>
      </c>
      <c r="X2551" s="68">
        <v>467</v>
      </c>
      <c r="BB2551" s="70"/>
    </row>
    <row r="2552" spans="1:63" ht="12" customHeight="1" x14ac:dyDescent="0.2">
      <c r="A2552" s="1" t="s">
        <v>2241</v>
      </c>
      <c r="B2552" s="68">
        <v>39</v>
      </c>
      <c r="C2552" s="1" t="s">
        <v>114</v>
      </c>
      <c r="D2552" s="1" t="s">
        <v>37</v>
      </c>
      <c r="E2552" s="1" t="s">
        <v>2242</v>
      </c>
      <c r="F2552" s="69">
        <v>42144</v>
      </c>
      <c r="G2552" s="1" t="s">
        <v>2243</v>
      </c>
      <c r="H2552" s="1" t="s">
        <v>2244</v>
      </c>
      <c r="I2552" s="1" t="s">
        <v>1083</v>
      </c>
      <c r="J2552" s="4" t="s">
        <v>2245</v>
      </c>
      <c r="K2552" s="1" t="s">
        <v>2246</v>
      </c>
      <c r="L2552" s="1" t="s">
        <v>2247</v>
      </c>
      <c r="M2552" s="68" t="s">
        <v>5411</v>
      </c>
      <c r="N2552" s="1" t="s">
        <v>2248</v>
      </c>
      <c r="O2552" s="1" t="s">
        <v>400</v>
      </c>
      <c r="P2552" s="1" t="s">
        <v>401</v>
      </c>
      <c r="Q2552" s="63" t="str">
        <f>HYPERLINK("http://www.gillettenewsrecord.com/news/local/article_8ce9749e-ffea-11e4-b7e5-5f207815da4f.html","http://www.gillettenewsrecord.com/news/local/article_8ce9749e-ffea-11e4-b7e5-5f207815da4f.html")</f>
        <v>http://www.gillettenewsrecord.com/news/local/article_8ce9749e-ffea-11e4-b7e5-5f207815da4f.html</v>
      </c>
      <c r="R2552" s="1" t="s">
        <v>100</v>
      </c>
      <c r="S2552" s="13" t="s">
        <v>28</v>
      </c>
      <c r="T2552" s="68" t="s">
        <v>29493</v>
      </c>
      <c r="U2552" s="68" t="s">
        <v>29436</v>
      </c>
      <c r="V2552" s="68" t="s">
        <v>29437</v>
      </c>
      <c r="W2552" s="68" t="s">
        <v>100</v>
      </c>
      <c r="X2552" s="68">
        <v>486</v>
      </c>
      <c r="AW2552" s="44"/>
      <c r="BB2552" s="70"/>
    </row>
    <row r="2553" spans="1:63" ht="12" customHeight="1" x14ac:dyDescent="0.15">
      <c r="A2553" s="1" t="s">
        <v>2255</v>
      </c>
      <c r="B2553" s="68">
        <v>35</v>
      </c>
      <c r="C2553" s="1" t="s">
        <v>20</v>
      </c>
      <c r="D2553" s="1" t="s">
        <v>37</v>
      </c>
      <c r="E2553" s="1" t="s">
        <v>2256</v>
      </c>
      <c r="F2553" s="69">
        <v>42143</v>
      </c>
      <c r="G2553" s="1" t="s">
        <v>2257</v>
      </c>
      <c r="H2553" s="1" t="s">
        <v>2258</v>
      </c>
      <c r="I2553" s="1" t="s">
        <v>978</v>
      </c>
      <c r="J2553" s="4" t="s">
        <v>2259</v>
      </c>
      <c r="K2553" s="1" t="s">
        <v>2260</v>
      </c>
      <c r="L2553" s="1" t="s">
        <v>2261</v>
      </c>
      <c r="M2553" s="1" t="s">
        <v>27</v>
      </c>
      <c r="N2553" s="1" t="s">
        <v>2262</v>
      </c>
      <c r="O2553" s="1" t="s">
        <v>1010</v>
      </c>
      <c r="P2553" s="1" t="s">
        <v>401</v>
      </c>
      <c r="Q2553" s="63" t="str">
        <f>HYPERLINK("http://www.thv11.com/story/news/crime/2015/05/19/police-respond-to-cabot-shooting/27627629/","http://www.thv11.com/story/news/crime/2015/05/19/police-respond-to-cabot-shooting/27627629/")</f>
        <v>http://www.thv11.com/story/news/crime/2015/05/19/police-respond-to-cabot-shooting/27627629/</v>
      </c>
      <c r="R2553" s="1" t="s">
        <v>100</v>
      </c>
      <c r="S2553" s="13" t="s">
        <v>28</v>
      </c>
      <c r="T2553" s="68" t="s">
        <v>27756</v>
      </c>
      <c r="U2553" s="68" t="s">
        <v>29438</v>
      </c>
      <c r="V2553" s="68" t="s">
        <v>29439</v>
      </c>
      <c r="W2553" s="68" t="s">
        <v>100</v>
      </c>
      <c r="X2553" s="68">
        <v>464</v>
      </c>
      <c r="AW2553" s="11"/>
      <c r="BA2553" s="64"/>
      <c r="BK2553" s="44"/>
    </row>
    <row r="2554" spans="1:63" ht="12" customHeight="1" x14ac:dyDescent="0.2">
      <c r="A2554" s="1" t="s">
        <v>2280</v>
      </c>
      <c r="B2554" s="68">
        <v>17</v>
      </c>
      <c r="C2554" s="1" t="s">
        <v>20</v>
      </c>
      <c r="D2554" s="1" t="s">
        <v>37</v>
      </c>
      <c r="F2554" s="69">
        <v>42143</v>
      </c>
      <c r="G2554" s="1" t="s">
        <v>2281</v>
      </c>
      <c r="H2554" s="1" t="s">
        <v>2282</v>
      </c>
      <c r="I2554" s="1" t="s">
        <v>209</v>
      </c>
      <c r="J2554" s="4" t="s">
        <v>2283</v>
      </c>
      <c r="K2554" s="1" t="s">
        <v>1428</v>
      </c>
      <c r="L2554" s="1" t="s">
        <v>2284</v>
      </c>
      <c r="M2554" s="1" t="s">
        <v>27</v>
      </c>
      <c r="N2554" s="1" t="s">
        <v>2285</v>
      </c>
      <c r="O2554" s="1" t="s">
        <v>400</v>
      </c>
      <c r="P2554" s="1" t="s">
        <v>401</v>
      </c>
      <c r="Q2554" s="6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2554" s="1" t="s">
        <v>2286</v>
      </c>
      <c r="S2554" s="13" t="s">
        <v>28</v>
      </c>
      <c r="T2554" s="68" t="s">
        <v>27756</v>
      </c>
      <c r="U2554" s="68" t="s">
        <v>29438</v>
      </c>
      <c r="V2554" s="68" t="s">
        <v>21212</v>
      </c>
      <c r="W2554" s="68" t="s">
        <v>100</v>
      </c>
      <c r="X2554" s="68">
        <v>465</v>
      </c>
      <c r="AW2554" s="70"/>
      <c r="BK2554" s="44"/>
    </row>
    <row r="2555" spans="1:63" ht="12" customHeight="1" x14ac:dyDescent="0.15">
      <c r="A2555" s="1" t="s">
        <v>2276</v>
      </c>
      <c r="B2555" s="68">
        <v>54</v>
      </c>
      <c r="C2555" s="1" t="s">
        <v>20</v>
      </c>
      <c r="D2555" s="1" t="s">
        <v>48</v>
      </c>
      <c r="F2555" s="69">
        <v>42143</v>
      </c>
      <c r="G2555" s="1" t="s">
        <v>2277</v>
      </c>
      <c r="H2555" s="1" t="s">
        <v>843</v>
      </c>
      <c r="I2555" s="1" t="s">
        <v>244</v>
      </c>
      <c r="J2555" s="4" t="s">
        <v>2278</v>
      </c>
      <c r="K2555" s="1" t="s">
        <v>843</v>
      </c>
      <c r="L2555" s="1" t="s">
        <v>20462</v>
      </c>
      <c r="M2555" s="1" t="s">
        <v>27</v>
      </c>
      <c r="N2555" s="1" t="s">
        <v>2279</v>
      </c>
      <c r="O2555" s="1" t="s">
        <v>400</v>
      </c>
      <c r="P2555" s="1" t="s">
        <v>401</v>
      </c>
      <c r="Q2555" s="63" t="str">
        <f>HYPERLINK("http://www.arlnow.com/2015/05/19/breaking-officer-involved-shooting-in-buckingham/","http://www.arlnow.com/2015/05/19/breaking-officer-involved-shooting-in-buckingham/")</f>
        <v>http://www.arlnow.com/2015/05/19/breaking-officer-involved-shooting-in-buckingham/</v>
      </c>
      <c r="R2555" s="1" t="s">
        <v>555</v>
      </c>
      <c r="S2555" s="11" t="s">
        <v>18</v>
      </c>
      <c r="T2555" s="68" t="s">
        <v>28345</v>
      </c>
      <c r="U2555" s="68" t="s">
        <v>29438</v>
      </c>
      <c r="V2555" s="68" t="s">
        <v>29439</v>
      </c>
      <c r="W2555" s="68" t="s">
        <v>100</v>
      </c>
      <c r="X2555" s="68">
        <v>457</v>
      </c>
    </row>
    <row r="2556" spans="1:63" ht="12" customHeight="1" x14ac:dyDescent="0.15">
      <c r="A2556" s="1" t="s">
        <v>2287</v>
      </c>
      <c r="B2556" s="1">
        <v>46</v>
      </c>
      <c r="C2556" s="1" t="s">
        <v>20</v>
      </c>
      <c r="D2556" s="1" t="s">
        <v>37</v>
      </c>
      <c r="E2556" s="1" t="s">
        <v>2288</v>
      </c>
      <c r="F2556" s="72">
        <v>42143</v>
      </c>
      <c r="G2556" s="1" t="s">
        <v>2289</v>
      </c>
      <c r="H2556" s="1" t="s">
        <v>1319</v>
      </c>
      <c r="I2556" s="1" t="s">
        <v>1083</v>
      </c>
      <c r="L2556" s="1" t="s">
        <v>2290</v>
      </c>
      <c r="M2556" s="1" t="s">
        <v>2291</v>
      </c>
      <c r="P2556" s="1" t="s">
        <v>401</v>
      </c>
      <c r="Q2556" s="63" t="str">
        <f>HYPERLINK("http://k2radio.com/inmate-fought-deputies-before-dying-affidavit-details-bin-williams-last-days/","http://k2radio.com/inmate-fought-deputies-before-dying-affidavit-details-bin-williams-last-days/")</f>
        <v>http://k2radio.com/inmate-fought-deputies-before-dying-affidavit-details-bin-williams-last-days/</v>
      </c>
      <c r="R2556" s="1" t="s">
        <v>29</v>
      </c>
      <c r="S2556" s="13" t="s">
        <v>18</v>
      </c>
    </row>
    <row r="2557" spans="1:63" ht="12" customHeight="1" x14ac:dyDescent="0.15">
      <c r="A2557" s="1" t="s">
        <v>2311</v>
      </c>
      <c r="B2557" s="68">
        <v>27</v>
      </c>
      <c r="C2557" s="1" t="s">
        <v>20</v>
      </c>
      <c r="D2557" s="1" t="s">
        <v>37</v>
      </c>
      <c r="E2557" s="1" t="s">
        <v>2312</v>
      </c>
      <c r="F2557" s="69">
        <v>42141</v>
      </c>
      <c r="G2557" s="1" t="s">
        <v>2313</v>
      </c>
      <c r="H2557" s="1" t="s">
        <v>2314</v>
      </c>
      <c r="I2557" s="1" t="s">
        <v>195</v>
      </c>
      <c r="J2557" s="4" t="s">
        <v>2315</v>
      </c>
      <c r="K2557" s="1" t="s">
        <v>2316</v>
      </c>
      <c r="L2557" s="1" t="s">
        <v>2317</v>
      </c>
      <c r="M2557" s="1" t="s">
        <v>27</v>
      </c>
      <c r="N2557" s="1" t="s">
        <v>2318</v>
      </c>
      <c r="O2557" s="1" t="s">
        <v>400</v>
      </c>
      <c r="P2557" s="1" t="s">
        <v>401</v>
      </c>
      <c r="Q2557" s="63" t="str">
        <f>HYPERLINK("http://www.kob.com/article/stories/s3798987.shtml#.VVkL0zY4nTY","http://www.kob.com/article/stories/s3798987.shtml#.VVkL0zY4nTY")</f>
        <v>http://www.kob.com/article/stories/s3798987.shtml#.VVkL0zY4nTY</v>
      </c>
      <c r="R2557" s="1" t="s">
        <v>100</v>
      </c>
      <c r="S2557" s="13" t="s">
        <v>28</v>
      </c>
      <c r="T2557" s="68" t="s">
        <v>29505</v>
      </c>
      <c r="U2557" s="68" t="s">
        <v>29436</v>
      </c>
      <c r="V2557" s="68" t="s">
        <v>29439</v>
      </c>
      <c r="W2557" s="68" t="s">
        <v>100</v>
      </c>
      <c r="X2557" s="68">
        <v>461</v>
      </c>
      <c r="AW2557" s="44"/>
      <c r="BK2557" s="44"/>
    </row>
    <row r="2558" spans="1:63" ht="12" customHeight="1" x14ac:dyDescent="0.15">
      <c r="A2558" s="1" t="s">
        <v>2299</v>
      </c>
      <c r="B2558" s="68">
        <v>34</v>
      </c>
      <c r="C2558" s="1" t="s">
        <v>20</v>
      </c>
      <c r="D2558" s="1" t="s">
        <v>37</v>
      </c>
      <c r="E2558" s="1" t="s">
        <v>2300</v>
      </c>
      <c r="F2558" s="69">
        <v>42141</v>
      </c>
      <c r="G2558" s="1" t="s">
        <v>2301</v>
      </c>
      <c r="H2558" s="1" t="s">
        <v>156</v>
      </c>
      <c r="I2558" s="1" t="s">
        <v>45</v>
      </c>
      <c r="J2558" s="4" t="s">
        <v>2302</v>
      </c>
      <c r="K2558" s="1" t="s">
        <v>156</v>
      </c>
      <c r="L2558" s="1" t="s">
        <v>157</v>
      </c>
      <c r="M2558" s="1" t="s">
        <v>27</v>
      </c>
      <c r="N2558" s="1" t="s">
        <v>2303</v>
      </c>
      <c r="O2558" s="1" t="s">
        <v>400</v>
      </c>
      <c r="P2558" s="1" t="s">
        <v>401</v>
      </c>
      <c r="Q2558" s="63" t="str">
        <f>HYPERLINK("http://www.utsandiego.com/news/2015/may/17/sdpd-ois-officer-shot-kearny-mesa-hospital/","http://www.utsandiego.com/news/2015/may/17/sdpd-ois-officer-shot-kearny-mesa-hospital/")</f>
        <v>http://www.utsandiego.com/news/2015/may/17/sdpd-ois-officer-shot-kearny-mesa-hospital/</v>
      </c>
      <c r="R2558" s="1" t="s">
        <v>555</v>
      </c>
      <c r="S2558" s="13" t="s">
        <v>28</v>
      </c>
      <c r="T2558" s="68" t="s">
        <v>27756</v>
      </c>
      <c r="U2558" s="68" t="s">
        <v>29438</v>
      </c>
      <c r="V2558" s="68" t="s">
        <v>29440</v>
      </c>
      <c r="W2558" s="68" t="s">
        <v>555</v>
      </c>
      <c r="X2558" s="68">
        <v>458</v>
      </c>
      <c r="AW2558" s="11"/>
      <c r="BA2558" s="11"/>
      <c r="BB2558" s="44"/>
    </row>
    <row r="2559" spans="1:63" ht="12" customHeight="1" x14ac:dyDescent="0.2">
      <c r="A2559" s="1" t="s">
        <v>2304</v>
      </c>
      <c r="B2559" s="68">
        <v>18</v>
      </c>
      <c r="C2559" s="1" t="s">
        <v>20</v>
      </c>
      <c r="D2559" s="1" t="s">
        <v>37</v>
      </c>
      <c r="E2559" s="1" t="s">
        <v>2305</v>
      </c>
      <c r="F2559" s="69">
        <v>42141</v>
      </c>
      <c r="G2559" s="1" t="s">
        <v>2306</v>
      </c>
      <c r="H2559" s="1" t="s">
        <v>2307</v>
      </c>
      <c r="I2559" s="1" t="s">
        <v>62</v>
      </c>
      <c r="J2559" s="4" t="s">
        <v>2308</v>
      </c>
      <c r="K2559" s="1" t="s">
        <v>2309</v>
      </c>
      <c r="L2559" s="1" t="s">
        <v>14047</v>
      </c>
      <c r="M2559" s="1" t="s">
        <v>27</v>
      </c>
      <c r="N2559" s="1" t="s">
        <v>2310</v>
      </c>
      <c r="O2559" s="1" t="s">
        <v>1010</v>
      </c>
      <c r="P2559" s="1" t="s">
        <v>401</v>
      </c>
      <c r="Q2559" s="6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2559" s="1" t="s">
        <v>555</v>
      </c>
      <c r="S2559" s="13" t="s">
        <v>28</v>
      </c>
      <c r="T2559" s="68" t="s">
        <v>27756</v>
      </c>
      <c r="U2559" s="68" t="s">
        <v>29438</v>
      </c>
      <c r="V2559" s="68" t="s">
        <v>29439</v>
      </c>
      <c r="W2559" s="68" t="s">
        <v>100</v>
      </c>
      <c r="X2559" s="68">
        <v>459</v>
      </c>
      <c r="AW2559" s="70"/>
      <c r="BA2559" s="11"/>
      <c r="BB2559" s="44"/>
    </row>
    <row r="2560" spans="1:63" ht="12" customHeight="1" x14ac:dyDescent="0.15">
      <c r="A2560" s="1" t="s">
        <v>2292</v>
      </c>
      <c r="B2560" s="68">
        <v>45</v>
      </c>
      <c r="C2560" s="1" t="s">
        <v>20</v>
      </c>
      <c r="D2560" s="1" t="s">
        <v>85</v>
      </c>
      <c r="E2560" s="1" t="s">
        <v>2293</v>
      </c>
      <c r="F2560" s="69">
        <v>42140</v>
      </c>
      <c r="G2560" s="1" t="s">
        <v>2294</v>
      </c>
      <c r="H2560" s="1" t="s">
        <v>2295</v>
      </c>
      <c r="I2560" s="1" t="s">
        <v>44</v>
      </c>
      <c r="J2560" s="4" t="s">
        <v>2296</v>
      </c>
      <c r="K2560" s="1" t="s">
        <v>88</v>
      </c>
      <c r="L2560" s="1" t="s">
        <v>2297</v>
      </c>
      <c r="M2560" s="1" t="s">
        <v>27</v>
      </c>
      <c r="N2560" s="1" t="s">
        <v>2298</v>
      </c>
      <c r="O2560" s="1" t="s">
        <v>1010</v>
      </c>
      <c r="P2560" s="1" t="s">
        <v>401</v>
      </c>
      <c r="Q2560" s="6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2560" s="1" t="s">
        <v>100</v>
      </c>
      <c r="S2560" s="13" t="s">
        <v>28</v>
      </c>
      <c r="T2560" s="68" t="s">
        <v>27756</v>
      </c>
      <c r="U2560" s="68" t="s">
        <v>29438</v>
      </c>
      <c r="V2560" s="68" t="s">
        <v>29440</v>
      </c>
      <c r="W2560" s="68" t="s">
        <v>100</v>
      </c>
      <c r="X2560" s="68">
        <v>463</v>
      </c>
      <c r="AX2560" s="44"/>
      <c r="AY2560" s="44"/>
      <c r="BC2560" s="44"/>
      <c r="BD2560" s="44"/>
      <c r="BE2560" s="44"/>
      <c r="BF2560" s="44"/>
      <c r="BG2560" s="44"/>
      <c r="BH2560" s="44"/>
      <c r="BI2560" s="44"/>
      <c r="BJ2560" s="44"/>
    </row>
    <row r="2561" spans="1:63" ht="12" customHeight="1" x14ac:dyDescent="0.15">
      <c r="A2561" s="1" t="s">
        <v>2330</v>
      </c>
      <c r="B2561" s="68">
        <v>41</v>
      </c>
      <c r="C2561" s="1" t="s">
        <v>20</v>
      </c>
      <c r="D2561" s="1" t="s">
        <v>37</v>
      </c>
      <c r="E2561" s="1" t="s">
        <v>2331</v>
      </c>
      <c r="F2561" s="69">
        <v>42139</v>
      </c>
      <c r="G2561" s="1" t="s">
        <v>2332</v>
      </c>
      <c r="H2561" s="1" t="s">
        <v>2333</v>
      </c>
      <c r="I2561" s="1" t="s">
        <v>44</v>
      </c>
      <c r="J2561" s="4" t="s">
        <v>2334</v>
      </c>
      <c r="K2561" s="1" t="s">
        <v>2335</v>
      </c>
      <c r="L2561" s="1" t="s">
        <v>2336</v>
      </c>
      <c r="M2561" s="1" t="s">
        <v>27</v>
      </c>
      <c r="N2561" s="1" t="s">
        <v>2337</v>
      </c>
      <c r="O2561" s="1" t="s">
        <v>400</v>
      </c>
      <c r="P2561" s="1" t="s">
        <v>401</v>
      </c>
      <c r="Q2561" s="63" t="str">
        <f>HYPERLINK("http://www.wrex.com/story/29079166/2015/05/15/officer-involved-shooting-in-rockford","http://www.wrex.com/story/29079166/2015/05/15/officer-involved-shooting-in-rockford")</f>
        <v>http://www.wrex.com/story/29079166/2015/05/15/officer-involved-shooting-in-rockford</v>
      </c>
      <c r="R2561" s="1" t="s">
        <v>555</v>
      </c>
      <c r="S2561" s="13" t="s">
        <v>28</v>
      </c>
      <c r="T2561" s="68" t="s">
        <v>27756</v>
      </c>
      <c r="U2561" s="68" t="s">
        <v>29438</v>
      </c>
      <c r="V2561" s="68" t="s">
        <v>29439</v>
      </c>
      <c r="W2561" s="68" t="s">
        <v>100</v>
      </c>
      <c r="X2561" s="68">
        <v>460</v>
      </c>
      <c r="BA2561" s="11"/>
      <c r="BB2561" s="44"/>
    </row>
    <row r="2562" spans="1:63" ht="12" customHeight="1" x14ac:dyDescent="0.15">
      <c r="A2562" s="1" t="s">
        <v>2325</v>
      </c>
      <c r="B2562" s="1">
        <v>40</v>
      </c>
      <c r="C2562" s="1" t="s">
        <v>20</v>
      </c>
      <c r="D2562" s="1" t="s">
        <v>48</v>
      </c>
      <c r="E2562" s="1" t="s">
        <v>2326</v>
      </c>
      <c r="F2562" s="72">
        <v>42139</v>
      </c>
      <c r="G2562" s="1" t="s">
        <v>2327</v>
      </c>
      <c r="H2562" s="1" t="s">
        <v>754</v>
      </c>
      <c r="I2562" s="1" t="s">
        <v>423</v>
      </c>
      <c r="J2562" s="4" t="s">
        <v>2328</v>
      </c>
      <c r="K2562" s="1" t="s">
        <v>1844</v>
      </c>
      <c r="L2562" s="1" t="s">
        <v>582</v>
      </c>
      <c r="M2562" s="1" t="s">
        <v>29</v>
      </c>
      <c r="N2562" s="1" t="s">
        <v>2329</v>
      </c>
      <c r="O2562" s="1" t="s">
        <v>400</v>
      </c>
      <c r="P2562" s="1" t="s">
        <v>401</v>
      </c>
      <c r="Q2562" s="63" t="str">
        <f>HYPERLINK("http://www.nydailynews.com/new-york/bronx-man-died-custody-drinking-sources-article-1.2224115","http://www.nydailynews.com/new-york/bronx-man-died-custody-drinking-sources-article-1.2224115")</f>
        <v>http://www.nydailynews.com/new-york/bronx-man-died-custody-drinking-sources-article-1.2224115</v>
      </c>
      <c r="R2562" s="1" t="s">
        <v>555</v>
      </c>
      <c r="S2562" s="13" t="s">
        <v>18</v>
      </c>
      <c r="AU2562" s="11"/>
      <c r="AV2562" s="11"/>
      <c r="AW2562" s="44"/>
      <c r="BA2562" s="11"/>
      <c r="BB2562" s="11"/>
    </row>
    <row r="2563" spans="1:63" ht="12" customHeight="1" x14ac:dyDescent="0.15">
      <c r="A2563" s="1" t="s">
        <v>2319</v>
      </c>
      <c r="B2563" s="68">
        <v>42</v>
      </c>
      <c r="C2563" s="1" t="s">
        <v>20</v>
      </c>
      <c r="D2563" s="1" t="s">
        <v>37</v>
      </c>
      <c r="E2563" s="1" t="s">
        <v>2320</v>
      </c>
      <c r="F2563" s="69">
        <v>42139</v>
      </c>
      <c r="G2563" s="1" t="s">
        <v>2321</v>
      </c>
      <c r="H2563" s="1" t="s">
        <v>1642</v>
      </c>
      <c r="I2563" s="1" t="s">
        <v>45</v>
      </c>
      <c r="J2563" s="4" t="s">
        <v>2322</v>
      </c>
      <c r="K2563" s="1" t="s">
        <v>1642</v>
      </c>
      <c r="L2563" s="1" t="s">
        <v>2323</v>
      </c>
      <c r="M2563" s="1" t="s">
        <v>27</v>
      </c>
      <c r="N2563" s="1" t="s">
        <v>2324</v>
      </c>
      <c r="O2563" s="1" t="s">
        <v>1010</v>
      </c>
      <c r="P2563" s="1" t="s">
        <v>401</v>
      </c>
      <c r="Q2563" s="6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2563" s="1" t="s">
        <v>555</v>
      </c>
      <c r="S2563" s="13" t="s">
        <v>18</v>
      </c>
      <c r="T2563" s="68" t="s">
        <v>29612</v>
      </c>
      <c r="U2563" s="68" t="s">
        <v>29438</v>
      </c>
      <c r="V2563" s="68" t="s">
        <v>29439</v>
      </c>
      <c r="W2563" s="68" t="s">
        <v>100</v>
      </c>
      <c r="X2563" s="68">
        <v>462</v>
      </c>
      <c r="BA2563" s="11"/>
      <c r="BB2563" s="44"/>
    </row>
    <row r="2564" spans="1:63" ht="12" customHeight="1" x14ac:dyDescent="0.15">
      <c r="A2564" s="1" t="s">
        <v>2228</v>
      </c>
      <c r="B2564" s="68">
        <v>53</v>
      </c>
      <c r="C2564" s="1" t="s">
        <v>20</v>
      </c>
      <c r="D2564" s="1" t="s">
        <v>37</v>
      </c>
      <c r="E2564" s="1" t="s">
        <v>2229</v>
      </c>
      <c r="F2564" s="69">
        <v>42138</v>
      </c>
      <c r="G2564" s="1" t="s">
        <v>2230</v>
      </c>
      <c r="H2564" s="1" t="s">
        <v>2231</v>
      </c>
      <c r="I2564" s="1" t="s">
        <v>62</v>
      </c>
      <c r="J2564" s="4" t="s">
        <v>2232</v>
      </c>
      <c r="K2564" s="1" t="s">
        <v>2233</v>
      </c>
      <c r="L2564" s="1" t="s">
        <v>5487</v>
      </c>
      <c r="M2564" s="1" t="s">
        <v>27</v>
      </c>
      <c r="N2564" s="1" t="s">
        <v>2234</v>
      </c>
      <c r="O2564" s="1" t="s">
        <v>1010</v>
      </c>
      <c r="P2564" s="1" t="s">
        <v>401</v>
      </c>
      <c r="Q2564" s="63" t="str">
        <f>HYPERLINK("http://jacksonville.com/news/crime/2015-05-21/story/suspect-shot-deputies-st-augustine-beach-has-died","http://jacksonville.com/news/crime/2015-05-21/story/suspect-shot-deputies-st-augustine-beach-has-died")</f>
        <v>http://jacksonville.com/news/crime/2015-05-21/story/suspect-shot-deputies-st-augustine-beach-has-died</v>
      </c>
      <c r="R2564" s="1" t="s">
        <v>555</v>
      </c>
      <c r="S2564" s="13" t="s">
        <v>28</v>
      </c>
      <c r="T2564" s="68" t="s">
        <v>27756</v>
      </c>
      <c r="U2564" s="68" t="s">
        <v>29438</v>
      </c>
      <c r="V2564" s="68" t="s">
        <v>29439</v>
      </c>
      <c r="W2564" s="68" t="s">
        <v>100</v>
      </c>
      <c r="X2564" s="68">
        <v>470</v>
      </c>
      <c r="BA2564" s="11"/>
      <c r="BB2564" s="44"/>
    </row>
    <row r="2565" spans="1:63" ht="12" customHeight="1" x14ac:dyDescent="0.2">
      <c r="A2565" s="1" t="s">
        <v>2338</v>
      </c>
      <c r="B2565" s="68">
        <v>37</v>
      </c>
      <c r="C2565" s="1" t="s">
        <v>20</v>
      </c>
      <c r="D2565" s="1" t="s">
        <v>37</v>
      </c>
      <c r="F2565" s="69">
        <v>42138</v>
      </c>
      <c r="G2565" s="1" t="s">
        <v>2339</v>
      </c>
      <c r="H2565" s="1" t="s">
        <v>2340</v>
      </c>
      <c r="I2565" s="1" t="s">
        <v>57</v>
      </c>
      <c r="J2565" s="4" t="s">
        <v>2341</v>
      </c>
      <c r="K2565" s="1" t="s">
        <v>2342</v>
      </c>
      <c r="L2565" s="1" t="s">
        <v>27613</v>
      </c>
      <c r="M2565" s="1" t="s">
        <v>27</v>
      </c>
      <c r="N2565" s="1" t="s">
        <v>2343</v>
      </c>
      <c r="O2565" s="1" t="s">
        <v>1010</v>
      </c>
      <c r="P2565" s="1" t="s">
        <v>401</v>
      </c>
      <c r="Q2565" s="63" t="str">
        <f>HYPERLINK("http://www.mlive.com/news/kalamazoo/index.ssf/2015/05/police_kill_1_man_injure_anoth.html","http://www.mlive.com/news/kalamazoo/index.ssf/2015/05/police_kill_1_man_injure_anoth.html")</f>
        <v>http://www.mlive.com/news/kalamazoo/index.ssf/2015/05/police_kill_1_man_injure_anoth.html</v>
      </c>
      <c r="R2565" s="68" t="s">
        <v>555</v>
      </c>
      <c r="S2565" s="13" t="s">
        <v>28</v>
      </c>
      <c r="T2565" s="68" t="s">
        <v>27756</v>
      </c>
      <c r="U2565" s="68" t="s">
        <v>29438</v>
      </c>
      <c r="V2565" s="68" t="s">
        <v>29437</v>
      </c>
      <c r="W2565" s="68" t="s">
        <v>100</v>
      </c>
      <c r="X2565" s="68">
        <v>456</v>
      </c>
      <c r="AW2565" s="44"/>
      <c r="BA2565" s="70"/>
      <c r="BB2565" s="44"/>
    </row>
    <row r="2566" spans="1:63" ht="12" customHeight="1" x14ac:dyDescent="0.15">
      <c r="A2566" s="1" t="s">
        <v>2344</v>
      </c>
      <c r="B2566" s="1">
        <v>37</v>
      </c>
      <c r="C2566" s="1" t="s">
        <v>20</v>
      </c>
      <c r="D2566" s="1" t="s">
        <v>85</v>
      </c>
      <c r="E2566" s="1" t="s">
        <v>2345</v>
      </c>
      <c r="F2566" s="72">
        <v>42137</v>
      </c>
      <c r="G2566" s="1" t="s">
        <v>2346</v>
      </c>
      <c r="H2566" s="1" t="s">
        <v>838</v>
      </c>
      <c r="I2566" s="1" t="s">
        <v>303</v>
      </c>
      <c r="J2566" s="4" t="s">
        <v>2347</v>
      </c>
      <c r="K2566" s="1" t="s">
        <v>838</v>
      </c>
      <c r="L2566" s="1" t="s">
        <v>839</v>
      </c>
      <c r="M2566" s="1" t="s">
        <v>29</v>
      </c>
      <c r="N2566" s="1" t="s">
        <v>2348</v>
      </c>
      <c r="O2566" s="1" t="s">
        <v>1010</v>
      </c>
      <c r="P2566" s="1" t="s">
        <v>401</v>
      </c>
      <c r="Q2566" s="63" t="str">
        <f>HYPERLINK("http://www.spokesman.com/stories/2015/may/13/jail-inmate-dies-shortly-after-arrest/","http://www.spokesman.com/stories/2015/may/13/jail-inmate-dies-shortly-after-arrest/")</f>
        <v>http://www.spokesman.com/stories/2015/may/13/jail-inmate-dies-shortly-after-arrest/</v>
      </c>
      <c r="R2566" s="11" t="s">
        <v>964</v>
      </c>
      <c r="S2566" s="13" t="s">
        <v>18</v>
      </c>
      <c r="AU2566" s="11"/>
      <c r="AV2566" s="11"/>
      <c r="AW2566" s="44"/>
      <c r="AX2566" s="44"/>
      <c r="AY2566" s="44"/>
      <c r="BC2566" s="44"/>
      <c r="BD2566" s="44"/>
      <c r="BE2566" s="44"/>
      <c r="BF2566" s="44"/>
      <c r="BG2566" s="44"/>
      <c r="BH2566" s="44"/>
      <c r="BI2566" s="44"/>
      <c r="BJ2566" s="44"/>
    </row>
    <row r="2567" spans="1:63" ht="12" customHeight="1" x14ac:dyDescent="0.15">
      <c r="A2567" s="1" t="s">
        <v>20450</v>
      </c>
      <c r="B2567" s="1">
        <v>68</v>
      </c>
      <c r="C2567" s="1" t="s">
        <v>20</v>
      </c>
      <c r="D2567" s="1" t="s">
        <v>37</v>
      </c>
      <c r="F2567" s="72">
        <v>42137</v>
      </c>
      <c r="G2567" s="1" t="s">
        <v>20451</v>
      </c>
      <c r="H2567" s="1" t="s">
        <v>20419</v>
      </c>
      <c r="I2567" s="1" t="s">
        <v>366</v>
      </c>
      <c r="J2567" s="4">
        <v>27106</v>
      </c>
      <c r="K2567" s="1" t="s">
        <v>9363</v>
      </c>
      <c r="L2567" s="1" t="s">
        <v>20416</v>
      </c>
      <c r="M2567" s="1" t="s">
        <v>379</v>
      </c>
      <c r="N2567" s="1" t="s">
        <v>20452</v>
      </c>
      <c r="O2567" s="1" t="s">
        <v>29625</v>
      </c>
      <c r="P2567" s="1" t="s">
        <v>29623</v>
      </c>
      <c r="Q2567" s="63" t="s">
        <v>20453</v>
      </c>
      <c r="R2567" s="1" t="s">
        <v>100</v>
      </c>
      <c r="S2567" s="1" t="s">
        <v>379</v>
      </c>
    </row>
    <row r="2568" spans="1:63" ht="12" customHeight="1" x14ac:dyDescent="0.15">
      <c r="A2568" s="1" t="s">
        <v>2353</v>
      </c>
      <c r="B2568" s="1">
        <v>40</v>
      </c>
      <c r="C2568" s="1" t="s">
        <v>20</v>
      </c>
      <c r="D2568" s="1" t="s">
        <v>85</v>
      </c>
      <c r="F2568" s="72">
        <v>42136</v>
      </c>
      <c r="G2568" s="1" t="s">
        <v>2354</v>
      </c>
      <c r="H2568" s="1" t="s">
        <v>2355</v>
      </c>
      <c r="I2568" s="1" t="s">
        <v>52</v>
      </c>
      <c r="J2568" s="4" t="s">
        <v>2356</v>
      </c>
      <c r="K2568" s="1" t="s">
        <v>1056</v>
      </c>
      <c r="L2568" s="1" t="s">
        <v>2357</v>
      </c>
      <c r="M2568" s="1" t="s">
        <v>391</v>
      </c>
      <c r="N2568" s="1" t="s">
        <v>2358</v>
      </c>
      <c r="O2568" s="1" t="s">
        <v>1010</v>
      </c>
      <c r="P2568" s="1" t="s">
        <v>401</v>
      </c>
      <c r="Q2568" s="6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2568" s="11" t="s">
        <v>964</v>
      </c>
      <c r="S2568" s="13" t="s">
        <v>18</v>
      </c>
      <c r="AU2568" s="11"/>
      <c r="AV2568" s="11"/>
      <c r="AW2568" s="44"/>
      <c r="AX2568" s="44"/>
      <c r="AY2568" s="44"/>
      <c r="BC2568" s="44"/>
      <c r="BD2568" s="44"/>
      <c r="BE2568" s="44"/>
      <c r="BF2568" s="44"/>
      <c r="BG2568" s="44"/>
      <c r="BH2568" s="44"/>
      <c r="BI2568" s="44"/>
      <c r="BJ2568" s="44"/>
    </row>
    <row r="2569" spans="1:63" ht="12" customHeight="1" x14ac:dyDescent="0.15">
      <c r="A2569" s="1" t="s">
        <v>2349</v>
      </c>
      <c r="B2569" s="68">
        <v>28</v>
      </c>
      <c r="C2569" s="1" t="s">
        <v>20</v>
      </c>
      <c r="D2569" s="1" t="s">
        <v>85</v>
      </c>
      <c r="E2569" s="1" t="s">
        <v>20289</v>
      </c>
      <c r="F2569" s="69">
        <v>42136</v>
      </c>
      <c r="G2569" s="1" t="s">
        <v>2350</v>
      </c>
      <c r="H2569" s="1" t="s">
        <v>651</v>
      </c>
      <c r="I2569" s="1" t="s">
        <v>62</v>
      </c>
      <c r="J2569" s="4" t="s">
        <v>2351</v>
      </c>
      <c r="K2569" s="1" t="s">
        <v>652</v>
      </c>
      <c r="L2569" s="11" t="s">
        <v>653</v>
      </c>
      <c r="M2569" s="1" t="s">
        <v>27</v>
      </c>
      <c r="N2569" s="1" t="s">
        <v>31041</v>
      </c>
      <c r="O2569" s="1" t="s">
        <v>1010</v>
      </c>
      <c r="P2569" s="1" t="s">
        <v>401</v>
      </c>
      <c r="Q2569" s="63" t="s">
        <v>31042</v>
      </c>
      <c r="R2569" s="1" t="s">
        <v>100</v>
      </c>
      <c r="S2569" s="2" t="s">
        <v>18</v>
      </c>
      <c r="T2569" s="68" t="s">
        <v>28345</v>
      </c>
      <c r="U2569" s="68" t="s">
        <v>29436</v>
      </c>
      <c r="V2569" s="68" t="s">
        <v>29440</v>
      </c>
      <c r="W2569" s="68" t="s">
        <v>100</v>
      </c>
      <c r="X2569" s="68">
        <v>441</v>
      </c>
      <c r="AW2569" s="44"/>
      <c r="AX2569" s="11"/>
      <c r="AY2569" s="11"/>
      <c r="BC2569" s="44"/>
      <c r="BD2569" s="44"/>
      <c r="BE2569" s="44"/>
      <c r="BF2569" s="44"/>
      <c r="BG2569" s="44"/>
      <c r="BH2569" s="44"/>
      <c r="BI2569" s="44"/>
      <c r="BJ2569" s="44"/>
    </row>
    <row r="2570" spans="1:63" ht="12" customHeight="1" x14ac:dyDescent="0.2">
      <c r="A2570" s="1" t="s">
        <v>2359</v>
      </c>
      <c r="B2570" s="68">
        <v>46</v>
      </c>
      <c r="C2570" s="1" t="s">
        <v>20</v>
      </c>
      <c r="D2570" s="1" t="s">
        <v>942</v>
      </c>
      <c r="E2570" s="1" t="s">
        <v>2360</v>
      </c>
      <c r="F2570" s="69">
        <v>42136</v>
      </c>
      <c r="G2570" s="1" t="s">
        <v>2361</v>
      </c>
      <c r="H2570" s="1" t="s">
        <v>2362</v>
      </c>
      <c r="I2570" s="1" t="s">
        <v>870</v>
      </c>
      <c r="J2570" s="4" t="s">
        <v>2363</v>
      </c>
      <c r="K2570" s="1" t="s">
        <v>2362</v>
      </c>
      <c r="L2570" s="1" t="s">
        <v>5634</v>
      </c>
      <c r="M2570" s="68" t="s">
        <v>5411</v>
      </c>
      <c r="N2570" s="1" t="s">
        <v>2364</v>
      </c>
      <c r="O2570" s="1" t="s">
        <v>400</v>
      </c>
      <c r="P2570" s="1" t="s">
        <v>401</v>
      </c>
      <c r="Q2570" s="6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570" s="1" t="s">
        <v>100</v>
      </c>
      <c r="S2570" s="13" t="s">
        <v>28</v>
      </c>
      <c r="T2570" s="68" t="s">
        <v>27756</v>
      </c>
      <c r="U2570" s="68" t="s">
        <v>29438</v>
      </c>
      <c r="V2570" s="68" t="s">
        <v>29439</v>
      </c>
      <c r="W2570" s="68" t="s">
        <v>100</v>
      </c>
      <c r="X2570" s="68">
        <v>449</v>
      </c>
      <c r="BB2570" s="70"/>
    </row>
    <row r="2571" spans="1:63" ht="12" customHeight="1" x14ac:dyDescent="0.15">
      <c r="A2571" s="1" t="s">
        <v>2365</v>
      </c>
      <c r="B2571" s="68">
        <v>40</v>
      </c>
      <c r="C2571" s="1" t="s">
        <v>20</v>
      </c>
      <c r="D2571" s="1" t="s">
        <v>37</v>
      </c>
      <c r="E2571" s="1" t="s">
        <v>2366</v>
      </c>
      <c r="F2571" s="69">
        <v>42136</v>
      </c>
      <c r="G2571" s="1" t="s">
        <v>2367</v>
      </c>
      <c r="H2571" s="1" t="s">
        <v>2368</v>
      </c>
      <c r="I2571" s="1" t="s">
        <v>45</v>
      </c>
      <c r="J2571" s="4" t="s">
        <v>2369</v>
      </c>
      <c r="K2571" s="1" t="s">
        <v>1061</v>
      </c>
      <c r="L2571" s="1" t="s">
        <v>2370</v>
      </c>
      <c r="M2571" s="1" t="s">
        <v>27</v>
      </c>
      <c r="N2571" s="1" t="s">
        <v>2371</v>
      </c>
      <c r="O2571" s="1" t="s">
        <v>400</v>
      </c>
      <c r="P2571" s="1" t="s">
        <v>401</v>
      </c>
      <c r="Q2571" s="63" t="str">
        <f>HYPERLINK("http://www.ocregister.com/articles/santa-661469-involved-margarita.html","http://www.ocregister.com/articles/santa-661469-involved-margarita.html")</f>
        <v>http://www.ocregister.com/articles/santa-661469-involved-margarita.html</v>
      </c>
      <c r="R2571" s="68" t="s">
        <v>555</v>
      </c>
      <c r="S2571" s="11" t="s">
        <v>35</v>
      </c>
      <c r="T2571" s="68" t="s">
        <v>29441</v>
      </c>
      <c r="U2571" s="68" t="s">
        <v>29436</v>
      </c>
      <c r="V2571" s="68" t="s">
        <v>29439</v>
      </c>
      <c r="W2571" s="68" t="s">
        <v>100</v>
      </c>
      <c r="X2571" s="68">
        <v>450</v>
      </c>
      <c r="AW2571" s="44"/>
      <c r="BA2571" s="44"/>
      <c r="BB2571" s="44"/>
    </row>
    <row r="2572" spans="1:63" ht="12" customHeight="1" x14ac:dyDescent="0.15">
      <c r="A2572" s="1" t="s">
        <v>2399</v>
      </c>
      <c r="B2572" s="1">
        <v>55</v>
      </c>
      <c r="C2572" s="1" t="s">
        <v>20</v>
      </c>
      <c r="D2572" s="1" t="s">
        <v>37</v>
      </c>
      <c r="E2572" s="1" t="s">
        <v>2400</v>
      </c>
      <c r="F2572" s="72">
        <v>42135</v>
      </c>
      <c r="G2572" s="1" t="s">
        <v>2401</v>
      </c>
      <c r="H2572" s="1" t="s">
        <v>2402</v>
      </c>
      <c r="I2572" s="1" t="s">
        <v>366</v>
      </c>
      <c r="J2572" s="4" t="s">
        <v>2403</v>
      </c>
      <c r="K2572" s="1" t="s">
        <v>2404</v>
      </c>
      <c r="L2572" s="1" t="s">
        <v>2405</v>
      </c>
      <c r="M2572" s="1" t="s">
        <v>391</v>
      </c>
      <c r="N2572" s="1" t="s">
        <v>2406</v>
      </c>
      <c r="O2572" s="1" t="s">
        <v>400</v>
      </c>
      <c r="P2572" s="1" t="s">
        <v>401</v>
      </c>
      <c r="Q2572" s="63" t="str">
        <f>HYPERLINK("http://www.wral.com/man-dies-while-in-police-custody-in-enfield/14637653/","http://www.wral.com/man-dies-while-in-police-custody-in-enfield/14637653/")</f>
        <v>http://www.wral.com/man-dies-while-in-police-custody-in-enfield/14637653/</v>
      </c>
      <c r="R2572" s="1" t="s">
        <v>100</v>
      </c>
      <c r="S2572" s="13" t="s">
        <v>18</v>
      </c>
      <c r="AU2572" s="11"/>
      <c r="AV2572" s="11"/>
      <c r="AW2572" s="11"/>
    </row>
    <row r="2573" spans="1:63" ht="12" customHeight="1" x14ac:dyDescent="0.15">
      <c r="A2573" s="1" t="s">
        <v>2380</v>
      </c>
      <c r="B2573" s="68">
        <v>30</v>
      </c>
      <c r="C2573" s="1" t="s">
        <v>20</v>
      </c>
      <c r="D2573" s="1" t="s">
        <v>85</v>
      </c>
      <c r="E2573" s="1" t="s">
        <v>2381</v>
      </c>
      <c r="F2573" s="69">
        <v>42135</v>
      </c>
      <c r="G2573" s="1" t="s">
        <v>2382</v>
      </c>
      <c r="H2573" s="1" t="s">
        <v>926</v>
      </c>
      <c r="I2573" s="1" t="s">
        <v>73</v>
      </c>
      <c r="J2573" s="4" t="s">
        <v>2383</v>
      </c>
      <c r="K2573" s="1" t="s">
        <v>74</v>
      </c>
      <c r="L2573" s="1" t="s">
        <v>927</v>
      </c>
      <c r="M2573" s="1" t="s">
        <v>27</v>
      </c>
      <c r="N2573" s="1" t="s">
        <v>2384</v>
      </c>
      <c r="O2573" s="1" t="s">
        <v>400</v>
      </c>
      <c r="P2573" s="1" t="s">
        <v>401</v>
      </c>
      <c r="Q2573" s="6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2573" s="1" t="s">
        <v>100</v>
      </c>
      <c r="S2573" s="13" t="s">
        <v>379</v>
      </c>
      <c r="T2573" s="68" t="s">
        <v>379</v>
      </c>
      <c r="U2573" s="68" t="s">
        <v>29438</v>
      </c>
      <c r="V2573" s="68" t="s">
        <v>29437</v>
      </c>
      <c r="W2573" s="68" t="s">
        <v>100</v>
      </c>
      <c r="X2573" s="68">
        <v>437</v>
      </c>
      <c r="AW2573" s="11"/>
      <c r="AX2573" s="11"/>
      <c r="AY2573" s="11"/>
      <c r="BC2573" s="44"/>
      <c r="BD2573" s="44"/>
      <c r="BE2573" s="44"/>
      <c r="BF2573" s="44"/>
      <c r="BG2573" s="44"/>
      <c r="BH2573" s="44"/>
      <c r="BI2573" s="44"/>
      <c r="BJ2573" s="44"/>
      <c r="BK2573" s="44"/>
    </row>
    <row r="2574" spans="1:63" ht="12" customHeight="1" x14ac:dyDescent="0.15">
      <c r="A2574" s="1" t="s">
        <v>2393</v>
      </c>
      <c r="B2574" s="68">
        <v>28</v>
      </c>
      <c r="C2574" s="1" t="s">
        <v>20</v>
      </c>
      <c r="D2574" s="1" t="s">
        <v>37</v>
      </c>
      <c r="E2574" s="1" t="s">
        <v>2394</v>
      </c>
      <c r="F2574" s="69">
        <v>42135</v>
      </c>
      <c r="G2574" s="1" t="s">
        <v>2395</v>
      </c>
      <c r="H2574" s="1" t="s">
        <v>2231</v>
      </c>
      <c r="I2574" s="1" t="s">
        <v>62</v>
      </c>
      <c r="J2574" s="4" t="s">
        <v>2396</v>
      </c>
      <c r="K2574" s="1" t="s">
        <v>2397</v>
      </c>
      <c r="L2574" s="1" t="s">
        <v>5487</v>
      </c>
      <c r="M2574" s="1" t="s">
        <v>27</v>
      </c>
      <c r="N2574" s="1" t="s">
        <v>2398</v>
      </c>
      <c r="O2574" s="1" t="s">
        <v>400</v>
      </c>
      <c r="P2574" s="1" t="s">
        <v>401</v>
      </c>
      <c r="Q2574" s="63" t="str">
        <f>HYPERLINK("http://www.news4jax.com/news/st-johns-county-investiges-deputy-involved-shooting/32947972","http://www.news4jax.com/news/st-johns-county-investiges-deputy-involved-shooting/32947972")</f>
        <v>http://www.news4jax.com/news/st-johns-county-investiges-deputy-involved-shooting/32947972</v>
      </c>
      <c r="R2574" s="1" t="s">
        <v>555</v>
      </c>
      <c r="S2574" s="13" t="s">
        <v>28</v>
      </c>
      <c r="T2574" s="68" t="s">
        <v>29459</v>
      </c>
      <c r="U2574" s="68" t="s">
        <v>29436</v>
      </c>
      <c r="V2574" s="68" t="s">
        <v>29439</v>
      </c>
      <c r="W2574" s="68" t="s">
        <v>100</v>
      </c>
      <c r="X2574" s="68">
        <v>444</v>
      </c>
      <c r="AW2574" s="44"/>
      <c r="BA2574" s="11"/>
      <c r="BB2574" s="44"/>
    </row>
    <row r="2575" spans="1:63" ht="12" customHeight="1" x14ac:dyDescent="0.15">
      <c r="A2575" s="1" t="s">
        <v>2372</v>
      </c>
      <c r="B2575" s="68">
        <v>34</v>
      </c>
      <c r="C2575" s="1" t="s">
        <v>20</v>
      </c>
      <c r="D2575" s="1" t="s">
        <v>85</v>
      </c>
      <c r="E2575" s="1" t="s">
        <v>2373</v>
      </c>
      <c r="F2575" s="69">
        <v>42134</v>
      </c>
      <c r="G2575" s="1" t="s">
        <v>2374</v>
      </c>
      <c r="H2575" s="1" t="s">
        <v>2375</v>
      </c>
      <c r="I2575" s="1" t="s">
        <v>52</v>
      </c>
      <c r="J2575" s="4" t="s">
        <v>2376</v>
      </c>
      <c r="K2575" s="1" t="s">
        <v>2377</v>
      </c>
      <c r="L2575" s="1" t="s">
        <v>2378</v>
      </c>
      <c r="M2575" s="1" t="s">
        <v>27</v>
      </c>
      <c r="N2575" s="1" t="s">
        <v>2379</v>
      </c>
      <c r="O2575" s="1" t="s">
        <v>400</v>
      </c>
      <c r="P2575" s="1" t="s">
        <v>401</v>
      </c>
      <c r="Q2575" s="6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2575" s="1" t="s">
        <v>100</v>
      </c>
      <c r="S2575" s="13" t="s">
        <v>379</v>
      </c>
      <c r="T2575" s="68" t="s">
        <v>379</v>
      </c>
      <c r="U2575" s="68" t="s">
        <v>29436</v>
      </c>
      <c r="V2575" s="68" t="s">
        <v>29437</v>
      </c>
      <c r="W2575" s="68" t="s">
        <v>100</v>
      </c>
      <c r="X2575" s="68">
        <v>455</v>
      </c>
      <c r="AW2575" s="11"/>
      <c r="AX2575" s="11"/>
      <c r="AY2575" s="11"/>
      <c r="BC2575" s="44"/>
      <c r="BD2575" s="44"/>
      <c r="BE2575" s="44"/>
      <c r="BF2575" s="44"/>
      <c r="BG2575" s="44"/>
      <c r="BH2575" s="44"/>
      <c r="BI2575" s="44"/>
      <c r="BJ2575" s="44"/>
      <c r="BK2575" s="44"/>
    </row>
    <row r="2576" spans="1:63" ht="12" customHeight="1" x14ac:dyDescent="0.15">
      <c r="A2576" s="1" t="s">
        <v>2407</v>
      </c>
      <c r="B2576" s="68">
        <v>47</v>
      </c>
      <c r="C2576" s="1" t="s">
        <v>20</v>
      </c>
      <c r="D2576" s="1" t="s">
        <v>37</v>
      </c>
      <c r="F2576" s="69">
        <v>42134</v>
      </c>
      <c r="G2576" s="1" t="s">
        <v>2408</v>
      </c>
      <c r="H2576" s="1" t="s">
        <v>882</v>
      </c>
      <c r="I2576" s="1" t="s">
        <v>303</v>
      </c>
      <c r="J2576" s="4" t="s">
        <v>2409</v>
      </c>
      <c r="K2576" s="1" t="s">
        <v>883</v>
      </c>
      <c r="L2576" s="1" t="s">
        <v>884</v>
      </c>
      <c r="M2576" s="1" t="s">
        <v>27</v>
      </c>
      <c r="N2576" s="1" t="s">
        <v>2410</v>
      </c>
      <c r="O2576" s="1" t="s">
        <v>400</v>
      </c>
      <c r="P2576" s="1" t="s">
        <v>401</v>
      </c>
      <c r="Q2576" s="63" t="str">
        <f>HYPERLINK("http://www.kirotv.com/news/news/tacoma-police-shoot-and-kill-armed-man-outside-his/nmDNM/","http://www.kirotv.com/news/news/tacoma-police-shoot-and-kill-armed-man-outside-his/nmDNM/")</f>
        <v>http://www.kirotv.com/news/news/tacoma-police-shoot-and-kill-armed-man-outside-his/nmDNM/</v>
      </c>
      <c r="R2576" s="1" t="s">
        <v>2411</v>
      </c>
      <c r="S2576" s="13" t="s">
        <v>28</v>
      </c>
      <c r="T2576" s="68" t="s">
        <v>27756</v>
      </c>
      <c r="U2576" s="68" t="s">
        <v>29438</v>
      </c>
      <c r="V2576" s="68" t="s">
        <v>29439</v>
      </c>
      <c r="W2576" s="68" t="s">
        <v>100</v>
      </c>
      <c r="X2576" s="68">
        <v>453</v>
      </c>
      <c r="BK2576" s="44"/>
    </row>
    <row r="2577" spans="1:63" ht="12" customHeight="1" x14ac:dyDescent="0.15">
      <c r="A2577" s="1" t="s">
        <v>2412</v>
      </c>
      <c r="B2577" s="68">
        <v>31</v>
      </c>
      <c r="C2577" s="1" t="s">
        <v>20</v>
      </c>
      <c r="D2577" s="1" t="s">
        <v>85</v>
      </c>
      <c r="E2577" s="1" t="s">
        <v>2413</v>
      </c>
      <c r="F2577" s="69">
        <v>42132</v>
      </c>
      <c r="G2577" s="1" t="s">
        <v>2414</v>
      </c>
      <c r="H2577" s="1" t="s">
        <v>2415</v>
      </c>
      <c r="I2577" s="1" t="s">
        <v>133</v>
      </c>
      <c r="J2577" s="4" t="s">
        <v>2416</v>
      </c>
      <c r="K2577" s="1" t="s">
        <v>2417</v>
      </c>
      <c r="L2577" s="1" t="s">
        <v>2418</v>
      </c>
      <c r="M2577" s="1" t="s">
        <v>27</v>
      </c>
      <c r="N2577" s="1" t="s">
        <v>2419</v>
      </c>
      <c r="O2577" s="1" t="s">
        <v>2420</v>
      </c>
      <c r="P2577" s="1" t="s">
        <v>401</v>
      </c>
      <c r="Q2577" s="6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577" s="11" t="s">
        <v>964</v>
      </c>
      <c r="S2577" s="13" t="s">
        <v>379</v>
      </c>
      <c r="T2577" s="68" t="s">
        <v>379</v>
      </c>
      <c r="U2577" s="68" t="s">
        <v>29438</v>
      </c>
      <c r="V2577" s="68" t="s">
        <v>29437</v>
      </c>
      <c r="W2577" s="68" t="s">
        <v>100</v>
      </c>
      <c r="X2577" s="68">
        <v>454</v>
      </c>
      <c r="AW2577" s="11"/>
      <c r="AX2577" s="11"/>
      <c r="AY2577" s="11"/>
      <c r="BA2577" s="44"/>
      <c r="BB2577" s="44"/>
      <c r="BC2577" s="44"/>
      <c r="BD2577" s="44"/>
      <c r="BE2577" s="44"/>
      <c r="BF2577" s="44"/>
      <c r="BG2577" s="44"/>
      <c r="BH2577" s="44"/>
      <c r="BI2577" s="44"/>
      <c r="BJ2577" s="44"/>
      <c r="BK2577" s="44"/>
    </row>
    <row r="2578" spans="1:63" ht="12" customHeight="1" x14ac:dyDescent="0.15">
      <c r="A2578" s="1" t="s">
        <v>2421</v>
      </c>
      <c r="B2578" s="68">
        <v>48</v>
      </c>
      <c r="C2578" s="1" t="s">
        <v>20</v>
      </c>
      <c r="D2578" s="1" t="s">
        <v>85</v>
      </c>
      <c r="E2578" s="1" t="s">
        <v>2422</v>
      </c>
      <c r="F2578" s="69">
        <v>42132</v>
      </c>
      <c r="G2578" s="1" t="s">
        <v>2423</v>
      </c>
      <c r="H2578" s="1" t="s">
        <v>2295</v>
      </c>
      <c r="I2578" s="1" t="s">
        <v>25</v>
      </c>
      <c r="J2578" s="4" t="s">
        <v>2424</v>
      </c>
      <c r="K2578" s="1" t="s">
        <v>1778</v>
      </c>
      <c r="L2578" s="1" t="s">
        <v>2425</v>
      </c>
      <c r="M2578" s="1" t="s">
        <v>27</v>
      </c>
      <c r="N2578" s="1" t="s">
        <v>2426</v>
      </c>
      <c r="O2578" s="1" t="s">
        <v>1010</v>
      </c>
      <c r="P2578" s="1" t="s">
        <v>401</v>
      </c>
      <c r="Q2578" s="63" t="str">
        <f>HYPERLINK("http://www.nola.com/crime/index.ssf/2015/05/officer-involved_shooting_repo.html","http://www.nola.com/crime/index.ssf/2015/05/officer-involved_shooting_repo.html")</f>
        <v>http://www.nola.com/crime/index.ssf/2015/05/officer-involved_shooting_repo.html</v>
      </c>
      <c r="R2578" s="1" t="s">
        <v>100</v>
      </c>
      <c r="S2578" s="13" t="s">
        <v>28</v>
      </c>
      <c r="T2578" s="68" t="s">
        <v>27756</v>
      </c>
      <c r="U2578" s="68" t="s">
        <v>29438</v>
      </c>
      <c r="V2578" s="68" t="s">
        <v>29439</v>
      </c>
      <c r="W2578" s="68" t="s">
        <v>100</v>
      </c>
      <c r="X2578" s="68">
        <v>451</v>
      </c>
      <c r="AX2578" s="44"/>
      <c r="AY2578" s="44"/>
      <c r="BC2578" s="44"/>
      <c r="BD2578" s="44"/>
      <c r="BE2578" s="44"/>
      <c r="BF2578" s="44"/>
      <c r="BG2578" s="44"/>
      <c r="BH2578" s="44"/>
      <c r="BI2578" s="44"/>
      <c r="BJ2578" s="44"/>
      <c r="BK2578" s="44"/>
    </row>
    <row r="2579" spans="1:63" ht="12" customHeight="1" x14ac:dyDescent="0.15">
      <c r="A2579" s="1" t="s">
        <v>2385</v>
      </c>
      <c r="B2579" s="68">
        <v>35</v>
      </c>
      <c r="C2579" s="1" t="s">
        <v>20</v>
      </c>
      <c r="D2579" s="1" t="s">
        <v>37</v>
      </c>
      <c r="E2579" s="1" t="s">
        <v>2386</v>
      </c>
      <c r="F2579" s="69">
        <v>42132</v>
      </c>
      <c r="G2579" s="1" t="s">
        <v>2387</v>
      </c>
      <c r="H2579" s="1" t="s">
        <v>2388</v>
      </c>
      <c r="I2579" s="1" t="s">
        <v>123</v>
      </c>
      <c r="J2579" s="4" t="s">
        <v>2389</v>
      </c>
      <c r="K2579" s="1" t="s">
        <v>2390</v>
      </c>
      <c r="L2579" s="1" t="s">
        <v>2391</v>
      </c>
      <c r="M2579" s="1" t="s">
        <v>27</v>
      </c>
      <c r="N2579" s="1" t="s">
        <v>2392</v>
      </c>
      <c r="O2579" s="1" t="s">
        <v>400</v>
      </c>
      <c r="P2579" s="1" t="s">
        <v>401</v>
      </c>
      <c r="Q2579" s="63" t="str">
        <f>HYPERLINK("http://www.kpho.com/story/29033947/man-dead-after-officer-involved-shooting-in-kearny","http://www.kpho.com/story/29033947/man-dead-after-officer-involved-shooting-in-kearny")</f>
        <v>http://www.kpho.com/story/29033947/man-dead-after-officer-involved-shooting-in-kearny</v>
      </c>
      <c r="R2579" s="1" t="s">
        <v>29</v>
      </c>
      <c r="S2579" s="13" t="s">
        <v>28</v>
      </c>
      <c r="T2579" s="68" t="s">
        <v>29505</v>
      </c>
      <c r="U2579" s="68" t="s">
        <v>29438</v>
      </c>
      <c r="V2579" s="68" t="s">
        <v>29439</v>
      </c>
      <c r="W2579" s="68" t="s">
        <v>100</v>
      </c>
      <c r="X2579" s="68">
        <v>439</v>
      </c>
      <c r="AW2579" s="11"/>
      <c r="BK2579" s="44"/>
    </row>
    <row r="2580" spans="1:63" ht="12" customHeight="1" x14ac:dyDescent="0.15">
      <c r="A2580" s="1" t="s">
        <v>2427</v>
      </c>
      <c r="B2580" s="68">
        <v>58</v>
      </c>
      <c r="C2580" s="1" t="s">
        <v>20</v>
      </c>
      <c r="D2580" s="1" t="s">
        <v>37</v>
      </c>
      <c r="E2580" s="1" t="s">
        <v>2428</v>
      </c>
      <c r="F2580" s="69">
        <v>42132</v>
      </c>
      <c r="G2580" s="1" t="s">
        <v>2429</v>
      </c>
      <c r="H2580" s="1" t="s">
        <v>2430</v>
      </c>
      <c r="I2580" s="1" t="s">
        <v>423</v>
      </c>
      <c r="J2580" s="4" t="s">
        <v>2431</v>
      </c>
      <c r="K2580" s="1" t="s">
        <v>2432</v>
      </c>
      <c r="L2580" s="1" t="s">
        <v>2433</v>
      </c>
      <c r="M2580" s="1" t="s">
        <v>27</v>
      </c>
      <c r="N2580" s="1" t="s">
        <v>2434</v>
      </c>
      <c r="O2580" s="1" t="s">
        <v>2435</v>
      </c>
      <c r="P2580" s="1" t="s">
        <v>401</v>
      </c>
      <c r="Q2580" s="6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2580" s="1" t="s">
        <v>555</v>
      </c>
      <c r="S2580" s="13" t="s">
        <v>28</v>
      </c>
      <c r="T2580" s="68" t="s">
        <v>27756</v>
      </c>
      <c r="U2580" s="68" t="s">
        <v>29438</v>
      </c>
      <c r="V2580" s="68" t="s">
        <v>29439</v>
      </c>
      <c r="W2580" s="68" t="s">
        <v>100</v>
      </c>
      <c r="X2580" s="68">
        <v>443</v>
      </c>
      <c r="BA2580" s="11"/>
      <c r="BB2580" s="44"/>
      <c r="BK2580" s="44"/>
    </row>
    <row r="2581" spans="1:63" ht="12" customHeight="1" x14ac:dyDescent="0.2">
      <c r="A2581" s="1" t="s">
        <v>2442</v>
      </c>
      <c r="B2581" s="1">
        <v>33</v>
      </c>
      <c r="C2581" s="1" t="s">
        <v>20</v>
      </c>
      <c r="D2581" s="1" t="s">
        <v>21</v>
      </c>
      <c r="E2581" s="1" t="s">
        <v>2443</v>
      </c>
      <c r="F2581" s="72">
        <v>42131</v>
      </c>
      <c r="G2581" s="1" t="s">
        <v>2444</v>
      </c>
      <c r="H2581" s="1" t="s">
        <v>1902</v>
      </c>
      <c r="I2581" s="1" t="s">
        <v>62</v>
      </c>
      <c r="J2581" s="4" t="s">
        <v>2445</v>
      </c>
      <c r="K2581" s="1" t="s">
        <v>1902</v>
      </c>
      <c r="L2581" s="1" t="s">
        <v>2446</v>
      </c>
      <c r="M2581" s="1" t="s">
        <v>29</v>
      </c>
      <c r="N2581" s="1" t="s">
        <v>2447</v>
      </c>
      <c r="O2581" s="1" t="s">
        <v>400</v>
      </c>
      <c r="P2581" s="1" t="s">
        <v>401</v>
      </c>
      <c r="Q2581" s="63" t="str">
        <f>HYPERLINK("http://www.heraldtribune.com/article/20150507/ARTICLE/150509754/2416/NEWS","http://www.heraldtribune.com/article/20150507/ARTICLE/150509754/2416/NEWS")</f>
        <v>http://www.heraldtribune.com/article/20150507/ARTICLE/150509754/2416/NEWS</v>
      </c>
      <c r="R2581" s="11" t="s">
        <v>964</v>
      </c>
      <c r="S2581" s="13" t="s">
        <v>18</v>
      </c>
      <c r="AW2581" s="44"/>
      <c r="AX2581" s="70"/>
      <c r="AY2581" s="70"/>
      <c r="BC2581" s="70"/>
      <c r="BD2581" s="70"/>
      <c r="BE2581" s="70"/>
      <c r="BF2581" s="70"/>
      <c r="BG2581" s="70"/>
      <c r="BH2581" s="70"/>
      <c r="BI2581" s="70"/>
      <c r="BJ2581" s="70"/>
    </row>
    <row r="2582" spans="1:63" ht="12" customHeight="1" x14ac:dyDescent="0.15">
      <c r="A2582" s="1" t="s">
        <v>2458</v>
      </c>
      <c r="B2582" s="68">
        <v>38</v>
      </c>
      <c r="C2582" s="1" t="s">
        <v>20</v>
      </c>
      <c r="D2582" s="1" t="s">
        <v>37</v>
      </c>
      <c r="E2582" s="1" t="s">
        <v>2459</v>
      </c>
      <c r="F2582" s="69">
        <v>42131</v>
      </c>
      <c r="G2582" s="1" t="s">
        <v>2460</v>
      </c>
      <c r="H2582" s="1" t="s">
        <v>2461</v>
      </c>
      <c r="I2582" s="1" t="s">
        <v>423</v>
      </c>
      <c r="J2582" s="4" t="s">
        <v>2462</v>
      </c>
      <c r="K2582" s="1" t="s">
        <v>2463</v>
      </c>
      <c r="L2582" s="1" t="s">
        <v>2464</v>
      </c>
      <c r="M2582" s="1" t="s">
        <v>27</v>
      </c>
      <c r="N2582" s="1" t="s">
        <v>2465</v>
      </c>
      <c r="O2582" s="1" t="s">
        <v>400</v>
      </c>
      <c r="P2582" s="1" t="s">
        <v>401</v>
      </c>
      <c r="Q2582" s="63" t="str">
        <f>HYPERLINK("http://www.recordonline.com/article/20150507/NEWS/150509481","http://www.recordonline.com/article/20150507/NEWS/150509481")</f>
        <v>http://www.recordonline.com/article/20150507/NEWS/150509481</v>
      </c>
      <c r="R2582" s="1" t="s">
        <v>100</v>
      </c>
      <c r="S2582" s="13" t="s">
        <v>28</v>
      </c>
      <c r="T2582" s="68" t="s">
        <v>29493</v>
      </c>
      <c r="U2582" s="68" t="s">
        <v>29436</v>
      </c>
      <c r="V2582" s="68" t="s">
        <v>29437</v>
      </c>
      <c r="W2582" s="68" t="s">
        <v>100</v>
      </c>
      <c r="X2582" s="68">
        <v>435</v>
      </c>
      <c r="AW2582" s="44"/>
      <c r="BK2582" s="44"/>
    </row>
    <row r="2583" spans="1:63" ht="12" customHeight="1" x14ac:dyDescent="0.15">
      <c r="A2583" s="1" t="s">
        <v>2436</v>
      </c>
      <c r="B2583" s="68">
        <v>21</v>
      </c>
      <c r="C2583" s="1" t="s">
        <v>20</v>
      </c>
      <c r="D2583" s="1" t="s">
        <v>85</v>
      </c>
      <c r="E2583" s="1" t="s">
        <v>2437</v>
      </c>
      <c r="F2583" s="69">
        <v>42131</v>
      </c>
      <c r="G2583" s="1" t="s">
        <v>2438</v>
      </c>
      <c r="H2583" s="1" t="s">
        <v>2439</v>
      </c>
      <c r="I2583" s="1" t="s">
        <v>45</v>
      </c>
      <c r="J2583" s="4" t="s">
        <v>2440</v>
      </c>
      <c r="K2583" s="1" t="s">
        <v>98</v>
      </c>
      <c r="L2583" s="11" t="s">
        <v>414</v>
      </c>
      <c r="M2583" s="1" t="s">
        <v>27</v>
      </c>
      <c r="N2583" s="1" t="s">
        <v>2441</v>
      </c>
      <c r="O2583" s="1" t="s">
        <v>1010</v>
      </c>
      <c r="P2583" s="1" t="s">
        <v>401</v>
      </c>
      <c r="Q2583" s="63" t="str">
        <f>HYPERLINK("http://ktla.com/2015/05/07/apparent-deputy-involved-shooting-prompts-emergency-response-in-cerritos/","http://ktla.com/2015/05/07/apparent-deputy-involved-shooting-prompts-emergency-response-in-cerritos/")</f>
        <v>http://ktla.com/2015/05/07/apparent-deputy-involved-shooting-prompts-emergency-response-in-cerritos/</v>
      </c>
      <c r="R2583" s="1" t="s">
        <v>100</v>
      </c>
      <c r="S2583" s="13" t="s">
        <v>379</v>
      </c>
      <c r="T2583" s="68" t="s">
        <v>379</v>
      </c>
      <c r="U2583" s="68" t="s">
        <v>29438</v>
      </c>
      <c r="V2583" s="68" t="s">
        <v>29437</v>
      </c>
      <c r="W2583" s="68" t="s">
        <v>100</v>
      </c>
      <c r="X2583" s="68">
        <v>436</v>
      </c>
      <c r="AW2583" s="44"/>
      <c r="AX2583" s="44"/>
      <c r="AY2583" s="44"/>
      <c r="BC2583" s="44"/>
      <c r="BD2583" s="44"/>
      <c r="BE2583" s="44"/>
      <c r="BF2583" s="44"/>
      <c r="BG2583" s="44"/>
      <c r="BH2583" s="44"/>
      <c r="BI2583" s="44"/>
      <c r="BJ2583" s="44"/>
      <c r="BK2583" s="44"/>
    </row>
    <row r="2584" spans="1:63" ht="12" customHeight="1" x14ac:dyDescent="0.15">
      <c r="A2584" s="1" t="s">
        <v>2448</v>
      </c>
      <c r="B2584" s="68">
        <v>72</v>
      </c>
      <c r="C2584" s="1" t="s">
        <v>20</v>
      </c>
      <c r="D2584" s="1" t="s">
        <v>37</v>
      </c>
      <c r="F2584" s="69">
        <v>42131</v>
      </c>
      <c r="G2584" s="1" t="s">
        <v>2449</v>
      </c>
      <c r="H2584" s="1" t="s">
        <v>2450</v>
      </c>
      <c r="I2584" s="1" t="s">
        <v>173</v>
      </c>
      <c r="J2584" s="4" t="s">
        <v>2451</v>
      </c>
      <c r="K2584" s="1" t="s">
        <v>1325</v>
      </c>
      <c r="L2584" s="1" t="s">
        <v>2452</v>
      </c>
      <c r="M2584" s="1" t="s">
        <v>27</v>
      </c>
      <c r="N2584" s="1" t="s">
        <v>2453</v>
      </c>
      <c r="O2584" s="1" t="s">
        <v>2085</v>
      </c>
      <c r="P2584" s="1" t="s">
        <v>401</v>
      </c>
      <c r="Q2584" s="63" t="str">
        <f>HYPERLINK("http://www.wsbtv.com/news/news/local/gwinnett-county-police-investigate-officer-involve/nmBY5/","http://www.wsbtv.com/news/news/local/gwinnett-county-police-investigate-officer-involve/nmBY5/")</f>
        <v>http://www.wsbtv.com/news/news/local/gwinnett-county-police-investigate-officer-involve/nmBY5/</v>
      </c>
      <c r="R2584" s="1" t="s">
        <v>555</v>
      </c>
      <c r="S2584" s="13" t="s">
        <v>28</v>
      </c>
      <c r="T2584" s="68" t="s">
        <v>29493</v>
      </c>
      <c r="U2584" s="68" t="s">
        <v>29436</v>
      </c>
      <c r="V2584" s="68" t="s">
        <v>29439</v>
      </c>
      <c r="W2584" s="68" t="s">
        <v>100</v>
      </c>
      <c r="X2584" s="68">
        <v>433</v>
      </c>
      <c r="BA2584" s="11"/>
      <c r="BB2584" s="44"/>
      <c r="BK2584" s="44"/>
    </row>
    <row r="2585" spans="1:63" ht="12" customHeight="1" x14ac:dyDescent="0.15">
      <c r="A2585" s="1" t="s">
        <v>2479</v>
      </c>
      <c r="B2585" s="1">
        <v>41</v>
      </c>
      <c r="C2585" s="1" t="s">
        <v>20</v>
      </c>
      <c r="D2585" s="1" t="s">
        <v>85</v>
      </c>
      <c r="E2585" s="1" t="s">
        <v>2472</v>
      </c>
      <c r="F2585" s="72">
        <v>42130</v>
      </c>
      <c r="G2585" s="1" t="s">
        <v>2473</v>
      </c>
      <c r="H2585" s="1" t="s">
        <v>2474</v>
      </c>
      <c r="I2585" s="1" t="s">
        <v>81</v>
      </c>
      <c r="J2585" s="4" t="s">
        <v>2475</v>
      </c>
      <c r="K2585" s="1" t="s">
        <v>2476</v>
      </c>
      <c r="L2585" s="1" t="s">
        <v>2477</v>
      </c>
      <c r="M2585" s="1" t="s">
        <v>379</v>
      </c>
      <c r="N2585" s="1" t="s">
        <v>2478</v>
      </c>
      <c r="O2585" s="1" t="s">
        <v>400</v>
      </c>
      <c r="P2585" s="1" t="s">
        <v>401</v>
      </c>
      <c r="Q2585" s="63" t="str">
        <f>HYPERLINK("http://newyork.cbslocal.com/2015/05/06/nj-turnpike-pedestrians-killed-police-car/","http://newyork.cbslocal.com/2015/05/06/nj-turnpike-pedestrians-killed-police-car/")</f>
        <v>http://newyork.cbslocal.com/2015/05/06/nj-turnpike-pedestrians-killed-police-car/</v>
      </c>
      <c r="R2585" s="1" t="s">
        <v>29</v>
      </c>
      <c r="S2585" s="13" t="s">
        <v>18</v>
      </c>
      <c r="AX2585" s="44"/>
      <c r="AY2585" s="44"/>
      <c r="BC2585" s="44"/>
      <c r="BD2585" s="44"/>
      <c r="BE2585" s="44"/>
      <c r="BF2585" s="44"/>
      <c r="BG2585" s="44"/>
      <c r="BH2585" s="44"/>
      <c r="BI2585" s="44"/>
      <c r="BJ2585" s="44"/>
    </row>
    <row r="2586" spans="1:63" ht="12" customHeight="1" x14ac:dyDescent="0.15">
      <c r="A2586" s="1" t="s">
        <v>2471</v>
      </c>
      <c r="B2586" s="1">
        <v>34</v>
      </c>
      <c r="C2586" s="1" t="s">
        <v>114</v>
      </c>
      <c r="D2586" s="1" t="s">
        <v>85</v>
      </c>
      <c r="E2586" s="1" t="s">
        <v>2472</v>
      </c>
      <c r="F2586" s="72">
        <v>42130</v>
      </c>
      <c r="G2586" s="1" t="s">
        <v>2473</v>
      </c>
      <c r="H2586" s="1" t="s">
        <v>2474</v>
      </c>
      <c r="I2586" s="1" t="s">
        <v>81</v>
      </c>
      <c r="J2586" s="4" t="s">
        <v>2475</v>
      </c>
      <c r="K2586" s="1" t="s">
        <v>2476</v>
      </c>
      <c r="L2586" s="1" t="s">
        <v>2477</v>
      </c>
      <c r="M2586" s="1" t="s">
        <v>379</v>
      </c>
      <c r="N2586" s="1" t="s">
        <v>2478</v>
      </c>
      <c r="O2586" s="1" t="s">
        <v>400</v>
      </c>
      <c r="P2586" s="1" t="s">
        <v>401</v>
      </c>
      <c r="Q2586" s="63" t="str">
        <f>HYPERLINK("http://newyork.cbslocal.com/2015/05/06/nj-turnpike-pedestrians-killed-police-car/","http://newyork.cbslocal.com/2015/05/06/nj-turnpike-pedestrians-killed-police-car/")</f>
        <v>http://newyork.cbslocal.com/2015/05/06/nj-turnpike-pedestrians-killed-police-car/</v>
      </c>
      <c r="R2586" s="1" t="s">
        <v>29</v>
      </c>
      <c r="S2586" s="13" t="s">
        <v>18</v>
      </c>
      <c r="AX2586" s="44"/>
      <c r="AY2586" s="44"/>
      <c r="BC2586" s="44"/>
      <c r="BD2586" s="44"/>
      <c r="BE2586" s="44"/>
      <c r="BF2586" s="44"/>
      <c r="BG2586" s="44"/>
      <c r="BH2586" s="44"/>
      <c r="BI2586" s="44"/>
      <c r="BJ2586" s="44"/>
    </row>
    <row r="2587" spans="1:63" ht="12" customHeight="1" x14ac:dyDescent="0.2">
      <c r="A2587" s="1" t="s">
        <v>2454</v>
      </c>
      <c r="B2587" s="68">
        <v>18</v>
      </c>
      <c r="C2587" s="1" t="s">
        <v>20</v>
      </c>
      <c r="D2587" s="1" t="s">
        <v>37</v>
      </c>
      <c r="E2587" s="1" t="s">
        <v>2455</v>
      </c>
      <c r="F2587" s="69">
        <v>42130</v>
      </c>
      <c r="G2587" s="1" t="s">
        <v>2456</v>
      </c>
      <c r="H2587" s="1" t="s">
        <v>689</v>
      </c>
      <c r="I2587" s="1" t="s">
        <v>366</v>
      </c>
      <c r="J2587" s="4">
        <v>27587</v>
      </c>
      <c r="K2587" s="1" t="s">
        <v>690</v>
      </c>
      <c r="L2587" s="1" t="s">
        <v>691</v>
      </c>
      <c r="M2587" s="1" t="s">
        <v>27</v>
      </c>
      <c r="N2587" s="1" t="s">
        <v>2457</v>
      </c>
      <c r="O2587" s="1" t="s">
        <v>400</v>
      </c>
      <c r="P2587" s="1" t="s">
        <v>401</v>
      </c>
      <c r="Q2587" s="63" t="str">
        <f>HYPERLINK("http://www.wsoctv.com/news/news/local/police-investigate-officer-involved-shooting-wake-/nmBQL/","http://www.wsoctv.com/news/news/local/police-investigate-officer-involved-shooting-wake-/nmBQL/")</f>
        <v>http://www.wsoctv.com/news/news/local/police-investigate-officer-involved-shooting-wake-/nmBQL/</v>
      </c>
      <c r="R2587" s="1" t="s">
        <v>29</v>
      </c>
      <c r="S2587" s="13" t="s">
        <v>28</v>
      </c>
      <c r="T2587" s="68" t="s">
        <v>27756</v>
      </c>
      <c r="U2587" s="68" t="s">
        <v>29438</v>
      </c>
      <c r="V2587" s="68" t="s">
        <v>29437</v>
      </c>
      <c r="W2587" s="68" t="s">
        <v>100</v>
      </c>
      <c r="X2587" s="68">
        <v>432</v>
      </c>
      <c r="AW2587" s="70"/>
      <c r="BK2587" s="44"/>
    </row>
    <row r="2588" spans="1:63" ht="12" customHeight="1" x14ac:dyDescent="0.15">
      <c r="A2588" s="1" t="s">
        <v>2466</v>
      </c>
      <c r="B2588" s="68">
        <v>29</v>
      </c>
      <c r="C2588" s="1" t="s">
        <v>20</v>
      </c>
      <c r="D2588" s="1" t="s">
        <v>85</v>
      </c>
      <c r="E2588" s="1" t="s">
        <v>2467</v>
      </c>
      <c r="F2588" s="69">
        <v>42129</v>
      </c>
      <c r="G2588" s="1" t="s">
        <v>2468</v>
      </c>
      <c r="H2588" s="1" t="s">
        <v>98</v>
      </c>
      <c r="I2588" s="1" t="s">
        <v>45</v>
      </c>
      <c r="J2588" s="4" t="s">
        <v>2469</v>
      </c>
      <c r="K2588" s="1" t="s">
        <v>98</v>
      </c>
      <c r="L2588" s="1" t="s">
        <v>99</v>
      </c>
      <c r="M2588" s="1" t="s">
        <v>27</v>
      </c>
      <c r="N2588" s="1" t="s">
        <v>2470</v>
      </c>
      <c r="O2588" s="1" t="s">
        <v>400</v>
      </c>
      <c r="P2588" s="1" t="s">
        <v>401</v>
      </c>
      <c r="Q2588" s="63" t="str">
        <f>HYPERLINK("http://abc7.com/news/man-shot-to-death-by-lapd-in-venice-after-disturbing-the-peace-call/699856/","http://abc7.com/news/man-shot-to-death-by-lapd-in-venice-after-disturbing-the-peace-call/699856/")</f>
        <v>http://abc7.com/news/man-shot-to-death-by-lapd-in-venice-after-disturbing-the-peace-call/699856/</v>
      </c>
      <c r="R2588" s="1" t="s">
        <v>100</v>
      </c>
      <c r="S2588" s="13" t="s">
        <v>18</v>
      </c>
      <c r="T2588" s="68" t="s">
        <v>28345</v>
      </c>
      <c r="U2588" s="68" t="s">
        <v>29438</v>
      </c>
      <c r="V2588" s="68" t="s">
        <v>29439</v>
      </c>
      <c r="W2588" s="68" t="s">
        <v>555</v>
      </c>
      <c r="X2588" s="68">
        <v>429</v>
      </c>
      <c r="AW2588" s="44"/>
      <c r="AX2588" s="11"/>
      <c r="AY2588" s="11"/>
      <c r="BC2588" s="44"/>
      <c r="BD2588" s="44"/>
      <c r="BE2588" s="44"/>
      <c r="BF2588" s="44"/>
      <c r="BG2588" s="44"/>
      <c r="BH2588" s="44"/>
      <c r="BI2588" s="44"/>
      <c r="BJ2588" s="44"/>
    </row>
    <row r="2589" spans="1:63" ht="12" customHeight="1" x14ac:dyDescent="0.15">
      <c r="A2589" s="1" t="s">
        <v>2485</v>
      </c>
      <c r="B2589" s="1">
        <v>55</v>
      </c>
      <c r="C2589" s="1" t="s">
        <v>20</v>
      </c>
      <c r="D2589" s="1" t="s">
        <v>139</v>
      </c>
      <c r="F2589" s="72">
        <v>42129</v>
      </c>
      <c r="G2589" s="1" t="s">
        <v>2486</v>
      </c>
      <c r="H2589" s="1" t="s">
        <v>2487</v>
      </c>
      <c r="I2589" s="1" t="s">
        <v>395</v>
      </c>
      <c r="J2589" s="4" t="s">
        <v>2488</v>
      </c>
      <c r="K2589" s="1" t="s">
        <v>2487</v>
      </c>
      <c r="L2589" s="1" t="s">
        <v>2489</v>
      </c>
      <c r="M2589" s="1" t="s">
        <v>379</v>
      </c>
      <c r="N2589" s="1" t="s">
        <v>2490</v>
      </c>
      <c r="O2589" s="1" t="s">
        <v>1787</v>
      </c>
      <c r="P2589" s="1" t="s">
        <v>401</v>
      </c>
      <c r="Q2589" s="63" t="s">
        <v>2491</v>
      </c>
      <c r="R2589" s="1" t="s">
        <v>100</v>
      </c>
      <c r="S2589" s="13" t="s">
        <v>18</v>
      </c>
    </row>
    <row r="2590" spans="1:63" ht="12" customHeight="1" x14ac:dyDescent="0.15">
      <c r="A2590" s="1" t="s">
        <v>2492</v>
      </c>
      <c r="B2590" s="68">
        <v>46</v>
      </c>
      <c r="C2590" s="1" t="s">
        <v>20</v>
      </c>
      <c r="D2590" s="1" t="s">
        <v>37</v>
      </c>
      <c r="E2590" s="1" t="s">
        <v>2493</v>
      </c>
      <c r="F2590" s="69">
        <v>42129</v>
      </c>
      <c r="G2590" s="1" t="s">
        <v>2494</v>
      </c>
      <c r="H2590" s="1" t="s">
        <v>2495</v>
      </c>
      <c r="I2590" s="1" t="s">
        <v>244</v>
      </c>
      <c r="J2590" s="4">
        <v>24301</v>
      </c>
      <c r="K2590" s="1" t="s">
        <v>2495</v>
      </c>
      <c r="L2590" s="1" t="s">
        <v>2496</v>
      </c>
      <c r="M2590" s="1" t="s">
        <v>27</v>
      </c>
      <c r="N2590" s="1" t="s">
        <v>2497</v>
      </c>
      <c r="O2590" s="1" t="s">
        <v>400</v>
      </c>
      <c r="P2590" s="1" t="s">
        <v>401</v>
      </c>
      <c r="Q2590" s="63" t="str">
        <f>HYPERLINK("http://www.wsls.com/story/28977735/vsp-investigating-officer-involved-shooting-in-pulaski","http://www.wsls.com/story/28977735/vsp-investigating-officer-involved-shooting-in-pulaski")</f>
        <v>http://www.wsls.com/story/28977735/vsp-investigating-officer-involved-shooting-in-pulaski</v>
      </c>
      <c r="R2590" s="1" t="s">
        <v>555</v>
      </c>
      <c r="S2590" s="13" t="s">
        <v>28</v>
      </c>
      <c r="T2590" s="68" t="s">
        <v>27756</v>
      </c>
      <c r="U2590" s="68" t="s">
        <v>29438</v>
      </c>
      <c r="V2590" s="68" t="s">
        <v>29439</v>
      </c>
      <c r="W2590" s="68" t="s">
        <v>100</v>
      </c>
      <c r="X2590" s="68">
        <v>434</v>
      </c>
      <c r="BA2590" s="11"/>
      <c r="BB2590" s="44"/>
      <c r="BK2590" s="44"/>
    </row>
    <row r="2591" spans="1:63" ht="12" customHeight="1" x14ac:dyDescent="0.2">
      <c r="A2591" s="1" t="s">
        <v>2480</v>
      </c>
      <c r="B2591" s="68">
        <v>32</v>
      </c>
      <c r="C2591" s="1" t="s">
        <v>20</v>
      </c>
      <c r="D2591" s="1" t="s">
        <v>21</v>
      </c>
      <c r="E2591" s="1" t="s">
        <v>2481</v>
      </c>
      <c r="F2591" s="69">
        <v>42129</v>
      </c>
      <c r="G2591" s="1" t="s">
        <v>2482</v>
      </c>
      <c r="H2591" s="1" t="s">
        <v>2483</v>
      </c>
      <c r="I2591" s="1" t="s">
        <v>45</v>
      </c>
      <c r="J2591" s="4">
        <v>91733</v>
      </c>
      <c r="K2591" s="1" t="s">
        <v>98</v>
      </c>
      <c r="L2591" s="11" t="s">
        <v>414</v>
      </c>
      <c r="M2591" s="1" t="s">
        <v>27</v>
      </c>
      <c r="N2591" s="1" t="s">
        <v>2484</v>
      </c>
      <c r="O2591" s="1" t="s">
        <v>1010</v>
      </c>
      <c r="P2591" s="1" t="s">
        <v>401</v>
      </c>
      <c r="Q2591" s="6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2591" s="1" t="s">
        <v>29</v>
      </c>
      <c r="S2591" s="13" t="s">
        <v>28</v>
      </c>
      <c r="T2591" s="68" t="s">
        <v>29493</v>
      </c>
      <c r="U2591" s="68" t="s">
        <v>29438</v>
      </c>
      <c r="V2591" s="68" t="s">
        <v>29439</v>
      </c>
      <c r="W2591" s="68" t="s">
        <v>100</v>
      </c>
      <c r="X2591" s="68">
        <v>430</v>
      </c>
      <c r="AW2591" s="11"/>
      <c r="AX2591" s="70"/>
      <c r="AY2591" s="70"/>
      <c r="BC2591" s="70"/>
      <c r="BD2591" s="70"/>
      <c r="BE2591" s="70"/>
      <c r="BF2591" s="70"/>
      <c r="BG2591" s="70"/>
      <c r="BH2591" s="70"/>
      <c r="BI2591" s="70"/>
      <c r="BJ2591" s="70"/>
      <c r="BK2591" s="44"/>
    </row>
    <row r="2592" spans="1:63" ht="12" customHeight="1" x14ac:dyDescent="0.15">
      <c r="A2592" s="1" t="s">
        <v>20263</v>
      </c>
      <c r="B2592" s="1">
        <v>27</v>
      </c>
      <c r="C2592" s="1" t="s">
        <v>20</v>
      </c>
      <c r="D2592" s="1" t="s">
        <v>85</v>
      </c>
      <c r="E2592" s="1" t="s">
        <v>20264</v>
      </c>
      <c r="F2592" s="72">
        <v>42128</v>
      </c>
      <c r="G2592" s="1" t="s">
        <v>20265</v>
      </c>
      <c r="H2592" s="1" t="s">
        <v>433</v>
      </c>
      <c r="I2592" s="1" t="s">
        <v>669</v>
      </c>
      <c r="J2592" s="3" t="s">
        <v>20266</v>
      </c>
      <c r="K2592" s="2" t="s">
        <v>10073</v>
      </c>
      <c r="L2592" s="2" t="s">
        <v>6223</v>
      </c>
      <c r="M2592" s="2" t="s">
        <v>379</v>
      </c>
      <c r="N2592" s="2" t="s">
        <v>20267</v>
      </c>
      <c r="O2592" s="2" t="s">
        <v>29</v>
      </c>
      <c r="P2592" s="1" t="s">
        <v>401</v>
      </c>
      <c r="Q2592" s="7" t="s">
        <v>20268</v>
      </c>
      <c r="R2592" s="2" t="s">
        <v>100</v>
      </c>
      <c r="S2592" s="2" t="s">
        <v>379</v>
      </c>
      <c r="AX2592" s="44"/>
      <c r="AY2592" s="44"/>
      <c r="BC2592" s="44"/>
      <c r="BD2592" s="44"/>
      <c r="BE2592" s="44"/>
      <c r="BF2592" s="44"/>
      <c r="BG2592" s="44"/>
      <c r="BH2592" s="44"/>
      <c r="BI2592" s="44"/>
      <c r="BJ2592" s="44"/>
    </row>
    <row r="2593" spans="1:63" ht="12" customHeight="1" x14ac:dyDescent="0.15">
      <c r="A2593" s="1" t="s">
        <v>2504</v>
      </c>
      <c r="B2593" s="68">
        <v>36</v>
      </c>
      <c r="C2593" s="1" t="s">
        <v>20</v>
      </c>
      <c r="D2593" s="1" t="s">
        <v>37</v>
      </c>
      <c r="E2593" s="1" t="s">
        <v>2505</v>
      </c>
      <c r="F2593" s="69">
        <v>42128</v>
      </c>
      <c r="G2593" s="1" t="s">
        <v>2506</v>
      </c>
      <c r="H2593" s="1" t="s">
        <v>2507</v>
      </c>
      <c r="I2593" s="1" t="s">
        <v>303</v>
      </c>
      <c r="J2593" s="4">
        <v>99336</v>
      </c>
      <c r="K2593" s="1" t="s">
        <v>2508</v>
      </c>
      <c r="L2593" s="1" t="s">
        <v>2509</v>
      </c>
      <c r="M2593" s="1" t="s">
        <v>27</v>
      </c>
      <c r="N2593" s="1" t="s">
        <v>2510</v>
      </c>
      <c r="O2593" s="1" t="s">
        <v>400</v>
      </c>
      <c r="P2593" s="1" t="s">
        <v>401</v>
      </c>
      <c r="Q2593" s="63" t="str">
        <f>HYPERLINK("http://www.keprtv.com/SWAT-on-scene-of-standoff-in-Kennewick-302418671.html","http://www.keprtv.com/SWAT-on-scene-of-standoff-in-Kennewick-302418671.html")</f>
        <v>http://www.keprtv.com/SWAT-on-scene-of-standoff-in-Kennewick-302418671.html</v>
      </c>
      <c r="R2593" s="68" t="s">
        <v>555</v>
      </c>
      <c r="S2593" s="11" t="s">
        <v>18</v>
      </c>
      <c r="T2593" s="68" t="s">
        <v>29612</v>
      </c>
      <c r="U2593" s="68" t="s">
        <v>29438</v>
      </c>
      <c r="V2593" s="68" t="s">
        <v>29439</v>
      </c>
      <c r="W2593" s="68" t="s">
        <v>100</v>
      </c>
      <c r="X2593" s="68">
        <v>431</v>
      </c>
      <c r="AW2593" s="44"/>
      <c r="BA2593" s="44"/>
      <c r="BB2593" s="44"/>
    </row>
    <row r="2594" spans="1:63" ht="12" customHeight="1" x14ac:dyDescent="0.15">
      <c r="A2594" s="1" t="s">
        <v>20454</v>
      </c>
      <c r="B2594" s="1">
        <v>44</v>
      </c>
      <c r="C2594" s="1" t="s">
        <v>20</v>
      </c>
      <c r="D2594" s="1" t="s">
        <v>85</v>
      </c>
      <c r="F2594" s="72">
        <v>42127</v>
      </c>
      <c r="G2594" s="1" t="s">
        <v>20455</v>
      </c>
      <c r="H2594" s="1" t="s">
        <v>33</v>
      </c>
      <c r="I2594" s="1" t="s">
        <v>669</v>
      </c>
      <c r="J2594" s="4">
        <v>38703</v>
      </c>
      <c r="K2594" s="1" t="s">
        <v>118</v>
      </c>
      <c r="L2594" s="1" t="s">
        <v>827</v>
      </c>
      <c r="M2594" s="1" t="s">
        <v>27</v>
      </c>
      <c r="N2594" s="1" t="s">
        <v>20456</v>
      </c>
      <c r="O2594" s="11" t="s">
        <v>28373</v>
      </c>
      <c r="P2594" s="1" t="s">
        <v>1159</v>
      </c>
      <c r="Q2594" s="63" t="s">
        <v>20457</v>
      </c>
      <c r="R2594" s="1" t="s">
        <v>100</v>
      </c>
      <c r="S2594" s="13" t="s">
        <v>18</v>
      </c>
      <c r="T2594" s="68"/>
      <c r="U2594" s="68"/>
      <c r="V2594" s="68"/>
      <c r="W2594" s="68"/>
      <c r="X2594" s="68"/>
      <c r="AX2594" s="44"/>
      <c r="AY2594" s="44"/>
      <c r="BC2594" s="44"/>
      <c r="BD2594" s="44"/>
      <c r="BE2594" s="44"/>
      <c r="BF2594" s="44"/>
      <c r="BG2594" s="44"/>
      <c r="BH2594" s="44"/>
      <c r="BI2594" s="44"/>
      <c r="BJ2594" s="44"/>
    </row>
    <row r="2595" spans="1:63" ht="12" customHeight="1" x14ac:dyDescent="0.2">
      <c r="A2595" s="1" t="s">
        <v>2511</v>
      </c>
      <c r="B2595" s="68">
        <v>34</v>
      </c>
      <c r="C2595" s="1" t="s">
        <v>20</v>
      </c>
      <c r="D2595" s="1" t="s">
        <v>21</v>
      </c>
      <c r="E2595" s="1" t="s">
        <v>2512</v>
      </c>
      <c r="F2595" s="69">
        <v>42127</v>
      </c>
      <c r="G2595" s="1" t="s">
        <v>2513</v>
      </c>
      <c r="H2595" s="1" t="s">
        <v>2514</v>
      </c>
      <c r="I2595" s="1" t="s">
        <v>73</v>
      </c>
      <c r="J2595" s="4">
        <v>75040</v>
      </c>
      <c r="K2595" s="1" t="s">
        <v>285</v>
      </c>
      <c r="L2595" s="1" t="s">
        <v>2515</v>
      </c>
      <c r="M2595" s="1" t="s">
        <v>27</v>
      </c>
      <c r="N2595" s="1" t="s">
        <v>2516</v>
      </c>
      <c r="O2595" s="1" t="s">
        <v>1010</v>
      </c>
      <c r="P2595" s="1" t="s">
        <v>401</v>
      </c>
      <c r="Q2595" s="63" t="str">
        <f>HYPERLINK("http://facebook.com/KilledByPolice/posts/1034785363216267","facebook.com/KilledByPolice/posts/1034785363216267")</f>
        <v>facebook.com/KilledByPolice/posts/1034785363216267</v>
      </c>
      <c r="R2595" s="1" t="s">
        <v>100</v>
      </c>
      <c r="S2595" s="13" t="s">
        <v>28</v>
      </c>
      <c r="T2595" s="68" t="s">
        <v>27756</v>
      </c>
      <c r="U2595" s="68" t="s">
        <v>29438</v>
      </c>
      <c r="V2595" s="68" t="s">
        <v>29439</v>
      </c>
      <c r="W2595" s="68" t="s">
        <v>100</v>
      </c>
      <c r="X2595" s="68">
        <v>428</v>
      </c>
      <c r="AW2595" s="11"/>
      <c r="AX2595" s="70"/>
      <c r="AY2595" s="70"/>
      <c r="BC2595" s="70"/>
      <c r="BD2595" s="70"/>
      <c r="BE2595" s="70"/>
      <c r="BF2595" s="70"/>
      <c r="BG2595" s="70"/>
      <c r="BH2595" s="70"/>
      <c r="BI2595" s="70"/>
      <c r="BJ2595" s="70"/>
      <c r="BK2595" s="44"/>
    </row>
    <row r="2596" spans="1:63" ht="12" customHeight="1" x14ac:dyDescent="0.15">
      <c r="A2596" s="1" t="s">
        <v>2517</v>
      </c>
      <c r="B2596" s="68">
        <v>30</v>
      </c>
      <c r="C2596" s="1" t="s">
        <v>20</v>
      </c>
      <c r="D2596" s="1" t="s">
        <v>85</v>
      </c>
      <c r="E2596" s="1" t="s">
        <v>2518</v>
      </c>
      <c r="F2596" s="69">
        <v>42127</v>
      </c>
      <c r="G2596" s="1" t="s">
        <v>2513</v>
      </c>
      <c r="H2596" s="1" t="s">
        <v>2514</v>
      </c>
      <c r="I2596" s="1" t="s">
        <v>73</v>
      </c>
      <c r="J2596" s="4">
        <v>75040</v>
      </c>
      <c r="K2596" s="1" t="s">
        <v>285</v>
      </c>
      <c r="L2596" s="1" t="s">
        <v>2515</v>
      </c>
      <c r="M2596" s="1" t="s">
        <v>27</v>
      </c>
      <c r="N2596" s="1" t="s">
        <v>2516</v>
      </c>
      <c r="O2596" s="1" t="s">
        <v>1010</v>
      </c>
      <c r="P2596" s="1" t="s">
        <v>401</v>
      </c>
      <c r="Q2596" s="63" t="str">
        <f>HYPERLINK("http://www.wfaa.com/story/news/local/2015/05/03/garland-curtis-culwell-center-swat/26848435/","http://www.wfaa.com/story/news/local/2015/05/03/garland-curtis-culwell-center-swat/26848435/")</f>
        <v>http://www.wfaa.com/story/news/local/2015/05/03/garland-curtis-culwell-center-swat/26848435/</v>
      </c>
      <c r="R2596" s="1" t="s">
        <v>100</v>
      </c>
      <c r="S2596" s="13" t="s">
        <v>28</v>
      </c>
      <c r="T2596" s="68" t="s">
        <v>27756</v>
      </c>
      <c r="U2596" s="68" t="s">
        <v>29438</v>
      </c>
      <c r="V2596" s="68" t="s">
        <v>29439</v>
      </c>
      <c r="W2596" s="68" t="s">
        <v>100</v>
      </c>
      <c r="X2596" s="68">
        <v>427</v>
      </c>
      <c r="AW2596" s="11"/>
      <c r="AX2596" s="11"/>
      <c r="AY2596" s="11"/>
      <c r="BC2596" s="44"/>
      <c r="BD2596" s="44"/>
      <c r="BE2596" s="44"/>
      <c r="BF2596" s="44"/>
      <c r="BG2596" s="44"/>
      <c r="BH2596" s="44"/>
      <c r="BI2596" s="44"/>
      <c r="BJ2596" s="44"/>
      <c r="BK2596" s="44"/>
    </row>
    <row r="2597" spans="1:63" ht="12" customHeight="1" x14ac:dyDescent="0.15">
      <c r="A2597" s="1" t="s">
        <v>2519</v>
      </c>
      <c r="B2597" s="68">
        <v>44</v>
      </c>
      <c r="C2597" s="1" t="s">
        <v>20</v>
      </c>
      <c r="D2597" s="68" t="s">
        <v>48</v>
      </c>
      <c r="E2597" s="1" t="s">
        <v>2520</v>
      </c>
      <c r="F2597" s="69">
        <v>42127</v>
      </c>
      <c r="G2597" s="1" t="s">
        <v>2521</v>
      </c>
      <c r="H2597" s="1" t="s">
        <v>922</v>
      </c>
      <c r="I2597" s="1" t="s">
        <v>195</v>
      </c>
      <c r="J2597" s="4">
        <v>87105</v>
      </c>
      <c r="K2597" s="1" t="s">
        <v>467</v>
      </c>
      <c r="L2597" s="1" t="s">
        <v>8152</v>
      </c>
      <c r="M2597" s="1" t="s">
        <v>27</v>
      </c>
      <c r="N2597" s="1" t="s">
        <v>2522</v>
      </c>
      <c r="O2597" s="1" t="s">
        <v>1010</v>
      </c>
      <c r="P2597" s="1" t="s">
        <v>401</v>
      </c>
      <c r="Q2597" s="63" t="str">
        <f>HYPERLINK("http://krqe.com/2015/05/03/suspect-from-deputy-involved-shooting-dies/","http://krqe.com/2015/05/03/suspect-from-deputy-involved-shooting-dies/")</f>
        <v>http://krqe.com/2015/05/03/suspect-from-deputy-involved-shooting-dies/</v>
      </c>
      <c r="R2597" s="1" t="s">
        <v>100</v>
      </c>
      <c r="S2597" s="2" t="s">
        <v>28</v>
      </c>
      <c r="T2597" s="68" t="s">
        <v>27756</v>
      </c>
      <c r="U2597" s="68" t="s">
        <v>29438</v>
      </c>
      <c r="V2597" s="68" t="s">
        <v>29439</v>
      </c>
      <c r="W2597" s="68" t="s">
        <v>100</v>
      </c>
      <c r="X2597" s="68">
        <v>445</v>
      </c>
      <c r="BK2597" s="44"/>
    </row>
    <row r="2598" spans="1:63" ht="12" customHeight="1" x14ac:dyDescent="0.15">
      <c r="A2598" s="1" t="s">
        <v>2498</v>
      </c>
      <c r="B2598" s="68">
        <v>53</v>
      </c>
      <c r="C2598" s="1" t="s">
        <v>20</v>
      </c>
      <c r="D2598" s="1" t="s">
        <v>37</v>
      </c>
      <c r="E2598" s="1" t="s">
        <v>2499</v>
      </c>
      <c r="F2598" s="69">
        <v>42127</v>
      </c>
      <c r="G2598" s="1" t="s">
        <v>2500</v>
      </c>
      <c r="H2598" s="1" t="s">
        <v>2501</v>
      </c>
      <c r="I2598" s="1" t="s">
        <v>315</v>
      </c>
      <c r="J2598" s="4">
        <v>41727</v>
      </c>
      <c r="K2598" s="1" t="s">
        <v>2502</v>
      </c>
      <c r="L2598" s="1" t="s">
        <v>3367</v>
      </c>
      <c r="M2598" s="1" t="s">
        <v>27</v>
      </c>
      <c r="N2598" s="1" t="s">
        <v>2503</v>
      </c>
      <c r="O2598" s="1" t="s">
        <v>1010</v>
      </c>
      <c r="P2598" s="1" t="s">
        <v>401</v>
      </c>
      <c r="Q2598" s="6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2598" s="1" t="s">
        <v>29</v>
      </c>
      <c r="S2598" s="13" t="s">
        <v>28</v>
      </c>
      <c r="T2598" s="68" t="s">
        <v>27756</v>
      </c>
      <c r="U2598" s="68" t="s">
        <v>29438</v>
      </c>
      <c r="V2598" s="68" t="s">
        <v>29439</v>
      </c>
      <c r="W2598" s="68" t="s">
        <v>100</v>
      </c>
      <c r="X2598" s="68">
        <v>447</v>
      </c>
      <c r="BK2598" s="44"/>
    </row>
    <row r="2599" spans="1:63" ht="12" customHeight="1" x14ac:dyDescent="0.2">
      <c r="A2599" s="1" t="s">
        <v>2523</v>
      </c>
      <c r="B2599" s="68">
        <v>36</v>
      </c>
      <c r="C2599" s="1" t="s">
        <v>20</v>
      </c>
      <c r="D2599" s="1" t="s">
        <v>37</v>
      </c>
      <c r="E2599" s="1" t="s">
        <v>2524</v>
      </c>
      <c r="F2599" s="69">
        <v>42127</v>
      </c>
      <c r="G2599" s="1" t="s">
        <v>2525</v>
      </c>
      <c r="H2599" s="1" t="s">
        <v>2526</v>
      </c>
      <c r="I2599" s="1" t="s">
        <v>240</v>
      </c>
      <c r="J2599" s="4">
        <v>84066</v>
      </c>
      <c r="K2599" s="1" t="s">
        <v>2527</v>
      </c>
      <c r="L2599" s="1" t="s">
        <v>2528</v>
      </c>
      <c r="M2599" s="1" t="s">
        <v>27</v>
      </c>
      <c r="N2599" s="1" t="s">
        <v>2529</v>
      </c>
      <c r="O2599" s="1" t="s">
        <v>1010</v>
      </c>
      <c r="P2599" s="1" t="s">
        <v>401</v>
      </c>
      <c r="Q2599" s="6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2599" s="68" t="s">
        <v>555</v>
      </c>
      <c r="S2599" s="13" t="s">
        <v>28</v>
      </c>
      <c r="T2599" s="68" t="s">
        <v>27756</v>
      </c>
      <c r="U2599" s="68" t="s">
        <v>29438</v>
      </c>
      <c r="V2599" s="68" t="s">
        <v>29439</v>
      </c>
      <c r="W2599" s="68" t="s">
        <v>555</v>
      </c>
      <c r="X2599" s="68">
        <v>426</v>
      </c>
      <c r="AW2599" s="44"/>
      <c r="BA2599" s="70"/>
      <c r="BB2599" s="44"/>
      <c r="BK2599" s="44"/>
    </row>
    <row r="2600" spans="1:63" ht="12" customHeight="1" x14ac:dyDescent="0.15">
      <c r="A2600" s="1" t="s">
        <v>2530</v>
      </c>
      <c r="B2600" s="68">
        <v>52</v>
      </c>
      <c r="C2600" s="1" t="s">
        <v>20</v>
      </c>
      <c r="D2600" s="1" t="s">
        <v>37</v>
      </c>
      <c r="F2600" s="69">
        <v>42126</v>
      </c>
      <c r="G2600" s="1" t="s">
        <v>2531</v>
      </c>
      <c r="H2600" s="1" t="s">
        <v>2532</v>
      </c>
      <c r="I2600" s="1" t="s">
        <v>225</v>
      </c>
      <c r="J2600" s="4" t="s">
        <v>2533</v>
      </c>
      <c r="K2600" s="1" t="s">
        <v>2534</v>
      </c>
      <c r="L2600" s="1" t="s">
        <v>2535</v>
      </c>
      <c r="M2600" s="1" t="s">
        <v>27</v>
      </c>
      <c r="N2600" s="1" t="s">
        <v>2536</v>
      </c>
      <c r="O2600" s="1" t="s">
        <v>400</v>
      </c>
      <c r="P2600" s="1" t="s">
        <v>401</v>
      </c>
      <c r="Q2600" s="63" t="str">
        <f>HYPERLINK("http://www.wboc.com/story/28959278/police-investigating-officer-involved-shooting","http://www.wboc.com/story/28959278/police-investigating-officer-involved-shooting")</f>
        <v>http://www.wboc.com/story/28959278/police-investigating-officer-involved-shooting</v>
      </c>
      <c r="R2600" s="1" t="s">
        <v>29</v>
      </c>
      <c r="S2600" s="13" t="s">
        <v>28</v>
      </c>
      <c r="T2600" s="68" t="s">
        <v>27756</v>
      </c>
      <c r="U2600" s="68" t="s">
        <v>29438</v>
      </c>
      <c r="V2600" s="68" t="s">
        <v>29439</v>
      </c>
      <c r="W2600" s="68" t="s">
        <v>555</v>
      </c>
      <c r="X2600" s="68">
        <v>425</v>
      </c>
      <c r="BK2600" s="44"/>
    </row>
    <row r="2601" spans="1:63" ht="12" customHeight="1" x14ac:dyDescent="0.2">
      <c r="A2601" s="1" t="s">
        <v>2560</v>
      </c>
      <c r="B2601" s="68">
        <v>22</v>
      </c>
      <c r="C2601" s="1" t="s">
        <v>20</v>
      </c>
      <c r="D2601" s="1" t="s">
        <v>48</v>
      </c>
      <c r="E2601" s="1" t="s">
        <v>2561</v>
      </c>
      <c r="F2601" s="69">
        <v>42124</v>
      </c>
      <c r="G2601" s="1" t="s">
        <v>2562</v>
      </c>
      <c r="H2601" s="1" t="s">
        <v>857</v>
      </c>
      <c r="I2601" s="1" t="s">
        <v>73</v>
      </c>
      <c r="J2601" s="4">
        <v>79907</v>
      </c>
      <c r="K2601" s="1" t="s">
        <v>857</v>
      </c>
      <c r="L2601" s="1" t="s">
        <v>858</v>
      </c>
      <c r="M2601" s="68" t="s">
        <v>5411</v>
      </c>
      <c r="N2601" s="1" t="s">
        <v>2563</v>
      </c>
      <c r="O2601" s="1" t="s">
        <v>400</v>
      </c>
      <c r="P2601" s="1" t="s">
        <v>401</v>
      </c>
      <c r="Q2601" s="63" t="str">
        <f>HYPERLINK("http://www.elpasotimes.com/news/ci_28023272/el-paso-police-officer-shot-and-killed-burglary","http://www.elpasotimes.com/news/ci_28023272/el-paso-police-officer-shot-and-killed-burglary")</f>
        <v>http://www.elpasotimes.com/news/ci_28023272/el-paso-police-officer-shot-and-killed-burglary</v>
      </c>
      <c r="R2601" s="1" t="s">
        <v>100</v>
      </c>
      <c r="S2601" s="1" t="s">
        <v>35</v>
      </c>
      <c r="T2601" s="68" t="s">
        <v>29486</v>
      </c>
      <c r="U2601" s="68" t="s">
        <v>29436</v>
      </c>
      <c r="V2601" s="68" t="s">
        <v>29439</v>
      </c>
      <c r="W2601" s="68" t="s">
        <v>100</v>
      </c>
      <c r="X2601" s="68">
        <v>424</v>
      </c>
      <c r="AW2601" s="44"/>
      <c r="BB2601" s="70"/>
      <c r="BK2601" s="11"/>
    </row>
    <row r="2602" spans="1:63" ht="12" customHeight="1" x14ac:dyDescent="0.2">
      <c r="A2602" s="1" t="s">
        <v>2545</v>
      </c>
      <c r="B2602" s="68">
        <v>42</v>
      </c>
      <c r="C2602" s="1" t="s">
        <v>20</v>
      </c>
      <c r="D2602" s="1" t="s">
        <v>21</v>
      </c>
      <c r="E2602" s="1" t="s">
        <v>2546</v>
      </c>
      <c r="F2602" s="69">
        <v>42124</v>
      </c>
      <c r="G2602" s="1" t="s">
        <v>2547</v>
      </c>
      <c r="H2602" s="1" t="s">
        <v>156</v>
      </c>
      <c r="I2602" s="1" t="s">
        <v>45</v>
      </c>
      <c r="J2602" s="4">
        <v>92110</v>
      </c>
      <c r="K2602" s="1" t="s">
        <v>156</v>
      </c>
      <c r="L2602" s="1" t="s">
        <v>157</v>
      </c>
      <c r="M2602" s="1" t="s">
        <v>27</v>
      </c>
      <c r="N2602" s="1" t="s">
        <v>2548</v>
      </c>
      <c r="O2602" s="1" t="s">
        <v>2549</v>
      </c>
      <c r="P2602" s="1" t="s">
        <v>401</v>
      </c>
      <c r="Q2602" s="6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2602" s="68" t="s">
        <v>555</v>
      </c>
      <c r="S2602" s="11" t="s">
        <v>18</v>
      </c>
      <c r="T2602" s="68" t="s">
        <v>28345</v>
      </c>
      <c r="U2602" s="68" t="s">
        <v>29436</v>
      </c>
      <c r="V2602" s="68" t="s">
        <v>29439</v>
      </c>
      <c r="W2602" s="68" t="s">
        <v>555</v>
      </c>
      <c r="X2602" s="68">
        <v>418</v>
      </c>
      <c r="AF2602" s="44"/>
      <c r="AG2602" s="44"/>
      <c r="AH2602" s="44"/>
      <c r="AX2602" s="70"/>
      <c r="AY2602" s="70"/>
      <c r="BA2602" s="44"/>
      <c r="BB2602" s="11"/>
      <c r="BC2602" s="70"/>
      <c r="BD2602" s="70"/>
      <c r="BE2602" s="70"/>
      <c r="BF2602" s="70"/>
      <c r="BG2602" s="70"/>
      <c r="BH2602" s="70"/>
      <c r="BI2602" s="70"/>
      <c r="BJ2602" s="70"/>
    </row>
    <row r="2603" spans="1:63" ht="12" customHeight="1" x14ac:dyDescent="0.15">
      <c r="A2603" s="1" t="s">
        <v>2570</v>
      </c>
      <c r="B2603" s="68">
        <v>27</v>
      </c>
      <c r="C2603" s="1" t="s">
        <v>20</v>
      </c>
      <c r="D2603" s="1" t="s">
        <v>48</v>
      </c>
      <c r="F2603" s="69">
        <v>42123</v>
      </c>
      <c r="G2603" s="1" t="s">
        <v>2571</v>
      </c>
      <c r="H2603" s="1" t="s">
        <v>2572</v>
      </c>
      <c r="I2603" s="1" t="s">
        <v>45</v>
      </c>
      <c r="J2603" s="4" t="s">
        <v>2573</v>
      </c>
      <c r="K2603" s="1" t="s">
        <v>1642</v>
      </c>
      <c r="L2603" s="1" t="s">
        <v>2574</v>
      </c>
      <c r="M2603" s="1" t="s">
        <v>27</v>
      </c>
      <c r="N2603" s="1" t="s">
        <v>2575</v>
      </c>
      <c r="O2603" s="1" t="s">
        <v>1010</v>
      </c>
      <c r="P2603" s="1" t="s">
        <v>401</v>
      </c>
      <c r="Q2603" s="63" t="str">
        <f>HYPERLINK("http://www.sacbee.com/news/local/crime/article19860156.html","http://www.sacbee.com/news/local/crime/article19860156.html")</f>
        <v>http://www.sacbee.com/news/local/crime/article19860156.html</v>
      </c>
      <c r="R2603" s="1" t="s">
        <v>100</v>
      </c>
      <c r="S2603" s="13" t="s">
        <v>28</v>
      </c>
      <c r="T2603" s="68" t="s">
        <v>27756</v>
      </c>
      <c r="U2603" s="68" t="s">
        <v>29438</v>
      </c>
      <c r="V2603" s="68" t="s">
        <v>29439</v>
      </c>
      <c r="W2603" s="68" t="s">
        <v>100</v>
      </c>
      <c r="X2603" s="68">
        <v>419</v>
      </c>
      <c r="AW2603" s="44"/>
      <c r="BK2603" s="44"/>
    </row>
    <row r="2604" spans="1:63" ht="12" customHeight="1" x14ac:dyDescent="0.15">
      <c r="A2604" s="1" t="s">
        <v>2564</v>
      </c>
      <c r="B2604" s="68">
        <v>26</v>
      </c>
      <c r="C2604" s="1" t="s">
        <v>20</v>
      </c>
      <c r="D2604" s="1" t="s">
        <v>139</v>
      </c>
      <c r="F2604" s="69">
        <v>42123</v>
      </c>
      <c r="G2604" s="1" t="s">
        <v>2565</v>
      </c>
      <c r="H2604" s="1" t="s">
        <v>2566</v>
      </c>
      <c r="I2604" s="1" t="s">
        <v>395</v>
      </c>
      <c r="J2604" s="4">
        <v>73018</v>
      </c>
      <c r="K2604" s="1" t="s">
        <v>2567</v>
      </c>
      <c r="L2604" s="1" t="s">
        <v>2568</v>
      </c>
      <c r="M2604" s="1" t="s">
        <v>27</v>
      </c>
      <c r="N2604" s="1" t="s">
        <v>2569</v>
      </c>
      <c r="O2604" s="1" t="s">
        <v>1010</v>
      </c>
      <c r="P2604" s="1" t="s">
        <v>401</v>
      </c>
      <c r="Q2604" s="63" t="str">
        <f>HYPERLINK("http://kfor.com/2015/04/29/oklahoma-police-officer-involved-in-fatal-shooting/","http://kfor.com/2015/04/29/oklahoma-police-officer-involved-in-fatal-shooting/")</f>
        <v>http://kfor.com/2015/04/29/oklahoma-police-officer-involved-in-fatal-shooting/</v>
      </c>
      <c r="R2604" s="1" t="s">
        <v>100</v>
      </c>
      <c r="S2604" s="13" t="s">
        <v>28</v>
      </c>
      <c r="T2604" s="68" t="s">
        <v>29493</v>
      </c>
      <c r="U2604" s="68" t="s">
        <v>29436</v>
      </c>
      <c r="V2604" s="68" t="s">
        <v>29440</v>
      </c>
      <c r="W2604" s="68" t="s">
        <v>100</v>
      </c>
      <c r="X2604" s="68">
        <v>415</v>
      </c>
      <c r="AW2604" s="44"/>
      <c r="BK2604" s="44"/>
    </row>
    <row r="2605" spans="1:63" ht="12" customHeight="1" x14ac:dyDescent="0.15">
      <c r="A2605" s="1" t="s">
        <v>2550</v>
      </c>
      <c r="B2605" s="68">
        <v>53</v>
      </c>
      <c r="C2605" s="1" t="s">
        <v>20</v>
      </c>
      <c r="D2605" s="1" t="s">
        <v>85</v>
      </c>
      <c r="E2605" s="1" t="str">
        <f>HYPERLINK("http://wtvr.com/2015/04/30/greensville-county-sheriff-shooting/","http://wtvr.com/2015/04/30/greensville-county-sheriff-shooting/")</f>
        <v>http://wtvr.com/2015/04/30/greensville-county-sheriff-shooting/</v>
      </c>
      <c r="F2605" s="69">
        <v>42123</v>
      </c>
      <c r="G2605" s="1" t="s">
        <v>2551</v>
      </c>
      <c r="H2605" s="1" t="s">
        <v>2552</v>
      </c>
      <c r="I2605" s="1" t="s">
        <v>244</v>
      </c>
      <c r="J2605" s="4">
        <v>23847</v>
      </c>
      <c r="K2605" s="1" t="s">
        <v>2553</v>
      </c>
      <c r="L2605" s="1" t="s">
        <v>2554</v>
      </c>
      <c r="M2605" s="1" t="s">
        <v>27</v>
      </c>
      <c r="N2605" s="1" t="s">
        <v>2555</v>
      </c>
      <c r="O2605" s="1" t="s">
        <v>1010</v>
      </c>
      <c r="P2605" s="1" t="s">
        <v>401</v>
      </c>
      <c r="Q2605" s="6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605" s="1" t="s">
        <v>555</v>
      </c>
      <c r="S2605" s="13" t="s">
        <v>28</v>
      </c>
      <c r="T2605" s="68" t="s">
        <v>27756</v>
      </c>
      <c r="U2605" s="68" t="s">
        <v>29438</v>
      </c>
      <c r="V2605" s="68" t="s">
        <v>29439</v>
      </c>
      <c r="W2605" s="68" t="s">
        <v>100</v>
      </c>
      <c r="X2605" s="68">
        <v>422</v>
      </c>
      <c r="AX2605" s="44"/>
      <c r="AY2605" s="44"/>
      <c r="BA2605" s="11"/>
      <c r="BB2605" s="44"/>
      <c r="BC2605" s="44"/>
      <c r="BD2605" s="44"/>
      <c r="BE2605" s="44"/>
      <c r="BF2605" s="44"/>
      <c r="BG2605" s="44"/>
      <c r="BH2605" s="44"/>
      <c r="BI2605" s="44"/>
      <c r="BJ2605" s="44"/>
      <c r="BK2605" s="44"/>
    </row>
    <row r="2606" spans="1:63" ht="12" customHeight="1" x14ac:dyDescent="0.2">
      <c r="A2606" s="1" t="s">
        <v>2556</v>
      </c>
      <c r="B2606" s="68">
        <v>33</v>
      </c>
      <c r="C2606" s="1" t="s">
        <v>20</v>
      </c>
      <c r="D2606" s="1" t="s">
        <v>139</v>
      </c>
      <c r="E2606" s="1" t="s">
        <v>2557</v>
      </c>
      <c r="F2606" s="69">
        <v>42123</v>
      </c>
      <c r="G2606" s="1" t="s">
        <v>2558</v>
      </c>
      <c r="H2606" s="1" t="s">
        <v>1428</v>
      </c>
      <c r="I2606" s="1" t="s">
        <v>123</v>
      </c>
      <c r="J2606" s="4">
        <v>85204</v>
      </c>
      <c r="K2606" s="1" t="s">
        <v>633</v>
      </c>
      <c r="L2606" s="1" t="s">
        <v>1429</v>
      </c>
      <c r="M2606" s="1" t="s">
        <v>27</v>
      </c>
      <c r="N2606" s="1" t="s">
        <v>2559</v>
      </c>
      <c r="O2606" s="1" t="s">
        <v>1010</v>
      </c>
      <c r="P2606" s="1" t="s">
        <v>401</v>
      </c>
      <c r="Q2606" s="6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2606" s="68" t="s">
        <v>555</v>
      </c>
      <c r="S2606" s="13" t="s">
        <v>28</v>
      </c>
      <c r="T2606" s="68" t="s">
        <v>27756</v>
      </c>
      <c r="U2606" s="68" t="s">
        <v>29438</v>
      </c>
      <c r="V2606" s="68" t="s">
        <v>29439</v>
      </c>
      <c r="W2606" s="68" t="s">
        <v>100</v>
      </c>
      <c r="X2606" s="68">
        <v>416</v>
      </c>
      <c r="AW2606" s="11"/>
      <c r="BA2606" s="70"/>
      <c r="BB2606" s="44"/>
      <c r="BK2606" s="44"/>
    </row>
    <row r="2607" spans="1:63" ht="12" customHeight="1" x14ac:dyDescent="0.15">
      <c r="A2607" s="1" t="s">
        <v>2542</v>
      </c>
      <c r="B2607" s="68">
        <v>53</v>
      </c>
      <c r="C2607" s="1" t="s">
        <v>20</v>
      </c>
      <c r="D2607" s="1" t="s">
        <v>37</v>
      </c>
      <c r="E2607" s="1" t="str">
        <f>HYPERLINK("http://www.wsmv.com/story/28940658/police-investigating-shooting-in-south-nashville","http://www.wsmv.com/story/28940658/police-investigating-shooting-in-south-nashville")</f>
        <v>http://www.wsmv.com/story/28940658/police-investigating-shooting-in-south-nashville</v>
      </c>
      <c r="F2607" s="69">
        <v>42123</v>
      </c>
      <c r="G2607" s="1" t="s">
        <v>2543</v>
      </c>
      <c r="H2607" s="1" t="s">
        <v>2028</v>
      </c>
      <c r="I2607" s="1" t="s">
        <v>319</v>
      </c>
      <c r="J2607" s="4">
        <v>37220</v>
      </c>
      <c r="K2607" s="1" t="s">
        <v>879</v>
      </c>
      <c r="L2607" s="1" t="s">
        <v>880</v>
      </c>
      <c r="M2607" s="1" t="s">
        <v>27</v>
      </c>
      <c r="N2607" s="1" t="s">
        <v>2544</v>
      </c>
      <c r="O2607" s="1" t="s">
        <v>1010</v>
      </c>
      <c r="P2607" s="1" t="s">
        <v>401</v>
      </c>
      <c r="Q2607" s="63" t="str">
        <f>HYPERLINK("http://www.wsmv.com/story/28940658/police-investigating-shooting-in-south-nashville","http://www.wsmv.com/story/28940658/police-investigating-shooting-in-south-nashville")</f>
        <v>http://www.wsmv.com/story/28940658/police-investigating-shooting-in-south-nashville</v>
      </c>
      <c r="R2607" s="1" t="s">
        <v>555</v>
      </c>
      <c r="S2607" s="13" t="s">
        <v>28</v>
      </c>
      <c r="T2607" s="68" t="s">
        <v>27756</v>
      </c>
      <c r="U2607" s="68" t="s">
        <v>29438</v>
      </c>
      <c r="V2607" s="68" t="s">
        <v>29439</v>
      </c>
      <c r="W2607" s="68" t="s">
        <v>100</v>
      </c>
      <c r="X2607" s="68">
        <v>423</v>
      </c>
      <c r="BA2607" s="11"/>
      <c r="BB2607" s="44"/>
      <c r="BK2607" s="44"/>
    </row>
    <row r="2608" spans="1:63" ht="12" customHeight="1" x14ac:dyDescent="0.15">
      <c r="A2608" s="1" t="s">
        <v>2537</v>
      </c>
      <c r="B2608" s="68">
        <v>25</v>
      </c>
      <c r="C2608" s="1" t="s">
        <v>114</v>
      </c>
      <c r="D2608" s="1" t="s">
        <v>85</v>
      </c>
      <c r="E2608" s="1" t="str">
        <f>HYPERLINK("http://mugshots.com/search.html?q=alexia%20christian&amp;c=119250","http://mugshots.com/search.html?q=alexia%20christian&amp;c=119250")</f>
        <v>http://mugshots.com/search.html?q=alexia%20christian&amp;c=119250</v>
      </c>
      <c r="F2608" s="69">
        <v>42123</v>
      </c>
      <c r="G2608" s="1" t="s">
        <v>2538</v>
      </c>
      <c r="H2608" s="1" t="s">
        <v>1916</v>
      </c>
      <c r="I2608" s="1" t="s">
        <v>173</v>
      </c>
      <c r="J2608" s="4" t="s">
        <v>2539</v>
      </c>
      <c r="K2608" s="1" t="s">
        <v>1556</v>
      </c>
      <c r="L2608" s="1" t="s">
        <v>2540</v>
      </c>
      <c r="M2608" s="1" t="s">
        <v>27</v>
      </c>
      <c r="N2608" s="1" t="s">
        <v>2541</v>
      </c>
      <c r="O2608" s="1" t="s">
        <v>400</v>
      </c>
      <c r="P2608" s="1" t="s">
        <v>401</v>
      </c>
      <c r="Q2608" s="63" t="str">
        <f>HYPERLINK("http://www.ajc.com/news/news/shots-fired-in-downtown-atlanta/nk6jp/","http://www.ajc.com/news/news/shots-fired-in-downtown-atlanta/nk6jp/")</f>
        <v>http://www.ajc.com/news/news/shots-fired-in-downtown-atlanta/nk6jp/</v>
      </c>
      <c r="R2608" s="1" t="s">
        <v>29</v>
      </c>
      <c r="S2608" s="13" t="s">
        <v>28</v>
      </c>
      <c r="T2608" s="68" t="s">
        <v>27756</v>
      </c>
      <c r="U2608" s="68" t="s">
        <v>29438</v>
      </c>
      <c r="V2608" s="68" t="s">
        <v>29439</v>
      </c>
      <c r="W2608" s="68" t="s">
        <v>100</v>
      </c>
      <c r="X2608" s="68">
        <v>421</v>
      </c>
      <c r="AW2608" s="44"/>
      <c r="AX2608" s="44"/>
      <c r="AY2608" s="44"/>
      <c r="BC2608" s="44"/>
      <c r="BD2608" s="44"/>
      <c r="BE2608" s="44"/>
      <c r="BF2608" s="44"/>
      <c r="BG2608" s="44"/>
      <c r="BH2608" s="44"/>
      <c r="BI2608" s="44"/>
      <c r="BJ2608" s="44"/>
      <c r="BK2608" s="44"/>
    </row>
    <row r="2609" spans="1:63" ht="12" customHeight="1" x14ac:dyDescent="0.15">
      <c r="A2609" s="1" t="s">
        <v>20269</v>
      </c>
      <c r="B2609" s="1">
        <v>30</v>
      </c>
      <c r="C2609" s="1" t="s">
        <v>20</v>
      </c>
      <c r="D2609" s="1" t="s">
        <v>85</v>
      </c>
      <c r="E2609" s="1" t="s">
        <v>20270</v>
      </c>
      <c r="F2609" s="72">
        <v>42122</v>
      </c>
      <c r="G2609" s="1" t="s">
        <v>20271</v>
      </c>
      <c r="H2609" s="1" t="s">
        <v>4028</v>
      </c>
      <c r="I2609" s="1" t="s">
        <v>173</v>
      </c>
      <c r="J2609" s="3" t="s">
        <v>4029</v>
      </c>
      <c r="K2609" s="2" t="s">
        <v>4030</v>
      </c>
      <c r="L2609" s="2" t="s">
        <v>20272</v>
      </c>
      <c r="M2609" s="2" t="s">
        <v>379</v>
      </c>
      <c r="N2609" s="2" t="s">
        <v>20273</v>
      </c>
      <c r="O2609" s="2" t="s">
        <v>2927</v>
      </c>
      <c r="P2609" s="1" t="s">
        <v>401</v>
      </c>
      <c r="Q2609" s="7" t="s">
        <v>20274</v>
      </c>
      <c r="R2609" s="2" t="s">
        <v>100</v>
      </c>
      <c r="S2609" s="2" t="s">
        <v>18</v>
      </c>
      <c r="AX2609" s="44"/>
      <c r="AY2609" s="44"/>
      <c r="BC2609" s="44"/>
      <c r="BD2609" s="44"/>
      <c r="BE2609" s="44"/>
      <c r="BF2609" s="44"/>
      <c r="BG2609" s="44"/>
      <c r="BH2609" s="44"/>
      <c r="BI2609" s="44"/>
      <c r="BJ2609" s="44"/>
    </row>
    <row r="2610" spans="1:63" ht="12" customHeight="1" x14ac:dyDescent="0.15">
      <c r="A2610" s="1" t="s">
        <v>2576</v>
      </c>
      <c r="B2610" s="68">
        <v>21</v>
      </c>
      <c r="C2610" s="1" t="s">
        <v>20</v>
      </c>
      <c r="D2610" s="1" t="s">
        <v>85</v>
      </c>
      <c r="E2610" s="1" t="s">
        <v>2577</v>
      </c>
      <c r="F2610" s="69">
        <v>42122</v>
      </c>
      <c r="G2610" s="1" t="s">
        <v>2578</v>
      </c>
      <c r="H2610" s="1" t="s">
        <v>1039</v>
      </c>
      <c r="I2610" s="1" t="s">
        <v>25</v>
      </c>
      <c r="J2610" s="4">
        <v>70126</v>
      </c>
      <c r="K2610" s="1" t="s">
        <v>2579</v>
      </c>
      <c r="L2610" s="1" t="s">
        <v>1041</v>
      </c>
      <c r="M2610" s="1" t="s">
        <v>27</v>
      </c>
      <c r="N2610" s="1" t="s">
        <v>2580</v>
      </c>
      <c r="O2610" s="1" t="s">
        <v>1010</v>
      </c>
      <c r="P2610" s="1" t="s">
        <v>401</v>
      </c>
      <c r="Q2610" s="63" t="str">
        <f>HYPERLINK("http://www.wwltv.com/story/news/crime/2015/04/28/nopd-on-scene-of-officer-needing-assistance/26555847/","http://www.wwltv.com/story/news/crime/2015/04/28/nopd-on-scene-of-officer-needing-assistance/26555847/")</f>
        <v>http://www.wwltv.com/story/news/crime/2015/04/28/nopd-on-scene-of-officer-needing-assistance/26555847/</v>
      </c>
      <c r="R2610" s="1" t="s">
        <v>100</v>
      </c>
      <c r="S2610" s="13" t="s">
        <v>28</v>
      </c>
      <c r="T2610" s="68" t="s">
        <v>27756</v>
      </c>
      <c r="U2610" s="68" t="s">
        <v>29438</v>
      </c>
      <c r="V2610" s="68" t="s">
        <v>29439</v>
      </c>
      <c r="W2610" s="68" t="s">
        <v>555</v>
      </c>
      <c r="X2610" s="68">
        <v>417</v>
      </c>
      <c r="AW2610" s="44"/>
      <c r="AX2610" s="44"/>
      <c r="AY2610" s="44"/>
      <c r="BC2610" s="44"/>
      <c r="BD2610" s="44"/>
      <c r="BE2610" s="44"/>
      <c r="BF2610" s="44"/>
      <c r="BG2610" s="44"/>
      <c r="BH2610" s="44"/>
      <c r="BI2610" s="44"/>
      <c r="BJ2610" s="44"/>
      <c r="BK2610" s="44"/>
    </row>
    <row r="2611" spans="1:63" ht="12" customHeight="1" x14ac:dyDescent="0.15">
      <c r="A2611" s="1" t="s">
        <v>2586</v>
      </c>
      <c r="B2611" s="68">
        <v>58</v>
      </c>
      <c r="C2611" s="1" t="s">
        <v>20</v>
      </c>
      <c r="D2611" s="1" t="s">
        <v>37</v>
      </c>
      <c r="E2611" s="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2611" s="69">
        <v>42122</v>
      </c>
      <c r="G2611" s="1" t="s">
        <v>2587</v>
      </c>
      <c r="H2611" s="1" t="s">
        <v>2588</v>
      </c>
      <c r="I2611" s="1" t="s">
        <v>81</v>
      </c>
      <c r="J2611" s="4">
        <v>44907</v>
      </c>
      <c r="K2611" s="1" t="s">
        <v>2589</v>
      </c>
      <c r="L2611" s="1" t="s">
        <v>2590</v>
      </c>
      <c r="M2611" s="1" t="s">
        <v>27</v>
      </c>
      <c r="N2611" s="1" t="s">
        <v>2591</v>
      </c>
      <c r="O2611" s="1" t="s">
        <v>1010</v>
      </c>
      <c r="P2611" s="1" t="s">
        <v>401</v>
      </c>
      <c r="Q2611" s="6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2611" s="1" t="s">
        <v>100</v>
      </c>
      <c r="S2611" s="13" t="s">
        <v>28</v>
      </c>
      <c r="T2611" s="68" t="s">
        <v>27756</v>
      </c>
      <c r="U2611" s="68" t="s">
        <v>29438</v>
      </c>
      <c r="V2611" s="68" t="s">
        <v>29439</v>
      </c>
      <c r="W2611" s="68" t="s">
        <v>100</v>
      </c>
      <c r="X2611" s="68">
        <v>413</v>
      </c>
      <c r="BK2611" s="44"/>
    </row>
    <row r="2612" spans="1:63" ht="12" customHeight="1" x14ac:dyDescent="0.2">
      <c r="A2612" s="1" t="s">
        <v>2581</v>
      </c>
      <c r="B2612" s="68">
        <v>27</v>
      </c>
      <c r="C2612" s="1" t="s">
        <v>20</v>
      </c>
      <c r="D2612" s="1" t="s">
        <v>37</v>
      </c>
      <c r="E2612" s="1" t="str">
        <f>HYPERLINK("http://www.kfvs12.com/story/28915534/1-dead-after-standoff-in-marion","http://www.kfvs12.com/story/28915534/1-dead-after-standoff-in-marion")</f>
        <v>http://www.kfvs12.com/story/28915534/1-dead-after-standoff-in-marion</v>
      </c>
      <c r="F2612" s="69">
        <v>42122</v>
      </c>
      <c r="G2612" s="1" t="s">
        <v>2582</v>
      </c>
      <c r="H2612" s="1" t="s">
        <v>420</v>
      </c>
      <c r="I2612" s="1" t="s">
        <v>44</v>
      </c>
      <c r="J2612" s="4">
        <v>62959</v>
      </c>
      <c r="K2612" s="1" t="s">
        <v>2583</v>
      </c>
      <c r="L2612" s="1" t="s">
        <v>2584</v>
      </c>
      <c r="M2612" s="1" t="s">
        <v>27</v>
      </c>
      <c r="N2612" s="1" t="s">
        <v>2585</v>
      </c>
      <c r="O2612" s="1" t="s">
        <v>1010</v>
      </c>
      <c r="P2612" s="1" t="s">
        <v>401</v>
      </c>
      <c r="Q2612" s="63" t="str">
        <f>HYPERLINK("http://www.kfvs12.com/story/28915534/1-dead-after-standoff-in-marion","http://www.kfvs12.com/story/28915534/1-dead-after-standoff-in-marion")</f>
        <v>http://www.kfvs12.com/story/28915534/1-dead-after-standoff-in-marion</v>
      </c>
      <c r="R2612" s="68" t="s">
        <v>555</v>
      </c>
      <c r="S2612" s="13" t="s">
        <v>28</v>
      </c>
      <c r="T2612" s="68" t="s">
        <v>27756</v>
      </c>
      <c r="U2612" s="68" t="s">
        <v>29438</v>
      </c>
      <c r="V2612" s="68" t="s">
        <v>29439</v>
      </c>
      <c r="W2612" s="68" t="s">
        <v>100</v>
      </c>
      <c r="X2612" s="68">
        <v>420</v>
      </c>
      <c r="AW2612" s="44"/>
      <c r="BA2612" s="70"/>
      <c r="BB2612" s="44"/>
      <c r="BK2612" s="44"/>
    </row>
    <row r="2613" spans="1:63" ht="12" customHeight="1" x14ac:dyDescent="0.2">
      <c r="A2613" s="1" t="s">
        <v>2592</v>
      </c>
      <c r="B2613" s="68">
        <v>20</v>
      </c>
      <c r="C2613" s="1" t="s">
        <v>20</v>
      </c>
      <c r="D2613" s="1" t="s">
        <v>85</v>
      </c>
      <c r="F2613" s="69">
        <v>42121</v>
      </c>
      <c r="G2613" s="1" t="s">
        <v>2593</v>
      </c>
      <c r="H2613" s="1" t="s">
        <v>444</v>
      </c>
      <c r="I2613" s="1" t="s">
        <v>57</v>
      </c>
      <c r="J2613" s="4">
        <v>48228</v>
      </c>
      <c r="K2613" s="1" t="s">
        <v>1128</v>
      </c>
      <c r="L2613" s="1" t="s">
        <v>19413</v>
      </c>
      <c r="M2613" s="1" t="s">
        <v>27</v>
      </c>
      <c r="N2613" s="1" t="s">
        <v>2594</v>
      </c>
      <c r="O2613" s="1" t="s">
        <v>1010</v>
      </c>
      <c r="P2613" s="1" t="s">
        <v>401</v>
      </c>
      <c r="Q2613" s="63" t="str">
        <f>HYPERLINK("http://america.aljazeera.com/articles/2015/4/29/terrance-kellom-shot-dead-in-detroit-by-ice-agent.html","http://america.aljazeera.com/articles/2015/4/29/terrance-kellom-shot-dead-in-detroit-by-ice-agent.html")</f>
        <v>http://america.aljazeera.com/articles/2015/4/29/terrance-kellom-shot-dead-in-detroit-by-ice-agent.html</v>
      </c>
      <c r="R2613" s="1" t="s">
        <v>100</v>
      </c>
      <c r="S2613" s="1" t="s">
        <v>28</v>
      </c>
      <c r="T2613" s="68" t="s">
        <v>29497</v>
      </c>
      <c r="U2613" s="68" t="s">
        <v>29436</v>
      </c>
      <c r="V2613" s="68" t="s">
        <v>29439</v>
      </c>
      <c r="W2613" s="68" t="s">
        <v>100</v>
      </c>
      <c r="X2613" s="68">
        <v>405</v>
      </c>
      <c r="AW2613" s="70"/>
      <c r="AX2613" s="70"/>
      <c r="AY2613" s="70"/>
      <c r="BC2613" s="44"/>
      <c r="BD2613" s="44"/>
      <c r="BE2613" s="44"/>
      <c r="BF2613" s="44"/>
      <c r="BG2613" s="44"/>
      <c r="BH2613" s="44"/>
      <c r="BI2613" s="44"/>
      <c r="BJ2613" s="44"/>
      <c r="BK2613" s="44"/>
    </row>
    <row r="2614" spans="1:63" ht="12" customHeight="1" x14ac:dyDescent="0.15">
      <c r="A2614" s="1" t="s">
        <v>2595</v>
      </c>
      <c r="B2614" s="68">
        <v>45</v>
      </c>
      <c r="C2614" s="1" t="s">
        <v>20</v>
      </c>
      <c r="D2614" s="1" t="s">
        <v>37</v>
      </c>
      <c r="E2614" s="1" t="s">
        <v>2596</v>
      </c>
      <c r="F2614" s="69">
        <v>42120</v>
      </c>
      <c r="G2614" s="1" t="s">
        <v>2597</v>
      </c>
      <c r="H2614" s="1" t="s">
        <v>2598</v>
      </c>
      <c r="I2614" s="1" t="s">
        <v>45</v>
      </c>
      <c r="J2614" s="4">
        <v>92708</v>
      </c>
      <c r="K2614" s="1" t="s">
        <v>1061</v>
      </c>
      <c r="L2614" s="1" t="s">
        <v>2599</v>
      </c>
      <c r="M2614" s="1" t="s">
        <v>27</v>
      </c>
      <c r="N2614" s="1" t="s">
        <v>2600</v>
      </c>
      <c r="O2614" s="1" t="s">
        <v>1010</v>
      </c>
      <c r="P2614" s="1" t="s">
        <v>401</v>
      </c>
      <c r="Q2614" s="63" t="str">
        <f>HYPERLINK("http://abc7.com/news/burglary-suspect-killed-in-officer-involved-shooting-in-fountain-valley/682399/","http://abc7.com/news/burglary-suspect-killed-in-officer-involved-shooting-in-fountain-valley/682399/")</f>
        <v>http://abc7.com/news/burglary-suspect-killed-in-officer-involved-shooting-in-fountain-valley/682399/</v>
      </c>
      <c r="R2614" s="1" t="s">
        <v>100</v>
      </c>
      <c r="S2614" s="13" t="s">
        <v>28</v>
      </c>
      <c r="T2614" s="68" t="s">
        <v>27756</v>
      </c>
      <c r="U2614" s="68" t="s">
        <v>29438</v>
      </c>
      <c r="V2614" s="68" t="s">
        <v>29439</v>
      </c>
      <c r="W2614" s="68" t="s">
        <v>100</v>
      </c>
      <c r="X2614" s="68">
        <v>407</v>
      </c>
      <c r="BK2614" s="44"/>
    </row>
    <row r="2615" spans="1:63" ht="12" customHeight="1" x14ac:dyDescent="0.15">
      <c r="A2615" s="1" t="s">
        <v>2601</v>
      </c>
      <c r="B2615" s="68">
        <v>76</v>
      </c>
      <c r="C2615" s="1" t="s">
        <v>20</v>
      </c>
      <c r="D2615" s="1" t="s">
        <v>37</v>
      </c>
      <c r="F2615" s="69">
        <v>42120</v>
      </c>
      <c r="G2615" s="1" t="s">
        <v>2602</v>
      </c>
      <c r="H2615" s="1" t="s">
        <v>2603</v>
      </c>
      <c r="I2615" s="1" t="s">
        <v>45</v>
      </c>
      <c r="J2615" s="4" t="s">
        <v>2604</v>
      </c>
      <c r="K2615" s="1" t="s">
        <v>1712</v>
      </c>
      <c r="L2615" s="1" t="s">
        <v>2605</v>
      </c>
      <c r="M2615" s="1" t="s">
        <v>27</v>
      </c>
      <c r="N2615" s="1" t="s">
        <v>2606</v>
      </c>
      <c r="O2615" s="1" t="s">
        <v>400</v>
      </c>
      <c r="P2615" s="1" t="s">
        <v>401</v>
      </c>
      <c r="Q2615" s="63" t="s">
        <v>2607</v>
      </c>
      <c r="R2615" s="1" t="s">
        <v>29</v>
      </c>
      <c r="S2615" s="13" t="s">
        <v>28</v>
      </c>
      <c r="T2615" s="68" t="s">
        <v>27756</v>
      </c>
      <c r="U2615" s="68" t="s">
        <v>29438</v>
      </c>
      <c r="V2615" s="68" t="s">
        <v>29439</v>
      </c>
      <c r="W2615" s="68" t="s">
        <v>100</v>
      </c>
      <c r="X2615" s="68">
        <v>406</v>
      </c>
      <c r="BK2615" s="44"/>
    </row>
    <row r="2616" spans="1:63" ht="12" customHeight="1" x14ac:dyDescent="0.15">
      <c r="A2616" s="1" t="s">
        <v>2608</v>
      </c>
      <c r="B2616" s="68">
        <v>29</v>
      </c>
      <c r="C2616" s="1" t="s">
        <v>20</v>
      </c>
      <c r="D2616" s="1" t="s">
        <v>37</v>
      </c>
      <c r="E2616" s="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2616" s="69">
        <v>42120</v>
      </c>
      <c r="H2616" s="1" t="s">
        <v>2609</v>
      </c>
      <c r="I2616" s="1" t="s">
        <v>395</v>
      </c>
      <c r="J2616" s="4">
        <v>74931</v>
      </c>
      <c r="K2616" s="1" t="s">
        <v>2610</v>
      </c>
      <c r="L2616" s="1" t="s">
        <v>2611</v>
      </c>
      <c r="M2616" s="1" t="s">
        <v>27</v>
      </c>
      <c r="N2616" s="1" t="s">
        <v>2612</v>
      </c>
      <c r="O2616" s="1" t="s">
        <v>2613</v>
      </c>
      <c r="P2616" s="1" t="s">
        <v>401</v>
      </c>
      <c r="Q2616" s="63" t="s">
        <v>2614</v>
      </c>
      <c r="R2616" s="1" t="s">
        <v>29</v>
      </c>
      <c r="S2616" s="13" t="s">
        <v>18</v>
      </c>
      <c r="T2616" s="68" t="s">
        <v>28345</v>
      </c>
      <c r="U2616" s="68" t="s">
        <v>29438</v>
      </c>
      <c r="V2616" s="68" t="s">
        <v>29439</v>
      </c>
      <c r="W2616" s="68" t="s">
        <v>100</v>
      </c>
      <c r="X2616" s="68">
        <v>404</v>
      </c>
      <c r="AW2616" s="44"/>
    </row>
    <row r="2617" spans="1:63" ht="12" customHeight="1" x14ac:dyDescent="0.15">
      <c r="A2617" s="1" t="s">
        <v>2620</v>
      </c>
      <c r="B2617" s="68">
        <v>24</v>
      </c>
      <c r="C2617" s="1" t="s">
        <v>20</v>
      </c>
      <c r="D2617" s="1" t="s">
        <v>85</v>
      </c>
      <c r="E2617" s="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2617" s="69">
        <v>42119</v>
      </c>
      <c r="G2617" s="1" t="s">
        <v>2621</v>
      </c>
      <c r="H2617" s="1" t="s">
        <v>754</v>
      </c>
      <c r="I2617" s="1" t="s">
        <v>423</v>
      </c>
      <c r="J2617" s="4" t="s">
        <v>2622</v>
      </c>
      <c r="K2617" s="1" t="s">
        <v>754</v>
      </c>
      <c r="L2617" s="1" t="s">
        <v>582</v>
      </c>
      <c r="M2617" s="1" t="s">
        <v>27</v>
      </c>
      <c r="N2617" s="1" t="s">
        <v>2623</v>
      </c>
      <c r="O2617" s="1" t="s">
        <v>1010</v>
      </c>
      <c r="P2617" s="1" t="s">
        <v>401</v>
      </c>
      <c r="Q2617" s="63" t="str">
        <f>HYPERLINK("http://www.nydailynews.com/new-york/cops-shoot-man-east-village-altercation-police-article-1.2198797","http://www.nydailynews.com/new-york/cops-shoot-man-east-village-altercation-police-article-1.2198797")</f>
        <v>http://www.nydailynews.com/new-york/cops-shoot-man-east-village-altercation-police-article-1.2198797</v>
      </c>
      <c r="R2617" s="1" t="s">
        <v>555</v>
      </c>
      <c r="S2617" s="13" t="s">
        <v>18</v>
      </c>
      <c r="T2617" s="68" t="s">
        <v>28345</v>
      </c>
      <c r="U2617" s="68" t="s">
        <v>29438</v>
      </c>
      <c r="V2617" s="68" t="s">
        <v>29440</v>
      </c>
      <c r="W2617" s="68" t="s">
        <v>100</v>
      </c>
      <c r="X2617" s="68">
        <v>411</v>
      </c>
      <c r="AW2617" s="11"/>
      <c r="AX2617" s="44"/>
      <c r="AY2617" s="44"/>
      <c r="BA2617" s="11"/>
      <c r="BB2617" s="44"/>
      <c r="BC2617" s="44"/>
      <c r="BD2617" s="44"/>
      <c r="BE2617" s="44"/>
      <c r="BF2617" s="44"/>
      <c r="BG2617" s="44"/>
      <c r="BH2617" s="44"/>
      <c r="BI2617" s="44"/>
      <c r="BJ2617" s="44"/>
    </row>
    <row r="2618" spans="1:63" ht="12" customHeight="1" x14ac:dyDescent="0.15">
      <c r="A2618" s="1" t="s">
        <v>2624</v>
      </c>
      <c r="B2618" s="68">
        <v>58</v>
      </c>
      <c r="C2618" s="1" t="s">
        <v>20</v>
      </c>
      <c r="D2618" s="1" t="s">
        <v>37</v>
      </c>
      <c r="E2618" s="1" t="s">
        <v>2625</v>
      </c>
      <c r="F2618" s="69">
        <v>42119</v>
      </c>
      <c r="G2618" s="1" t="s">
        <v>2626</v>
      </c>
      <c r="H2618" s="1" t="s">
        <v>2627</v>
      </c>
      <c r="I2618" s="1" t="s">
        <v>62</v>
      </c>
      <c r="J2618" s="4">
        <v>34711</v>
      </c>
      <c r="K2618" s="1" t="s">
        <v>1256</v>
      </c>
      <c r="L2618" s="1" t="s">
        <v>1257</v>
      </c>
      <c r="M2618" s="1" t="s">
        <v>27</v>
      </c>
      <c r="N2618" s="1" t="s">
        <v>2628</v>
      </c>
      <c r="O2618" s="1" t="s">
        <v>1010</v>
      </c>
      <c r="P2618" s="1" t="s">
        <v>401</v>
      </c>
      <c r="Q2618" s="63" t="str">
        <f>HYPERLINK("http://www.wftv.com/news/news/local/1-fatally-shot-lake-county-deputy-involved-shootin/nk3ng/","http://www.wftv.com/news/news/local/1-fatally-shot-lake-county-deputy-involved-shootin/nk3ng/")</f>
        <v>http://www.wftv.com/news/news/local/1-fatally-shot-lake-county-deputy-involved-shootin/nk3ng/</v>
      </c>
      <c r="R2618" s="68" t="s">
        <v>555</v>
      </c>
      <c r="S2618" s="13" t="s">
        <v>28</v>
      </c>
      <c r="T2618" s="68" t="s">
        <v>29493</v>
      </c>
      <c r="U2618" s="68" t="s">
        <v>29436</v>
      </c>
      <c r="V2618" s="68" t="s">
        <v>29439</v>
      </c>
      <c r="W2618" s="68" t="s">
        <v>100</v>
      </c>
      <c r="X2618" s="68">
        <v>414</v>
      </c>
      <c r="BA2618" s="44"/>
      <c r="BB2618" s="11"/>
      <c r="BK2618" s="44"/>
    </row>
    <row r="2619" spans="1:63" ht="12" customHeight="1" x14ac:dyDescent="0.2">
      <c r="A2619" s="1" t="s">
        <v>2615</v>
      </c>
      <c r="B2619" s="68">
        <v>25</v>
      </c>
      <c r="C2619" s="1" t="s">
        <v>20</v>
      </c>
      <c r="D2619" s="1" t="s">
        <v>37</v>
      </c>
      <c r="E2619" s="1" t="str">
        <f>HYPERLINK("https://www.victoriaadvocate.com/news/2015/apr/27/parents-of-veteran-fatally-shot-by-police-seek-ans/","https://www.victoriaadvocate.com/news/2015/apr/27/parents-of-veteran-fatally-shot-by-police-seek-ans/")</f>
        <v>https://www.victoriaadvocate.com/news/2015/apr/27/parents-of-veteran-fatally-shot-by-police-seek-ans/</v>
      </c>
      <c r="F2619" s="69">
        <v>42119</v>
      </c>
      <c r="G2619" s="1" t="s">
        <v>2616</v>
      </c>
      <c r="H2619" s="1" t="s">
        <v>2617</v>
      </c>
      <c r="I2619" s="1" t="s">
        <v>73</v>
      </c>
      <c r="J2619" s="4">
        <v>77904</v>
      </c>
      <c r="K2619" s="1" t="s">
        <v>2617</v>
      </c>
      <c r="L2619" s="1" t="s">
        <v>2618</v>
      </c>
      <c r="M2619" s="1" t="s">
        <v>27</v>
      </c>
      <c r="N2619" s="1" t="s">
        <v>2619</v>
      </c>
      <c r="O2619" s="1" t="s">
        <v>1010</v>
      </c>
      <c r="P2619" s="1" t="s">
        <v>401</v>
      </c>
      <c r="Q2619" s="63" t="str">
        <f>HYPERLINK("https://www.victoriaadvocate.com/news/2015/apr/27/parents-of-veteran-fatally-shot-by-police-seek-ans/","https://www.victoriaadvocate.com/news/2015/apr/27/parents-of-veteran-fatally-shot-by-police-seek-ans/")</f>
        <v>https://www.victoriaadvocate.com/news/2015/apr/27/parents-of-veteran-fatally-shot-by-police-seek-ans/</v>
      </c>
      <c r="R2619" s="68" t="s">
        <v>555</v>
      </c>
      <c r="S2619" s="13" t="s">
        <v>28</v>
      </c>
      <c r="T2619" s="68" t="s">
        <v>29459</v>
      </c>
      <c r="U2619" s="68" t="s">
        <v>29436</v>
      </c>
      <c r="V2619" s="68" t="s">
        <v>29439</v>
      </c>
      <c r="W2619" s="68" t="s">
        <v>555</v>
      </c>
      <c r="X2619" s="68">
        <v>408</v>
      </c>
      <c r="AW2619" s="44"/>
      <c r="BA2619" s="70"/>
      <c r="BB2619" s="44"/>
      <c r="BK2619" s="44"/>
    </row>
    <row r="2620" spans="1:63" ht="12" customHeight="1" x14ac:dyDescent="0.2">
      <c r="A2620" s="1" t="s">
        <v>2629</v>
      </c>
      <c r="B2620" s="68">
        <v>20</v>
      </c>
      <c r="C2620" s="1" t="s">
        <v>20</v>
      </c>
      <c r="D2620" s="1" t="s">
        <v>85</v>
      </c>
      <c r="E2620" s="1" t="s">
        <v>2630</v>
      </c>
      <c r="F2620" s="69">
        <v>42118</v>
      </c>
      <c r="G2620" s="1" t="s">
        <v>2631</v>
      </c>
      <c r="H2620" s="1" t="s">
        <v>2632</v>
      </c>
      <c r="I2620" s="1" t="s">
        <v>209</v>
      </c>
      <c r="J2620" s="4">
        <v>81082</v>
      </c>
      <c r="K2620" s="1" t="s">
        <v>2633</v>
      </c>
      <c r="L2620" s="1" t="s">
        <v>2634</v>
      </c>
      <c r="M2620" s="1" t="s">
        <v>27</v>
      </c>
      <c r="N2620" s="1" t="s">
        <v>2635</v>
      </c>
      <c r="O2620" s="1" t="s">
        <v>1010</v>
      </c>
      <c r="P2620" s="1" t="s">
        <v>401</v>
      </c>
      <c r="Q2620" s="63" t="str">
        <f>HYPERLINK("http://www.kktv.com/home/headlines/Deadly-Officer-Involved-Shooting-in-Trinidad-301252451.html","http://www.kktv.com/home/headlines/Deadly-Officer-Involved-Shooting-in-Trinidad-301252451.html")</f>
        <v>http://www.kktv.com/home/headlines/Deadly-Officer-Involved-Shooting-in-Trinidad-301252451.html</v>
      </c>
      <c r="R2620" s="1" t="s">
        <v>100</v>
      </c>
      <c r="S2620" s="13" t="s">
        <v>28</v>
      </c>
      <c r="T2620" s="68" t="s">
        <v>27756</v>
      </c>
      <c r="U2620" s="68" t="s">
        <v>29438</v>
      </c>
      <c r="V2620" s="68" t="s">
        <v>29440</v>
      </c>
      <c r="W2620" s="68" t="s">
        <v>555</v>
      </c>
      <c r="X2620" s="68">
        <v>412</v>
      </c>
      <c r="AW2620" s="70"/>
      <c r="AX2620" s="70"/>
      <c r="AY2620" s="70"/>
      <c r="BC2620" s="44"/>
      <c r="BD2620" s="44"/>
      <c r="BE2620" s="44"/>
      <c r="BF2620" s="44"/>
      <c r="BG2620" s="44"/>
      <c r="BH2620" s="44"/>
      <c r="BI2620" s="44"/>
      <c r="BJ2620" s="44"/>
      <c r="BK2620" s="44"/>
    </row>
    <row r="2621" spans="1:63" ht="12" customHeight="1" x14ac:dyDescent="0.15">
      <c r="A2621" s="1" t="s">
        <v>2649</v>
      </c>
      <c r="B2621" s="68">
        <v>49</v>
      </c>
      <c r="C2621" s="1" t="s">
        <v>20</v>
      </c>
      <c r="D2621" s="1" t="s">
        <v>37</v>
      </c>
      <c r="E2621" s="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2621" s="69">
        <v>42118</v>
      </c>
      <c r="G2621" s="1" t="s">
        <v>2650</v>
      </c>
      <c r="H2621" s="1" t="s">
        <v>2651</v>
      </c>
      <c r="I2621" s="1" t="s">
        <v>117</v>
      </c>
      <c r="J2621" s="4">
        <v>97302</v>
      </c>
      <c r="K2621" s="1" t="s">
        <v>420</v>
      </c>
      <c r="L2621" s="1" t="s">
        <v>2652</v>
      </c>
      <c r="M2621" s="1" t="s">
        <v>27</v>
      </c>
      <c r="N2621" s="1" t="s">
        <v>2653</v>
      </c>
      <c r="O2621" s="1" t="s">
        <v>1010</v>
      </c>
      <c r="P2621" s="1" t="s">
        <v>401</v>
      </c>
      <c r="Q2621" s="6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2621" s="1" t="s">
        <v>100</v>
      </c>
      <c r="S2621" s="13" t="s">
        <v>28</v>
      </c>
      <c r="T2621" s="68" t="s">
        <v>27756</v>
      </c>
      <c r="U2621" s="68" t="s">
        <v>29438</v>
      </c>
      <c r="V2621" s="68" t="s">
        <v>29439</v>
      </c>
      <c r="W2621" s="68" t="s">
        <v>100</v>
      </c>
      <c r="X2621" s="68">
        <v>402</v>
      </c>
      <c r="BB2621" s="64"/>
      <c r="BK2621" s="44"/>
    </row>
    <row r="2622" spans="1:63" ht="12" customHeight="1" x14ac:dyDescent="0.15">
      <c r="A2622" s="1" t="s">
        <v>2636</v>
      </c>
      <c r="B2622" s="1">
        <v>28</v>
      </c>
      <c r="C2622" s="1" t="s">
        <v>20</v>
      </c>
      <c r="D2622" s="1" t="s">
        <v>85</v>
      </c>
      <c r="F2622" s="72">
        <v>42118</v>
      </c>
      <c r="G2622" s="1" t="s">
        <v>2637</v>
      </c>
      <c r="H2622" s="1" t="s">
        <v>2638</v>
      </c>
      <c r="I2622" s="1" t="s">
        <v>366</v>
      </c>
      <c r="J2622" s="4" t="s">
        <v>2639</v>
      </c>
      <c r="K2622" s="1" t="s">
        <v>2640</v>
      </c>
      <c r="L2622" s="1" t="s">
        <v>2641</v>
      </c>
      <c r="M2622" s="1" t="s">
        <v>379</v>
      </c>
      <c r="N2622" s="1" t="s">
        <v>2642</v>
      </c>
      <c r="O2622" s="1" t="s">
        <v>1010</v>
      </c>
      <c r="P2622" s="1" t="s">
        <v>401</v>
      </c>
      <c r="Q2622" s="63" t="s">
        <v>2643</v>
      </c>
      <c r="R2622" s="1" t="s">
        <v>100</v>
      </c>
      <c r="S2622" s="66" t="s">
        <v>379</v>
      </c>
      <c r="T2622" s="66" t="s">
        <v>30738</v>
      </c>
      <c r="AX2622" s="44"/>
      <c r="AY2622" s="44"/>
      <c r="BC2622" s="44"/>
      <c r="BD2622" s="44"/>
      <c r="BE2622" s="44"/>
      <c r="BF2622" s="44"/>
      <c r="BG2622" s="44"/>
      <c r="BH2622" s="44"/>
      <c r="BI2622" s="44"/>
      <c r="BJ2622" s="44"/>
    </row>
    <row r="2623" spans="1:63" ht="12" customHeight="1" x14ac:dyDescent="0.15">
      <c r="A2623" s="1" t="s">
        <v>2644</v>
      </c>
      <c r="B2623" s="1">
        <v>29</v>
      </c>
      <c r="C2623" s="1" t="s">
        <v>114</v>
      </c>
      <c r="D2623" s="1" t="s">
        <v>85</v>
      </c>
      <c r="F2623" s="72">
        <v>42118</v>
      </c>
      <c r="G2623" s="1" t="s">
        <v>2637</v>
      </c>
      <c r="H2623" s="1" t="s">
        <v>2638</v>
      </c>
      <c r="I2623" s="1" t="s">
        <v>366</v>
      </c>
      <c r="J2623" s="4" t="s">
        <v>2639</v>
      </c>
      <c r="K2623" s="1" t="s">
        <v>2640</v>
      </c>
      <c r="L2623" s="1" t="s">
        <v>2641</v>
      </c>
      <c r="M2623" s="1" t="s">
        <v>379</v>
      </c>
      <c r="N2623" s="1" t="s">
        <v>2642</v>
      </c>
      <c r="O2623" s="1" t="s">
        <v>1010</v>
      </c>
      <c r="P2623" s="1" t="s">
        <v>401</v>
      </c>
      <c r="Q2623" s="63" t="s">
        <v>2643</v>
      </c>
      <c r="R2623" s="1" t="s">
        <v>100</v>
      </c>
      <c r="S2623" s="66" t="s">
        <v>379</v>
      </c>
      <c r="T2623" s="66" t="s">
        <v>30738</v>
      </c>
      <c r="AX2623" s="44"/>
      <c r="AY2623" s="44"/>
      <c r="BC2623" s="44"/>
      <c r="BD2623" s="44"/>
      <c r="BE2623" s="44"/>
      <c r="BF2623" s="44"/>
      <c r="BG2623" s="44"/>
      <c r="BH2623" s="44"/>
      <c r="BI2623" s="44"/>
      <c r="BJ2623" s="44"/>
    </row>
    <row r="2624" spans="1:63" ht="12" customHeight="1" x14ac:dyDescent="0.15">
      <c r="A2624" s="1" t="s">
        <v>2666</v>
      </c>
      <c r="B2624" s="68">
        <v>46</v>
      </c>
      <c r="C2624" s="1" t="s">
        <v>114</v>
      </c>
      <c r="D2624" s="68" t="s">
        <v>37</v>
      </c>
      <c r="F2624" s="69">
        <v>42118</v>
      </c>
      <c r="G2624" s="1" t="s">
        <v>2667</v>
      </c>
      <c r="H2624" s="1" t="s">
        <v>2668</v>
      </c>
      <c r="I2624" s="1" t="s">
        <v>45</v>
      </c>
      <c r="J2624" s="4">
        <v>95472</v>
      </c>
      <c r="K2624" s="1" t="s">
        <v>2669</v>
      </c>
      <c r="L2624" s="1" t="s">
        <v>2670</v>
      </c>
      <c r="M2624" s="1" t="s">
        <v>27</v>
      </c>
      <c r="N2624" s="1" t="s">
        <v>2671</v>
      </c>
      <c r="O2624" s="1" t="s">
        <v>1010</v>
      </c>
      <c r="P2624" s="1" t="s">
        <v>401</v>
      </c>
      <c r="Q2624" s="63" t="str">
        <f>HYPERLINK("http://sanfrancisco.cbslocal.com/2015/04/24/woman-shot-deputies-sonoma-county-chase-dies/","http://sanfrancisco.cbslocal.com/2015/04/24/woman-shot-deputies-sonoma-county-chase-dies/")</f>
        <v>http://sanfrancisco.cbslocal.com/2015/04/24/woman-shot-deputies-sonoma-county-chase-dies/</v>
      </c>
      <c r="R2624" s="1" t="s">
        <v>100</v>
      </c>
      <c r="S2624" s="13" t="s">
        <v>379</v>
      </c>
      <c r="T2624" s="68" t="s">
        <v>379</v>
      </c>
      <c r="U2624" s="68" t="s">
        <v>29438</v>
      </c>
      <c r="V2624" s="68" t="s">
        <v>29437</v>
      </c>
      <c r="W2624" s="68" t="s">
        <v>100</v>
      </c>
      <c r="X2624" s="68">
        <v>401</v>
      </c>
      <c r="BK2624" s="44"/>
    </row>
    <row r="2625" spans="1:63" ht="12" customHeight="1" x14ac:dyDescent="0.15">
      <c r="A2625" s="1" t="s">
        <v>2645</v>
      </c>
      <c r="B2625" s="68">
        <v>63</v>
      </c>
      <c r="C2625" s="1" t="s">
        <v>20</v>
      </c>
      <c r="D2625" s="1" t="s">
        <v>37</v>
      </c>
      <c r="F2625" s="69">
        <v>42118</v>
      </c>
      <c r="G2625" s="1" t="s">
        <v>2646</v>
      </c>
      <c r="H2625" s="1" t="s">
        <v>213</v>
      </c>
      <c r="I2625" s="1" t="s">
        <v>69</v>
      </c>
      <c r="J2625" s="4">
        <v>74354</v>
      </c>
      <c r="K2625" s="1" t="s">
        <v>2647</v>
      </c>
      <c r="L2625" s="1" t="s">
        <v>2045</v>
      </c>
      <c r="M2625" s="1" t="s">
        <v>27</v>
      </c>
      <c r="N2625" s="1" t="s">
        <v>2648</v>
      </c>
      <c r="O2625" s="1" t="s">
        <v>2613</v>
      </c>
      <c r="P2625" s="1" t="s">
        <v>401</v>
      </c>
      <c r="Q2625" s="63" t="str">
        <f>HYPERLINK("http://www.miamiok.com/news/article_7116fd15-d23e-59c9-aa7e-043ec0f3871f.html","http://www.miamiok.com/news/article_7116fd15-d23e-59c9-aa7e-043ec0f3871f.html")</f>
        <v>http://www.miamiok.com/news/article_7116fd15-d23e-59c9-aa7e-043ec0f3871f.html</v>
      </c>
      <c r="R2625" s="1" t="s">
        <v>29</v>
      </c>
      <c r="S2625" s="13" t="s">
        <v>28</v>
      </c>
      <c r="T2625" s="68" t="s">
        <v>27756</v>
      </c>
      <c r="U2625" s="68" t="s">
        <v>29438</v>
      </c>
      <c r="V2625" s="68" t="s">
        <v>29437</v>
      </c>
      <c r="W2625" s="68" t="s">
        <v>100</v>
      </c>
      <c r="X2625" s="68">
        <v>403</v>
      </c>
      <c r="BK2625" s="44"/>
    </row>
    <row r="2626" spans="1:63" ht="12" customHeight="1" x14ac:dyDescent="0.15">
      <c r="A2626" s="1" t="s">
        <v>2654</v>
      </c>
      <c r="B2626" s="1">
        <v>48</v>
      </c>
      <c r="C2626" s="1" t="s">
        <v>20</v>
      </c>
      <c r="D2626" s="1" t="s">
        <v>85</v>
      </c>
      <c r="E2626" s="1" t="s">
        <v>2655</v>
      </c>
      <c r="F2626" s="72">
        <v>42117</v>
      </c>
      <c r="G2626" s="1" t="s">
        <v>2656</v>
      </c>
      <c r="H2626" s="1" t="s">
        <v>723</v>
      </c>
      <c r="I2626" s="1" t="s">
        <v>73</v>
      </c>
      <c r="J2626" s="4">
        <v>77033</v>
      </c>
      <c r="K2626" s="1" t="s">
        <v>558</v>
      </c>
      <c r="L2626" s="1" t="s">
        <v>724</v>
      </c>
      <c r="M2626" s="1" t="s">
        <v>379</v>
      </c>
      <c r="N2626" s="1" t="s">
        <v>2657</v>
      </c>
      <c r="O2626" s="1" t="s">
        <v>1010</v>
      </c>
      <c r="P2626" s="1" t="s">
        <v>401</v>
      </c>
      <c r="Q2626" s="63" t="str">
        <f>HYPERLINK("http://abc13.com/news/hpd-officer-hits-kills-bicyclist-in-southeast-houston/677753/","http://abc13.com/news/hpd-officer-hits-kills-bicyclist-in-southeast-houston/677753/")</f>
        <v>http://abc13.com/news/hpd-officer-hits-kills-bicyclist-in-southeast-houston/677753/</v>
      </c>
      <c r="R2626" s="1" t="s">
        <v>100</v>
      </c>
      <c r="S2626" s="13" t="s">
        <v>18</v>
      </c>
      <c r="AX2626" s="44"/>
      <c r="AY2626" s="44"/>
      <c r="BC2626" s="44"/>
      <c r="BD2626" s="44"/>
      <c r="BE2626" s="44"/>
      <c r="BF2626" s="44"/>
      <c r="BG2626" s="44"/>
      <c r="BH2626" s="44"/>
      <c r="BI2626" s="44"/>
      <c r="BJ2626" s="44"/>
    </row>
    <row r="2627" spans="1:63" ht="12" customHeight="1" x14ac:dyDescent="0.15">
      <c r="A2627" s="1" t="s">
        <v>2684</v>
      </c>
      <c r="B2627" s="68">
        <v>51</v>
      </c>
      <c r="C2627" s="1" t="s">
        <v>20</v>
      </c>
      <c r="D2627" s="1" t="s">
        <v>37</v>
      </c>
      <c r="E2627" s="1" t="str">
        <f>HYPERLINK("http://www.newson6.com/story/28881786/choctaw-county-law-enforcement-officers-shot-serving-warrant","http://www.newson6.com/story/28881786/choctaw-county-law-enforcement-officers-shot-serving-warrant")</f>
        <v>http://www.newson6.com/story/28881786/choctaw-county-law-enforcement-officers-shot-serving-warrant</v>
      </c>
      <c r="F2627" s="69">
        <v>42117</v>
      </c>
      <c r="G2627" s="1" t="s">
        <v>2685</v>
      </c>
      <c r="H2627" s="1" t="s">
        <v>2686</v>
      </c>
      <c r="I2627" s="1" t="s">
        <v>395</v>
      </c>
      <c r="J2627" s="4" t="s">
        <v>2687</v>
      </c>
      <c r="K2627" s="1" t="s">
        <v>1145</v>
      </c>
      <c r="L2627" s="1" t="s">
        <v>2688</v>
      </c>
      <c r="M2627" s="1" t="s">
        <v>27</v>
      </c>
      <c r="N2627" s="1" t="s">
        <v>2689</v>
      </c>
      <c r="O2627" s="1" t="s">
        <v>1010</v>
      </c>
      <c r="P2627" s="1" t="s">
        <v>401</v>
      </c>
      <c r="Q2627" s="63" t="str">
        <f>HYPERLINK("http://www.newson6.com/story/28881786/choctaw-county-law-enforcement-officers-shot-serving-warrant","http://www.newson6.com/story/28881786/choctaw-county-law-enforcement-officers-shot-serving-warrant")</f>
        <v>http://www.newson6.com/story/28881786/choctaw-county-law-enforcement-officers-shot-serving-warrant</v>
      </c>
      <c r="R2627" s="1" t="s">
        <v>100</v>
      </c>
      <c r="S2627" s="13" t="s">
        <v>28</v>
      </c>
      <c r="T2627" s="68" t="s">
        <v>27756</v>
      </c>
      <c r="U2627" s="68" t="s">
        <v>29438</v>
      </c>
      <c r="V2627" s="68" t="s">
        <v>29439</v>
      </c>
      <c r="W2627" s="68" t="s">
        <v>100</v>
      </c>
      <c r="X2627" s="68">
        <v>400</v>
      </c>
      <c r="BK2627" s="44"/>
    </row>
    <row r="2628" spans="1:63" ht="12" customHeight="1" x14ac:dyDescent="0.2">
      <c r="A2628" s="1" t="s">
        <v>2658</v>
      </c>
      <c r="B2628" s="68">
        <v>19</v>
      </c>
      <c r="C2628" s="1" t="s">
        <v>20</v>
      </c>
      <c r="D2628" s="1" t="s">
        <v>48</v>
      </c>
      <c r="E2628" s="1" t="s">
        <v>2659</v>
      </c>
      <c r="F2628" s="69">
        <v>42117</v>
      </c>
      <c r="G2628" s="1" t="s">
        <v>2660</v>
      </c>
      <c r="H2628" s="1" t="s">
        <v>489</v>
      </c>
      <c r="I2628" s="1" t="s">
        <v>45</v>
      </c>
      <c r="J2628" s="4">
        <v>90813</v>
      </c>
      <c r="K2628" s="1" t="s">
        <v>98</v>
      </c>
      <c r="L2628" s="1" t="s">
        <v>490</v>
      </c>
      <c r="M2628" s="1" t="s">
        <v>27</v>
      </c>
      <c r="N2628" s="1" t="s">
        <v>2661</v>
      </c>
      <c r="O2628" s="1" t="s">
        <v>1010</v>
      </c>
      <c r="P2628" s="1" t="s">
        <v>401</v>
      </c>
      <c r="Q2628" s="6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2628" s="1" t="s">
        <v>100</v>
      </c>
      <c r="S2628" s="13" t="s">
        <v>18</v>
      </c>
      <c r="T2628" s="68" t="s">
        <v>28345</v>
      </c>
      <c r="U2628" s="68" t="s">
        <v>29436</v>
      </c>
      <c r="V2628" s="68" t="s">
        <v>29439</v>
      </c>
      <c r="W2628" s="68" t="s">
        <v>100</v>
      </c>
      <c r="X2628" s="68">
        <v>409</v>
      </c>
      <c r="AW2628" s="70"/>
    </row>
    <row r="2629" spans="1:63" ht="12" customHeight="1" x14ac:dyDescent="0.15">
      <c r="A2629" s="1" t="s">
        <v>2662</v>
      </c>
      <c r="B2629" s="68">
        <v>26</v>
      </c>
      <c r="C2629" s="1" t="s">
        <v>20</v>
      </c>
      <c r="D2629" s="1" t="s">
        <v>48</v>
      </c>
      <c r="F2629" s="69">
        <v>42117</v>
      </c>
      <c r="G2629" s="1" t="s">
        <v>2663</v>
      </c>
      <c r="H2629" s="1" t="s">
        <v>2664</v>
      </c>
      <c r="I2629" s="1" t="s">
        <v>45</v>
      </c>
      <c r="J2629" s="4">
        <v>91342</v>
      </c>
      <c r="K2629" s="1" t="s">
        <v>98</v>
      </c>
      <c r="L2629" s="1" t="s">
        <v>99</v>
      </c>
      <c r="M2629" s="1" t="s">
        <v>27</v>
      </c>
      <c r="N2629" s="1" t="s">
        <v>2665</v>
      </c>
      <c r="O2629" s="1" t="s">
        <v>1010</v>
      </c>
      <c r="P2629" s="1" t="s">
        <v>401</v>
      </c>
      <c r="Q2629" s="63" t="str">
        <f>HYPERLINK("http://www.latimes.com/local/lanow/la-me-ln-lapd-shoots-sylmar-gunman-20150423-story.html","http://www.latimes.com/local/lanow/la-me-ln-lapd-shoots-sylmar-gunman-20150423-story.html")</f>
        <v>http://www.latimes.com/local/lanow/la-me-ln-lapd-shoots-sylmar-gunman-20150423-story.html</v>
      </c>
      <c r="R2629" s="1" t="s">
        <v>555</v>
      </c>
      <c r="S2629" s="13" t="s">
        <v>28</v>
      </c>
      <c r="T2629" s="68" t="s">
        <v>27756</v>
      </c>
      <c r="U2629" s="68" t="s">
        <v>29438</v>
      </c>
      <c r="V2629" s="68" t="s">
        <v>29439</v>
      </c>
      <c r="W2629" s="68" t="s">
        <v>100</v>
      </c>
      <c r="X2629" s="68">
        <v>392</v>
      </c>
      <c r="AW2629" s="44"/>
      <c r="BA2629" s="11"/>
      <c r="BB2629" s="44"/>
      <c r="BK2629" s="44"/>
    </row>
    <row r="2630" spans="1:63" ht="12" customHeight="1" x14ac:dyDescent="0.15">
      <c r="A2630" s="1" t="s">
        <v>2677</v>
      </c>
      <c r="B2630" s="1">
        <v>33</v>
      </c>
      <c r="C2630" s="1" t="s">
        <v>20</v>
      </c>
      <c r="D2630" s="1" t="s">
        <v>37</v>
      </c>
      <c r="E2630" s="1" t="s">
        <v>2678</v>
      </c>
      <c r="F2630" s="72">
        <v>42117</v>
      </c>
      <c r="G2630" s="1" t="s">
        <v>2679</v>
      </c>
      <c r="H2630" s="1" t="s">
        <v>2680</v>
      </c>
      <c r="I2630" s="1" t="s">
        <v>69</v>
      </c>
      <c r="J2630" s="4">
        <v>43050</v>
      </c>
      <c r="K2630" s="1" t="s">
        <v>2681</v>
      </c>
      <c r="L2630" s="1" t="s">
        <v>2682</v>
      </c>
      <c r="M2630" s="1" t="s">
        <v>2291</v>
      </c>
      <c r="N2630" s="1" t="s">
        <v>2683</v>
      </c>
      <c r="O2630" s="1" t="s">
        <v>2613</v>
      </c>
      <c r="P2630" s="1" t="s">
        <v>401</v>
      </c>
      <c r="Q2630" s="63" t="str">
        <f>HYPERLINK("http://www.dispatch.com/content/stories/local/2015/04/27/Knox_County_jail_death.html","http://www.dispatch.com/content/stories/local/2015/04/27/Knox_County_jail_death.html")</f>
        <v>http://www.dispatch.com/content/stories/local/2015/04/27/Knox_County_jail_death.html</v>
      </c>
      <c r="R2630" s="1" t="s">
        <v>555</v>
      </c>
      <c r="S2630" s="13" t="s">
        <v>18</v>
      </c>
      <c r="AX2630" s="11"/>
      <c r="AY2630" s="11"/>
      <c r="AZ2630" s="11"/>
    </row>
    <row r="2631" spans="1:63" ht="12" customHeight="1" x14ac:dyDescent="0.15">
      <c r="A2631" s="1" t="s">
        <v>2704</v>
      </c>
      <c r="B2631" s="1">
        <v>27</v>
      </c>
      <c r="C2631" s="1" t="s">
        <v>20</v>
      </c>
      <c r="D2631" s="1" t="s">
        <v>48</v>
      </c>
      <c r="F2631" s="72">
        <v>42116</v>
      </c>
      <c r="G2631" s="1" t="s">
        <v>2705</v>
      </c>
      <c r="H2631" s="1" t="s">
        <v>1965</v>
      </c>
      <c r="I2631" s="1" t="s">
        <v>45</v>
      </c>
      <c r="J2631" s="4" t="s">
        <v>2706</v>
      </c>
      <c r="K2631" s="1" t="s">
        <v>309</v>
      </c>
      <c r="L2631" s="1" t="s">
        <v>733</v>
      </c>
      <c r="M2631" s="1" t="s">
        <v>27</v>
      </c>
      <c r="N2631" s="1" t="s">
        <v>2707</v>
      </c>
      <c r="O2631" s="1" t="s">
        <v>1010</v>
      </c>
      <c r="P2631" s="1" t="s">
        <v>401</v>
      </c>
      <c r="Q2631" s="63" t="str">
        <f>HYPERLINK("http://www.bakersfieldnow.com/news/local/Man-shot-in-Delano-300955291.html","http://www.bakersfieldnow.com/news/local/Man-shot-in-Delano-300955291.html")</f>
        <v>http://www.bakersfieldnow.com/news/local/Man-shot-in-Delano-300955291.html</v>
      </c>
      <c r="R2631" s="11" t="s">
        <v>964</v>
      </c>
      <c r="S2631" s="13" t="s">
        <v>18</v>
      </c>
      <c r="T2631" s="68"/>
      <c r="U2631" s="68"/>
      <c r="V2631" s="68"/>
      <c r="W2631" s="68"/>
      <c r="X2631" s="68"/>
    </row>
    <row r="2632" spans="1:63" ht="12" customHeight="1" x14ac:dyDescent="0.2">
      <c r="A2632" s="1" t="s">
        <v>2695</v>
      </c>
      <c r="B2632" s="68">
        <v>18</v>
      </c>
      <c r="C2632" s="1" t="s">
        <v>20</v>
      </c>
      <c r="D2632" s="1" t="s">
        <v>85</v>
      </c>
      <c r="E2632" s="1" t="s">
        <v>2696</v>
      </c>
      <c r="F2632" s="69">
        <v>42116</v>
      </c>
      <c r="G2632" s="1" t="s">
        <v>2697</v>
      </c>
      <c r="H2632" s="1" t="s">
        <v>2698</v>
      </c>
      <c r="I2632" s="1" t="s">
        <v>244</v>
      </c>
      <c r="J2632" s="4" t="s">
        <v>2699</v>
      </c>
      <c r="K2632" s="1" t="s">
        <v>2700</v>
      </c>
      <c r="L2632" s="1" t="s">
        <v>2701</v>
      </c>
      <c r="M2632" s="1" t="s">
        <v>27</v>
      </c>
      <c r="N2632" s="1" t="s">
        <v>2702</v>
      </c>
      <c r="O2632" s="1" t="s">
        <v>31003</v>
      </c>
      <c r="P2632" s="1" t="s">
        <v>31002</v>
      </c>
      <c r="Q2632" s="63" t="s">
        <v>2703</v>
      </c>
      <c r="R2632" s="1" t="s">
        <v>100</v>
      </c>
      <c r="S2632" s="13" t="s">
        <v>18</v>
      </c>
      <c r="T2632" s="68" t="s">
        <v>28345</v>
      </c>
      <c r="U2632" s="68" t="s">
        <v>29441</v>
      </c>
      <c r="V2632" s="68" t="s">
        <v>29439</v>
      </c>
      <c r="W2632" s="68" t="s">
        <v>100</v>
      </c>
      <c r="X2632" s="68">
        <v>391</v>
      </c>
      <c r="AW2632" s="70"/>
      <c r="AX2632" s="70"/>
      <c r="AY2632" s="70"/>
      <c r="BC2632" s="44"/>
      <c r="BD2632" s="44"/>
      <c r="BE2632" s="44"/>
      <c r="BF2632" s="44"/>
      <c r="BG2632" s="44"/>
      <c r="BH2632" s="44"/>
      <c r="BI2632" s="44"/>
      <c r="BJ2632" s="44"/>
    </row>
    <row r="2633" spans="1:63" ht="12" customHeight="1" x14ac:dyDescent="0.2">
      <c r="A2633" s="1" t="s">
        <v>2690</v>
      </c>
      <c r="B2633" s="68">
        <v>39</v>
      </c>
      <c r="C2633" s="1" t="s">
        <v>20</v>
      </c>
      <c r="D2633" s="1" t="s">
        <v>21</v>
      </c>
      <c r="F2633" s="69">
        <v>42116</v>
      </c>
      <c r="G2633" s="1" t="s">
        <v>2691</v>
      </c>
      <c r="H2633" s="1" t="s">
        <v>996</v>
      </c>
      <c r="I2633" s="1" t="s">
        <v>209</v>
      </c>
      <c r="J2633" s="4">
        <v>80303</v>
      </c>
      <c r="K2633" s="1" t="s">
        <v>996</v>
      </c>
      <c r="L2633" s="1" t="s">
        <v>2692</v>
      </c>
      <c r="M2633" s="1" t="s">
        <v>27</v>
      </c>
      <c r="N2633" s="1" t="s">
        <v>2693</v>
      </c>
      <c r="O2633" s="1" t="s">
        <v>550</v>
      </c>
      <c r="P2633" s="1" t="s">
        <v>401</v>
      </c>
      <c r="Q2633" s="63" t="s">
        <v>2694</v>
      </c>
      <c r="R2633" s="1" t="s">
        <v>100</v>
      </c>
      <c r="S2633" s="13" t="s">
        <v>28</v>
      </c>
      <c r="T2633" s="68" t="s">
        <v>27756</v>
      </c>
      <c r="U2633" s="68" t="s">
        <v>29438</v>
      </c>
      <c r="V2633" s="68" t="s">
        <v>29439</v>
      </c>
      <c r="W2633" s="68" t="s">
        <v>100</v>
      </c>
      <c r="X2633" s="68">
        <v>397</v>
      </c>
      <c r="AW2633" s="44"/>
      <c r="AX2633" s="70"/>
      <c r="AY2633" s="70"/>
      <c r="BC2633" s="70"/>
      <c r="BD2633" s="70"/>
      <c r="BE2633" s="70"/>
      <c r="BF2633" s="70"/>
      <c r="BG2633" s="70"/>
      <c r="BH2633" s="70"/>
      <c r="BI2633" s="70"/>
      <c r="BJ2633" s="70"/>
      <c r="BK2633" s="44"/>
    </row>
    <row r="2634" spans="1:63" ht="12" customHeight="1" x14ac:dyDescent="0.15">
      <c r="A2634" s="1" t="s">
        <v>2716</v>
      </c>
      <c r="B2634" s="68">
        <v>31</v>
      </c>
      <c r="C2634" s="1" t="s">
        <v>20</v>
      </c>
      <c r="D2634" s="1" t="s">
        <v>85</v>
      </c>
      <c r="E2634" s="1" t="s">
        <v>2717</v>
      </c>
      <c r="F2634" s="69">
        <v>42116</v>
      </c>
      <c r="G2634" s="1" t="s">
        <v>2718</v>
      </c>
      <c r="H2634" s="1" t="s">
        <v>926</v>
      </c>
      <c r="I2634" s="1" t="s">
        <v>73</v>
      </c>
      <c r="J2634" s="4">
        <v>76111</v>
      </c>
      <c r="K2634" s="1" t="s">
        <v>74</v>
      </c>
      <c r="L2634" s="1" t="s">
        <v>927</v>
      </c>
      <c r="M2634" s="1" t="s">
        <v>27</v>
      </c>
      <c r="N2634" s="1" t="s">
        <v>2719</v>
      </c>
      <c r="O2634" s="1" t="s">
        <v>1010</v>
      </c>
      <c r="P2634" s="1" t="s">
        <v>401</v>
      </c>
      <c r="Q2634" s="63" t="s">
        <v>2720</v>
      </c>
      <c r="R2634" s="1" t="s">
        <v>100</v>
      </c>
      <c r="S2634" s="13" t="s">
        <v>28</v>
      </c>
      <c r="T2634" s="68" t="s">
        <v>27756</v>
      </c>
      <c r="U2634" s="68" t="s">
        <v>29438</v>
      </c>
      <c r="V2634" s="68" t="s">
        <v>29440</v>
      </c>
      <c r="W2634" s="68" t="s">
        <v>100</v>
      </c>
      <c r="X2634" s="68">
        <v>396</v>
      </c>
      <c r="AW2634" s="11"/>
      <c r="AX2634" s="11"/>
      <c r="AY2634" s="11"/>
      <c r="BC2634" s="44"/>
      <c r="BD2634" s="44"/>
      <c r="BE2634" s="44"/>
      <c r="BF2634" s="44"/>
      <c r="BG2634" s="44"/>
      <c r="BH2634" s="44"/>
      <c r="BI2634" s="44"/>
      <c r="BJ2634" s="44"/>
      <c r="BK2634" s="44"/>
    </row>
    <row r="2635" spans="1:63" ht="12" customHeight="1" x14ac:dyDescent="0.15">
      <c r="A2635" s="1" t="s">
        <v>2708</v>
      </c>
      <c r="B2635" s="68">
        <v>51</v>
      </c>
      <c r="C2635" s="1" t="s">
        <v>20</v>
      </c>
      <c r="D2635" s="1" t="s">
        <v>48</v>
      </c>
      <c r="E2635" s="1" t="s">
        <v>2709</v>
      </c>
      <c r="F2635" s="69">
        <v>42116</v>
      </c>
      <c r="G2635" s="1" t="s">
        <v>2710</v>
      </c>
      <c r="H2635" s="1" t="s">
        <v>2711</v>
      </c>
      <c r="I2635" s="1" t="s">
        <v>123</v>
      </c>
      <c r="J2635" s="4" t="s">
        <v>2712</v>
      </c>
      <c r="K2635" s="1" t="s">
        <v>124</v>
      </c>
      <c r="L2635" s="1" t="s">
        <v>2713</v>
      </c>
      <c r="M2635" s="1" t="s">
        <v>27</v>
      </c>
      <c r="N2635" s="1" t="s">
        <v>2714</v>
      </c>
      <c r="O2635" s="1" t="s">
        <v>1010</v>
      </c>
      <c r="P2635" s="1" t="s">
        <v>401</v>
      </c>
      <c r="Q2635" s="63" t="s">
        <v>2715</v>
      </c>
      <c r="R2635" s="1" t="s">
        <v>555</v>
      </c>
      <c r="S2635" s="13" t="s">
        <v>28</v>
      </c>
      <c r="T2635" s="68" t="s">
        <v>29493</v>
      </c>
      <c r="U2635" s="68" t="s">
        <v>29436</v>
      </c>
      <c r="V2635" s="68" t="s">
        <v>29439</v>
      </c>
      <c r="W2635" s="68" t="s">
        <v>100</v>
      </c>
      <c r="X2635" s="68">
        <v>394</v>
      </c>
      <c r="BK2635" s="44"/>
    </row>
    <row r="2636" spans="1:63" ht="12" customHeight="1" x14ac:dyDescent="0.2">
      <c r="A2636" s="1" t="s">
        <v>2672</v>
      </c>
      <c r="B2636" s="68">
        <v>30</v>
      </c>
      <c r="C2636" s="1" t="s">
        <v>20</v>
      </c>
      <c r="D2636" s="1" t="s">
        <v>37</v>
      </c>
      <c r="E2636" s="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2636" s="69">
        <v>42116</v>
      </c>
      <c r="G2636" s="1" t="s">
        <v>2673</v>
      </c>
      <c r="H2636" s="1" t="s">
        <v>754</v>
      </c>
      <c r="I2636" s="1" t="s">
        <v>423</v>
      </c>
      <c r="J2636" s="4" t="s">
        <v>2674</v>
      </c>
      <c r="K2636" s="1" t="s">
        <v>2675</v>
      </c>
      <c r="L2636" s="1" t="s">
        <v>582</v>
      </c>
      <c r="M2636" s="1" t="s">
        <v>27</v>
      </c>
      <c r="N2636" s="1" t="s">
        <v>2676</v>
      </c>
      <c r="O2636" s="1" t="s">
        <v>1010</v>
      </c>
      <c r="P2636" s="1" t="s">
        <v>401</v>
      </c>
      <c r="Q2636" s="6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2636" s="68" t="s">
        <v>555</v>
      </c>
      <c r="S2636" s="13" t="s">
        <v>28</v>
      </c>
      <c r="T2636" s="68" t="s">
        <v>27756</v>
      </c>
      <c r="U2636" s="68" t="s">
        <v>29438</v>
      </c>
      <c r="V2636" s="68" t="s">
        <v>29440</v>
      </c>
      <c r="W2636" s="68" t="s">
        <v>100</v>
      </c>
      <c r="X2636" s="68">
        <v>395</v>
      </c>
      <c r="AW2636" s="11"/>
      <c r="BA2636" s="70"/>
      <c r="BB2636" s="70"/>
      <c r="BK2636" s="44"/>
    </row>
    <row r="2637" spans="1:63" ht="12" customHeight="1" x14ac:dyDescent="0.15">
      <c r="A2637" s="1" t="s">
        <v>2746</v>
      </c>
      <c r="B2637" s="1">
        <v>40</v>
      </c>
      <c r="C2637" s="1" t="s">
        <v>20</v>
      </c>
      <c r="D2637" s="1" t="s">
        <v>37</v>
      </c>
      <c r="E2637" s="1" t="s">
        <v>2747</v>
      </c>
      <c r="F2637" s="72">
        <v>42115</v>
      </c>
      <c r="G2637" s="1" t="s">
        <v>2748</v>
      </c>
      <c r="H2637" s="1" t="s">
        <v>2749</v>
      </c>
      <c r="I2637" s="1" t="s">
        <v>669</v>
      </c>
      <c r="J2637" s="4" t="s">
        <v>2750</v>
      </c>
      <c r="K2637" s="1" t="s">
        <v>2751</v>
      </c>
      <c r="L2637" s="1" t="s">
        <v>2752</v>
      </c>
      <c r="M2637" s="1" t="s">
        <v>391</v>
      </c>
      <c r="N2637" s="1" t="s">
        <v>2753</v>
      </c>
      <c r="O2637" s="1" t="s">
        <v>1010</v>
      </c>
      <c r="P2637" s="1" t="s">
        <v>401</v>
      </c>
      <c r="Q2637" s="63" t="str">
        <f>HYPERLINK("http://www.wtok.com/news/headlines/Lauderdale-County-Man-Dies-after-Arrest-300851931.html","http://www.wtok.com/news/headlines/Lauderdale-County-Man-Dies-after-Arrest-300851931.html")</f>
        <v>http://www.wtok.com/news/headlines/Lauderdale-County-Man-Dies-after-Arrest-300851931.html</v>
      </c>
      <c r="R2637" s="11" t="s">
        <v>964</v>
      </c>
      <c r="S2637" s="13" t="s">
        <v>18</v>
      </c>
      <c r="AU2637" s="11"/>
      <c r="AV2637" s="11"/>
      <c r="AW2637" s="11"/>
    </row>
    <row r="2638" spans="1:63" ht="12" customHeight="1" x14ac:dyDescent="0.15">
      <c r="A2638" s="1" t="s">
        <v>2730</v>
      </c>
      <c r="B2638" s="68">
        <v>35</v>
      </c>
      <c r="C2638" s="1" t="s">
        <v>20</v>
      </c>
      <c r="D2638" s="1" t="s">
        <v>85</v>
      </c>
      <c r="E2638" s="1" t="s">
        <v>2731</v>
      </c>
      <c r="F2638" s="69">
        <v>42115</v>
      </c>
      <c r="G2638" s="1" t="s">
        <v>2732</v>
      </c>
      <c r="H2638" s="1" t="s">
        <v>670</v>
      </c>
      <c r="I2638" s="1" t="s">
        <v>81</v>
      </c>
      <c r="J2638" s="4" t="s">
        <v>2733</v>
      </c>
      <c r="K2638" s="1" t="s">
        <v>670</v>
      </c>
      <c r="L2638" s="1" t="s">
        <v>2477</v>
      </c>
      <c r="M2638" s="1" t="s">
        <v>27</v>
      </c>
      <c r="N2638" s="1" t="s">
        <v>2734</v>
      </c>
      <c r="O2638" s="1" t="s">
        <v>1010</v>
      </c>
      <c r="P2638" s="1" t="s">
        <v>401</v>
      </c>
      <c r="Q2638" s="6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2638" s="1" t="s">
        <v>100</v>
      </c>
      <c r="S2638" s="13" t="s">
        <v>379</v>
      </c>
      <c r="T2638" s="68" t="s">
        <v>379</v>
      </c>
      <c r="U2638" s="68" t="s">
        <v>29438</v>
      </c>
      <c r="V2638" s="68" t="s">
        <v>29439</v>
      </c>
      <c r="W2638" s="68" t="s">
        <v>100</v>
      </c>
      <c r="X2638" s="68">
        <v>537</v>
      </c>
      <c r="AW2638" s="44"/>
      <c r="AX2638" s="11"/>
      <c r="AY2638" s="11"/>
      <c r="BC2638" s="11"/>
      <c r="BD2638" s="11"/>
      <c r="BE2638" s="11"/>
      <c r="BF2638" s="11"/>
      <c r="BG2638" s="11"/>
      <c r="BH2638" s="11"/>
      <c r="BI2638" s="11"/>
      <c r="BJ2638" s="11"/>
      <c r="BK2638" s="44"/>
    </row>
    <row r="2639" spans="1:63" ht="12" customHeight="1" x14ac:dyDescent="0.15">
      <c r="A2639" s="1" t="s">
        <v>2727</v>
      </c>
      <c r="B2639" s="1">
        <v>30</v>
      </c>
      <c r="C2639" s="1" t="s">
        <v>20</v>
      </c>
      <c r="D2639" s="1" t="s">
        <v>85</v>
      </c>
      <c r="E2639" s="1" t="str">
        <f>HYPERLINK("http://www.midhudsonnews.com/News/2015/April/24/Fishkill_inmate_Harrell-24Apr15.htm","http://www.midhudsonnews.com/News/2015/April/24/Fishkill_inmate_Harrell-24Apr15.htm")</f>
        <v>http://www.midhudsonnews.com/News/2015/April/24/Fishkill_inmate_Harrell-24Apr15.htm</v>
      </c>
      <c r="F2639" s="72">
        <v>42115</v>
      </c>
      <c r="G2639" s="1" t="s">
        <v>2728</v>
      </c>
      <c r="H2639" s="1" t="s">
        <v>2461</v>
      </c>
      <c r="I2639" s="1" t="s">
        <v>423</v>
      </c>
      <c r="J2639" s="4">
        <v>12508</v>
      </c>
      <c r="K2639" s="1" t="s">
        <v>2463</v>
      </c>
      <c r="L2639" s="1" t="s">
        <v>2729</v>
      </c>
      <c r="M2639" s="1" t="s">
        <v>2291</v>
      </c>
      <c r="N2639" s="1" t="s">
        <v>27090</v>
      </c>
      <c r="O2639" s="1" t="s">
        <v>1010</v>
      </c>
      <c r="P2639" s="1" t="s">
        <v>401</v>
      </c>
      <c r="Q2639" s="63" t="s">
        <v>20847</v>
      </c>
      <c r="R2639" s="1" t="s">
        <v>2286</v>
      </c>
      <c r="S2639" s="13" t="s">
        <v>18</v>
      </c>
      <c r="AX2639" s="11"/>
      <c r="AY2639" s="11"/>
      <c r="BC2639" s="44"/>
      <c r="BD2639" s="44"/>
      <c r="BE2639" s="44"/>
      <c r="BF2639" s="44"/>
      <c r="BG2639" s="44"/>
      <c r="BH2639" s="44"/>
      <c r="BI2639" s="44"/>
      <c r="BJ2639" s="44"/>
    </row>
    <row r="2640" spans="1:63" ht="12" customHeight="1" x14ac:dyDescent="0.15">
      <c r="A2640" s="1" t="s">
        <v>2735</v>
      </c>
      <c r="B2640" s="68">
        <v>35</v>
      </c>
      <c r="C2640" s="1" t="s">
        <v>20</v>
      </c>
      <c r="D2640" s="1" t="s">
        <v>48</v>
      </c>
      <c r="F2640" s="69">
        <v>42115</v>
      </c>
      <c r="G2640" s="1" t="s">
        <v>2736</v>
      </c>
      <c r="H2640" s="1" t="s">
        <v>98</v>
      </c>
      <c r="I2640" s="1" t="s">
        <v>45</v>
      </c>
      <c r="J2640" s="4" t="s">
        <v>2737</v>
      </c>
      <c r="K2640" s="1" t="s">
        <v>98</v>
      </c>
      <c r="L2640" s="1" t="s">
        <v>99</v>
      </c>
      <c r="M2640" s="1" t="s">
        <v>27</v>
      </c>
      <c r="N2640" s="1" t="s">
        <v>2738</v>
      </c>
      <c r="O2640" s="1" t="s">
        <v>1010</v>
      </c>
      <c r="P2640" s="1" t="s">
        <v>401</v>
      </c>
      <c r="Q2640" s="63" t="str">
        <f>HYPERLINK("http://www.latimes.com/local/lanow/la-me-ln-lapd-lincoln-heights-shooting-20150422-story.html","http://www.latimes.com/local/lanow/la-me-ln-lapd-lincoln-heights-shooting-20150422-story.html")</f>
        <v>http://www.latimes.com/local/lanow/la-me-ln-lapd-lincoln-heights-shooting-20150422-story.html</v>
      </c>
      <c r="R2640" s="1" t="s">
        <v>555</v>
      </c>
      <c r="S2640" s="13" t="s">
        <v>28</v>
      </c>
      <c r="T2640" s="68" t="s">
        <v>29493</v>
      </c>
      <c r="U2640" s="68" t="s">
        <v>29436</v>
      </c>
      <c r="V2640" s="68" t="s">
        <v>29439</v>
      </c>
      <c r="W2640" s="68" t="s">
        <v>100</v>
      </c>
      <c r="X2640" s="68">
        <v>495</v>
      </c>
      <c r="AW2640" s="11"/>
      <c r="BA2640" s="44"/>
      <c r="BB2640" s="44"/>
      <c r="BK2640" s="44"/>
    </row>
    <row r="2641" spans="1:63" ht="12" customHeight="1" x14ac:dyDescent="0.2">
      <c r="A2641" s="1" t="s">
        <v>2721</v>
      </c>
      <c r="B2641" s="68">
        <v>59</v>
      </c>
      <c r="C2641" s="1" t="s">
        <v>20</v>
      </c>
      <c r="D2641" s="1" t="s">
        <v>37</v>
      </c>
      <c r="F2641" s="69">
        <v>42115</v>
      </c>
      <c r="G2641" s="1" t="s">
        <v>2722</v>
      </c>
      <c r="H2641" s="1" t="s">
        <v>51</v>
      </c>
      <c r="I2641" s="1" t="s">
        <v>32</v>
      </c>
      <c r="J2641" s="4" t="s">
        <v>2723</v>
      </c>
      <c r="K2641" s="1" t="s">
        <v>1007</v>
      </c>
      <c r="L2641" s="1" t="s">
        <v>2724</v>
      </c>
      <c r="M2641" s="1" t="s">
        <v>27</v>
      </c>
      <c r="N2641" s="1" t="s">
        <v>2725</v>
      </c>
      <c r="O2641" s="1" t="s">
        <v>400</v>
      </c>
      <c r="P2641" s="1" t="s">
        <v>401</v>
      </c>
      <c r="Q2641" s="63" t="s">
        <v>2726</v>
      </c>
      <c r="R2641" s="68" t="s">
        <v>555</v>
      </c>
      <c r="S2641" s="13" t="s">
        <v>28</v>
      </c>
      <c r="T2641" s="68" t="s">
        <v>29493</v>
      </c>
      <c r="U2641" s="68" t="s">
        <v>29436</v>
      </c>
      <c r="V2641" s="68" t="s">
        <v>29439</v>
      </c>
      <c r="W2641" s="68" t="s">
        <v>100</v>
      </c>
      <c r="X2641" s="68">
        <v>398</v>
      </c>
      <c r="BA2641" s="70"/>
      <c r="BB2641" s="44"/>
      <c r="BK2641" s="44"/>
    </row>
    <row r="2642" spans="1:63" ht="12" customHeight="1" x14ac:dyDescent="0.15">
      <c r="A2642" s="1" t="s">
        <v>2739</v>
      </c>
      <c r="B2642" s="68">
        <v>37</v>
      </c>
      <c r="C2642" s="1" t="s">
        <v>20</v>
      </c>
      <c r="D2642" s="1" t="s">
        <v>139</v>
      </c>
      <c r="E2642" s="1" t="s">
        <v>2740</v>
      </c>
      <c r="F2642" s="69">
        <v>42115</v>
      </c>
      <c r="G2642" s="1" t="s">
        <v>2741</v>
      </c>
      <c r="H2642" s="1" t="s">
        <v>1433</v>
      </c>
      <c r="I2642" s="1" t="s">
        <v>303</v>
      </c>
      <c r="J2642" s="4" t="s">
        <v>2742</v>
      </c>
      <c r="K2642" s="1" t="s">
        <v>883</v>
      </c>
      <c r="L2642" s="1" t="s">
        <v>2743</v>
      </c>
      <c r="M2642" s="1" t="s">
        <v>27</v>
      </c>
      <c r="N2642" s="1" t="s">
        <v>2744</v>
      </c>
      <c r="O2642" s="1" t="s">
        <v>400</v>
      </c>
      <c r="P2642" s="1" t="s">
        <v>401</v>
      </c>
      <c r="Q2642" s="63" t="s">
        <v>2745</v>
      </c>
      <c r="R2642" s="68" t="s">
        <v>555</v>
      </c>
      <c r="S2642" s="13" t="s">
        <v>18</v>
      </c>
      <c r="T2642" s="68" t="s">
        <v>28345</v>
      </c>
      <c r="U2642" s="68" t="s">
        <v>29436</v>
      </c>
      <c r="V2642" s="68" t="s">
        <v>29440</v>
      </c>
      <c r="W2642" s="68" t="s">
        <v>100</v>
      </c>
      <c r="X2642" s="68">
        <v>393</v>
      </c>
      <c r="AW2642" s="44"/>
      <c r="BA2642" s="44"/>
      <c r="BB2642" s="11"/>
    </row>
    <row r="2643" spans="1:63" ht="12" customHeight="1" x14ac:dyDescent="0.15">
      <c r="A2643" s="1" t="s">
        <v>2754</v>
      </c>
      <c r="B2643" s="68">
        <v>25</v>
      </c>
      <c r="C2643" s="1" t="s">
        <v>20</v>
      </c>
      <c r="D2643" s="1" t="s">
        <v>48</v>
      </c>
      <c r="E2643" s="1" t="s">
        <v>2755</v>
      </c>
      <c r="F2643" s="69">
        <v>42114</v>
      </c>
      <c r="H2643" s="1" t="s">
        <v>2756</v>
      </c>
      <c r="I2643" s="1" t="s">
        <v>73</v>
      </c>
      <c r="J2643" s="4">
        <v>78574</v>
      </c>
      <c r="K2643" s="1" t="s">
        <v>1394</v>
      </c>
      <c r="L2643" s="1" t="s">
        <v>1395</v>
      </c>
      <c r="M2643" s="1" t="s">
        <v>27</v>
      </c>
      <c r="N2643" s="1" t="s">
        <v>2757</v>
      </c>
      <c r="O2643" s="1" t="s">
        <v>1010</v>
      </c>
      <c r="P2643" s="1" t="s">
        <v>401</v>
      </c>
      <c r="Q2643" s="63" t="s">
        <v>2758</v>
      </c>
      <c r="R2643" s="1" t="s">
        <v>100</v>
      </c>
      <c r="S2643" s="13" t="s">
        <v>28</v>
      </c>
      <c r="T2643" s="68" t="s">
        <v>27756</v>
      </c>
      <c r="U2643" s="68" t="s">
        <v>29436</v>
      </c>
      <c r="V2643" s="68" t="s">
        <v>29439</v>
      </c>
      <c r="W2643" s="68" t="s">
        <v>100</v>
      </c>
      <c r="X2643" s="68">
        <v>399</v>
      </c>
      <c r="AW2643" s="44"/>
      <c r="BK2643" s="44"/>
    </row>
    <row r="2644" spans="1:63" ht="12" customHeight="1" x14ac:dyDescent="0.15">
      <c r="A2644" s="1" t="s">
        <v>2772</v>
      </c>
      <c r="B2644" s="1">
        <v>33</v>
      </c>
      <c r="C2644" s="1" t="s">
        <v>20</v>
      </c>
      <c r="D2644" s="1" t="s">
        <v>85</v>
      </c>
      <c r="E2644" s="1" t="s">
        <v>2773</v>
      </c>
      <c r="F2644" s="72">
        <v>42113</v>
      </c>
      <c r="G2644" s="1" t="s">
        <v>2774</v>
      </c>
      <c r="H2644" s="1" t="s">
        <v>575</v>
      </c>
      <c r="I2644" s="1" t="s">
        <v>73</v>
      </c>
      <c r="J2644" s="4" t="s">
        <v>2775</v>
      </c>
      <c r="K2644" s="1" t="s">
        <v>576</v>
      </c>
      <c r="L2644" s="1" t="s">
        <v>577</v>
      </c>
      <c r="M2644" s="1" t="s">
        <v>391</v>
      </c>
      <c r="N2644" s="1" t="s">
        <v>2776</v>
      </c>
      <c r="O2644" s="1" t="s">
        <v>400</v>
      </c>
      <c r="P2644" s="1" t="s">
        <v>401</v>
      </c>
      <c r="Q2644" s="63" t="s">
        <v>2771</v>
      </c>
      <c r="R2644" s="11" t="s">
        <v>964</v>
      </c>
      <c r="S2644" s="13" t="s">
        <v>18</v>
      </c>
      <c r="AW2644" s="11"/>
      <c r="AX2644" s="44"/>
      <c r="AY2644" s="44"/>
      <c r="BC2644" s="44"/>
      <c r="BD2644" s="44"/>
      <c r="BE2644" s="44"/>
      <c r="BF2644" s="44"/>
      <c r="BG2644" s="44"/>
      <c r="BH2644" s="44"/>
      <c r="BI2644" s="44"/>
      <c r="BJ2644" s="44"/>
    </row>
    <row r="2645" spans="1:63" ht="12" customHeight="1" x14ac:dyDescent="0.15">
      <c r="A2645" s="1" t="s">
        <v>2766</v>
      </c>
      <c r="B2645" s="1">
        <v>25</v>
      </c>
      <c r="C2645" s="1" t="s">
        <v>20</v>
      </c>
      <c r="D2645" s="1" t="s">
        <v>85</v>
      </c>
      <c r="E2645" s="1" t="s">
        <v>2767</v>
      </c>
      <c r="F2645" s="72">
        <v>42113</v>
      </c>
      <c r="G2645" s="1" t="s">
        <v>2768</v>
      </c>
      <c r="H2645" s="1" t="s">
        <v>1592</v>
      </c>
      <c r="I2645" s="1" t="s">
        <v>52</v>
      </c>
      <c r="J2645" s="4" t="s">
        <v>2769</v>
      </c>
      <c r="K2645" s="1" t="s">
        <v>4697</v>
      </c>
      <c r="L2645" s="1" t="s">
        <v>2770</v>
      </c>
      <c r="M2645" s="1" t="s">
        <v>2291</v>
      </c>
      <c r="N2645" s="1" t="s">
        <v>20449</v>
      </c>
      <c r="O2645" s="1" t="s">
        <v>29627</v>
      </c>
      <c r="P2645" s="1" t="s">
        <v>29633</v>
      </c>
      <c r="Q2645" s="63" t="s">
        <v>20846</v>
      </c>
      <c r="R2645" s="1" t="s">
        <v>100</v>
      </c>
      <c r="S2645" s="13" t="s">
        <v>18</v>
      </c>
      <c r="AX2645" s="11"/>
      <c r="AY2645" s="11"/>
      <c r="BC2645" s="44"/>
      <c r="BD2645" s="44"/>
      <c r="BE2645" s="44"/>
      <c r="BF2645" s="44"/>
      <c r="BG2645" s="44"/>
      <c r="BH2645" s="44"/>
      <c r="BI2645" s="44"/>
      <c r="BJ2645" s="44"/>
    </row>
    <row r="2646" spans="1:63" ht="12" customHeight="1" x14ac:dyDescent="0.15">
      <c r="A2646" s="1" t="s">
        <v>2759</v>
      </c>
      <c r="B2646" s="68">
        <v>44</v>
      </c>
      <c r="C2646" s="1" t="s">
        <v>20</v>
      </c>
      <c r="D2646" s="1" t="s">
        <v>37</v>
      </c>
      <c r="E2646" s="1" t="s">
        <v>2760</v>
      </c>
      <c r="F2646" s="69">
        <v>42113</v>
      </c>
      <c r="G2646" s="1" t="s">
        <v>2761</v>
      </c>
      <c r="H2646" s="1" t="s">
        <v>2762</v>
      </c>
      <c r="I2646" s="1" t="s">
        <v>463</v>
      </c>
      <c r="J2646" s="4" t="s">
        <v>2763</v>
      </c>
      <c r="K2646" s="1" t="s">
        <v>1233</v>
      </c>
      <c r="L2646" s="1" t="s">
        <v>2764</v>
      </c>
      <c r="M2646" s="1" t="s">
        <v>27</v>
      </c>
      <c r="N2646" s="1" t="s">
        <v>2765</v>
      </c>
      <c r="O2646" s="1" t="s">
        <v>1010</v>
      </c>
      <c r="P2646" s="1" t="s">
        <v>401</v>
      </c>
      <c r="Q2646" s="6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2646" s="1" t="s">
        <v>100</v>
      </c>
      <c r="S2646" s="13" t="s">
        <v>28</v>
      </c>
      <c r="T2646" s="68" t="s">
        <v>29493</v>
      </c>
      <c r="U2646" s="68" t="s">
        <v>29438</v>
      </c>
      <c r="V2646" s="68" t="s">
        <v>29439</v>
      </c>
      <c r="W2646" s="68" t="s">
        <v>100</v>
      </c>
      <c r="X2646" s="68">
        <v>383</v>
      </c>
      <c r="BK2646" s="44"/>
    </row>
    <row r="2647" spans="1:63" ht="12" customHeight="1" x14ac:dyDescent="0.15">
      <c r="A2647" s="1" t="s">
        <v>2778</v>
      </c>
      <c r="B2647" s="68">
        <v>40</v>
      </c>
      <c r="C2647" s="1" t="s">
        <v>20</v>
      </c>
      <c r="D2647" s="1" t="s">
        <v>37</v>
      </c>
      <c r="F2647" s="69">
        <v>42113</v>
      </c>
      <c r="G2647" s="1" t="s">
        <v>2779</v>
      </c>
      <c r="H2647" s="1" t="s">
        <v>2780</v>
      </c>
      <c r="I2647" s="1" t="s">
        <v>315</v>
      </c>
      <c r="J2647" s="4" t="s">
        <v>2781</v>
      </c>
      <c r="K2647" s="1" t="s">
        <v>2782</v>
      </c>
      <c r="L2647" s="1" t="s">
        <v>2783</v>
      </c>
      <c r="M2647" s="1" t="s">
        <v>27</v>
      </c>
      <c r="N2647" s="1" t="s">
        <v>2784</v>
      </c>
      <c r="O2647" s="1" t="s">
        <v>1010</v>
      </c>
      <c r="P2647" s="1" t="s">
        <v>401</v>
      </c>
      <c r="Q2647" s="63" t="str">
        <f>HYPERLINK("http://www.kentucky.com/2015/04/19/3809168/wilmore-man-killed-by-police-had.html","http://www.kentucky.com/2015/04/19/3809168/wilmore-man-killed-by-police-had.html")</f>
        <v>http://www.kentucky.com/2015/04/19/3809168/wilmore-man-killed-by-police-had.html</v>
      </c>
      <c r="R2647" s="68" t="s">
        <v>555</v>
      </c>
      <c r="S2647" s="13" t="s">
        <v>28</v>
      </c>
      <c r="T2647" s="68" t="s">
        <v>27756</v>
      </c>
      <c r="U2647" s="68" t="s">
        <v>29438</v>
      </c>
      <c r="V2647" s="68" t="s">
        <v>29439</v>
      </c>
      <c r="W2647" s="68" t="s">
        <v>100</v>
      </c>
      <c r="X2647" s="68">
        <v>378</v>
      </c>
      <c r="BA2647" s="44"/>
      <c r="BB2647" s="11"/>
      <c r="BK2647" s="44"/>
    </row>
    <row r="2648" spans="1:63" ht="12" customHeight="1" x14ac:dyDescent="0.15">
      <c r="A2648" s="1" t="s">
        <v>20303</v>
      </c>
      <c r="B2648" s="1">
        <v>40</v>
      </c>
      <c r="C2648" s="1" t="s">
        <v>20</v>
      </c>
      <c r="D2648" s="1" t="s">
        <v>85</v>
      </c>
      <c r="E2648" s="1" t="s">
        <v>20304</v>
      </c>
      <c r="F2648" s="72">
        <v>42112</v>
      </c>
      <c r="G2648" s="1" t="s">
        <v>20305</v>
      </c>
      <c r="H2648" s="1" t="s">
        <v>51</v>
      </c>
      <c r="I2648" s="1" t="s">
        <v>319</v>
      </c>
      <c r="J2648" s="3" t="s">
        <v>1838</v>
      </c>
      <c r="K2648" s="2" t="s">
        <v>1839</v>
      </c>
      <c r="L2648" s="2" t="s">
        <v>1840</v>
      </c>
      <c r="M2648" s="2" t="s">
        <v>2291</v>
      </c>
      <c r="N2648" s="2" t="s">
        <v>20851</v>
      </c>
      <c r="O2648" s="2" t="s">
        <v>1010</v>
      </c>
      <c r="P2648" s="44" t="s">
        <v>401</v>
      </c>
      <c r="Q2648" s="7" t="s">
        <v>20306</v>
      </c>
      <c r="R2648" s="11" t="s">
        <v>964</v>
      </c>
      <c r="S2648" s="2" t="s">
        <v>18</v>
      </c>
      <c r="AX2648" s="11"/>
      <c r="AY2648" s="11"/>
      <c r="BC2648" s="44"/>
      <c r="BD2648" s="44"/>
      <c r="BE2648" s="44"/>
      <c r="BF2648" s="44"/>
      <c r="BG2648" s="44"/>
      <c r="BH2648" s="44"/>
      <c r="BI2648" s="44"/>
      <c r="BJ2648" s="44"/>
    </row>
    <row r="2649" spans="1:63" ht="12" customHeight="1" x14ac:dyDescent="0.15">
      <c r="A2649" s="1" t="s">
        <v>2806</v>
      </c>
      <c r="B2649" s="68">
        <v>45</v>
      </c>
      <c r="C2649" s="1" t="s">
        <v>20</v>
      </c>
      <c r="D2649" s="1" t="s">
        <v>37</v>
      </c>
      <c r="E2649" s="1" t="s">
        <v>2807</v>
      </c>
      <c r="F2649" s="69">
        <v>42112</v>
      </c>
      <c r="G2649" s="1" t="s">
        <v>2808</v>
      </c>
      <c r="H2649" s="1" t="s">
        <v>2809</v>
      </c>
      <c r="I2649" s="1" t="s">
        <v>62</v>
      </c>
      <c r="J2649" s="4" t="s">
        <v>2810</v>
      </c>
      <c r="K2649" s="1" t="s">
        <v>2811</v>
      </c>
      <c r="L2649" s="1" t="s">
        <v>2812</v>
      </c>
      <c r="M2649" s="1" t="s">
        <v>27</v>
      </c>
      <c r="N2649" s="1" t="s">
        <v>2813</v>
      </c>
      <c r="O2649" s="1" t="s">
        <v>1010</v>
      </c>
      <c r="P2649" s="1" t="s">
        <v>401</v>
      </c>
      <c r="Q2649" s="63" t="s">
        <v>2814</v>
      </c>
      <c r="R2649" s="1" t="s">
        <v>100</v>
      </c>
      <c r="S2649" s="13" t="s">
        <v>28</v>
      </c>
      <c r="T2649" s="68" t="s">
        <v>27756</v>
      </c>
      <c r="U2649" s="68" t="s">
        <v>29438</v>
      </c>
      <c r="V2649" s="68" t="s">
        <v>29439</v>
      </c>
      <c r="W2649" s="68" t="s">
        <v>100</v>
      </c>
      <c r="X2649" s="68">
        <v>379</v>
      </c>
      <c r="BK2649" s="11"/>
    </row>
    <row r="2650" spans="1:63" ht="12" customHeight="1" x14ac:dyDescent="0.15">
      <c r="A2650" s="1" t="s">
        <v>2801</v>
      </c>
      <c r="B2650" s="68">
        <v>43</v>
      </c>
      <c r="C2650" s="1" t="s">
        <v>20</v>
      </c>
      <c r="D2650" s="1" t="s">
        <v>48</v>
      </c>
      <c r="E2650" s="1" t="s">
        <v>2802</v>
      </c>
      <c r="F2650" s="69">
        <v>42112</v>
      </c>
      <c r="G2650" s="1" t="s">
        <v>2803</v>
      </c>
      <c r="H2650" s="1" t="s">
        <v>632</v>
      </c>
      <c r="I2650" s="1" t="s">
        <v>123</v>
      </c>
      <c r="J2650" s="4" t="s">
        <v>2804</v>
      </c>
      <c r="K2650" s="1" t="s">
        <v>633</v>
      </c>
      <c r="L2650" s="1" t="s">
        <v>634</v>
      </c>
      <c r="M2650" s="1" t="s">
        <v>27</v>
      </c>
      <c r="N2650" s="1" t="s">
        <v>2805</v>
      </c>
      <c r="O2650" s="1" t="s">
        <v>1010</v>
      </c>
      <c r="P2650" s="1" t="s">
        <v>401</v>
      </c>
      <c r="Q2650" s="6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2650" s="1" t="s">
        <v>555</v>
      </c>
      <c r="S2650" s="13" t="s">
        <v>28</v>
      </c>
      <c r="T2650" s="68" t="s">
        <v>27756</v>
      </c>
      <c r="U2650" s="68" t="s">
        <v>29438</v>
      </c>
      <c r="V2650" s="68" t="s">
        <v>29439</v>
      </c>
      <c r="W2650" s="68" t="s">
        <v>100</v>
      </c>
      <c r="X2650" s="68">
        <v>376</v>
      </c>
      <c r="BA2650" s="44"/>
      <c r="BB2650" s="44"/>
      <c r="BK2650" s="11"/>
    </row>
    <row r="2651" spans="1:63" ht="12" customHeight="1" x14ac:dyDescent="0.15">
      <c r="A2651" s="1" t="s">
        <v>2819</v>
      </c>
      <c r="B2651" s="1">
        <v>31</v>
      </c>
      <c r="C2651" s="1" t="s">
        <v>20</v>
      </c>
      <c r="D2651" s="1" t="s">
        <v>85</v>
      </c>
      <c r="F2651" s="72">
        <v>42111</v>
      </c>
      <c r="G2651" s="1" t="s">
        <v>2820</v>
      </c>
      <c r="H2651" s="1" t="s">
        <v>2821</v>
      </c>
      <c r="I2651" s="1" t="s">
        <v>52</v>
      </c>
      <c r="J2651" s="4" t="s">
        <v>2822</v>
      </c>
      <c r="K2651" s="1" t="s">
        <v>118</v>
      </c>
      <c r="L2651" s="1" t="s">
        <v>2823</v>
      </c>
      <c r="M2651" s="1" t="s">
        <v>391</v>
      </c>
      <c r="N2651" s="1" t="s">
        <v>2824</v>
      </c>
      <c r="O2651" s="1" t="s">
        <v>400</v>
      </c>
      <c r="P2651" s="1" t="s">
        <v>401</v>
      </c>
      <c r="Q2651" s="63" t="s">
        <v>2777</v>
      </c>
      <c r="R2651" s="11" t="s">
        <v>964</v>
      </c>
      <c r="S2651" s="13" t="s">
        <v>18</v>
      </c>
      <c r="AU2651" s="11"/>
      <c r="AV2651" s="11"/>
      <c r="AW2651" s="11"/>
      <c r="AX2651" s="44"/>
      <c r="AY2651" s="44"/>
      <c r="BC2651" s="44"/>
      <c r="BD2651" s="44"/>
      <c r="BE2651" s="44"/>
      <c r="BF2651" s="44"/>
      <c r="BG2651" s="44"/>
      <c r="BH2651" s="44"/>
      <c r="BI2651" s="44"/>
      <c r="BJ2651" s="44"/>
    </row>
    <row r="2652" spans="1:63" ht="12" customHeight="1" x14ac:dyDescent="0.2">
      <c r="A2652" s="1" t="s">
        <v>2815</v>
      </c>
      <c r="B2652" s="68">
        <v>18</v>
      </c>
      <c r="C2652" s="1" t="s">
        <v>20</v>
      </c>
      <c r="D2652" s="1" t="s">
        <v>85</v>
      </c>
      <c r="E2652" s="1" t="s">
        <v>2816</v>
      </c>
      <c r="F2652" s="69">
        <v>42111</v>
      </c>
      <c r="G2652" s="1" t="s">
        <v>2817</v>
      </c>
      <c r="H2652" s="1" t="s">
        <v>87</v>
      </c>
      <c r="I2652" s="1" t="s">
        <v>44</v>
      </c>
      <c r="J2652" s="4" t="s">
        <v>1677</v>
      </c>
      <c r="K2652" s="1" t="s">
        <v>88</v>
      </c>
      <c r="L2652" s="1" t="s">
        <v>89</v>
      </c>
      <c r="M2652" s="1" t="s">
        <v>27</v>
      </c>
      <c r="N2652" s="1" t="s">
        <v>2818</v>
      </c>
      <c r="O2652" s="1" t="s">
        <v>1010</v>
      </c>
      <c r="P2652" s="1" t="s">
        <v>401</v>
      </c>
      <c r="Q2652" s="6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2652" s="1" t="s">
        <v>100</v>
      </c>
      <c r="S2652" s="13" t="s">
        <v>28</v>
      </c>
      <c r="T2652" s="68" t="s">
        <v>27756</v>
      </c>
      <c r="U2652" s="68" t="s">
        <v>29438</v>
      </c>
      <c r="V2652" s="68" t="s">
        <v>29440</v>
      </c>
      <c r="W2652" s="68" t="s">
        <v>100</v>
      </c>
      <c r="X2652" s="68">
        <v>380</v>
      </c>
      <c r="AW2652" s="70"/>
      <c r="AX2652" s="70"/>
      <c r="AY2652" s="70"/>
      <c r="BC2652" s="44"/>
      <c r="BD2652" s="44"/>
      <c r="BE2652" s="44"/>
      <c r="BF2652" s="44"/>
      <c r="BG2652" s="44"/>
      <c r="BH2652" s="44"/>
      <c r="BI2652" s="44"/>
      <c r="BJ2652" s="44"/>
      <c r="BK2652" s="11"/>
    </row>
    <row r="2653" spans="1:63" ht="12" customHeight="1" x14ac:dyDescent="0.15">
      <c r="A2653" s="1" t="s">
        <v>2825</v>
      </c>
      <c r="B2653" s="68">
        <v>29</v>
      </c>
      <c r="C2653" s="1" t="s">
        <v>20</v>
      </c>
      <c r="D2653" s="1" t="s">
        <v>48</v>
      </c>
      <c r="E2653" s="1" t="s">
        <v>2826</v>
      </c>
      <c r="F2653" s="69">
        <v>42111</v>
      </c>
      <c r="G2653" s="1" t="s">
        <v>2827</v>
      </c>
      <c r="H2653" s="1" t="s">
        <v>782</v>
      </c>
      <c r="I2653" s="1" t="s">
        <v>45</v>
      </c>
      <c r="J2653" s="4" t="s">
        <v>2828</v>
      </c>
      <c r="K2653" s="1" t="s">
        <v>783</v>
      </c>
      <c r="L2653" s="1" t="s">
        <v>2829</v>
      </c>
      <c r="M2653" s="1" t="s">
        <v>27</v>
      </c>
      <c r="N2653" s="1" t="s">
        <v>2830</v>
      </c>
      <c r="O2653" s="1" t="s">
        <v>1010</v>
      </c>
      <c r="P2653" s="1" t="s">
        <v>401</v>
      </c>
      <c r="Q2653" s="63" t="str">
        <f>HYPERLINK("http://www.pe.com/articles/car-765208-officers-sheriff.html","http://www.pe.com/articles/car-765208-officers-sheriff.html")</f>
        <v>http://www.pe.com/articles/car-765208-officers-sheriff.html</v>
      </c>
      <c r="R2653" s="1" t="s">
        <v>100</v>
      </c>
      <c r="S2653" s="13" t="s">
        <v>28</v>
      </c>
      <c r="T2653" s="68" t="s">
        <v>27756</v>
      </c>
      <c r="U2653" s="68" t="s">
        <v>29438</v>
      </c>
      <c r="V2653" s="68" t="s">
        <v>29439</v>
      </c>
      <c r="W2653" s="68" t="s">
        <v>100</v>
      </c>
      <c r="X2653" s="68">
        <v>381</v>
      </c>
      <c r="AW2653" s="44"/>
      <c r="BK2653" s="11"/>
    </row>
    <row r="2654" spans="1:63" ht="12" customHeight="1" x14ac:dyDescent="0.15">
      <c r="A2654" s="1" t="s">
        <v>2794</v>
      </c>
      <c r="B2654" s="68">
        <v>23</v>
      </c>
      <c r="C2654" s="1" t="s">
        <v>20</v>
      </c>
      <c r="D2654" s="1" t="s">
        <v>85</v>
      </c>
      <c r="E2654" s="1" t="s">
        <v>2795</v>
      </c>
      <c r="F2654" s="69">
        <v>42111</v>
      </c>
      <c r="G2654" s="1" t="s">
        <v>2796</v>
      </c>
      <c r="H2654" s="1" t="s">
        <v>2797</v>
      </c>
      <c r="I2654" s="1" t="s">
        <v>431</v>
      </c>
      <c r="J2654" s="4" t="s">
        <v>2798</v>
      </c>
      <c r="K2654" s="1" t="s">
        <v>709</v>
      </c>
      <c r="L2654" s="1" t="s">
        <v>7158</v>
      </c>
      <c r="M2654" s="1" t="s">
        <v>27</v>
      </c>
      <c r="N2654" s="1" t="s">
        <v>2799</v>
      </c>
      <c r="O2654" s="1" t="s">
        <v>1010</v>
      </c>
      <c r="P2654" s="1" t="s">
        <v>401</v>
      </c>
      <c r="Q2654" s="63" t="s">
        <v>2800</v>
      </c>
      <c r="R2654" s="1" t="s">
        <v>555</v>
      </c>
      <c r="S2654" s="13" t="s">
        <v>28</v>
      </c>
      <c r="T2654" s="68" t="s">
        <v>29493</v>
      </c>
      <c r="U2654" s="68" t="s">
        <v>29436</v>
      </c>
      <c r="V2654" s="68" t="s">
        <v>29439</v>
      </c>
      <c r="W2654" s="68" t="s">
        <v>555</v>
      </c>
      <c r="X2654" s="68">
        <v>382</v>
      </c>
      <c r="AW2654" s="11"/>
      <c r="AX2654" s="44"/>
      <c r="AY2654" s="44"/>
      <c r="BA2654" s="44"/>
      <c r="BB2654" s="44"/>
      <c r="BC2654" s="44"/>
      <c r="BD2654" s="44"/>
      <c r="BE2654" s="44"/>
      <c r="BF2654" s="44"/>
      <c r="BG2654" s="44"/>
      <c r="BH2654" s="44"/>
      <c r="BI2654" s="44"/>
      <c r="BJ2654" s="44"/>
      <c r="BK2654" s="11"/>
    </row>
    <row r="2655" spans="1:63" ht="12" customHeight="1" x14ac:dyDescent="0.15">
      <c r="A2655" s="1" t="s">
        <v>2836</v>
      </c>
      <c r="B2655" s="68">
        <v>47</v>
      </c>
      <c r="C2655" s="1" t="s">
        <v>20</v>
      </c>
      <c r="D2655" s="1" t="s">
        <v>48</v>
      </c>
      <c r="F2655" s="69">
        <v>42110</v>
      </c>
      <c r="G2655" s="1" t="s">
        <v>2837</v>
      </c>
      <c r="H2655" s="1" t="s">
        <v>2838</v>
      </c>
      <c r="I2655" s="1" t="s">
        <v>45</v>
      </c>
      <c r="J2655" s="4" t="s">
        <v>2839</v>
      </c>
      <c r="K2655" s="1" t="s">
        <v>680</v>
      </c>
      <c r="L2655" s="1" t="s">
        <v>2840</v>
      </c>
      <c r="M2655" s="1" t="s">
        <v>27</v>
      </c>
      <c r="N2655" s="1" t="s">
        <v>2841</v>
      </c>
      <c r="O2655" s="1" t="s">
        <v>1010</v>
      </c>
      <c r="P2655" s="1" t="s">
        <v>401</v>
      </c>
      <c r="Q2655" s="6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2655" s="1" t="s">
        <v>100</v>
      </c>
      <c r="S2655" s="13" t="s">
        <v>28</v>
      </c>
      <c r="T2655" s="68" t="s">
        <v>29493</v>
      </c>
      <c r="U2655" s="68" t="s">
        <v>29436</v>
      </c>
      <c r="V2655" s="68" t="s">
        <v>29439</v>
      </c>
      <c r="W2655" s="68" t="s">
        <v>100</v>
      </c>
      <c r="X2655" s="68">
        <v>373</v>
      </c>
      <c r="BK2655" s="11"/>
    </row>
    <row r="2656" spans="1:63" ht="12" customHeight="1" x14ac:dyDescent="0.15">
      <c r="A2656" s="1" t="s">
        <v>2842</v>
      </c>
      <c r="B2656" s="1">
        <v>39</v>
      </c>
      <c r="C2656" s="1" t="s">
        <v>20</v>
      </c>
      <c r="D2656" s="1" t="s">
        <v>37</v>
      </c>
      <c r="E2656" s="1" t="s">
        <v>2843</v>
      </c>
      <c r="F2656" s="72">
        <v>42110</v>
      </c>
      <c r="G2656" s="1" t="s">
        <v>2844</v>
      </c>
      <c r="H2656" s="1" t="s">
        <v>2845</v>
      </c>
      <c r="I2656" s="1" t="s">
        <v>57</v>
      </c>
      <c r="J2656" s="4" t="s">
        <v>2846</v>
      </c>
      <c r="K2656" s="1" t="s">
        <v>1128</v>
      </c>
      <c r="L2656" s="1" t="s">
        <v>2847</v>
      </c>
      <c r="M2656" s="1" t="s">
        <v>391</v>
      </c>
      <c r="N2656" s="1" t="s">
        <v>2848</v>
      </c>
      <c r="O2656" s="1" t="s">
        <v>550</v>
      </c>
      <c r="P2656" s="1" t="s">
        <v>401</v>
      </c>
      <c r="Q2656" s="6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2656" s="1" t="s">
        <v>100</v>
      </c>
      <c r="S2656" s="13" t="s">
        <v>18</v>
      </c>
      <c r="AU2656" s="11"/>
      <c r="AV2656" s="11"/>
      <c r="AW2656" s="11"/>
    </row>
    <row r="2657" spans="1:63" ht="12" customHeight="1" x14ac:dyDescent="0.15">
      <c r="A2657" s="1" t="s">
        <v>2831</v>
      </c>
      <c r="B2657" s="1" t="s">
        <v>29</v>
      </c>
      <c r="C2657" s="1" t="s">
        <v>20</v>
      </c>
      <c r="D2657" s="1" t="s">
        <v>85</v>
      </c>
      <c r="F2657" s="72">
        <v>42110</v>
      </c>
      <c r="H2657" s="1" t="s">
        <v>20934</v>
      </c>
      <c r="I2657" s="1" t="s">
        <v>52</v>
      </c>
      <c r="J2657" s="4" t="s">
        <v>2832</v>
      </c>
      <c r="K2657" s="1" t="s">
        <v>2833</v>
      </c>
      <c r="L2657" s="1" t="s">
        <v>20935</v>
      </c>
      <c r="M2657" s="1" t="s">
        <v>379</v>
      </c>
      <c r="N2657" s="1" t="s">
        <v>2834</v>
      </c>
      <c r="O2657" s="1" t="s">
        <v>1010</v>
      </c>
      <c r="P2657" s="1" t="s">
        <v>401</v>
      </c>
      <c r="Q2657" s="63" t="s">
        <v>2835</v>
      </c>
      <c r="R2657" s="1" t="s">
        <v>100</v>
      </c>
      <c r="S2657" s="13" t="s">
        <v>379</v>
      </c>
      <c r="AX2657" s="44"/>
      <c r="AY2657" s="44"/>
      <c r="BC2657" s="44"/>
      <c r="BD2657" s="44"/>
      <c r="BE2657" s="44"/>
      <c r="BF2657" s="44"/>
      <c r="BG2657" s="44"/>
      <c r="BH2657" s="44"/>
      <c r="BI2657" s="44"/>
      <c r="BJ2657" s="44"/>
    </row>
    <row r="2658" spans="1:63" ht="12" customHeight="1" x14ac:dyDescent="0.15">
      <c r="A2658" s="1" t="s">
        <v>2884</v>
      </c>
      <c r="B2658" s="1">
        <v>28</v>
      </c>
      <c r="C2658" s="1" t="s">
        <v>20</v>
      </c>
      <c r="D2658" s="1" t="s">
        <v>37</v>
      </c>
      <c r="E2658" s="1" t="s">
        <v>2885</v>
      </c>
      <c r="F2658" s="72">
        <v>42109</v>
      </c>
      <c r="G2658" s="1" t="s">
        <v>2886</v>
      </c>
      <c r="H2658" s="1" t="s">
        <v>2887</v>
      </c>
      <c r="I2658" s="1" t="s">
        <v>45</v>
      </c>
      <c r="J2658" s="4" t="s">
        <v>2888</v>
      </c>
      <c r="K2658" s="1" t="s">
        <v>309</v>
      </c>
      <c r="L2658" s="1" t="s">
        <v>2889</v>
      </c>
      <c r="M2658" s="1" t="s">
        <v>2291</v>
      </c>
      <c r="N2658" s="1" t="s">
        <v>2890</v>
      </c>
      <c r="O2658" s="1" t="s">
        <v>400</v>
      </c>
      <c r="P2658" s="1" t="s">
        <v>401</v>
      </c>
      <c r="Q2658" s="63" t="str">
        <f>HYPERLINK("http://www.nbclosangeles.com/news/local/Highland-In-Custody-Death-Investigation-300128821.html","http://www.nbclosangeles.com/news/local/Highland-In-Custody-Death-Investigation-300128821.html")</f>
        <v>http://www.nbclosangeles.com/news/local/Highland-In-Custody-Death-Investigation-300128821.html</v>
      </c>
      <c r="R2658" s="11" t="s">
        <v>964</v>
      </c>
      <c r="S2658" s="13" t="s">
        <v>18</v>
      </c>
    </row>
    <row r="2659" spans="1:63" ht="12" customHeight="1" x14ac:dyDescent="0.15">
      <c r="A2659" s="1" t="s">
        <v>20849</v>
      </c>
      <c r="B2659" s="68">
        <v>41</v>
      </c>
      <c r="C2659" s="1" t="s">
        <v>20</v>
      </c>
      <c r="D2659" s="1" t="s">
        <v>85</v>
      </c>
      <c r="E2659" s="1" t="s">
        <v>2867</v>
      </c>
      <c r="F2659" s="69">
        <v>42109</v>
      </c>
      <c r="G2659" s="1" t="s">
        <v>2868</v>
      </c>
      <c r="H2659" s="1" t="s">
        <v>723</v>
      </c>
      <c r="I2659" s="1" t="s">
        <v>73</v>
      </c>
      <c r="J2659" s="4" t="s">
        <v>2869</v>
      </c>
      <c r="K2659" s="1" t="s">
        <v>558</v>
      </c>
      <c r="L2659" s="1" t="s">
        <v>559</v>
      </c>
      <c r="M2659" s="1" t="s">
        <v>27</v>
      </c>
      <c r="N2659" s="1" t="s">
        <v>2870</v>
      </c>
      <c r="O2659" s="1" t="s">
        <v>1010</v>
      </c>
      <c r="P2659" s="1" t="s">
        <v>401</v>
      </c>
      <c r="Q2659" s="63" t="s">
        <v>20848</v>
      </c>
      <c r="R2659" s="1" t="s">
        <v>100</v>
      </c>
      <c r="S2659" s="13" t="s">
        <v>18</v>
      </c>
      <c r="T2659" s="68" t="s">
        <v>28345</v>
      </c>
      <c r="U2659" s="68" t="s">
        <v>29436</v>
      </c>
      <c r="V2659" s="68" t="s">
        <v>29437</v>
      </c>
      <c r="W2659" s="68" t="s">
        <v>100</v>
      </c>
      <c r="X2659" s="68">
        <v>367</v>
      </c>
      <c r="AX2659" s="44"/>
      <c r="AY2659" s="44"/>
      <c r="BC2659" s="44"/>
      <c r="BD2659" s="44"/>
      <c r="BE2659" s="44"/>
      <c r="BF2659" s="44"/>
      <c r="BG2659" s="44"/>
      <c r="BH2659" s="44"/>
      <c r="BI2659" s="44"/>
      <c r="BJ2659" s="44"/>
    </row>
    <row r="2660" spans="1:63" ht="12" customHeight="1" x14ac:dyDescent="0.15">
      <c r="A2660" s="1" t="s">
        <v>2856</v>
      </c>
      <c r="B2660" s="68">
        <v>22</v>
      </c>
      <c r="C2660" s="1" t="s">
        <v>20</v>
      </c>
      <c r="D2660" s="1" t="s">
        <v>85</v>
      </c>
      <c r="E2660" s="1" t="s">
        <v>2857</v>
      </c>
      <c r="F2660" s="69">
        <v>42109</v>
      </c>
      <c r="G2660" s="1" t="s">
        <v>2858</v>
      </c>
      <c r="H2660" s="1" t="s">
        <v>213</v>
      </c>
      <c r="I2660" s="1" t="s">
        <v>62</v>
      </c>
      <c r="J2660" s="4" t="s">
        <v>2859</v>
      </c>
      <c r="K2660" s="1" t="s">
        <v>161</v>
      </c>
      <c r="L2660" s="1" t="s">
        <v>162</v>
      </c>
      <c r="M2660" s="1" t="s">
        <v>27</v>
      </c>
      <c r="N2660" s="1" t="s">
        <v>2860</v>
      </c>
      <c r="O2660" s="1" t="s">
        <v>1010</v>
      </c>
      <c r="P2660" s="1" t="s">
        <v>401</v>
      </c>
      <c r="Q2660" s="6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2660" s="1" t="s">
        <v>100</v>
      </c>
      <c r="S2660" s="13" t="s">
        <v>28</v>
      </c>
      <c r="T2660" s="68" t="s">
        <v>27756</v>
      </c>
      <c r="U2660" s="68" t="s">
        <v>29441</v>
      </c>
      <c r="V2660" s="68" t="s">
        <v>29440</v>
      </c>
      <c r="W2660" s="68" t="s">
        <v>100</v>
      </c>
      <c r="X2660" s="68">
        <v>365</v>
      </c>
      <c r="AW2660" s="44"/>
      <c r="AX2660" s="44"/>
      <c r="AY2660" s="44"/>
      <c r="BC2660" s="44"/>
      <c r="BD2660" s="44"/>
      <c r="BE2660" s="44"/>
      <c r="BF2660" s="44"/>
      <c r="BG2660" s="44"/>
      <c r="BH2660" s="44"/>
      <c r="BI2660" s="44"/>
      <c r="BJ2660" s="44"/>
      <c r="BK2660" s="11"/>
    </row>
    <row r="2661" spans="1:63" ht="12" customHeight="1" x14ac:dyDescent="0.15">
      <c r="A2661" s="1" t="s">
        <v>2861</v>
      </c>
      <c r="B2661" s="68">
        <v>41</v>
      </c>
      <c r="C2661" s="1" t="s">
        <v>20</v>
      </c>
      <c r="D2661" s="1" t="s">
        <v>85</v>
      </c>
      <c r="E2661" s="1" t="str">
        <f>HYPERLINK("http://www.brownrobinson.com/obituary/4199/Donte_Noble","http://www.brownrobinson.com/obituary/4199/Donte_Noble")</f>
        <v>http://www.brownrobinson.com/obituary/4199/Donte_Noble</v>
      </c>
      <c r="F2661" s="69">
        <v>42109</v>
      </c>
      <c r="G2661" s="1" t="s">
        <v>2862</v>
      </c>
      <c r="H2661" s="1" t="s">
        <v>2863</v>
      </c>
      <c r="I2661" s="1" t="s">
        <v>32</v>
      </c>
      <c r="J2661" s="4" t="s">
        <v>2864</v>
      </c>
      <c r="K2661" s="1" t="s">
        <v>2863</v>
      </c>
      <c r="L2661" s="1" t="s">
        <v>2865</v>
      </c>
      <c r="M2661" s="1" t="s">
        <v>27</v>
      </c>
      <c r="N2661" s="1" t="s">
        <v>2866</v>
      </c>
      <c r="O2661" s="1" t="s">
        <v>1010</v>
      </c>
      <c r="P2661" s="1" t="s">
        <v>401</v>
      </c>
      <c r="Q2661" s="63" t="str">
        <f>HYPERLINK("http://www.wyff4.com/news/police-find-man-stabbing-wife-shoot-kill-him/32384112","http://www.wyff4.com/news/police-find-man-stabbing-wife-shoot-kill-him/32384112")</f>
        <v>http://www.wyff4.com/news/police-find-man-stabbing-wife-shoot-kill-him/32384112</v>
      </c>
      <c r="R2661" s="1" t="s">
        <v>100</v>
      </c>
      <c r="S2661" s="13" t="s">
        <v>28</v>
      </c>
      <c r="T2661" s="68" t="s">
        <v>29493</v>
      </c>
      <c r="U2661" s="68" t="s">
        <v>29438</v>
      </c>
      <c r="V2661" s="68" t="s">
        <v>29439</v>
      </c>
      <c r="W2661" s="68" t="s">
        <v>100</v>
      </c>
      <c r="X2661" s="68">
        <v>366</v>
      </c>
      <c r="AX2661" s="44"/>
      <c r="AY2661" s="44"/>
      <c r="BC2661" s="44"/>
      <c r="BD2661" s="44"/>
      <c r="BE2661" s="44"/>
      <c r="BF2661" s="44"/>
      <c r="BG2661" s="44"/>
      <c r="BH2661" s="44"/>
      <c r="BI2661" s="44"/>
      <c r="BJ2661" s="44"/>
      <c r="BK2661" s="11"/>
    </row>
    <row r="2662" spans="1:63" ht="12" customHeight="1" x14ac:dyDescent="0.15">
      <c r="A2662" s="1" t="s">
        <v>2849</v>
      </c>
      <c r="B2662" s="68">
        <v>51</v>
      </c>
      <c r="C2662" s="1" t="s">
        <v>20</v>
      </c>
      <c r="D2662" s="1" t="s">
        <v>37</v>
      </c>
      <c r="E2662" s="1" t="s">
        <v>2850</v>
      </c>
      <c r="F2662" s="69">
        <v>42109</v>
      </c>
      <c r="G2662" s="1" t="s">
        <v>2851</v>
      </c>
      <c r="H2662" s="1" t="s">
        <v>51</v>
      </c>
      <c r="I2662" s="1" t="s">
        <v>431</v>
      </c>
      <c r="J2662" s="4" t="s">
        <v>2852</v>
      </c>
      <c r="K2662" s="1" t="s">
        <v>2853</v>
      </c>
      <c r="L2662" s="1" t="s">
        <v>2854</v>
      </c>
      <c r="M2662" s="1" t="s">
        <v>27</v>
      </c>
      <c r="N2662" s="1" t="s">
        <v>2855</v>
      </c>
      <c r="O2662" s="1" t="s">
        <v>400</v>
      </c>
      <c r="P2662" s="1" t="s">
        <v>401</v>
      </c>
      <c r="Q2662" s="63" t="str">
        <f>HYPERLINK("http://www.abc17news.com/news/suspect-shot-and-killed-by-police/32394506","http://www.abc17news.com/news/suspect-shot-and-killed-by-police/32394506")</f>
        <v>http://www.abc17news.com/news/suspect-shot-and-killed-by-police/32394506</v>
      </c>
      <c r="R2662" s="1" t="s">
        <v>100</v>
      </c>
      <c r="S2662" s="11" t="s">
        <v>18</v>
      </c>
      <c r="T2662" s="68" t="s">
        <v>29612</v>
      </c>
      <c r="U2662" s="68" t="s">
        <v>29438</v>
      </c>
      <c r="V2662" s="68" t="s">
        <v>29437</v>
      </c>
      <c r="W2662" s="68" t="s">
        <v>555</v>
      </c>
      <c r="X2662" s="68">
        <v>368</v>
      </c>
    </row>
    <row r="2663" spans="1:63" ht="12" customHeight="1" x14ac:dyDescent="0.2">
      <c r="A2663" s="66" t="s">
        <v>30662</v>
      </c>
      <c r="B2663" s="66">
        <v>15</v>
      </c>
      <c r="C2663" s="66" t="s">
        <v>20</v>
      </c>
      <c r="D2663" s="66" t="s">
        <v>85</v>
      </c>
      <c r="E2663" s="66"/>
      <c r="F2663" s="69">
        <v>42109</v>
      </c>
      <c r="G2663" s="66" t="s">
        <v>30663</v>
      </c>
      <c r="H2663" s="66" t="s">
        <v>887</v>
      </c>
      <c r="I2663" s="66" t="s">
        <v>438</v>
      </c>
      <c r="J2663" s="66" t="s">
        <v>30664</v>
      </c>
      <c r="K2663" s="66" t="s">
        <v>887</v>
      </c>
      <c r="L2663" s="66" t="s">
        <v>3865</v>
      </c>
      <c r="M2663" s="66" t="s">
        <v>379</v>
      </c>
      <c r="N2663" s="66" t="s">
        <v>30665</v>
      </c>
      <c r="O2663" s="66" t="s">
        <v>1010</v>
      </c>
      <c r="P2663" s="66" t="s">
        <v>30375</v>
      </c>
      <c r="Q2663" s="76" t="s">
        <v>30666</v>
      </c>
      <c r="R2663" s="66" t="s">
        <v>100</v>
      </c>
      <c r="S2663" s="66" t="s">
        <v>379</v>
      </c>
      <c r="T2663" s="77"/>
      <c r="U2663" s="77"/>
      <c r="V2663" s="77"/>
      <c r="W2663" s="77"/>
      <c r="X2663" s="77"/>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78"/>
      <c r="AW2663" s="78"/>
      <c r="AX2663" s="78"/>
      <c r="AY2663" s="78"/>
      <c r="AZ2663" s="78"/>
      <c r="BA2663" s="78"/>
      <c r="BB2663" s="78"/>
      <c r="BC2663" s="78"/>
      <c r="BD2663" s="78"/>
      <c r="BE2663" s="78"/>
      <c r="BF2663" s="78"/>
      <c r="BG2663" s="78"/>
      <c r="BH2663" s="78"/>
      <c r="BI2663" s="78"/>
      <c r="BJ2663" s="78"/>
    </row>
    <row r="2664" spans="1:63" ht="12" customHeight="1" x14ac:dyDescent="0.15">
      <c r="A2664" s="1" t="s">
        <v>2891</v>
      </c>
      <c r="B2664" s="68">
        <v>72</v>
      </c>
      <c r="C2664" s="1" t="s">
        <v>20</v>
      </c>
      <c r="D2664" s="1" t="s">
        <v>37</v>
      </c>
      <c r="E2664" s="1" t="s">
        <v>2892</v>
      </c>
      <c r="F2664" s="69">
        <v>42109</v>
      </c>
      <c r="G2664" s="1" t="s">
        <v>2893</v>
      </c>
      <c r="H2664" s="1" t="s">
        <v>750</v>
      </c>
      <c r="I2664" s="1" t="s">
        <v>209</v>
      </c>
      <c r="J2664" s="4" t="s">
        <v>2894</v>
      </c>
      <c r="K2664" s="1" t="s">
        <v>1141</v>
      </c>
      <c r="L2664" s="1" t="s">
        <v>2895</v>
      </c>
      <c r="M2664" s="1" t="s">
        <v>27</v>
      </c>
      <c r="N2664" s="1" t="s">
        <v>2896</v>
      </c>
      <c r="O2664" s="1" t="s">
        <v>1010</v>
      </c>
      <c r="P2664" s="1" t="s">
        <v>401</v>
      </c>
      <c r="Q2664" s="6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2664" s="1" t="s">
        <v>555</v>
      </c>
      <c r="S2664" s="13" t="s">
        <v>28</v>
      </c>
      <c r="T2664" s="68" t="s">
        <v>27756</v>
      </c>
      <c r="U2664" s="68" t="s">
        <v>29438</v>
      </c>
      <c r="V2664" s="68" t="s">
        <v>29439</v>
      </c>
      <c r="W2664" s="68" t="s">
        <v>100</v>
      </c>
      <c r="X2664" s="68">
        <v>369</v>
      </c>
      <c r="BA2664" s="44"/>
      <c r="BB2664" s="44"/>
      <c r="BK2664" s="11"/>
    </row>
    <row r="2665" spans="1:63" ht="12" customHeight="1" x14ac:dyDescent="0.2">
      <c r="A2665" s="1" t="s">
        <v>2871</v>
      </c>
      <c r="B2665" s="68">
        <v>52</v>
      </c>
      <c r="C2665" s="1" t="s">
        <v>20</v>
      </c>
      <c r="D2665" s="1" t="s">
        <v>48</v>
      </c>
      <c r="E2665" s="1" t="s">
        <v>2872</v>
      </c>
      <c r="F2665" s="69">
        <v>42109</v>
      </c>
      <c r="G2665" s="1" t="s">
        <v>2873</v>
      </c>
      <c r="H2665" s="1" t="s">
        <v>2874</v>
      </c>
      <c r="I2665" s="1" t="s">
        <v>45</v>
      </c>
      <c r="J2665" s="4" t="s">
        <v>2875</v>
      </c>
      <c r="K2665" s="1" t="s">
        <v>309</v>
      </c>
      <c r="L2665" s="1" t="s">
        <v>310</v>
      </c>
      <c r="M2665" s="1" t="s">
        <v>27</v>
      </c>
      <c r="N2665" s="1" t="s">
        <v>2876</v>
      </c>
      <c r="O2665" s="1" t="s">
        <v>1010</v>
      </c>
      <c r="P2665" s="1" t="s">
        <v>401</v>
      </c>
      <c r="Q2665" s="6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2665" s="68" t="s">
        <v>555</v>
      </c>
      <c r="S2665" s="13" t="s">
        <v>18</v>
      </c>
      <c r="T2665" s="68" t="s">
        <v>29612</v>
      </c>
      <c r="U2665" s="68" t="s">
        <v>29438</v>
      </c>
      <c r="V2665" s="68" t="s">
        <v>29439</v>
      </c>
      <c r="W2665" s="68" t="s">
        <v>100</v>
      </c>
      <c r="X2665" s="68">
        <v>374</v>
      </c>
      <c r="BA2665" s="70"/>
      <c r="BB2665" s="44"/>
    </row>
    <row r="2666" spans="1:63" ht="12" customHeight="1" x14ac:dyDescent="0.15">
      <c r="A2666" s="1" t="s">
        <v>2912</v>
      </c>
      <c r="B2666" s="68">
        <v>26</v>
      </c>
      <c r="C2666" s="1" t="s">
        <v>20</v>
      </c>
      <c r="D2666" s="1" t="s">
        <v>85</v>
      </c>
      <c r="E2666" s="1" t="s">
        <v>2913</v>
      </c>
      <c r="F2666" s="69">
        <v>42108</v>
      </c>
      <c r="G2666" s="1" t="s">
        <v>2914</v>
      </c>
      <c r="H2666" s="1" t="s">
        <v>285</v>
      </c>
      <c r="I2666" s="1" t="s">
        <v>73</v>
      </c>
      <c r="J2666" s="4">
        <v>75232</v>
      </c>
      <c r="K2666" s="1" t="s">
        <v>285</v>
      </c>
      <c r="L2666" s="1" t="s">
        <v>2915</v>
      </c>
      <c r="M2666" s="1" t="s">
        <v>27</v>
      </c>
      <c r="N2666" s="1" t="s">
        <v>2916</v>
      </c>
      <c r="O2666" s="1" t="s">
        <v>1010</v>
      </c>
      <c r="P2666" s="1" t="s">
        <v>401</v>
      </c>
      <c r="Q2666" s="63" t="str">
        <f>HYPERLINK("http://www.oregonlive.com/portland/index.ssf/2015/04/se_portland_double_murder_susp.html","http://www.oregonlive.com/portland/index.ssf/2015/04/se_portland_double_murder_susp.html")</f>
        <v>http://www.oregonlive.com/portland/index.ssf/2015/04/se_portland_double_murder_susp.html</v>
      </c>
      <c r="R2666" s="1" t="s">
        <v>100</v>
      </c>
      <c r="S2666" s="11" t="s">
        <v>35</v>
      </c>
      <c r="T2666" s="68" t="s">
        <v>29441</v>
      </c>
      <c r="U2666" s="68" t="s">
        <v>29441</v>
      </c>
      <c r="V2666" s="68" t="s">
        <v>29440</v>
      </c>
      <c r="W2666" s="68" t="s">
        <v>100</v>
      </c>
      <c r="X2666" s="68">
        <v>363</v>
      </c>
      <c r="AW2666" s="44"/>
      <c r="AX2666" s="11"/>
      <c r="AY2666" s="11"/>
      <c r="BC2666" s="44"/>
      <c r="BD2666" s="44"/>
      <c r="BE2666" s="44"/>
      <c r="BF2666" s="44"/>
      <c r="BG2666" s="44"/>
      <c r="BH2666" s="44"/>
      <c r="BI2666" s="44"/>
      <c r="BJ2666" s="44"/>
    </row>
    <row r="2667" spans="1:63" ht="12" customHeight="1" x14ac:dyDescent="0.15">
      <c r="A2667" s="1" t="s">
        <v>2877</v>
      </c>
      <c r="B2667" s="68">
        <v>31</v>
      </c>
      <c r="C2667" s="1" t="s">
        <v>20</v>
      </c>
      <c r="D2667" s="1" t="s">
        <v>37</v>
      </c>
      <c r="E2667" s="1" t="s">
        <v>2878</v>
      </c>
      <c r="F2667" s="69">
        <v>42108</v>
      </c>
      <c r="G2667" s="1" t="s">
        <v>2879</v>
      </c>
      <c r="H2667" s="1" t="s">
        <v>2880</v>
      </c>
      <c r="I2667" s="1" t="s">
        <v>978</v>
      </c>
      <c r="J2667" s="4">
        <v>72401</v>
      </c>
      <c r="K2667" s="1" t="s">
        <v>2881</v>
      </c>
      <c r="L2667" s="1" t="s">
        <v>2882</v>
      </c>
      <c r="M2667" s="1" t="s">
        <v>27</v>
      </c>
      <c r="N2667" s="1" t="s">
        <v>2883</v>
      </c>
      <c r="O2667" s="1" t="s">
        <v>1010</v>
      </c>
      <c r="P2667" s="1" t="s">
        <v>401</v>
      </c>
      <c r="Q2667" s="63" t="str">
        <f>HYPERLINK("http://wreg.com/2015/04/15/man-wielding-machete-is-shot-and-killed-by-jonesboro-patrolman/","http://wreg.com/2015/04/15/man-wielding-machete-is-shot-and-killed-by-jonesboro-patrolman/")</f>
        <v>http://wreg.com/2015/04/15/man-wielding-machete-is-shot-and-killed-by-jonesboro-patrolman/</v>
      </c>
      <c r="R2667" s="68" t="s">
        <v>555</v>
      </c>
      <c r="S2667" s="13" t="s">
        <v>28</v>
      </c>
      <c r="T2667" s="68" t="s">
        <v>29459</v>
      </c>
      <c r="U2667" s="68" t="s">
        <v>29438</v>
      </c>
      <c r="V2667" s="68" t="s">
        <v>29439</v>
      </c>
      <c r="W2667" s="68" t="s">
        <v>100</v>
      </c>
      <c r="X2667" s="68">
        <v>364</v>
      </c>
      <c r="AW2667" s="11"/>
      <c r="BA2667" s="44"/>
      <c r="BB2667" s="11"/>
      <c r="BK2667" s="11"/>
    </row>
    <row r="2668" spans="1:63" ht="12" customHeight="1" x14ac:dyDescent="0.15">
      <c r="A2668" s="1" t="s">
        <v>2906</v>
      </c>
      <c r="B2668" s="1">
        <v>52</v>
      </c>
      <c r="C2668" s="1" t="s">
        <v>20</v>
      </c>
      <c r="D2668" s="1" t="s">
        <v>85</v>
      </c>
      <c r="E2668" s="1" t="s">
        <v>2907</v>
      </c>
      <c r="F2668" s="72">
        <v>42108</v>
      </c>
      <c r="G2668" s="1" t="s">
        <v>2908</v>
      </c>
      <c r="H2668" s="1" t="s">
        <v>2909</v>
      </c>
      <c r="I2668" s="1" t="s">
        <v>423</v>
      </c>
      <c r="J2668" s="4" t="s">
        <v>2910</v>
      </c>
      <c r="K2668" s="1" t="s">
        <v>2911</v>
      </c>
      <c r="L2668" s="1" t="s">
        <v>2729</v>
      </c>
      <c r="M2668" s="1" t="s">
        <v>29</v>
      </c>
      <c r="P2668" s="1" t="s">
        <v>401</v>
      </c>
      <c r="Q2668" s="63" t="str">
        <f>HYPERLINK("http://www.recordonline.com/article/20150428/OPINION/150429329/101136/OPINION","http://www.recordonline.com/article/20150428/OPINION/150429329/101136/OPINION")</f>
        <v>http://www.recordonline.com/article/20150428/OPINION/150429329/101136/OPINION</v>
      </c>
      <c r="R2668" s="1" t="s">
        <v>29</v>
      </c>
      <c r="S2668" s="13" t="s">
        <v>28</v>
      </c>
      <c r="AU2668" s="44"/>
      <c r="AV2668" s="44"/>
      <c r="AW2668" s="44"/>
      <c r="AX2668" s="44"/>
      <c r="AY2668" s="44"/>
      <c r="BC2668" s="44"/>
      <c r="BD2668" s="44"/>
      <c r="BE2668" s="44"/>
      <c r="BF2668" s="44"/>
      <c r="BG2668" s="44"/>
      <c r="BH2668" s="44"/>
      <c r="BI2668" s="44"/>
      <c r="BJ2668" s="44"/>
    </row>
    <row r="2669" spans="1:63" ht="12" customHeight="1" x14ac:dyDescent="0.15">
      <c r="A2669" s="1" t="s">
        <v>2917</v>
      </c>
      <c r="B2669" s="68">
        <v>27</v>
      </c>
      <c r="C2669" s="1" t="s">
        <v>20</v>
      </c>
      <c r="D2669" s="1" t="s">
        <v>48</v>
      </c>
      <c r="E2669" s="1" t="str">
        <f>HYPERLINK("http://fox2now.com/2015/04/14/man-identified-in-alton-officer-involved-shooting/","http://fox2now.com/2015/04/14/man-identified-in-alton-officer-involved-shooting/")</f>
        <v>http://fox2now.com/2015/04/14/man-identified-in-alton-officer-involved-shooting/</v>
      </c>
      <c r="F2669" s="69">
        <v>42107</v>
      </c>
      <c r="G2669" s="1" t="s">
        <v>2918</v>
      </c>
      <c r="H2669" s="1" t="s">
        <v>2919</v>
      </c>
      <c r="I2669" s="1" t="s">
        <v>44</v>
      </c>
      <c r="J2669" s="4" t="s">
        <v>2920</v>
      </c>
      <c r="K2669" s="1" t="s">
        <v>709</v>
      </c>
      <c r="L2669" s="1" t="s">
        <v>2921</v>
      </c>
      <c r="M2669" s="1" t="s">
        <v>27</v>
      </c>
      <c r="N2669" s="1" t="s">
        <v>2922</v>
      </c>
      <c r="O2669" s="1" t="s">
        <v>1010</v>
      </c>
      <c r="P2669" s="1" t="s">
        <v>401</v>
      </c>
      <c r="Q2669" s="63" t="str">
        <f>HYPERLINK("http://fox2now.com/2015/04/14/man-identified-in-alton-officer-involved-shooting/","http://fox2now.com/2015/04/14/man-identified-in-alton-officer-involved-shooting/")</f>
        <v>http://fox2now.com/2015/04/14/man-identified-in-alton-officer-involved-shooting/</v>
      </c>
      <c r="R2669" s="1" t="s">
        <v>100</v>
      </c>
      <c r="S2669" s="13" t="s">
        <v>28</v>
      </c>
      <c r="T2669" s="68" t="s">
        <v>27756</v>
      </c>
      <c r="U2669" s="68" t="s">
        <v>29438</v>
      </c>
      <c r="V2669" s="68" t="s">
        <v>29439</v>
      </c>
      <c r="W2669" s="68" t="s">
        <v>100</v>
      </c>
      <c r="X2669" s="68">
        <v>356</v>
      </c>
      <c r="AW2669" s="44"/>
      <c r="BK2669" s="44"/>
    </row>
    <row r="2670" spans="1:63" ht="12" customHeight="1" x14ac:dyDescent="0.15">
      <c r="A2670" s="1" t="s">
        <v>2923</v>
      </c>
      <c r="B2670" s="1">
        <v>24</v>
      </c>
      <c r="C2670" s="1" t="s">
        <v>20</v>
      </c>
      <c r="D2670" s="1" t="s">
        <v>48</v>
      </c>
      <c r="F2670" s="72">
        <v>42107</v>
      </c>
      <c r="G2670" s="1" t="s">
        <v>2924</v>
      </c>
      <c r="H2670" s="1" t="s">
        <v>723</v>
      </c>
      <c r="I2670" s="1" t="s">
        <v>73</v>
      </c>
      <c r="J2670" s="4" t="s">
        <v>2925</v>
      </c>
      <c r="K2670" s="1" t="s">
        <v>558</v>
      </c>
      <c r="L2670" s="1" t="s">
        <v>724</v>
      </c>
      <c r="M2670" s="1" t="s">
        <v>27</v>
      </c>
      <c r="N2670" s="1" t="s">
        <v>2926</v>
      </c>
      <c r="O2670" s="1" t="s">
        <v>2927</v>
      </c>
      <c r="P2670" s="1" t="s">
        <v>401</v>
      </c>
      <c r="Q2670" s="63" t="s">
        <v>2928</v>
      </c>
      <c r="R2670" s="1" t="s">
        <v>100</v>
      </c>
      <c r="S2670" s="13" t="s">
        <v>28</v>
      </c>
      <c r="T2670" s="68"/>
      <c r="U2670" s="68"/>
      <c r="V2670" s="68"/>
      <c r="W2670" s="68"/>
      <c r="X2670" s="68"/>
      <c r="BK2670" s="11"/>
    </row>
    <row r="2671" spans="1:63" ht="12" customHeight="1" x14ac:dyDescent="0.15">
      <c r="A2671" s="1" t="s">
        <v>2937</v>
      </c>
      <c r="B2671" s="68">
        <v>36</v>
      </c>
      <c r="C2671" s="1" t="s">
        <v>20</v>
      </c>
      <c r="D2671" s="1" t="s">
        <v>85</v>
      </c>
      <c r="E2671" s="1" t="s">
        <v>2938</v>
      </c>
      <c r="F2671" s="69">
        <v>42106</v>
      </c>
      <c r="G2671" s="1" t="s">
        <v>2939</v>
      </c>
      <c r="H2671" s="1" t="s">
        <v>216</v>
      </c>
      <c r="I2671" s="1" t="s">
        <v>217</v>
      </c>
      <c r="J2671" s="4">
        <v>46218</v>
      </c>
      <c r="K2671" s="1" t="s">
        <v>420</v>
      </c>
      <c r="L2671" s="1" t="s">
        <v>218</v>
      </c>
      <c r="M2671" s="1" t="s">
        <v>27</v>
      </c>
      <c r="N2671" s="1" t="s">
        <v>2940</v>
      </c>
      <c r="O2671" s="1" t="s">
        <v>1010</v>
      </c>
      <c r="P2671" s="1" t="s">
        <v>401</v>
      </c>
      <c r="Q2671" s="6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2671" s="1" t="s">
        <v>100</v>
      </c>
      <c r="S2671" s="13" t="s">
        <v>28</v>
      </c>
      <c r="T2671" s="68" t="s">
        <v>27756</v>
      </c>
      <c r="U2671" s="68" t="s">
        <v>29438</v>
      </c>
      <c r="V2671" s="68" t="s">
        <v>29440</v>
      </c>
      <c r="W2671" s="68" t="s">
        <v>555</v>
      </c>
      <c r="X2671" s="68">
        <v>355</v>
      </c>
      <c r="AW2671" s="44"/>
      <c r="AX2671" s="44"/>
      <c r="AY2671" s="44"/>
      <c r="BC2671" s="44"/>
      <c r="BD2671" s="44"/>
      <c r="BE2671" s="44"/>
      <c r="BF2671" s="44"/>
      <c r="BG2671" s="44"/>
      <c r="BH2671" s="44"/>
      <c r="BI2671" s="44"/>
      <c r="BJ2671" s="44"/>
      <c r="BK2671" s="11"/>
    </row>
    <row r="2672" spans="1:63" ht="12" customHeight="1" x14ac:dyDescent="0.2">
      <c r="A2672" s="1" t="s">
        <v>2929</v>
      </c>
      <c r="B2672" s="68">
        <v>32</v>
      </c>
      <c r="C2672" s="1" t="s">
        <v>20</v>
      </c>
      <c r="D2672" s="1" t="s">
        <v>37</v>
      </c>
      <c r="E2672" s="1" t="s">
        <v>2930</v>
      </c>
      <c r="F2672" s="69">
        <v>42106</v>
      </c>
      <c r="G2672" s="1" t="s">
        <v>2931</v>
      </c>
      <c r="H2672" s="1" t="s">
        <v>2932</v>
      </c>
      <c r="I2672" s="1" t="s">
        <v>366</v>
      </c>
      <c r="J2672" s="4" t="s">
        <v>2933</v>
      </c>
      <c r="K2672" s="1" t="s">
        <v>2934</v>
      </c>
      <c r="L2672" s="1" t="s">
        <v>2935</v>
      </c>
      <c r="M2672" s="1" t="s">
        <v>27</v>
      </c>
      <c r="N2672" s="1" t="s">
        <v>2936</v>
      </c>
      <c r="O2672" s="1" t="s">
        <v>400</v>
      </c>
      <c r="P2672" s="1" t="s">
        <v>401</v>
      </c>
      <c r="Q2672" s="63" t="str">
        <f>HYPERLINK("http://abc11.com/news/sampson-county-sheriffs-deputy-shoots-and-kills-robbery-suspect/654777/","http://abc11.com/news/sampson-county-sheriffs-deputy-shoots-and-kills-robbery-suspect/654777/")</f>
        <v>http://abc11.com/news/sampson-county-sheriffs-deputy-shoots-and-kills-robbery-suspect/654777/</v>
      </c>
      <c r="R2672" s="68" t="s">
        <v>555</v>
      </c>
      <c r="S2672" s="13" t="s">
        <v>28</v>
      </c>
      <c r="T2672" s="68" t="s">
        <v>27756</v>
      </c>
      <c r="U2672" s="68" t="s">
        <v>29438</v>
      </c>
      <c r="V2672" s="68" t="s">
        <v>29437</v>
      </c>
      <c r="W2672" s="68" t="s">
        <v>100</v>
      </c>
      <c r="X2672" s="68">
        <v>362</v>
      </c>
      <c r="AW2672" s="11"/>
      <c r="BA2672" s="70"/>
      <c r="BB2672" s="44"/>
      <c r="BK2672" s="44"/>
    </row>
    <row r="2673" spans="1:63" ht="12" customHeight="1" x14ac:dyDescent="0.15">
      <c r="A2673" s="1" t="s">
        <v>2941</v>
      </c>
      <c r="B2673" s="68">
        <v>83</v>
      </c>
      <c r="C2673" s="1" t="s">
        <v>20</v>
      </c>
      <c r="D2673" s="1" t="s">
        <v>37</v>
      </c>
      <c r="E2673" s="1" t="s">
        <v>2942</v>
      </c>
      <c r="F2673" s="69">
        <v>42106</v>
      </c>
      <c r="G2673" s="1" t="s">
        <v>2943</v>
      </c>
      <c r="H2673" s="1" t="s">
        <v>2944</v>
      </c>
      <c r="I2673" s="1" t="s">
        <v>395</v>
      </c>
      <c r="J2673" s="4" t="s">
        <v>2945</v>
      </c>
      <c r="K2673" s="1" t="s">
        <v>1095</v>
      </c>
      <c r="L2673" s="1" t="s">
        <v>1096</v>
      </c>
      <c r="M2673" s="1" t="s">
        <v>27</v>
      </c>
      <c r="N2673" s="1" t="s">
        <v>2946</v>
      </c>
      <c r="O2673" s="1" t="s">
        <v>400</v>
      </c>
      <c r="P2673" s="1" t="s">
        <v>401</v>
      </c>
      <c r="Q2673" s="63" t="str">
        <f>HYPERLINK("http://www.koco.com/news/police-investigating-reported-shooting-in-newalla/32332484","http://www.koco.com/news/police-investigating-reported-shooting-in-newalla/32332484")</f>
        <v>http://www.koco.com/news/police-investigating-reported-shooting-in-newalla/32332484</v>
      </c>
      <c r="R2673" s="68" t="s">
        <v>555</v>
      </c>
      <c r="S2673" s="13" t="s">
        <v>28</v>
      </c>
      <c r="T2673" s="68" t="s">
        <v>29459</v>
      </c>
      <c r="U2673" s="68" t="s">
        <v>29436</v>
      </c>
      <c r="V2673" s="68" t="s">
        <v>29439</v>
      </c>
      <c r="W2673" s="68" t="s">
        <v>100</v>
      </c>
      <c r="X2673" s="68">
        <v>357</v>
      </c>
      <c r="BA2673" s="44"/>
      <c r="BB2673" s="11"/>
      <c r="BK2673" s="11"/>
    </row>
    <row r="2674" spans="1:63" ht="12" customHeight="1" x14ac:dyDescent="0.15">
      <c r="A2674" s="1" t="s">
        <v>2947</v>
      </c>
      <c r="B2674" s="68">
        <v>66</v>
      </c>
      <c r="C2674" s="1" t="s">
        <v>20</v>
      </c>
      <c r="D2674" s="1" t="s">
        <v>37</v>
      </c>
      <c r="E2674" s="1" t="s">
        <v>2948</v>
      </c>
      <c r="F2674" s="69">
        <v>42105</v>
      </c>
      <c r="G2674" s="1" t="s">
        <v>2949</v>
      </c>
      <c r="H2674" s="1" t="s">
        <v>2950</v>
      </c>
      <c r="I2674" s="1" t="s">
        <v>395</v>
      </c>
      <c r="J2674" s="4">
        <v>74063</v>
      </c>
      <c r="K2674" s="1" t="s">
        <v>2487</v>
      </c>
      <c r="L2674" s="1" t="s">
        <v>2951</v>
      </c>
      <c r="M2674" s="1" t="s">
        <v>27</v>
      </c>
      <c r="N2674" s="1" t="s">
        <v>2952</v>
      </c>
      <c r="O2674" s="1" t="s">
        <v>550</v>
      </c>
      <c r="P2674" s="1" t="s">
        <v>401</v>
      </c>
      <c r="Q2674" s="6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2674" s="1" t="s">
        <v>555</v>
      </c>
      <c r="S2674" s="13" t="s">
        <v>28</v>
      </c>
      <c r="T2674" s="68" t="s">
        <v>27756</v>
      </c>
      <c r="U2674" s="68" t="s">
        <v>29438</v>
      </c>
      <c r="V2674" s="68" t="s">
        <v>29439</v>
      </c>
      <c r="W2674" s="68" t="s">
        <v>555</v>
      </c>
      <c r="X2674" s="68">
        <v>358</v>
      </c>
      <c r="BA2674" s="44"/>
      <c r="BB2674" s="44"/>
      <c r="BK2674" s="44"/>
    </row>
    <row r="2675" spans="1:63" ht="12" customHeight="1" x14ac:dyDescent="0.15">
      <c r="A2675" s="1" t="s">
        <v>2953</v>
      </c>
      <c r="B2675" s="68">
        <v>21</v>
      </c>
      <c r="C2675" s="1" t="s">
        <v>20</v>
      </c>
      <c r="D2675" s="1" t="s">
        <v>48</v>
      </c>
      <c r="E2675" s="1" t="s">
        <v>2954</v>
      </c>
      <c r="F2675" s="69">
        <v>42104</v>
      </c>
      <c r="G2675" s="1" t="s">
        <v>2955</v>
      </c>
      <c r="H2675" s="1" t="s">
        <v>2956</v>
      </c>
      <c r="I2675" s="1" t="s">
        <v>45</v>
      </c>
      <c r="J2675" s="4" t="s">
        <v>2957</v>
      </c>
      <c r="K2675" s="1" t="s">
        <v>2958</v>
      </c>
      <c r="L2675" s="1" t="s">
        <v>2959</v>
      </c>
      <c r="M2675" s="1" t="s">
        <v>27</v>
      </c>
      <c r="N2675" s="1" t="s">
        <v>2960</v>
      </c>
      <c r="O2675" s="1" t="s">
        <v>1010</v>
      </c>
      <c r="P2675" s="1" t="s">
        <v>401</v>
      </c>
      <c r="Q2675" s="6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2675" s="1" t="s">
        <v>100</v>
      </c>
      <c r="S2675" s="13" t="s">
        <v>28</v>
      </c>
      <c r="T2675" s="68" t="s">
        <v>29493</v>
      </c>
      <c r="U2675" s="68" t="s">
        <v>29438</v>
      </c>
      <c r="V2675" s="68" t="s">
        <v>29439</v>
      </c>
      <c r="W2675" s="68" t="s">
        <v>100</v>
      </c>
      <c r="X2675" s="68">
        <v>335</v>
      </c>
      <c r="AW2675" s="44"/>
      <c r="BK2675" s="44"/>
    </row>
    <row r="2676" spans="1:63" ht="12" customHeight="1" x14ac:dyDescent="0.15">
      <c r="A2676" s="1" t="s">
        <v>2785</v>
      </c>
      <c r="B2676" s="68">
        <v>38</v>
      </c>
      <c r="C2676" s="1" t="s">
        <v>20</v>
      </c>
      <c r="D2676" s="1" t="s">
        <v>37</v>
      </c>
      <c r="E2676" s="1" t="s">
        <v>2786</v>
      </c>
      <c r="F2676" s="69">
        <v>42104</v>
      </c>
      <c r="G2676" s="1" t="s">
        <v>2787</v>
      </c>
      <c r="H2676" s="1" t="s">
        <v>2788</v>
      </c>
      <c r="I2676" s="1" t="s">
        <v>363</v>
      </c>
      <c r="J2676" s="4" t="s">
        <v>2789</v>
      </c>
      <c r="K2676" s="1" t="s">
        <v>2790</v>
      </c>
      <c r="L2676" s="1" t="s">
        <v>2791</v>
      </c>
      <c r="M2676" s="1" t="s">
        <v>27</v>
      </c>
      <c r="N2676" s="1" t="s">
        <v>2792</v>
      </c>
      <c r="O2676" s="1" t="s">
        <v>1010</v>
      </c>
      <c r="P2676" s="1" t="s">
        <v>401</v>
      </c>
      <c r="Q2676" s="63" t="s">
        <v>2793</v>
      </c>
      <c r="R2676" s="1" t="s">
        <v>100</v>
      </c>
      <c r="S2676" s="13" t="s">
        <v>28</v>
      </c>
      <c r="T2676" s="68" t="s">
        <v>27756</v>
      </c>
      <c r="U2676" s="68" t="s">
        <v>29438</v>
      </c>
      <c r="V2676" s="68" t="s">
        <v>29437</v>
      </c>
      <c r="W2676" s="68" t="s">
        <v>100</v>
      </c>
      <c r="X2676" s="68">
        <v>377</v>
      </c>
      <c r="AW2676" s="44"/>
      <c r="BK2676" s="44"/>
    </row>
    <row r="2677" spans="1:63" ht="12" customHeight="1" x14ac:dyDescent="0.15">
      <c r="A2677" s="1" t="s">
        <v>2966</v>
      </c>
      <c r="B2677" s="68">
        <v>29</v>
      </c>
      <c r="C2677" s="1" t="s">
        <v>20</v>
      </c>
      <c r="D2677" s="1" t="s">
        <v>85</v>
      </c>
      <c r="E2677" s="1" t="s">
        <v>2967</v>
      </c>
      <c r="F2677" s="69">
        <v>42103</v>
      </c>
      <c r="G2677" s="1" t="s">
        <v>2968</v>
      </c>
      <c r="H2677" s="1" t="s">
        <v>2969</v>
      </c>
      <c r="I2677" s="1" t="s">
        <v>217</v>
      </c>
      <c r="J2677" s="4" t="s">
        <v>2970</v>
      </c>
      <c r="K2677" s="1" t="s">
        <v>37</v>
      </c>
      <c r="L2677" s="1" t="s">
        <v>2971</v>
      </c>
      <c r="M2677" s="1" t="s">
        <v>27</v>
      </c>
      <c r="N2677" s="1" t="s">
        <v>2972</v>
      </c>
      <c r="O2677" s="1" t="s">
        <v>1010</v>
      </c>
      <c r="P2677" s="1" t="s">
        <v>401</v>
      </c>
      <c r="Q2677" s="63" t="str">
        <f>HYPERLINK("http://www.jconline.com/story/news/2015/05/01/officers-justified-use-lethal-force/26708803/","http://www.jconline.com/story/news/2015/05/01/officers-justified-use-lethal-force/26708803/")</f>
        <v>http://www.jconline.com/story/news/2015/05/01/officers-justified-use-lethal-force/26708803/</v>
      </c>
      <c r="R2677" s="1" t="s">
        <v>100</v>
      </c>
      <c r="S2677" s="13" t="s">
        <v>28</v>
      </c>
      <c r="T2677" s="68" t="s">
        <v>27756</v>
      </c>
      <c r="U2677" s="68" t="s">
        <v>29438</v>
      </c>
      <c r="V2677" s="68" t="s">
        <v>29437</v>
      </c>
      <c r="W2677" s="68" t="s">
        <v>100</v>
      </c>
      <c r="X2677" s="68">
        <v>333</v>
      </c>
      <c r="AW2677" s="44"/>
      <c r="AX2677" s="11"/>
      <c r="AY2677" s="11"/>
      <c r="BC2677" s="44"/>
      <c r="BD2677" s="44"/>
      <c r="BE2677" s="44"/>
      <c r="BF2677" s="44"/>
      <c r="BG2677" s="44"/>
      <c r="BH2677" s="44"/>
      <c r="BI2677" s="44"/>
      <c r="BJ2677" s="44"/>
      <c r="BK2677" s="44"/>
    </row>
    <row r="2678" spans="1:63" ht="12" customHeight="1" x14ac:dyDescent="0.15">
      <c r="A2678" s="1" t="s">
        <v>2988</v>
      </c>
      <c r="B2678" s="68">
        <v>28</v>
      </c>
      <c r="C2678" s="1" t="s">
        <v>20</v>
      </c>
      <c r="D2678" s="1" t="s">
        <v>37</v>
      </c>
      <c r="E2678" s="1" t="s">
        <v>2989</v>
      </c>
      <c r="F2678" s="69">
        <v>42103</v>
      </c>
      <c r="G2678" s="1" t="s">
        <v>2990</v>
      </c>
      <c r="H2678" s="1" t="s">
        <v>2991</v>
      </c>
      <c r="I2678" s="1" t="s">
        <v>32</v>
      </c>
      <c r="J2678" s="4" t="s">
        <v>2992</v>
      </c>
      <c r="K2678" s="1" t="s">
        <v>2863</v>
      </c>
      <c r="L2678" s="1" t="s">
        <v>2993</v>
      </c>
      <c r="M2678" s="1" t="s">
        <v>27</v>
      </c>
      <c r="N2678" s="1" t="s">
        <v>2994</v>
      </c>
      <c r="O2678" s="1" t="s">
        <v>1010</v>
      </c>
      <c r="P2678" s="1" t="s">
        <v>401</v>
      </c>
      <c r="Q2678" s="63" t="str">
        <f>HYPERLINK("http://www.wyff4.com/news/family-of-man-killed-by-deputies-hires-attorney/32601896","http://www.wyff4.com/news/family-of-man-killed-by-deputies-hires-attorney/32601896")</f>
        <v>http://www.wyff4.com/news/family-of-man-killed-by-deputies-hires-attorney/32601896</v>
      </c>
      <c r="R2678" s="1" t="s">
        <v>100</v>
      </c>
      <c r="S2678" s="13" t="s">
        <v>28</v>
      </c>
      <c r="T2678" s="68" t="s">
        <v>27756</v>
      </c>
      <c r="U2678" s="68" t="s">
        <v>29438</v>
      </c>
      <c r="V2678" s="68" t="s">
        <v>29439</v>
      </c>
      <c r="W2678" s="68" t="s">
        <v>100</v>
      </c>
      <c r="X2678" s="68">
        <v>343</v>
      </c>
      <c r="AW2678" s="44"/>
      <c r="BK2678" s="44"/>
    </row>
    <row r="2679" spans="1:63" ht="12" customHeight="1" x14ac:dyDescent="0.2">
      <c r="A2679" s="1" t="s">
        <v>2981</v>
      </c>
      <c r="B2679" s="68">
        <v>54</v>
      </c>
      <c r="C2679" s="1" t="s">
        <v>20</v>
      </c>
      <c r="D2679" s="1" t="s">
        <v>37</v>
      </c>
      <c r="E2679" s="1" t="s">
        <v>2982</v>
      </c>
      <c r="F2679" s="69">
        <v>42103</v>
      </c>
      <c r="G2679" s="1" t="s">
        <v>2983</v>
      </c>
      <c r="H2679" s="1" t="s">
        <v>2984</v>
      </c>
      <c r="I2679" s="1" t="s">
        <v>395</v>
      </c>
      <c r="J2679" s="4" t="s">
        <v>2985</v>
      </c>
      <c r="K2679" s="1" t="s">
        <v>2044</v>
      </c>
      <c r="L2679" s="1" t="s">
        <v>2986</v>
      </c>
      <c r="M2679" s="68" t="s">
        <v>5411</v>
      </c>
      <c r="N2679" s="1" t="s">
        <v>2987</v>
      </c>
      <c r="O2679" s="1" t="s">
        <v>1010</v>
      </c>
      <c r="P2679" s="1" t="s">
        <v>401</v>
      </c>
      <c r="Q2679" s="6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2679" s="1" t="s">
        <v>100</v>
      </c>
      <c r="S2679" s="13" t="s">
        <v>379</v>
      </c>
      <c r="T2679" s="68" t="s">
        <v>379</v>
      </c>
      <c r="U2679" s="68" t="s">
        <v>29438</v>
      </c>
      <c r="V2679" s="68" t="s">
        <v>21212</v>
      </c>
      <c r="W2679" s="68" t="s">
        <v>100</v>
      </c>
      <c r="X2679" s="68">
        <v>534</v>
      </c>
      <c r="BB2679" s="70"/>
    </row>
    <row r="2680" spans="1:63" ht="12" customHeight="1" x14ac:dyDescent="0.15">
      <c r="A2680" s="1" t="s">
        <v>2973</v>
      </c>
      <c r="B2680" s="68">
        <v>22</v>
      </c>
      <c r="C2680" s="1" t="s">
        <v>20</v>
      </c>
      <c r="D2680" s="1" t="s">
        <v>37</v>
      </c>
      <c r="E2680" s="1" t="s">
        <v>2974</v>
      </c>
      <c r="F2680" s="69">
        <v>42103</v>
      </c>
      <c r="G2680" s="1" t="s">
        <v>2975</v>
      </c>
      <c r="H2680" s="1" t="s">
        <v>2976</v>
      </c>
      <c r="I2680" s="1" t="s">
        <v>62</v>
      </c>
      <c r="J2680" s="4" t="s">
        <v>2977</v>
      </c>
      <c r="K2680" s="1" t="s">
        <v>2978</v>
      </c>
      <c r="L2680" s="1" t="s">
        <v>2979</v>
      </c>
      <c r="M2680" s="1" t="s">
        <v>27</v>
      </c>
      <c r="N2680" s="1" t="s">
        <v>2980</v>
      </c>
      <c r="P2680" s="1" t="s">
        <v>401</v>
      </c>
      <c r="Q2680" s="6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2680" s="1" t="s">
        <v>29</v>
      </c>
      <c r="S2680" s="13" t="s">
        <v>28</v>
      </c>
      <c r="T2680" s="68" t="s">
        <v>29505</v>
      </c>
      <c r="U2680" s="68" t="s">
        <v>29438</v>
      </c>
      <c r="V2680" s="68" t="s">
        <v>29439</v>
      </c>
      <c r="W2680" s="68" t="s">
        <v>100</v>
      </c>
      <c r="X2680" s="68">
        <v>332</v>
      </c>
      <c r="AW2680" s="44"/>
      <c r="BK2680" s="44"/>
    </row>
    <row r="2681" spans="1:63" ht="12" customHeight="1" x14ac:dyDescent="0.15">
      <c r="A2681" s="1" t="s">
        <v>2961</v>
      </c>
      <c r="B2681" s="68">
        <v>31</v>
      </c>
      <c r="C2681" s="1" t="s">
        <v>20</v>
      </c>
      <c r="D2681" s="1" t="s">
        <v>37</v>
      </c>
      <c r="F2681" s="69">
        <v>42103</v>
      </c>
      <c r="G2681" s="1" t="s">
        <v>2962</v>
      </c>
      <c r="H2681" s="1" t="s">
        <v>2963</v>
      </c>
      <c r="I2681" s="1" t="s">
        <v>404</v>
      </c>
      <c r="J2681" s="4" t="s">
        <v>2964</v>
      </c>
      <c r="K2681" s="1" t="s">
        <v>1924</v>
      </c>
      <c r="L2681" s="1" t="s">
        <v>9350</v>
      </c>
      <c r="M2681" s="1" t="s">
        <v>27</v>
      </c>
      <c r="N2681" s="1" t="s">
        <v>2965</v>
      </c>
      <c r="O2681" s="1" t="s">
        <v>1010</v>
      </c>
      <c r="P2681" s="1" t="s">
        <v>401</v>
      </c>
      <c r="Q2681" s="63" t="str">
        <f>HYPERLINK("http://www.pennlive.com/midstate/index.ssf/2015/04/adams_county_prison_gunman_die.html","http://www.pennlive.com/midstate/index.ssf/2015/04/adams_county_prison_gunman_die.html")</f>
        <v>http://www.pennlive.com/midstate/index.ssf/2015/04/adams_county_prison_gunman_die.html</v>
      </c>
      <c r="R2681" s="68" t="s">
        <v>555</v>
      </c>
      <c r="S2681" s="13" t="s">
        <v>28</v>
      </c>
      <c r="T2681" s="68" t="s">
        <v>27756</v>
      </c>
      <c r="U2681" s="68" t="s">
        <v>29438</v>
      </c>
      <c r="V2681" s="68" t="s">
        <v>29439</v>
      </c>
      <c r="W2681" s="68" t="s">
        <v>100</v>
      </c>
      <c r="X2681" s="68">
        <v>340</v>
      </c>
      <c r="AW2681" s="11"/>
      <c r="BA2681" s="44"/>
      <c r="BB2681" s="11"/>
      <c r="BK2681" s="44"/>
    </row>
    <row r="2682" spans="1:63" ht="12" customHeight="1" x14ac:dyDescent="0.15">
      <c r="A2682" s="1" t="s">
        <v>3002</v>
      </c>
      <c r="B2682" s="68">
        <v>39</v>
      </c>
      <c r="C2682" s="1" t="s">
        <v>20</v>
      </c>
      <c r="D2682" s="1" t="s">
        <v>48</v>
      </c>
      <c r="F2682" s="69">
        <v>42102</v>
      </c>
      <c r="G2682" s="1" t="s">
        <v>3003</v>
      </c>
      <c r="H2682" s="1" t="s">
        <v>98</v>
      </c>
      <c r="I2682" s="1" t="s">
        <v>45</v>
      </c>
      <c r="J2682" s="4" t="s">
        <v>3004</v>
      </c>
      <c r="K2682" s="1" t="s">
        <v>98</v>
      </c>
      <c r="L2682" s="1" t="s">
        <v>99</v>
      </c>
      <c r="M2682" s="1" t="s">
        <v>27</v>
      </c>
      <c r="N2682" s="1" t="s">
        <v>3005</v>
      </c>
      <c r="O2682" s="1" t="s">
        <v>1010</v>
      </c>
      <c r="P2682" s="1" t="s">
        <v>401</v>
      </c>
      <c r="Q2682" s="63" t="str">
        <f>HYPERLINK("http://www.latimes.com/local/lanow/la-me-ln-boyle-heights-ois-man-identified-20150410-story.html","http://www.latimes.com/local/lanow/la-me-ln-boyle-heights-ois-man-identified-20150410-story.html")</f>
        <v>http://www.latimes.com/local/lanow/la-me-ln-boyle-heights-ois-man-identified-20150410-story.html</v>
      </c>
      <c r="R2682" s="1" t="s">
        <v>100</v>
      </c>
      <c r="S2682" s="13" t="s">
        <v>28</v>
      </c>
      <c r="T2682" s="68" t="s">
        <v>27756</v>
      </c>
      <c r="U2682" s="68" t="s">
        <v>29438</v>
      </c>
      <c r="V2682" s="68" t="s">
        <v>29440</v>
      </c>
      <c r="W2682" s="68" t="s">
        <v>100</v>
      </c>
      <c r="X2682" s="68">
        <v>331</v>
      </c>
      <c r="AW2682" s="44"/>
      <c r="BK2682" s="44"/>
    </row>
    <row r="2683" spans="1:63" ht="12" customHeight="1" x14ac:dyDescent="0.15">
      <c r="A2683" s="1" t="s">
        <v>3016</v>
      </c>
      <c r="B2683" s="68">
        <v>60</v>
      </c>
      <c r="C2683" s="1" t="s">
        <v>20</v>
      </c>
      <c r="D2683" s="1" t="s">
        <v>37</v>
      </c>
      <c r="E2683" s="1" t="str">
        <f>HYPERLINK("http://www.ksat.com/content/pns/ksat/news/2015/04/10/man-shot--killed-by-police-id-d.html","http://www.ksat.com/content/pns/ksat/news/2015/04/10/man-shot--killed-by-police-id-d.html")</f>
        <v>http://www.ksat.com/content/pns/ksat/news/2015/04/10/man-shot--killed-by-police-id-d.html</v>
      </c>
      <c r="F2683" s="69">
        <v>42102</v>
      </c>
      <c r="G2683" s="1" t="s">
        <v>3017</v>
      </c>
      <c r="H2683" s="1" t="s">
        <v>575</v>
      </c>
      <c r="I2683" s="1" t="s">
        <v>73</v>
      </c>
      <c r="J2683" s="4" t="s">
        <v>3018</v>
      </c>
      <c r="K2683" s="1" t="s">
        <v>576</v>
      </c>
      <c r="L2683" s="1" t="s">
        <v>577</v>
      </c>
      <c r="M2683" s="1" t="s">
        <v>27</v>
      </c>
      <c r="N2683" s="1" t="s">
        <v>3019</v>
      </c>
      <c r="O2683" s="1" t="s">
        <v>1010</v>
      </c>
      <c r="P2683" s="1" t="s">
        <v>401</v>
      </c>
      <c r="Q2683" s="63" t="str">
        <f>HYPERLINK("http://www.ksat.com/content/pns/ksat/news/2015/04/10/man-shot--killed-by-police-id-d.html","http://www.ksat.com/content/pns/ksat/news/2015/04/10/man-shot--killed-by-police-id-d.html")</f>
        <v>http://www.ksat.com/content/pns/ksat/news/2015/04/10/man-shot--killed-by-police-id-d.html</v>
      </c>
      <c r="R2683" s="1" t="s">
        <v>100</v>
      </c>
      <c r="S2683" s="13" t="s">
        <v>28</v>
      </c>
      <c r="T2683" s="68" t="s">
        <v>27756</v>
      </c>
      <c r="U2683" s="68" t="s">
        <v>29438</v>
      </c>
      <c r="V2683" s="68" t="s">
        <v>29437</v>
      </c>
      <c r="W2683" s="68" t="s">
        <v>100</v>
      </c>
      <c r="X2683" s="68">
        <v>329</v>
      </c>
      <c r="BK2683" s="44"/>
    </row>
    <row r="2684" spans="1:63" ht="12" customHeight="1" x14ac:dyDescent="0.15">
      <c r="A2684" s="1" t="s">
        <v>2995</v>
      </c>
      <c r="B2684" s="68">
        <v>42</v>
      </c>
      <c r="C2684" s="1" t="s">
        <v>20</v>
      </c>
      <c r="D2684" s="1" t="s">
        <v>85</v>
      </c>
      <c r="E2684" s="1" t="s">
        <v>2996</v>
      </c>
      <c r="F2684" s="69">
        <v>42102</v>
      </c>
      <c r="G2684" s="1" t="s">
        <v>2997</v>
      </c>
      <c r="H2684" s="1" t="s">
        <v>2998</v>
      </c>
      <c r="I2684" s="1" t="s">
        <v>173</v>
      </c>
      <c r="J2684" s="4" t="s">
        <v>2999</v>
      </c>
      <c r="K2684" s="1" t="s">
        <v>3000</v>
      </c>
      <c r="L2684" s="1" t="s">
        <v>3001</v>
      </c>
      <c r="M2684" s="1" t="s">
        <v>27</v>
      </c>
      <c r="N2684" s="1" t="s">
        <v>21190</v>
      </c>
      <c r="O2684" s="1" t="s">
        <v>1010</v>
      </c>
      <c r="P2684" s="1" t="s">
        <v>401</v>
      </c>
      <c r="Q2684" s="63" t="str">
        <f>HYPERLINK("http://www.wctv.tv/home/headlines/Police-Respond-to-Apparent-Shooting-in-Valdosta-299123481.html","http://www.wctv.tv/home/headlines/Police-Respond-to-Apparent-Shooting-in-Valdosta-299123481.html")</f>
        <v>http://www.wctv.tv/home/headlines/Police-Respond-to-Apparent-Shooting-in-Valdosta-299123481.html</v>
      </c>
      <c r="R2684" s="1" t="s">
        <v>100</v>
      </c>
      <c r="S2684" s="13" t="s">
        <v>379</v>
      </c>
      <c r="T2684" s="68" t="s">
        <v>379</v>
      </c>
      <c r="U2684" s="68" t="s">
        <v>29438</v>
      </c>
      <c r="V2684" s="68" t="s">
        <v>29437</v>
      </c>
      <c r="W2684" s="68" t="s">
        <v>100</v>
      </c>
      <c r="X2684" s="68">
        <v>330</v>
      </c>
      <c r="AX2684" s="44"/>
      <c r="AY2684" s="44"/>
      <c r="BC2684" s="44"/>
      <c r="BD2684" s="44"/>
      <c r="BE2684" s="44"/>
      <c r="BF2684" s="44"/>
      <c r="BG2684" s="44"/>
      <c r="BH2684" s="44"/>
      <c r="BI2684" s="44"/>
      <c r="BJ2684" s="44"/>
      <c r="BK2684" s="44"/>
    </row>
    <row r="2685" spans="1:63" ht="12" customHeight="1" x14ac:dyDescent="0.15">
      <c r="A2685" s="1" t="s">
        <v>3006</v>
      </c>
      <c r="B2685" s="1">
        <v>57</v>
      </c>
      <c r="C2685" s="1" t="s">
        <v>20</v>
      </c>
      <c r="D2685" s="1" t="s">
        <v>30</v>
      </c>
      <c r="F2685" s="72">
        <v>42102</v>
      </c>
      <c r="G2685" s="1" t="s">
        <v>3007</v>
      </c>
      <c r="H2685" s="1" t="s">
        <v>3008</v>
      </c>
      <c r="I2685" s="1" t="s">
        <v>45</v>
      </c>
      <c r="J2685" s="4" t="s">
        <v>3009</v>
      </c>
      <c r="K2685" s="1" t="s">
        <v>680</v>
      </c>
      <c r="L2685" s="1" t="s">
        <v>747</v>
      </c>
      <c r="M2685" s="1" t="s">
        <v>391</v>
      </c>
      <c r="N2685" s="1" t="s">
        <v>3010</v>
      </c>
      <c r="O2685" s="1" t="s">
        <v>400</v>
      </c>
      <c r="P2685" s="1" t="s">
        <v>401</v>
      </c>
      <c r="Q2685" s="63" t="str">
        <f>HYPERLINK("http://www.kerngoldenempire.com/news/top-stories/new-information-on-kcso-in-custody-death","http://www.kerngoldenempire.com/news/top-stories/new-information-on-kcso-in-custody-death")</f>
        <v>http://www.kerngoldenempire.com/news/top-stories/new-information-on-kcso-in-custody-death</v>
      </c>
      <c r="R2685" s="1" t="s">
        <v>29</v>
      </c>
      <c r="S2685" s="13" t="s">
        <v>18</v>
      </c>
      <c r="AU2685" s="11"/>
      <c r="AV2685" s="11"/>
      <c r="AW2685" s="11"/>
    </row>
    <row r="2686" spans="1:63" ht="12" customHeight="1" x14ac:dyDescent="0.2">
      <c r="A2686" s="1" t="s">
        <v>3011</v>
      </c>
      <c r="B2686" s="68">
        <v>28</v>
      </c>
      <c r="C2686" s="1" t="s">
        <v>20</v>
      </c>
      <c r="D2686" s="68" t="s">
        <v>21</v>
      </c>
      <c r="E2686" s="1" t="s">
        <v>3012</v>
      </c>
      <c r="F2686" s="69">
        <v>42102</v>
      </c>
      <c r="G2686" s="1" t="s">
        <v>3013</v>
      </c>
      <c r="H2686" s="1" t="s">
        <v>771</v>
      </c>
      <c r="I2686" s="1" t="s">
        <v>45</v>
      </c>
      <c r="J2686" s="4" t="s">
        <v>3014</v>
      </c>
      <c r="K2686" s="1" t="s">
        <v>607</v>
      </c>
      <c r="L2686" s="1" t="s">
        <v>772</v>
      </c>
      <c r="M2686" s="1" t="s">
        <v>27</v>
      </c>
      <c r="N2686" s="1" t="s">
        <v>3015</v>
      </c>
      <c r="O2686" s="1" t="s">
        <v>1010</v>
      </c>
      <c r="P2686" s="1" t="s">
        <v>401</v>
      </c>
      <c r="Q2686" s="6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2686" s="1" t="s">
        <v>555</v>
      </c>
      <c r="S2686" s="13" t="s">
        <v>28</v>
      </c>
      <c r="T2686" s="68" t="s">
        <v>29493</v>
      </c>
      <c r="U2686" s="68" t="s">
        <v>29436</v>
      </c>
      <c r="V2686" s="68" t="s">
        <v>29439</v>
      </c>
      <c r="W2686" s="68" t="s">
        <v>100</v>
      </c>
      <c r="X2686" s="68">
        <v>359</v>
      </c>
      <c r="AW2686" s="11"/>
      <c r="BA2686" s="44"/>
      <c r="BB2686" s="44"/>
      <c r="BC2686" s="70"/>
      <c r="BD2686" s="70"/>
      <c r="BE2686" s="70"/>
      <c r="BF2686" s="70"/>
      <c r="BG2686" s="70"/>
      <c r="BH2686" s="70"/>
      <c r="BI2686" s="70"/>
      <c r="BJ2686" s="70"/>
      <c r="BK2686" s="11"/>
    </row>
    <row r="2687" spans="1:63" ht="12" customHeight="1" x14ac:dyDescent="0.15">
      <c r="A2687" s="1" t="s">
        <v>3027</v>
      </c>
      <c r="B2687" s="68">
        <v>32</v>
      </c>
      <c r="C2687" s="1" t="s">
        <v>20</v>
      </c>
      <c r="D2687" s="1" t="s">
        <v>37</v>
      </c>
      <c r="E2687" s="1" t="s">
        <v>3028</v>
      </c>
      <c r="F2687" s="69">
        <v>42101</v>
      </c>
      <c r="G2687" s="1" t="s">
        <v>3029</v>
      </c>
      <c r="H2687" s="1" t="s">
        <v>2790</v>
      </c>
      <c r="I2687" s="1" t="s">
        <v>395</v>
      </c>
      <c r="J2687" s="4" t="s">
        <v>3030</v>
      </c>
      <c r="K2687" s="1" t="s">
        <v>3031</v>
      </c>
      <c r="L2687" s="1" t="s">
        <v>3032</v>
      </c>
      <c r="M2687" s="1" t="s">
        <v>27</v>
      </c>
      <c r="N2687" s="1" t="s">
        <v>3033</v>
      </c>
      <c r="O2687" s="1" t="s">
        <v>1010</v>
      </c>
      <c r="P2687" s="1" t="s">
        <v>401</v>
      </c>
      <c r="Q2687" s="63" t="str">
        <f>HYPERLINK("http://kfor.com/2015/04/08/officer-involved-shooting-in-shawnee-leaves-one-dead/","http://kfor.com/2015/04/08/officer-involved-shooting-in-shawnee-leaves-one-dead/")</f>
        <v>http://kfor.com/2015/04/08/officer-involved-shooting-in-shawnee-leaves-one-dead/</v>
      </c>
      <c r="R2687" s="1" t="s">
        <v>29</v>
      </c>
      <c r="S2687" s="13" t="s">
        <v>28</v>
      </c>
      <c r="T2687" s="68" t="s">
        <v>27756</v>
      </c>
      <c r="U2687" s="68" t="s">
        <v>29438</v>
      </c>
      <c r="V2687" s="68" t="s">
        <v>29437</v>
      </c>
      <c r="W2687" s="68" t="s">
        <v>100</v>
      </c>
      <c r="X2687" s="68">
        <v>319</v>
      </c>
      <c r="AW2687" s="11"/>
      <c r="BK2687" s="11"/>
    </row>
    <row r="2688" spans="1:63" ht="12" customHeight="1" x14ac:dyDescent="0.15">
      <c r="A2688" s="1" t="s">
        <v>3043</v>
      </c>
      <c r="B2688" s="1">
        <v>28</v>
      </c>
      <c r="C2688" s="1" t="s">
        <v>20</v>
      </c>
      <c r="D2688" s="1" t="s">
        <v>139</v>
      </c>
      <c r="F2688" s="72">
        <v>42100</v>
      </c>
      <c r="G2688" s="1" t="s">
        <v>3044</v>
      </c>
      <c r="H2688" s="1" t="s">
        <v>3045</v>
      </c>
      <c r="I2688" s="1" t="s">
        <v>303</v>
      </c>
      <c r="J2688" s="4" t="s">
        <v>3046</v>
      </c>
      <c r="K2688" s="1" t="s">
        <v>3047</v>
      </c>
      <c r="L2688" s="1" t="s">
        <v>19412</v>
      </c>
      <c r="M2688" s="1" t="s">
        <v>391</v>
      </c>
      <c r="N2688" s="1" t="s">
        <v>3048</v>
      </c>
      <c r="O2688" s="1" t="s">
        <v>1010</v>
      </c>
      <c r="P2688" s="1" t="s">
        <v>401</v>
      </c>
      <c r="Q2688" s="63" t="str">
        <f>HYPERLINK("http://www.seattletimes.com/seattle-news/coulee-dam-man-dies-following-taser-incident/","http://www.seattletimes.com/seattle-news/coulee-dam-man-dies-following-taser-incident/")</f>
        <v>http://www.seattletimes.com/seattle-news/coulee-dam-man-dies-following-taser-incident/</v>
      </c>
      <c r="R2688" s="11" t="s">
        <v>964</v>
      </c>
      <c r="S2688" s="13" t="s">
        <v>18</v>
      </c>
      <c r="AU2688" s="11"/>
      <c r="AV2688" s="11"/>
      <c r="AW2688" s="11"/>
    </row>
    <row r="2689" spans="1:63" ht="12" customHeight="1" x14ac:dyDescent="0.15">
      <c r="A2689" s="1" t="s">
        <v>3020</v>
      </c>
      <c r="B2689" s="68">
        <v>31</v>
      </c>
      <c r="C2689" s="1" t="s">
        <v>20</v>
      </c>
      <c r="D2689" s="1" t="s">
        <v>37</v>
      </c>
      <c r="E2689" s="1" t="s">
        <v>3021</v>
      </c>
      <c r="F2689" s="69">
        <v>42100</v>
      </c>
      <c r="G2689" s="1" t="s">
        <v>3022</v>
      </c>
      <c r="H2689" s="1" t="s">
        <v>3023</v>
      </c>
      <c r="I2689" s="1" t="s">
        <v>790</v>
      </c>
      <c r="J2689" s="4" t="s">
        <v>3024</v>
      </c>
      <c r="K2689" s="1" t="s">
        <v>1778</v>
      </c>
      <c r="L2689" s="1" t="s">
        <v>3025</v>
      </c>
      <c r="M2689" s="1" t="s">
        <v>27</v>
      </c>
      <c r="N2689" s="1" t="s">
        <v>3026</v>
      </c>
      <c r="O2689" s="1" t="s">
        <v>1010</v>
      </c>
      <c r="P2689" s="1" t="s">
        <v>401</v>
      </c>
      <c r="Q2689" s="63" t="str">
        <f>HYPERLINK("http://www.ktvb.com/story/news/crime/2015/04/07/deputy-shoots-kills-man-rifle/25414923/","http://www.ktvb.com/story/news/crime/2015/04/07/deputy-shoots-kills-man-rifle/25414923/")</f>
        <v>http://www.ktvb.com/story/news/crime/2015/04/07/deputy-shoots-kills-man-rifle/25414923/</v>
      </c>
      <c r="R2689" s="1" t="s">
        <v>100</v>
      </c>
      <c r="S2689" s="13" t="s">
        <v>28</v>
      </c>
      <c r="T2689" s="68" t="s">
        <v>27756</v>
      </c>
      <c r="U2689" s="68" t="s">
        <v>29438</v>
      </c>
      <c r="V2689" s="68" t="s">
        <v>29437</v>
      </c>
      <c r="W2689" s="68" t="s">
        <v>100</v>
      </c>
      <c r="X2689" s="68">
        <v>322</v>
      </c>
      <c r="AW2689" s="11"/>
      <c r="BK2689" s="11"/>
    </row>
    <row r="2690" spans="1:63" ht="12" customHeight="1" x14ac:dyDescent="0.15">
      <c r="A2690" s="1" t="s">
        <v>3049</v>
      </c>
      <c r="B2690" s="1">
        <v>33</v>
      </c>
      <c r="C2690" s="1" t="s">
        <v>20</v>
      </c>
      <c r="D2690" s="1" t="s">
        <v>37</v>
      </c>
      <c r="E2690" s="1" t="s">
        <v>3050</v>
      </c>
      <c r="F2690" s="72">
        <v>42100</v>
      </c>
      <c r="G2690" s="1" t="s">
        <v>3051</v>
      </c>
      <c r="H2690" s="1" t="s">
        <v>3052</v>
      </c>
      <c r="I2690" s="1" t="s">
        <v>62</v>
      </c>
      <c r="J2690" s="4" t="s">
        <v>3053</v>
      </c>
      <c r="K2690" s="1" t="s">
        <v>420</v>
      </c>
      <c r="L2690" s="1" t="s">
        <v>3054</v>
      </c>
      <c r="M2690" s="1" t="s">
        <v>27</v>
      </c>
      <c r="N2690" s="1" t="s">
        <v>3055</v>
      </c>
      <c r="O2690" s="1" t="s">
        <v>400</v>
      </c>
      <c r="P2690" s="1" t="s">
        <v>401</v>
      </c>
      <c r="Q2690" s="63" t="str">
        <f>HYPERLINK("http://www.ocala.com/article/20150429/ARTICLES/150429614","http://www.ocala.com/article/20150429/ARTICLES/150429614")</f>
        <v>http://www.ocala.com/article/20150429/ARTICLES/150429614</v>
      </c>
      <c r="R2690" s="1" t="s">
        <v>100</v>
      </c>
      <c r="S2690" s="13" t="s">
        <v>18</v>
      </c>
      <c r="T2690" s="68"/>
      <c r="U2690" s="68"/>
      <c r="V2690" s="68"/>
      <c r="W2690" s="68"/>
      <c r="X2690" s="68"/>
    </row>
    <row r="2691" spans="1:63" ht="12" customHeight="1" x14ac:dyDescent="0.15">
      <c r="A2691" s="1" t="s">
        <v>3034</v>
      </c>
      <c r="B2691" s="68">
        <v>25</v>
      </c>
      <c r="C2691" s="1" t="s">
        <v>20</v>
      </c>
      <c r="D2691" s="1" t="s">
        <v>85</v>
      </c>
      <c r="E2691" s="1" t="s">
        <v>3035</v>
      </c>
      <c r="F2691" s="69">
        <v>42100</v>
      </c>
      <c r="G2691" s="1" t="s">
        <v>3036</v>
      </c>
      <c r="H2691" s="1" t="s">
        <v>2295</v>
      </c>
      <c r="I2691" s="1" t="s">
        <v>25</v>
      </c>
      <c r="J2691" s="4" t="s">
        <v>2424</v>
      </c>
      <c r="K2691" s="1" t="s">
        <v>1778</v>
      </c>
      <c r="L2691" s="1" t="s">
        <v>2425</v>
      </c>
      <c r="M2691" s="1" t="s">
        <v>27</v>
      </c>
      <c r="N2691" s="1" t="s">
        <v>3037</v>
      </c>
      <c r="O2691" s="1" t="s">
        <v>550</v>
      </c>
      <c r="P2691" s="1" t="s">
        <v>401</v>
      </c>
      <c r="Q2691" s="63" t="str">
        <f>HYPERLINK("http://www.wdsu.com/news/local-news/new-orleans/jpso-officer-involved-in-shooting-in-harvey/32215908","http://www.wdsu.com/news/local-news/new-orleans/jpso-officer-involved-in-shooting-in-harvey/32215908")</f>
        <v>http://www.wdsu.com/news/local-news/new-orleans/jpso-officer-involved-in-shooting-in-harvey/32215908</v>
      </c>
      <c r="R2691" s="1" t="s">
        <v>29</v>
      </c>
      <c r="S2691" s="13" t="s">
        <v>28</v>
      </c>
      <c r="T2691" s="68" t="s">
        <v>27756</v>
      </c>
      <c r="U2691" s="68" t="s">
        <v>29438</v>
      </c>
      <c r="V2691" s="68" t="s">
        <v>29440</v>
      </c>
      <c r="W2691" s="68" t="s">
        <v>100</v>
      </c>
      <c r="X2691" s="68">
        <v>318</v>
      </c>
      <c r="AW2691" s="44"/>
      <c r="AX2691" s="44"/>
      <c r="AY2691" s="44"/>
      <c r="BC2691" s="44"/>
      <c r="BD2691" s="44"/>
      <c r="BE2691" s="44"/>
      <c r="BF2691" s="44"/>
      <c r="BG2691" s="44"/>
      <c r="BH2691" s="44"/>
      <c r="BI2691" s="44"/>
      <c r="BJ2691" s="44"/>
      <c r="BK2691" s="11"/>
    </row>
    <row r="2692" spans="1:63" ht="12" customHeight="1" x14ac:dyDescent="0.15">
      <c r="A2692" s="1" t="s">
        <v>3056</v>
      </c>
      <c r="B2692" s="68">
        <v>23</v>
      </c>
      <c r="C2692" s="1" t="s">
        <v>20</v>
      </c>
      <c r="D2692" s="1" t="s">
        <v>37</v>
      </c>
      <c r="E2692" s="1" t="s">
        <v>3057</v>
      </c>
      <c r="F2692" s="69">
        <v>42100</v>
      </c>
      <c r="G2692" s="1" t="s">
        <v>24465</v>
      </c>
      <c r="H2692" s="1" t="s">
        <v>216</v>
      </c>
      <c r="I2692" s="1" t="s">
        <v>217</v>
      </c>
      <c r="J2692" s="4" t="s">
        <v>3058</v>
      </c>
      <c r="K2692" s="1" t="s">
        <v>420</v>
      </c>
      <c r="L2692" s="1" t="s">
        <v>218</v>
      </c>
      <c r="M2692" s="1" t="s">
        <v>27</v>
      </c>
      <c r="N2692" s="1" t="s">
        <v>3059</v>
      </c>
      <c r="O2692" s="1" t="s">
        <v>400</v>
      </c>
      <c r="P2692" s="1" t="s">
        <v>401</v>
      </c>
      <c r="Q2692" s="6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2692" s="68" t="s">
        <v>555</v>
      </c>
      <c r="S2692" s="13" t="s">
        <v>28</v>
      </c>
      <c r="T2692" s="68" t="s">
        <v>27756</v>
      </c>
      <c r="U2692" s="68" t="s">
        <v>29438</v>
      </c>
      <c r="V2692" s="68" t="s">
        <v>29439</v>
      </c>
      <c r="W2692" s="68" t="s">
        <v>100</v>
      </c>
      <c r="X2692" s="68">
        <v>298</v>
      </c>
      <c r="AW2692" s="11"/>
      <c r="BA2692" s="44"/>
      <c r="BB2692" s="44"/>
      <c r="BK2692" s="11"/>
    </row>
    <row r="2693" spans="1:63" ht="12" customHeight="1" x14ac:dyDescent="0.15">
      <c r="A2693" s="1" t="s">
        <v>3038</v>
      </c>
      <c r="B2693" s="68">
        <v>56</v>
      </c>
      <c r="C2693" s="1" t="s">
        <v>20</v>
      </c>
      <c r="D2693" s="1" t="s">
        <v>37</v>
      </c>
      <c r="F2693" s="69">
        <v>42099</v>
      </c>
      <c r="G2693" s="1" t="s">
        <v>3039</v>
      </c>
      <c r="H2693" s="1" t="s">
        <v>3040</v>
      </c>
      <c r="I2693" s="1" t="s">
        <v>45</v>
      </c>
      <c r="J2693" s="4">
        <v>93561</v>
      </c>
      <c r="K2693" s="1" t="s">
        <v>680</v>
      </c>
      <c r="L2693" s="1" t="s">
        <v>3041</v>
      </c>
      <c r="M2693" s="1" t="s">
        <v>27</v>
      </c>
      <c r="N2693" s="1" t="s">
        <v>3042</v>
      </c>
      <c r="O2693" s="1" t="s">
        <v>2613</v>
      </c>
      <c r="P2693" s="1" t="s">
        <v>401</v>
      </c>
      <c r="Q2693" s="6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2693" s="1" t="s">
        <v>29</v>
      </c>
      <c r="S2693" s="13" t="s">
        <v>28</v>
      </c>
      <c r="T2693" s="68" t="s">
        <v>27756</v>
      </c>
      <c r="U2693" s="68" t="s">
        <v>29438</v>
      </c>
      <c r="V2693" s="68" t="s">
        <v>29439</v>
      </c>
      <c r="W2693" s="68" t="s">
        <v>100</v>
      </c>
      <c r="X2693" s="68">
        <v>304</v>
      </c>
      <c r="BK2693" s="44"/>
    </row>
    <row r="2694" spans="1:63" ht="12" customHeight="1" x14ac:dyDescent="0.15">
      <c r="A2694" s="1" t="s">
        <v>3060</v>
      </c>
      <c r="B2694" s="68">
        <v>51</v>
      </c>
      <c r="C2694" s="1" t="s">
        <v>20</v>
      </c>
      <c r="D2694" s="1" t="s">
        <v>37</v>
      </c>
      <c r="E2694" s="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2694" s="69">
        <v>42099</v>
      </c>
      <c r="G2694" s="1" t="s">
        <v>3061</v>
      </c>
      <c r="H2694" s="1" t="s">
        <v>632</v>
      </c>
      <c r="I2694" s="1" t="s">
        <v>123</v>
      </c>
      <c r="J2694" s="4">
        <v>85308</v>
      </c>
      <c r="K2694" s="1" t="s">
        <v>633</v>
      </c>
      <c r="L2694" s="1" t="s">
        <v>634</v>
      </c>
      <c r="M2694" s="1" t="s">
        <v>27</v>
      </c>
      <c r="N2694" s="1" t="s">
        <v>3062</v>
      </c>
      <c r="O2694" s="1" t="s">
        <v>1010</v>
      </c>
      <c r="P2694" s="1" t="s">
        <v>401</v>
      </c>
      <c r="Q2694" s="6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2694" s="68" t="s">
        <v>555</v>
      </c>
      <c r="S2694" s="13" t="s">
        <v>28</v>
      </c>
      <c r="T2694" s="68" t="s">
        <v>29493</v>
      </c>
      <c r="U2694" s="68" t="s">
        <v>29436</v>
      </c>
      <c r="V2694" s="68" t="s">
        <v>29439</v>
      </c>
      <c r="W2694" s="68" t="s">
        <v>100</v>
      </c>
      <c r="X2694" s="68">
        <v>301</v>
      </c>
      <c r="BA2694" s="44"/>
      <c r="BB2694" s="44"/>
      <c r="BK2694" s="11"/>
    </row>
    <row r="2695" spans="1:63" ht="12" customHeight="1" x14ac:dyDescent="0.2">
      <c r="A2695" s="1" t="s">
        <v>3074</v>
      </c>
      <c r="B2695" s="68">
        <v>50</v>
      </c>
      <c r="C2695" s="1" t="s">
        <v>20</v>
      </c>
      <c r="D2695" s="1" t="s">
        <v>85</v>
      </c>
      <c r="E2695" s="1" t="s">
        <v>3075</v>
      </c>
      <c r="F2695" s="69">
        <v>42098</v>
      </c>
      <c r="G2695" s="1" t="s">
        <v>3076</v>
      </c>
      <c r="H2695" s="1" t="s">
        <v>3077</v>
      </c>
      <c r="I2695" s="1" t="s">
        <v>32</v>
      </c>
      <c r="J2695" s="4" t="s">
        <v>3078</v>
      </c>
      <c r="K2695" s="1" t="s">
        <v>2216</v>
      </c>
      <c r="L2695" s="1" t="s">
        <v>2239</v>
      </c>
      <c r="M2695" s="68" t="s">
        <v>5411</v>
      </c>
      <c r="N2695" s="1" t="s">
        <v>3079</v>
      </c>
      <c r="O2695" s="1" t="s">
        <v>29621</v>
      </c>
      <c r="P2695" s="1" t="s">
        <v>31008</v>
      </c>
      <c r="Q2695" s="63" t="s">
        <v>3080</v>
      </c>
      <c r="R2695" s="1" t="s">
        <v>100</v>
      </c>
      <c r="S2695" s="13" t="s">
        <v>18</v>
      </c>
      <c r="T2695" s="68" t="s">
        <v>28345</v>
      </c>
      <c r="U2695" s="68" t="s">
        <v>29436</v>
      </c>
      <c r="V2695" s="68" t="s">
        <v>29440</v>
      </c>
      <c r="W2695" s="68" t="s">
        <v>100</v>
      </c>
      <c r="X2695" s="68">
        <v>297</v>
      </c>
      <c r="AX2695" s="44"/>
      <c r="AY2695" s="44"/>
      <c r="BB2695" s="70"/>
      <c r="BC2695" s="44"/>
      <c r="BD2695" s="44"/>
      <c r="BE2695" s="44"/>
      <c r="BF2695" s="44"/>
      <c r="BG2695" s="44"/>
      <c r="BH2695" s="44"/>
      <c r="BI2695" s="44"/>
      <c r="BJ2695" s="44"/>
    </row>
    <row r="2696" spans="1:63" ht="12" customHeight="1" x14ac:dyDescent="0.15">
      <c r="A2696" s="1" t="s">
        <v>3087</v>
      </c>
      <c r="B2696" s="1">
        <v>33</v>
      </c>
      <c r="C2696" s="1" t="s">
        <v>20</v>
      </c>
      <c r="D2696" s="1" t="s">
        <v>37</v>
      </c>
      <c r="E2696" s="1" t="s">
        <v>3088</v>
      </c>
      <c r="F2696" s="72">
        <v>42098</v>
      </c>
      <c r="G2696" s="1" t="s">
        <v>3089</v>
      </c>
      <c r="H2696" s="1" t="s">
        <v>3090</v>
      </c>
      <c r="I2696" s="1" t="s">
        <v>395</v>
      </c>
      <c r="J2696" s="4">
        <v>74469</v>
      </c>
      <c r="K2696" s="1" t="s">
        <v>3091</v>
      </c>
      <c r="L2696" s="1" t="s">
        <v>3092</v>
      </c>
      <c r="M2696" s="1" t="s">
        <v>391</v>
      </c>
      <c r="N2696" s="1" t="s">
        <v>3093</v>
      </c>
      <c r="O2696" s="1" t="s">
        <v>1010</v>
      </c>
      <c r="P2696" s="1" t="s">
        <v>401</v>
      </c>
      <c r="Q2696" s="6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2696" s="1" t="s">
        <v>100</v>
      </c>
      <c r="S2696" s="13" t="s">
        <v>18</v>
      </c>
      <c r="AU2696" s="11"/>
      <c r="AV2696" s="11"/>
      <c r="AW2696" s="11"/>
    </row>
    <row r="2697" spans="1:63" ht="12" customHeight="1" x14ac:dyDescent="0.2">
      <c r="A2697" s="1" t="s">
        <v>3068</v>
      </c>
      <c r="B2697" s="68">
        <v>17</v>
      </c>
      <c r="C2697" s="1" t="s">
        <v>20</v>
      </c>
      <c r="D2697" s="1" t="s">
        <v>85</v>
      </c>
      <c r="E2697" s="1" t="s">
        <v>3069</v>
      </c>
      <c r="F2697" s="69">
        <v>42098</v>
      </c>
      <c r="G2697" s="1" t="s">
        <v>3070</v>
      </c>
      <c r="H2697" s="1" t="s">
        <v>3071</v>
      </c>
      <c r="I2697" s="1" t="s">
        <v>44</v>
      </c>
      <c r="J2697" s="4">
        <v>60099</v>
      </c>
      <c r="K2697" s="1" t="s">
        <v>1256</v>
      </c>
      <c r="L2697" s="1" t="s">
        <v>3072</v>
      </c>
      <c r="M2697" s="1" t="s">
        <v>27</v>
      </c>
      <c r="N2697" s="1" t="s">
        <v>3073</v>
      </c>
      <c r="O2697" s="1" t="s">
        <v>550</v>
      </c>
      <c r="P2697" s="1" t="s">
        <v>401</v>
      </c>
      <c r="Q2697" s="63" t="str">
        <f>HYPERLINK("http://www.huffingtonpost.com/2015/04/29/justus-howell_n_7172814.html","http://www.huffingtonpost.com/2015/04/29/justus-howell_n_7172814.html")</f>
        <v>http://www.huffingtonpost.com/2015/04/29/justus-howell_n_7172814.html</v>
      </c>
      <c r="R2697" s="1" t="s">
        <v>29</v>
      </c>
      <c r="S2697" s="13" t="s">
        <v>28</v>
      </c>
      <c r="T2697" s="68" t="s">
        <v>27756</v>
      </c>
      <c r="U2697" s="68" t="s">
        <v>29438</v>
      </c>
      <c r="V2697" s="68" t="s">
        <v>29440</v>
      </c>
      <c r="W2697" s="68" t="s">
        <v>100</v>
      </c>
      <c r="X2697" s="68">
        <v>296</v>
      </c>
      <c r="AW2697" s="70"/>
      <c r="AX2697" s="70"/>
      <c r="AY2697" s="70"/>
      <c r="BC2697" s="44"/>
      <c r="BD2697" s="44"/>
      <c r="BE2697" s="44"/>
      <c r="BF2697" s="44"/>
      <c r="BG2697" s="44"/>
      <c r="BH2697" s="44"/>
      <c r="BI2697" s="44"/>
      <c r="BJ2697" s="44"/>
      <c r="BK2697" s="44"/>
    </row>
    <row r="2698" spans="1:63" ht="12" customHeight="1" x14ac:dyDescent="0.2">
      <c r="A2698" s="1" t="s">
        <v>3081</v>
      </c>
      <c r="B2698" s="68">
        <v>34</v>
      </c>
      <c r="C2698" s="1" t="s">
        <v>20</v>
      </c>
      <c r="D2698" s="1" t="s">
        <v>37</v>
      </c>
      <c r="E2698" s="1" t="s">
        <v>3082</v>
      </c>
      <c r="F2698" s="69">
        <v>42098</v>
      </c>
      <c r="G2698" s="1" t="s">
        <v>3083</v>
      </c>
      <c r="H2698" s="1" t="s">
        <v>3084</v>
      </c>
      <c r="I2698" s="1" t="s">
        <v>195</v>
      </c>
      <c r="J2698" s="4">
        <v>87015</v>
      </c>
      <c r="K2698" s="1" t="s">
        <v>628</v>
      </c>
      <c r="L2698" s="1" t="s">
        <v>3085</v>
      </c>
      <c r="M2698" s="1" t="s">
        <v>27</v>
      </c>
      <c r="N2698" s="1" t="s">
        <v>3086</v>
      </c>
      <c r="O2698" s="1" t="s">
        <v>1010</v>
      </c>
      <c r="P2698" s="1" t="s">
        <v>401</v>
      </c>
      <c r="Q2698" s="63" t="str">
        <f>HYPERLINK("http://www.koat.com/news/state-police-officers-fatally-shoot-east-mountains-man/32197688","http://www.koat.com/news/state-police-officers-fatally-shoot-east-mountains-man/32197688")</f>
        <v>http://www.koat.com/news/state-police-officers-fatally-shoot-east-mountains-man/32197688</v>
      </c>
      <c r="R2698" s="68" t="s">
        <v>555</v>
      </c>
      <c r="S2698" s="13" t="s">
        <v>28</v>
      </c>
      <c r="T2698" s="68" t="s">
        <v>27756</v>
      </c>
      <c r="U2698" s="68" t="s">
        <v>29438</v>
      </c>
      <c r="V2698" s="68" t="s">
        <v>29437</v>
      </c>
      <c r="W2698" s="68" t="s">
        <v>100</v>
      </c>
      <c r="X2698" s="68">
        <v>302</v>
      </c>
      <c r="AW2698" s="11"/>
      <c r="BA2698" s="70"/>
      <c r="BB2698" s="44"/>
      <c r="BK2698" s="11"/>
    </row>
    <row r="2699" spans="1:63" ht="12" customHeight="1" x14ac:dyDescent="0.15">
      <c r="A2699" s="1" t="s">
        <v>3063</v>
      </c>
      <c r="B2699" s="68">
        <v>31</v>
      </c>
      <c r="C2699" s="1" t="s">
        <v>20</v>
      </c>
      <c r="D2699" s="1" t="s">
        <v>85</v>
      </c>
      <c r="E2699" s="1" t="s">
        <v>3064</v>
      </c>
      <c r="F2699" s="69">
        <v>42098</v>
      </c>
      <c r="G2699" s="1" t="s">
        <v>3065</v>
      </c>
      <c r="H2699" s="1" t="s">
        <v>1879</v>
      </c>
      <c r="I2699" s="1" t="s">
        <v>45</v>
      </c>
      <c r="J2699" s="4">
        <v>92865</v>
      </c>
      <c r="K2699" s="1" t="s">
        <v>3066</v>
      </c>
      <c r="L2699" s="1" t="s">
        <v>1881</v>
      </c>
      <c r="M2699" s="1" t="s">
        <v>27</v>
      </c>
      <c r="N2699" s="1" t="s">
        <v>3067</v>
      </c>
      <c r="O2699" s="1" t="s">
        <v>1010</v>
      </c>
      <c r="P2699" s="1" t="s">
        <v>401</v>
      </c>
      <c r="Q2699" s="63" t="str">
        <f>HYPERLINK("http://ktla.com/2015/04/05/armed-man-is-fatally-shot-by-anaheim-police-1-day-after-posting-bail/","http://ktla.com/2015/04/05/armed-man-is-fatally-shot-by-anaheim-police-1-day-after-posting-bail/")</f>
        <v>http://ktla.com/2015/04/05/armed-man-is-fatally-shot-by-anaheim-police-1-day-after-posting-bail/</v>
      </c>
      <c r="R2699" s="1" t="s">
        <v>29</v>
      </c>
      <c r="S2699" s="13" t="s">
        <v>28</v>
      </c>
      <c r="T2699" s="68" t="s">
        <v>27756</v>
      </c>
      <c r="U2699" s="68" t="s">
        <v>29438</v>
      </c>
      <c r="V2699" s="68" t="s">
        <v>29439</v>
      </c>
      <c r="W2699" s="68" t="s">
        <v>555</v>
      </c>
      <c r="X2699" s="68">
        <v>300</v>
      </c>
      <c r="AW2699" s="11"/>
      <c r="AX2699" s="11"/>
      <c r="AY2699" s="11"/>
      <c r="BC2699" s="44"/>
      <c r="BD2699" s="44"/>
      <c r="BE2699" s="44"/>
      <c r="BF2699" s="44"/>
      <c r="BG2699" s="44"/>
      <c r="BH2699" s="44"/>
      <c r="BI2699" s="44"/>
      <c r="BJ2699" s="44"/>
      <c r="BK2699" s="44"/>
    </row>
    <row r="2700" spans="1:63" ht="12" customHeight="1" x14ac:dyDescent="0.15">
      <c r="A2700" s="1" t="s">
        <v>3099</v>
      </c>
      <c r="B2700" s="68">
        <v>38</v>
      </c>
      <c r="C2700" s="1" t="s">
        <v>20</v>
      </c>
      <c r="D2700" s="1" t="s">
        <v>37</v>
      </c>
      <c r="E2700" s="1" t="s">
        <v>3100</v>
      </c>
      <c r="F2700" s="69">
        <v>42097</v>
      </c>
      <c r="G2700" s="1" t="s">
        <v>3101</v>
      </c>
      <c r="H2700" s="1" t="s">
        <v>3102</v>
      </c>
      <c r="I2700" s="1" t="s">
        <v>244</v>
      </c>
      <c r="J2700" s="4">
        <v>22603</v>
      </c>
      <c r="K2700" s="1" t="s">
        <v>3103</v>
      </c>
      <c r="L2700" s="1" t="s">
        <v>3104</v>
      </c>
      <c r="M2700" s="1" t="s">
        <v>27</v>
      </c>
      <c r="N2700" s="1" t="s">
        <v>3105</v>
      </c>
      <c r="O2700" s="1" t="s">
        <v>1010</v>
      </c>
      <c r="P2700" s="1" t="s">
        <v>401</v>
      </c>
      <c r="Q2700" s="63" t="str">
        <f>HYPERLINK("http://www.winchesterstar.com/article/040615br","http://www.winchesterstar.com/article/040615br")</f>
        <v>http://www.winchesterstar.com/article/040615br</v>
      </c>
      <c r="R2700" s="1" t="s">
        <v>100</v>
      </c>
      <c r="S2700" s="13" t="s">
        <v>28</v>
      </c>
      <c r="T2700" s="68" t="s">
        <v>29493</v>
      </c>
      <c r="U2700" s="68" t="s">
        <v>29436</v>
      </c>
      <c r="V2700" s="68" t="s">
        <v>29439</v>
      </c>
      <c r="W2700" s="68" t="s">
        <v>555</v>
      </c>
      <c r="X2700" s="68">
        <v>299</v>
      </c>
      <c r="AW2700" s="44"/>
      <c r="BK2700" s="11"/>
    </row>
    <row r="2701" spans="1:63" ht="12" customHeight="1" x14ac:dyDescent="0.15">
      <c r="A2701" s="1" t="s">
        <v>3112</v>
      </c>
      <c r="B2701" s="68">
        <v>44</v>
      </c>
      <c r="C2701" s="1" t="s">
        <v>20</v>
      </c>
      <c r="D2701" s="1" t="s">
        <v>85</v>
      </c>
      <c r="E2701" s="1" t="s">
        <v>3113</v>
      </c>
      <c r="F2701" s="69">
        <v>42096</v>
      </c>
      <c r="G2701" s="1" t="s">
        <v>24467</v>
      </c>
      <c r="H2701" s="1" t="s">
        <v>2487</v>
      </c>
      <c r="I2701" s="1" t="s">
        <v>395</v>
      </c>
      <c r="J2701" s="4" t="s">
        <v>2488</v>
      </c>
      <c r="K2701" s="1" t="s">
        <v>2487</v>
      </c>
      <c r="L2701" s="1" t="s">
        <v>3114</v>
      </c>
      <c r="M2701" s="1" t="s">
        <v>27</v>
      </c>
      <c r="N2701" s="1" t="s">
        <v>3115</v>
      </c>
      <c r="O2701" s="1" t="s">
        <v>31004</v>
      </c>
      <c r="P2701" s="1" t="s">
        <v>24960</v>
      </c>
      <c r="Q2701" s="6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2701" s="1" t="s">
        <v>100</v>
      </c>
      <c r="S2701" s="13" t="s">
        <v>18</v>
      </c>
      <c r="T2701" s="68" t="s">
        <v>28345</v>
      </c>
      <c r="U2701" s="68" t="s">
        <v>29436</v>
      </c>
      <c r="V2701" s="68" t="s">
        <v>29439</v>
      </c>
      <c r="W2701" s="68" t="s">
        <v>100</v>
      </c>
      <c r="X2701" s="68">
        <v>291</v>
      </c>
      <c r="AX2701" s="44"/>
      <c r="AY2701" s="44"/>
      <c r="BC2701" s="44"/>
      <c r="BD2701" s="44"/>
      <c r="BE2701" s="44"/>
      <c r="BF2701" s="44"/>
      <c r="BG2701" s="44"/>
      <c r="BH2701" s="44"/>
      <c r="BI2701" s="44"/>
      <c r="BJ2701" s="44"/>
    </row>
    <row r="2702" spans="1:63" ht="12" customHeight="1" x14ac:dyDescent="0.15">
      <c r="A2702" s="1" t="s">
        <v>3094</v>
      </c>
      <c r="B2702" s="68">
        <v>32</v>
      </c>
      <c r="C2702" s="1" t="s">
        <v>20</v>
      </c>
      <c r="D2702" s="1" t="s">
        <v>85</v>
      </c>
      <c r="E2702" s="1" t="str">
        <f>HYPERLINK("http://www.killedbypolice.net/victims/150297.jpg","http://www.killedbypolice.net/victims/150297.jpg")</f>
        <v>http://www.killedbypolice.net/victims/150297.jpg</v>
      </c>
      <c r="F2702" s="69">
        <v>42096</v>
      </c>
      <c r="G2702" s="1" t="s">
        <v>3095</v>
      </c>
      <c r="H2702" s="1" t="s">
        <v>3096</v>
      </c>
      <c r="I2702" s="1" t="s">
        <v>44</v>
      </c>
      <c r="J2702" s="4">
        <v>61201</v>
      </c>
      <c r="K2702" s="1" t="s">
        <v>3096</v>
      </c>
      <c r="L2702" s="1" t="s">
        <v>3097</v>
      </c>
      <c r="M2702" s="1" t="s">
        <v>27</v>
      </c>
      <c r="N2702" s="1" t="s">
        <v>3098</v>
      </c>
      <c r="O2702" s="1" t="s">
        <v>1010</v>
      </c>
      <c r="P2702" s="1" t="s">
        <v>401</v>
      </c>
      <c r="Q2702" s="63" t="str">
        <f>HYPERLINK("http://kwqc.com/2015/04/03/r-i-county-coroner-identifies-man-killed-in-officer-involved-shooting/","http://kwqc.com/2015/04/03/r-i-county-coroner-identifies-man-killed-in-officer-involved-shooting/")</f>
        <v>http://kwqc.com/2015/04/03/r-i-county-coroner-identifies-man-killed-in-officer-involved-shooting/</v>
      </c>
      <c r="R2702" s="1" t="s">
        <v>100</v>
      </c>
      <c r="S2702" s="13" t="s">
        <v>28</v>
      </c>
      <c r="T2702" s="68" t="s">
        <v>27756</v>
      </c>
      <c r="U2702" s="68" t="s">
        <v>29438</v>
      </c>
      <c r="V2702" s="68" t="s">
        <v>29440</v>
      </c>
      <c r="W2702" s="68" t="s">
        <v>100</v>
      </c>
      <c r="X2702" s="68">
        <v>286</v>
      </c>
      <c r="AW2702" s="11"/>
      <c r="AX2702" s="11"/>
      <c r="AY2702" s="11"/>
      <c r="BC2702" s="44"/>
      <c r="BD2702" s="44"/>
      <c r="BE2702" s="44"/>
      <c r="BF2702" s="44"/>
      <c r="BG2702" s="44"/>
      <c r="BH2702" s="44"/>
      <c r="BI2702" s="44"/>
      <c r="BJ2702" s="44"/>
      <c r="BK2702" s="44"/>
    </row>
    <row r="2703" spans="1:63" ht="12" customHeight="1" x14ac:dyDescent="0.15">
      <c r="A2703" s="1" t="s">
        <v>3106</v>
      </c>
      <c r="B2703" s="1">
        <v>39</v>
      </c>
      <c r="C2703" s="1" t="s">
        <v>20</v>
      </c>
      <c r="D2703" s="1" t="s">
        <v>85</v>
      </c>
      <c r="E2703" s="1" t="s">
        <v>3107</v>
      </c>
      <c r="F2703" s="72">
        <v>42096</v>
      </c>
      <c r="G2703" s="1" t="s">
        <v>3108</v>
      </c>
      <c r="H2703" s="1" t="s">
        <v>3109</v>
      </c>
      <c r="I2703" s="1" t="s">
        <v>423</v>
      </c>
      <c r="J2703" s="4">
        <v>12210</v>
      </c>
      <c r="K2703" s="1" t="s">
        <v>3109</v>
      </c>
      <c r="L2703" s="1" t="s">
        <v>3110</v>
      </c>
      <c r="M2703" s="1" t="s">
        <v>391</v>
      </c>
      <c r="N2703" s="1" t="s">
        <v>3111</v>
      </c>
      <c r="O2703" s="1" t="s">
        <v>2613</v>
      </c>
      <c r="P2703" s="1" t="s">
        <v>401</v>
      </c>
      <c r="Q2703" s="63" t="str">
        <f>HYPERLINK("http://www.timesunion.com/news/article/Taser-victim-Dontay-Ivy-to-be-laid-to-rest-6187858.php","http://www.timesunion.com/news/article/Taser-victim-Dontay-Ivy-to-be-laid-to-rest-6187858.php")</f>
        <v>http://www.timesunion.com/news/article/Taser-victim-Dontay-Ivy-to-be-laid-to-rest-6187858.php</v>
      </c>
      <c r="R2703" s="1" t="s">
        <v>555</v>
      </c>
      <c r="S2703" s="13" t="s">
        <v>18</v>
      </c>
      <c r="AU2703" s="11"/>
      <c r="AV2703" s="11"/>
      <c r="AW2703" s="11"/>
      <c r="AX2703" s="44"/>
      <c r="AY2703" s="44"/>
      <c r="BA2703" s="11"/>
      <c r="BB2703" s="11"/>
      <c r="BC2703" s="44"/>
      <c r="BD2703" s="44"/>
      <c r="BE2703" s="44"/>
      <c r="BF2703" s="44"/>
      <c r="BG2703" s="44"/>
      <c r="BH2703" s="44"/>
      <c r="BI2703" s="44"/>
      <c r="BJ2703" s="44"/>
    </row>
    <row r="2704" spans="1:63" ht="12" customHeight="1" x14ac:dyDescent="0.15">
      <c r="A2704" s="1" t="s">
        <v>3123</v>
      </c>
      <c r="B2704" s="68">
        <v>27</v>
      </c>
      <c r="C2704" s="1" t="s">
        <v>20</v>
      </c>
      <c r="D2704" s="1" t="s">
        <v>37</v>
      </c>
      <c r="E2704" s="1" t="s">
        <v>3124</v>
      </c>
      <c r="F2704" s="69">
        <v>42096</v>
      </c>
      <c r="G2704" s="1" t="s">
        <v>24466</v>
      </c>
      <c r="H2704" s="1" t="s">
        <v>3125</v>
      </c>
      <c r="I2704" s="1" t="s">
        <v>25</v>
      </c>
      <c r="J2704" s="4" t="s">
        <v>3126</v>
      </c>
      <c r="K2704" s="1" t="s">
        <v>3127</v>
      </c>
      <c r="L2704" s="1" t="s">
        <v>3128</v>
      </c>
      <c r="M2704" s="1" t="s">
        <v>27</v>
      </c>
      <c r="N2704" s="1" t="s">
        <v>3129</v>
      </c>
      <c r="O2704" s="1" t="s">
        <v>400</v>
      </c>
      <c r="P2704" s="1" t="s">
        <v>401</v>
      </c>
      <c r="Q2704" s="6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2704" s="68" t="s">
        <v>555</v>
      </c>
      <c r="S2704" s="13" t="s">
        <v>28</v>
      </c>
      <c r="T2704" s="68" t="s">
        <v>27756</v>
      </c>
      <c r="U2704" s="68" t="s">
        <v>29438</v>
      </c>
      <c r="V2704" s="68" t="s">
        <v>29439</v>
      </c>
      <c r="W2704" s="68" t="s">
        <v>100</v>
      </c>
      <c r="X2704" s="68">
        <v>303</v>
      </c>
      <c r="AW2704" s="44"/>
      <c r="BA2704" s="44"/>
      <c r="BB2704" s="44"/>
      <c r="BK2704" s="44"/>
    </row>
    <row r="2705" spans="1:63" ht="12" customHeight="1" x14ac:dyDescent="0.2">
      <c r="A2705" s="1" t="s">
        <v>3116</v>
      </c>
      <c r="B2705" s="68">
        <v>63</v>
      </c>
      <c r="C2705" s="1" t="s">
        <v>20</v>
      </c>
      <c r="D2705" s="1" t="s">
        <v>37</v>
      </c>
      <c r="F2705" s="69">
        <v>42096</v>
      </c>
      <c r="G2705" s="1" t="s">
        <v>3117</v>
      </c>
      <c r="H2705" s="1" t="s">
        <v>3118</v>
      </c>
      <c r="I2705" s="1" t="s">
        <v>44</v>
      </c>
      <c r="J2705" s="4" t="s">
        <v>3119</v>
      </c>
      <c r="K2705" s="1" t="s">
        <v>3120</v>
      </c>
      <c r="L2705" s="1" t="s">
        <v>3121</v>
      </c>
      <c r="M2705" s="68" t="s">
        <v>5411</v>
      </c>
      <c r="N2705" s="1" t="s">
        <v>3122</v>
      </c>
      <c r="O2705" s="1" t="s">
        <v>1010</v>
      </c>
      <c r="P2705" s="1" t="s">
        <v>401</v>
      </c>
      <c r="Q2705" s="6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2705" s="68" t="s">
        <v>555</v>
      </c>
      <c r="S2705" s="13" t="s">
        <v>28</v>
      </c>
      <c r="T2705" s="68" t="s">
        <v>27756</v>
      </c>
      <c r="U2705" s="68" t="s">
        <v>29438</v>
      </c>
      <c r="V2705" s="68" t="s">
        <v>29439</v>
      </c>
      <c r="W2705" s="68" t="s">
        <v>100</v>
      </c>
      <c r="X2705" s="68">
        <v>288</v>
      </c>
      <c r="BA2705" s="44"/>
      <c r="BB2705" s="70"/>
    </row>
    <row r="2706" spans="1:63" ht="12" customHeight="1" x14ac:dyDescent="0.15">
      <c r="A2706" s="1" t="s">
        <v>3130</v>
      </c>
      <c r="B2706" s="68">
        <v>37</v>
      </c>
      <c r="C2706" s="1" t="s">
        <v>20</v>
      </c>
      <c r="D2706" s="1" t="s">
        <v>85</v>
      </c>
      <c r="E2706" s="1" t="str">
        <f>HYPERLINK("http://www.killedbypolice.net/victims/150292.jpg","http://www.killedbypolice.net/victims/150292.jpg")</f>
        <v>http://www.killedbypolice.net/victims/150292.jpg</v>
      </c>
      <c r="F2706" s="69">
        <v>42095</v>
      </c>
      <c r="G2706" s="1" t="s">
        <v>3131</v>
      </c>
      <c r="H2706" s="1" t="s">
        <v>3132</v>
      </c>
      <c r="I2706" s="1" t="s">
        <v>45</v>
      </c>
      <c r="J2706" s="4">
        <v>90250</v>
      </c>
      <c r="K2706" s="1" t="s">
        <v>98</v>
      </c>
      <c r="L2706" s="1" t="s">
        <v>3133</v>
      </c>
      <c r="M2706" s="1" t="s">
        <v>27</v>
      </c>
      <c r="N2706" s="1" t="s">
        <v>3134</v>
      </c>
      <c r="O2706" s="1" t="s">
        <v>1010</v>
      </c>
      <c r="P2706" s="1" t="s">
        <v>401</v>
      </c>
      <c r="Q2706" s="63" t="str">
        <f>HYPERLINK("http://www.nbclosangeles.com/news/local/Fatal-Shooting-May-Have-Started-Over-Laugh-298532211.html","http://www.nbclosangeles.com/news/local/Fatal-Shooting-May-Have-Started-Over-Laugh-298532211.html")</f>
        <v>http://www.nbclosangeles.com/news/local/Fatal-Shooting-May-Have-Started-Over-Laugh-298532211.html</v>
      </c>
      <c r="R2706" s="1" t="s">
        <v>100</v>
      </c>
      <c r="S2706" s="13" t="s">
        <v>28</v>
      </c>
      <c r="T2706" s="68" t="s">
        <v>27756</v>
      </c>
      <c r="U2706" s="68" t="s">
        <v>29438</v>
      </c>
      <c r="V2706" s="68" t="s">
        <v>29439</v>
      </c>
      <c r="W2706" s="68" t="s">
        <v>100</v>
      </c>
      <c r="X2706" s="68">
        <v>267</v>
      </c>
      <c r="AW2706" s="44"/>
      <c r="AX2706" s="44"/>
      <c r="AY2706" s="44"/>
      <c r="BC2706" s="44"/>
      <c r="BD2706" s="44"/>
      <c r="BE2706" s="44"/>
      <c r="BF2706" s="44"/>
      <c r="BG2706" s="44"/>
      <c r="BH2706" s="44"/>
      <c r="BI2706" s="44"/>
      <c r="BJ2706" s="44"/>
      <c r="BK2706" s="44"/>
    </row>
    <row r="2707" spans="1:63" ht="12" customHeight="1" x14ac:dyDescent="0.15">
      <c r="A2707" s="1" t="s">
        <v>2897</v>
      </c>
      <c r="B2707" s="68">
        <v>36</v>
      </c>
      <c r="C2707" s="1" t="s">
        <v>20</v>
      </c>
      <c r="D2707" s="1" t="s">
        <v>37</v>
      </c>
      <c r="E2707" s="1" t="s">
        <v>2898</v>
      </c>
      <c r="F2707" s="69">
        <v>42095</v>
      </c>
      <c r="G2707" s="1" t="s">
        <v>2899</v>
      </c>
      <c r="H2707" s="1" t="s">
        <v>2900</v>
      </c>
      <c r="I2707" s="1" t="s">
        <v>81</v>
      </c>
      <c r="J2707" s="4" t="s">
        <v>2901</v>
      </c>
      <c r="K2707" s="1" t="s">
        <v>2902</v>
      </c>
      <c r="L2707" s="1" t="s">
        <v>2903</v>
      </c>
      <c r="M2707" s="1" t="s">
        <v>27</v>
      </c>
      <c r="N2707" s="1" t="s">
        <v>2904</v>
      </c>
      <c r="O2707" s="1" t="s">
        <v>2905</v>
      </c>
      <c r="P2707" s="1" t="s">
        <v>401</v>
      </c>
      <c r="Q2707" s="6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2707" s="1" t="s">
        <v>100</v>
      </c>
      <c r="S2707" s="13" t="s">
        <v>28</v>
      </c>
      <c r="T2707" s="68" t="s">
        <v>29493</v>
      </c>
      <c r="U2707" s="68" t="s">
        <v>29438</v>
      </c>
      <c r="V2707" s="68" t="s">
        <v>29439</v>
      </c>
      <c r="W2707" s="68" t="s">
        <v>100</v>
      </c>
      <c r="X2707" s="68">
        <v>533</v>
      </c>
      <c r="AW2707" s="44"/>
      <c r="BK2707" s="44"/>
    </row>
    <row r="2708" spans="1:63" ht="12" customHeight="1" x14ac:dyDescent="0.15">
      <c r="A2708" s="1" t="s">
        <v>3163</v>
      </c>
      <c r="B2708" s="68">
        <v>36</v>
      </c>
      <c r="C2708" s="1" t="s">
        <v>20</v>
      </c>
      <c r="D2708" s="1" t="s">
        <v>37</v>
      </c>
      <c r="E2708" s="1" t="s">
        <v>3164</v>
      </c>
      <c r="F2708" s="69">
        <v>42094</v>
      </c>
      <c r="G2708" s="1" t="s">
        <v>3165</v>
      </c>
      <c r="H2708" s="1" t="s">
        <v>1567</v>
      </c>
      <c r="I2708" s="1" t="s">
        <v>62</v>
      </c>
      <c r="J2708" s="4" t="s">
        <v>3166</v>
      </c>
      <c r="K2708" s="1" t="s">
        <v>638</v>
      </c>
      <c r="L2708" s="1" t="s">
        <v>3167</v>
      </c>
      <c r="M2708" s="1" t="s">
        <v>27</v>
      </c>
      <c r="N2708" s="1" t="s">
        <v>3168</v>
      </c>
      <c r="O2708" s="1" t="s">
        <v>1010</v>
      </c>
      <c r="P2708" s="1" t="s">
        <v>401</v>
      </c>
      <c r="Q2708" s="63" t="s">
        <v>3169</v>
      </c>
      <c r="R2708" s="1" t="s">
        <v>100</v>
      </c>
      <c r="S2708" s="13" t="s">
        <v>28</v>
      </c>
      <c r="T2708" s="68" t="s">
        <v>27756</v>
      </c>
      <c r="U2708" s="68" t="s">
        <v>29438</v>
      </c>
      <c r="V2708" s="68" t="s">
        <v>29439</v>
      </c>
      <c r="W2708" s="68" t="s">
        <v>100</v>
      </c>
      <c r="X2708" s="68">
        <v>259</v>
      </c>
      <c r="AW2708" s="44"/>
      <c r="BK2708" s="44"/>
    </row>
    <row r="2709" spans="1:63" ht="12" customHeight="1" x14ac:dyDescent="0.2">
      <c r="A2709" s="1" t="s">
        <v>3147</v>
      </c>
      <c r="B2709" s="1">
        <v>32</v>
      </c>
      <c r="C2709" s="1" t="s">
        <v>20</v>
      </c>
      <c r="D2709" s="1" t="s">
        <v>85</v>
      </c>
      <c r="E2709" s="1" t="s">
        <v>3148</v>
      </c>
      <c r="F2709" s="72">
        <v>42094</v>
      </c>
      <c r="G2709" s="1" t="s">
        <v>3149</v>
      </c>
      <c r="H2709" s="1" t="s">
        <v>3150</v>
      </c>
      <c r="I2709" s="1" t="s">
        <v>81</v>
      </c>
      <c r="J2709" s="4" t="s">
        <v>3151</v>
      </c>
      <c r="K2709" s="1" t="s">
        <v>3152</v>
      </c>
      <c r="L2709" s="1" t="s">
        <v>3153</v>
      </c>
      <c r="M2709" s="1" t="s">
        <v>3154</v>
      </c>
      <c r="N2709" s="1" t="s">
        <v>3155</v>
      </c>
      <c r="O2709" s="1" t="s">
        <v>400</v>
      </c>
      <c r="P2709" s="1" t="s">
        <v>401</v>
      </c>
      <c r="Q2709" s="63" t="s">
        <v>3156</v>
      </c>
      <c r="R2709" s="1" t="s">
        <v>29</v>
      </c>
      <c r="S2709" s="13" t="s">
        <v>18</v>
      </c>
      <c r="AT2709" s="70"/>
      <c r="AU2709" s="70"/>
      <c r="AV2709" s="70"/>
      <c r="AW2709" s="44"/>
      <c r="AX2709" s="44"/>
      <c r="BB2709" s="44"/>
      <c r="BC2709" s="44"/>
      <c r="BD2709" s="44"/>
      <c r="BE2709" s="44"/>
      <c r="BF2709" s="44"/>
      <c r="BG2709" s="44"/>
      <c r="BH2709" s="44"/>
      <c r="BI2709" s="44"/>
      <c r="BK2709" s="78"/>
    </row>
    <row r="2710" spans="1:63" ht="12" customHeight="1" x14ac:dyDescent="0.15">
      <c r="A2710" s="1" t="s">
        <v>3135</v>
      </c>
      <c r="B2710" s="1">
        <v>31</v>
      </c>
      <c r="C2710" s="1" t="s">
        <v>20</v>
      </c>
      <c r="D2710" s="1" t="s">
        <v>85</v>
      </c>
      <c r="E2710" s="1" t="s">
        <v>3136</v>
      </c>
      <c r="F2710" s="72">
        <v>42094</v>
      </c>
      <c r="G2710" s="1" t="s">
        <v>3137</v>
      </c>
      <c r="H2710" s="1" t="s">
        <v>2028</v>
      </c>
      <c r="I2710" s="1" t="s">
        <v>319</v>
      </c>
      <c r="J2710" s="4" t="s">
        <v>3138</v>
      </c>
      <c r="K2710" s="1" t="s">
        <v>879</v>
      </c>
      <c r="L2710" s="1" t="s">
        <v>880</v>
      </c>
      <c r="M2710" s="1" t="s">
        <v>27</v>
      </c>
      <c r="N2710" s="1" t="s">
        <v>3139</v>
      </c>
      <c r="O2710" s="1" t="s">
        <v>400</v>
      </c>
      <c r="P2710" s="1" t="s">
        <v>401</v>
      </c>
      <c r="Q2710" s="63" t="s">
        <v>3140</v>
      </c>
      <c r="R2710" s="1" t="s">
        <v>29</v>
      </c>
      <c r="S2710" s="13" t="s">
        <v>28</v>
      </c>
      <c r="T2710" s="68"/>
      <c r="U2710" s="68"/>
      <c r="V2710" s="68"/>
      <c r="W2710" s="68"/>
      <c r="X2710" s="68"/>
      <c r="AX2710" s="44"/>
      <c r="AY2710" s="44"/>
      <c r="BC2710" s="11"/>
      <c r="BD2710" s="11"/>
      <c r="BE2710" s="11"/>
      <c r="BF2710" s="11"/>
      <c r="BG2710" s="11"/>
      <c r="BH2710" s="11"/>
      <c r="BI2710" s="11"/>
      <c r="BJ2710" s="11"/>
      <c r="BK2710" s="44"/>
    </row>
    <row r="2711" spans="1:63" ht="12" customHeight="1" x14ac:dyDescent="0.15">
      <c r="A2711" s="1" t="s">
        <v>3141</v>
      </c>
      <c r="B2711" s="1">
        <v>17</v>
      </c>
      <c r="C2711" s="1" t="s">
        <v>20</v>
      </c>
      <c r="D2711" s="1" t="s">
        <v>85</v>
      </c>
      <c r="E2711" s="1" t="s">
        <v>3142</v>
      </c>
      <c r="F2711" s="72">
        <v>42094</v>
      </c>
      <c r="G2711" s="1" t="s">
        <v>3143</v>
      </c>
      <c r="H2711" s="1" t="s">
        <v>931</v>
      </c>
      <c r="I2711" s="1" t="s">
        <v>173</v>
      </c>
      <c r="J2711" s="4" t="s">
        <v>3144</v>
      </c>
      <c r="K2711" s="1" t="s">
        <v>1556</v>
      </c>
      <c r="L2711" s="1" t="s">
        <v>933</v>
      </c>
      <c r="M2711" s="1" t="s">
        <v>379</v>
      </c>
      <c r="N2711" s="1" t="s">
        <v>3145</v>
      </c>
      <c r="O2711" s="1" t="s">
        <v>400</v>
      </c>
      <c r="P2711" s="1" t="s">
        <v>401</v>
      </c>
      <c r="Q2711" s="63" t="s">
        <v>3146</v>
      </c>
      <c r="R2711" s="1" t="s">
        <v>29</v>
      </c>
      <c r="S2711" s="13" t="s">
        <v>28</v>
      </c>
      <c r="AX2711" s="44"/>
      <c r="AY2711" s="44"/>
      <c r="BC2711" s="44"/>
      <c r="BD2711" s="44"/>
      <c r="BE2711" s="44"/>
      <c r="BF2711" s="44"/>
      <c r="BG2711" s="44"/>
      <c r="BH2711" s="44"/>
      <c r="BI2711" s="44"/>
      <c r="BJ2711" s="44"/>
    </row>
    <row r="2712" spans="1:63" ht="12" customHeight="1" x14ac:dyDescent="0.15">
      <c r="A2712" s="1" t="s">
        <v>3177</v>
      </c>
      <c r="B2712" s="68">
        <v>27</v>
      </c>
      <c r="C2712" s="1" t="s">
        <v>114</v>
      </c>
      <c r="D2712" s="1" t="s">
        <v>85</v>
      </c>
      <c r="E2712" s="1" t="s">
        <v>3178</v>
      </c>
      <c r="F2712" s="69">
        <v>42094</v>
      </c>
      <c r="G2712" s="1" t="s">
        <v>3179</v>
      </c>
      <c r="H2712" s="1" t="s">
        <v>3180</v>
      </c>
      <c r="I2712" s="1" t="s">
        <v>52</v>
      </c>
      <c r="J2712" s="4" t="s">
        <v>3181</v>
      </c>
      <c r="K2712" s="1" t="s">
        <v>3182</v>
      </c>
      <c r="L2712" s="1" t="s">
        <v>3183</v>
      </c>
      <c r="M2712" s="1" t="s">
        <v>27</v>
      </c>
      <c r="N2712" s="1" t="s">
        <v>3184</v>
      </c>
      <c r="O2712" s="1" t="s">
        <v>400</v>
      </c>
      <c r="P2712" s="1" t="s">
        <v>401</v>
      </c>
      <c r="Q2712" s="63" t="s">
        <v>3185</v>
      </c>
      <c r="R2712" s="1" t="s">
        <v>29</v>
      </c>
      <c r="S2712" s="13" t="s">
        <v>379</v>
      </c>
      <c r="T2712" s="68" t="s">
        <v>379</v>
      </c>
      <c r="U2712" s="68" t="s">
        <v>29436</v>
      </c>
      <c r="V2712" s="68" t="s">
        <v>29437</v>
      </c>
      <c r="W2712" s="68" t="s">
        <v>100</v>
      </c>
      <c r="X2712" s="68">
        <v>263</v>
      </c>
      <c r="AW2712" s="44"/>
      <c r="AX2712" s="11"/>
      <c r="AY2712" s="11"/>
      <c r="BC2712" s="44"/>
      <c r="BD2712" s="44"/>
      <c r="BE2712" s="44"/>
      <c r="BF2712" s="44"/>
      <c r="BG2712" s="44"/>
      <c r="BH2712" s="44"/>
      <c r="BI2712" s="44"/>
      <c r="BJ2712" s="44"/>
      <c r="BK2712" s="44"/>
    </row>
    <row r="2713" spans="1:63" ht="12" customHeight="1" x14ac:dyDescent="0.15">
      <c r="A2713" s="1" t="s">
        <v>3157</v>
      </c>
      <c r="B2713" s="68">
        <v>21</v>
      </c>
      <c r="C2713" s="1" t="s">
        <v>20</v>
      </c>
      <c r="D2713" s="1" t="s">
        <v>48</v>
      </c>
      <c r="E2713" s="1" t="s">
        <v>3158</v>
      </c>
      <c r="F2713" s="69">
        <v>42094</v>
      </c>
      <c r="G2713" s="1" t="s">
        <v>3159</v>
      </c>
      <c r="H2713" s="1" t="s">
        <v>3160</v>
      </c>
      <c r="I2713" s="1" t="s">
        <v>73</v>
      </c>
      <c r="J2713" s="4">
        <v>77520</v>
      </c>
      <c r="K2713" s="1" t="s">
        <v>3160</v>
      </c>
      <c r="L2713" s="1" t="s">
        <v>3161</v>
      </c>
      <c r="M2713" s="1" t="s">
        <v>27</v>
      </c>
      <c r="N2713" s="1" t="s">
        <v>3162</v>
      </c>
      <c r="P2713" s="1" t="s">
        <v>401</v>
      </c>
      <c r="Q2713" s="63" t="str">
        <f>HYPERLINK("http://www.click2houston.com/news/pd-man-with-pellet-gun-shot-dead-by-baytown-police-officer/32108156","http://www.click2houston.com/news/pd-man-with-pellet-gun-shot-dead-by-baytown-police-officer/32108156")</f>
        <v>http://www.click2houston.com/news/pd-man-with-pellet-gun-shot-dead-by-baytown-police-officer/32108156</v>
      </c>
      <c r="R2713" s="1" t="s">
        <v>29</v>
      </c>
      <c r="S2713" s="13" t="s">
        <v>18</v>
      </c>
      <c r="T2713" s="68" t="s">
        <v>29612</v>
      </c>
      <c r="U2713" s="68" t="s">
        <v>29438</v>
      </c>
      <c r="V2713" s="68" t="s">
        <v>29439</v>
      </c>
      <c r="W2713" s="68" t="s">
        <v>100</v>
      </c>
      <c r="X2713" s="68">
        <v>261</v>
      </c>
      <c r="AW2713" s="44"/>
    </row>
    <row r="2714" spans="1:63" ht="12" customHeight="1" x14ac:dyDescent="0.15">
      <c r="A2714" s="1" t="s">
        <v>3208</v>
      </c>
      <c r="B2714" s="68">
        <v>54</v>
      </c>
      <c r="C2714" s="1" t="s">
        <v>20</v>
      </c>
      <c r="D2714" s="1" t="s">
        <v>37</v>
      </c>
      <c r="F2714" s="69">
        <v>42093</v>
      </c>
      <c r="G2714" s="1" t="s">
        <v>3209</v>
      </c>
      <c r="H2714" s="1" t="s">
        <v>3210</v>
      </c>
      <c r="I2714" s="1" t="s">
        <v>269</v>
      </c>
      <c r="J2714" s="4" t="s">
        <v>3211</v>
      </c>
      <c r="K2714" s="1" t="s">
        <v>570</v>
      </c>
      <c r="L2714" s="1" t="s">
        <v>3212</v>
      </c>
      <c r="M2714" s="1" t="s">
        <v>27</v>
      </c>
      <c r="N2714" s="1" t="s">
        <v>3213</v>
      </c>
      <c r="O2714" s="1" t="s">
        <v>400</v>
      </c>
      <c r="P2714" s="1" t="s">
        <v>401</v>
      </c>
      <c r="Q2714" s="63" t="s">
        <v>3214</v>
      </c>
      <c r="R2714" s="1" t="s">
        <v>29</v>
      </c>
      <c r="S2714" s="13" t="s">
        <v>28</v>
      </c>
      <c r="T2714" s="68" t="s">
        <v>27756</v>
      </c>
      <c r="U2714" s="68" t="s">
        <v>29438</v>
      </c>
      <c r="V2714" s="68" t="s">
        <v>29439</v>
      </c>
      <c r="W2714" s="68" t="s">
        <v>100</v>
      </c>
      <c r="X2714" s="68">
        <v>244</v>
      </c>
      <c r="BK2714" s="44"/>
    </row>
    <row r="2715" spans="1:63" ht="12" customHeight="1" x14ac:dyDescent="0.15">
      <c r="A2715" s="1" t="s">
        <v>3191</v>
      </c>
      <c r="B2715" s="68">
        <v>49</v>
      </c>
      <c r="C2715" s="1" t="s">
        <v>20</v>
      </c>
      <c r="D2715" s="1" t="s">
        <v>37</v>
      </c>
      <c r="E2715" s="1" t="s">
        <v>3192</v>
      </c>
      <c r="F2715" s="69">
        <v>42093</v>
      </c>
      <c r="G2715" s="1" t="s">
        <v>3193</v>
      </c>
      <c r="H2715" s="1" t="s">
        <v>3194</v>
      </c>
      <c r="I2715" s="1" t="s">
        <v>117</v>
      </c>
      <c r="J2715" s="4" t="s">
        <v>3195</v>
      </c>
      <c r="K2715" s="1" t="s">
        <v>3196</v>
      </c>
      <c r="L2715" s="1" t="s">
        <v>3197</v>
      </c>
      <c r="M2715" s="1" t="s">
        <v>27</v>
      </c>
      <c r="N2715" s="1" t="s">
        <v>3198</v>
      </c>
      <c r="O2715" s="1" t="s">
        <v>400</v>
      </c>
      <c r="P2715" s="1" t="s">
        <v>401</v>
      </c>
      <c r="Q2715" s="63" t="s">
        <v>3199</v>
      </c>
      <c r="R2715" s="1" t="s">
        <v>555</v>
      </c>
      <c r="S2715" s="13" t="s">
        <v>28</v>
      </c>
      <c r="T2715" s="68" t="s">
        <v>27756</v>
      </c>
      <c r="U2715" s="68" t="s">
        <v>29438</v>
      </c>
      <c r="V2715" s="68" t="s">
        <v>29439</v>
      </c>
      <c r="W2715" s="68" t="s">
        <v>100</v>
      </c>
      <c r="X2715" s="68">
        <v>262</v>
      </c>
      <c r="BA2715" s="44"/>
      <c r="BB2715" s="44"/>
      <c r="BK2715" s="44"/>
    </row>
    <row r="2716" spans="1:63" ht="12" customHeight="1" x14ac:dyDescent="0.15">
      <c r="A2716" s="1" t="s">
        <v>3170</v>
      </c>
      <c r="B2716" s="1">
        <v>30</v>
      </c>
      <c r="C2716" s="1" t="s">
        <v>20</v>
      </c>
      <c r="D2716" s="1" t="s">
        <v>85</v>
      </c>
      <c r="E2716" s="1" t="s">
        <v>3171</v>
      </c>
      <c r="F2716" s="72">
        <v>42093</v>
      </c>
      <c r="G2716" s="1" t="s">
        <v>3172</v>
      </c>
      <c r="H2716" s="1" t="s">
        <v>3173</v>
      </c>
      <c r="I2716" s="1" t="s">
        <v>244</v>
      </c>
      <c r="J2716" s="4">
        <v>22701</v>
      </c>
      <c r="K2716" s="1" t="s">
        <v>3173</v>
      </c>
      <c r="L2716" s="1" t="s">
        <v>3174</v>
      </c>
      <c r="M2716" s="1" t="s">
        <v>391</v>
      </c>
      <c r="N2716" s="1" t="s">
        <v>3175</v>
      </c>
      <c r="P2716" s="1" t="s">
        <v>401</v>
      </c>
      <c r="Q2716" s="63" t="s">
        <v>3176</v>
      </c>
      <c r="R2716" s="1" t="s">
        <v>29</v>
      </c>
      <c r="S2716" s="13" t="s">
        <v>18</v>
      </c>
      <c r="AU2716" s="11"/>
      <c r="AV2716" s="11"/>
      <c r="AW2716" s="11"/>
      <c r="AX2716" s="44"/>
      <c r="AY2716" s="44"/>
      <c r="BC2716" s="44"/>
      <c r="BD2716" s="44"/>
      <c r="BE2716" s="44"/>
      <c r="BF2716" s="44"/>
      <c r="BG2716" s="44"/>
      <c r="BH2716" s="44"/>
      <c r="BI2716" s="44"/>
      <c r="BJ2716" s="44"/>
    </row>
    <row r="2717" spans="1:63" ht="12" customHeight="1" x14ac:dyDescent="0.15">
      <c r="A2717" s="1" t="s">
        <v>3186</v>
      </c>
      <c r="B2717" s="1">
        <v>39</v>
      </c>
      <c r="C2717" s="1" t="s">
        <v>20</v>
      </c>
      <c r="D2717" s="1" t="s">
        <v>37</v>
      </c>
      <c r="F2717" s="72">
        <v>42093</v>
      </c>
      <c r="G2717" s="1" t="s">
        <v>3187</v>
      </c>
      <c r="H2717" s="1" t="s">
        <v>3188</v>
      </c>
      <c r="I2717" s="1" t="s">
        <v>217</v>
      </c>
      <c r="J2717" s="4">
        <v>46307</v>
      </c>
      <c r="K2717" s="1" t="s">
        <v>1256</v>
      </c>
      <c r="L2717" s="1" t="s">
        <v>3189</v>
      </c>
      <c r="M2717" s="1" t="s">
        <v>2291</v>
      </c>
      <c r="N2717" s="1" t="s">
        <v>3190</v>
      </c>
      <c r="P2717" s="1" t="s">
        <v>401</v>
      </c>
      <c r="Q2717" s="63"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2717" s="1" t="s">
        <v>29</v>
      </c>
      <c r="S2717" s="13" t="s">
        <v>18</v>
      </c>
    </row>
    <row r="2718" spans="1:63" ht="12" customHeight="1" x14ac:dyDescent="0.15">
      <c r="A2718" s="1" t="s">
        <v>3215</v>
      </c>
      <c r="B2718" s="68">
        <v>29</v>
      </c>
      <c r="C2718" s="1" t="s">
        <v>20</v>
      </c>
      <c r="D2718" s="1" t="s">
        <v>85</v>
      </c>
      <c r="E2718" s="1" t="s">
        <v>21109</v>
      </c>
      <c r="F2718" s="69">
        <v>42092</v>
      </c>
      <c r="G2718" s="1" t="s">
        <v>3216</v>
      </c>
      <c r="H2718" s="1" t="s">
        <v>1405</v>
      </c>
      <c r="I2718" s="1" t="s">
        <v>315</v>
      </c>
      <c r="J2718" s="4" t="s">
        <v>3217</v>
      </c>
      <c r="K2718" s="1" t="s">
        <v>1406</v>
      </c>
      <c r="L2718" s="1" t="s">
        <v>3218</v>
      </c>
      <c r="M2718" s="1" t="s">
        <v>27</v>
      </c>
      <c r="N2718" s="1" t="s">
        <v>21108</v>
      </c>
      <c r="O2718" s="1" t="s">
        <v>1010</v>
      </c>
      <c r="P2718" s="1" t="s">
        <v>401</v>
      </c>
      <c r="Q2718" s="63" t="s">
        <v>3219</v>
      </c>
      <c r="R2718" s="1" t="s">
        <v>100</v>
      </c>
      <c r="S2718" s="13" t="s">
        <v>28</v>
      </c>
      <c r="T2718" s="68" t="s">
        <v>27756</v>
      </c>
      <c r="U2718" s="68" t="s">
        <v>29438</v>
      </c>
      <c r="V2718" s="68" t="s">
        <v>29439</v>
      </c>
      <c r="W2718" s="68" t="s">
        <v>100</v>
      </c>
      <c r="X2718" s="68">
        <v>252</v>
      </c>
      <c r="AW2718" s="44"/>
      <c r="AX2718" s="11"/>
      <c r="AY2718" s="11"/>
      <c r="BC2718" s="44"/>
      <c r="BD2718" s="44"/>
      <c r="BE2718" s="44"/>
      <c r="BF2718" s="44"/>
      <c r="BG2718" s="44"/>
      <c r="BH2718" s="44"/>
      <c r="BI2718" s="44"/>
      <c r="BJ2718" s="44"/>
      <c r="BK2718" s="44"/>
    </row>
    <row r="2719" spans="1:63" ht="12" customHeight="1" x14ac:dyDescent="0.15">
      <c r="A2719" s="1" t="s">
        <v>3220</v>
      </c>
      <c r="B2719" s="68">
        <v>26</v>
      </c>
      <c r="C2719" s="1" t="s">
        <v>20</v>
      </c>
      <c r="D2719" s="1" t="s">
        <v>37</v>
      </c>
      <c r="F2719" s="69">
        <v>42092</v>
      </c>
      <c r="G2719" s="1" t="s">
        <v>3221</v>
      </c>
      <c r="H2719" s="1" t="s">
        <v>3222</v>
      </c>
      <c r="I2719" s="1" t="s">
        <v>69</v>
      </c>
      <c r="J2719" s="4">
        <v>45660</v>
      </c>
      <c r="K2719" s="1" t="s">
        <v>3223</v>
      </c>
      <c r="L2719" s="1" t="s">
        <v>3224</v>
      </c>
      <c r="M2719" s="1" t="s">
        <v>27</v>
      </c>
      <c r="N2719" s="1" t="s">
        <v>3225</v>
      </c>
      <c r="O2719" s="1" t="s">
        <v>20489</v>
      </c>
      <c r="P2719" s="1" t="s">
        <v>20489</v>
      </c>
      <c r="Q2719" s="6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2719" s="1" t="s">
        <v>100</v>
      </c>
      <c r="S2719" s="13" t="s">
        <v>379</v>
      </c>
      <c r="T2719" s="68" t="s">
        <v>379</v>
      </c>
      <c r="U2719" s="68" t="s">
        <v>29438</v>
      </c>
      <c r="V2719" s="68" t="s">
        <v>29437</v>
      </c>
      <c r="W2719" s="68" t="s">
        <v>100</v>
      </c>
      <c r="X2719" s="68">
        <v>264</v>
      </c>
      <c r="AW2719" s="44"/>
      <c r="BK2719" s="44"/>
    </row>
    <row r="2720" spans="1:63" ht="12" customHeight="1" x14ac:dyDescent="0.15">
      <c r="A2720" s="1" t="s">
        <v>3200</v>
      </c>
      <c r="B2720" s="1">
        <v>29</v>
      </c>
      <c r="C2720" s="1" t="s">
        <v>20</v>
      </c>
      <c r="D2720" s="1" t="s">
        <v>85</v>
      </c>
      <c r="F2720" s="72">
        <v>42092</v>
      </c>
      <c r="G2720" s="1" t="s">
        <v>3201</v>
      </c>
      <c r="H2720" s="1" t="s">
        <v>3202</v>
      </c>
      <c r="I2720" s="1" t="s">
        <v>45</v>
      </c>
      <c r="J2720" s="4" t="s">
        <v>3203</v>
      </c>
      <c r="K2720" s="1" t="s">
        <v>3204</v>
      </c>
      <c r="L2720" s="1" t="s">
        <v>3205</v>
      </c>
      <c r="M2720" s="1" t="s">
        <v>27</v>
      </c>
      <c r="N2720" s="1" t="s">
        <v>3206</v>
      </c>
      <c r="O2720" s="1" t="s">
        <v>400</v>
      </c>
      <c r="P2720" s="1" t="s">
        <v>401</v>
      </c>
      <c r="Q2720" s="63" t="s">
        <v>3207</v>
      </c>
      <c r="R2720" s="1" t="s">
        <v>29</v>
      </c>
      <c r="S2720" s="13" t="s">
        <v>18</v>
      </c>
      <c r="T2720" s="68"/>
      <c r="U2720" s="68"/>
      <c r="V2720" s="68"/>
      <c r="W2720" s="68"/>
      <c r="X2720" s="68"/>
      <c r="AX2720" s="44"/>
      <c r="AY2720" s="44"/>
      <c r="BC2720" s="44"/>
      <c r="BD2720" s="44"/>
      <c r="BE2720" s="44"/>
      <c r="BF2720" s="44"/>
      <c r="BG2720" s="44"/>
      <c r="BH2720" s="44"/>
      <c r="BI2720" s="44"/>
      <c r="BJ2720" s="44"/>
    </row>
    <row r="2721" spans="1:63" ht="12" customHeight="1" x14ac:dyDescent="0.15">
      <c r="A2721" s="1" t="s">
        <v>3238</v>
      </c>
      <c r="B2721" s="68">
        <v>39</v>
      </c>
      <c r="C2721" s="1" t="s">
        <v>20</v>
      </c>
      <c r="D2721" s="1" t="s">
        <v>85</v>
      </c>
      <c r="E2721" s="1" t="s">
        <v>3239</v>
      </c>
      <c r="F2721" s="69">
        <v>42090</v>
      </c>
      <c r="G2721" s="1" t="s">
        <v>3240</v>
      </c>
      <c r="H2721" s="1" t="s">
        <v>3241</v>
      </c>
      <c r="I2721" s="1" t="s">
        <v>62</v>
      </c>
      <c r="J2721" s="4" t="s">
        <v>3242</v>
      </c>
      <c r="K2721" s="1" t="s">
        <v>3243</v>
      </c>
      <c r="L2721" s="1" t="s">
        <v>3244</v>
      </c>
      <c r="M2721" s="1" t="s">
        <v>27</v>
      </c>
      <c r="N2721" s="1" t="s">
        <v>3245</v>
      </c>
      <c r="O2721" s="1" t="s">
        <v>400</v>
      </c>
      <c r="P2721" s="1" t="s">
        <v>401</v>
      </c>
      <c r="Q2721" s="63" t="s">
        <v>3246</v>
      </c>
      <c r="R2721" s="1" t="s">
        <v>29</v>
      </c>
      <c r="S2721" s="13" t="s">
        <v>28</v>
      </c>
      <c r="T2721" s="68" t="s">
        <v>29493</v>
      </c>
      <c r="U2721" s="68" t="s">
        <v>29436</v>
      </c>
      <c r="V2721" s="68" t="s">
        <v>29439</v>
      </c>
      <c r="W2721" s="68" t="s">
        <v>100</v>
      </c>
      <c r="X2721" s="68">
        <v>257</v>
      </c>
      <c r="AW2721" s="44"/>
      <c r="AX2721" s="44"/>
      <c r="AY2721" s="44"/>
      <c r="BC2721" s="44"/>
      <c r="BD2721" s="44"/>
      <c r="BE2721" s="44"/>
      <c r="BF2721" s="44"/>
      <c r="BG2721" s="44"/>
      <c r="BH2721" s="44"/>
      <c r="BI2721" s="44"/>
      <c r="BJ2721" s="44"/>
      <c r="BK2721" s="44"/>
    </row>
    <row r="2722" spans="1:63" ht="12" customHeight="1" x14ac:dyDescent="0.15">
      <c r="A2722" s="1" t="s">
        <v>3226</v>
      </c>
      <c r="B2722" s="68">
        <v>41</v>
      </c>
      <c r="C2722" s="1" t="s">
        <v>20</v>
      </c>
      <c r="D2722" s="1" t="s">
        <v>85</v>
      </c>
      <c r="E2722" s="1" t="s">
        <v>3227</v>
      </c>
      <c r="F2722" s="69">
        <v>42090</v>
      </c>
      <c r="G2722" s="1" t="s">
        <v>3228</v>
      </c>
      <c r="H2722" s="1" t="s">
        <v>1697</v>
      </c>
      <c r="I2722" s="1" t="s">
        <v>46</v>
      </c>
      <c r="J2722" s="4" t="s">
        <v>3229</v>
      </c>
      <c r="K2722" s="1" t="s">
        <v>1699</v>
      </c>
      <c r="L2722" s="1" t="s">
        <v>3230</v>
      </c>
      <c r="M2722" s="1" t="s">
        <v>27</v>
      </c>
      <c r="N2722" s="1" t="s">
        <v>3231</v>
      </c>
      <c r="O2722" s="1" t="s">
        <v>400</v>
      </c>
      <c r="P2722" s="1" t="s">
        <v>401</v>
      </c>
      <c r="Q2722" s="63" t="s">
        <v>3227</v>
      </c>
      <c r="R2722" s="1" t="s">
        <v>29</v>
      </c>
      <c r="S2722" s="13" t="s">
        <v>28</v>
      </c>
      <c r="T2722" s="68" t="s">
        <v>27756</v>
      </c>
      <c r="U2722" s="68" t="s">
        <v>29438</v>
      </c>
      <c r="V2722" s="68" t="s">
        <v>29439</v>
      </c>
      <c r="W2722" s="68" t="s">
        <v>100</v>
      </c>
      <c r="X2722" s="68">
        <v>254</v>
      </c>
      <c r="AX2722" s="44"/>
      <c r="AY2722" s="44"/>
      <c r="BC2722" s="44"/>
      <c r="BD2722" s="44"/>
      <c r="BE2722" s="44"/>
      <c r="BF2722" s="44"/>
      <c r="BG2722" s="44"/>
      <c r="BH2722" s="44"/>
      <c r="BI2722" s="44"/>
      <c r="BJ2722" s="44"/>
      <c r="BK2722" s="44"/>
    </row>
    <row r="2723" spans="1:63" ht="12" customHeight="1" x14ac:dyDescent="0.15">
      <c r="A2723" s="1" t="s">
        <v>3259</v>
      </c>
      <c r="B2723" s="68">
        <v>40</v>
      </c>
      <c r="C2723" s="1" t="s">
        <v>20</v>
      </c>
      <c r="D2723" s="1" t="s">
        <v>37</v>
      </c>
      <c r="F2723" s="69">
        <v>42090</v>
      </c>
      <c r="G2723" s="1" t="s">
        <v>3260</v>
      </c>
      <c r="H2723" s="1" t="s">
        <v>3261</v>
      </c>
      <c r="I2723" s="1" t="s">
        <v>46</v>
      </c>
      <c r="J2723" s="4" t="s">
        <v>3262</v>
      </c>
      <c r="K2723" s="1" t="s">
        <v>950</v>
      </c>
      <c r="L2723" s="1" t="s">
        <v>3263</v>
      </c>
      <c r="M2723" s="1" t="s">
        <v>27</v>
      </c>
      <c r="N2723" s="1" t="s">
        <v>3264</v>
      </c>
      <c r="O2723" s="1" t="s">
        <v>400</v>
      </c>
      <c r="P2723" s="1" t="s">
        <v>401</v>
      </c>
      <c r="Q2723" s="63" t="s">
        <v>3265</v>
      </c>
      <c r="R2723" s="1" t="s">
        <v>29</v>
      </c>
      <c r="S2723" s="13" t="s">
        <v>28</v>
      </c>
      <c r="T2723" s="68" t="s">
        <v>27756</v>
      </c>
      <c r="U2723" s="68" t="s">
        <v>29438</v>
      </c>
      <c r="V2723" s="68" t="s">
        <v>29440</v>
      </c>
      <c r="W2723" s="68" t="s">
        <v>100</v>
      </c>
      <c r="X2723" s="68">
        <v>316</v>
      </c>
      <c r="BK2723" s="44"/>
    </row>
    <row r="2724" spans="1:63" ht="12" customHeight="1" x14ac:dyDescent="0.15">
      <c r="A2724" s="1" t="s">
        <v>3266</v>
      </c>
      <c r="B2724" s="68">
        <v>42</v>
      </c>
      <c r="C2724" s="1" t="s">
        <v>20</v>
      </c>
      <c r="D2724" s="1" t="s">
        <v>37</v>
      </c>
      <c r="F2724" s="69">
        <v>42090</v>
      </c>
      <c r="G2724" s="1" t="s">
        <v>3267</v>
      </c>
      <c r="H2724" s="1" t="s">
        <v>3268</v>
      </c>
      <c r="I2724" s="1" t="s">
        <v>150</v>
      </c>
      <c r="J2724" s="4" t="s">
        <v>3269</v>
      </c>
      <c r="K2724" s="1" t="s">
        <v>855</v>
      </c>
      <c r="L2724" s="1" t="s">
        <v>17262</v>
      </c>
      <c r="M2724" s="1" t="s">
        <v>27</v>
      </c>
      <c r="N2724" s="1" t="s">
        <v>3270</v>
      </c>
      <c r="O2724" s="1" t="s">
        <v>550</v>
      </c>
      <c r="P2724" s="1" t="s">
        <v>401</v>
      </c>
      <c r="Q2724" s="63" t="s">
        <v>3271</v>
      </c>
      <c r="R2724" s="1" t="s">
        <v>29</v>
      </c>
      <c r="S2724" s="13" t="s">
        <v>28</v>
      </c>
      <c r="T2724" s="68" t="s">
        <v>27756</v>
      </c>
      <c r="U2724" s="68" t="s">
        <v>29438</v>
      </c>
      <c r="V2724" s="68" t="s">
        <v>29437</v>
      </c>
      <c r="W2724" s="68" t="s">
        <v>100</v>
      </c>
      <c r="X2724" s="68">
        <v>251</v>
      </c>
      <c r="BK2724" s="44"/>
    </row>
    <row r="2725" spans="1:63" ht="12" customHeight="1" x14ac:dyDescent="0.15">
      <c r="A2725" s="1" t="s">
        <v>3247</v>
      </c>
      <c r="B2725" s="68">
        <v>23</v>
      </c>
      <c r="C2725" s="1" t="s">
        <v>20</v>
      </c>
      <c r="D2725" s="1" t="s">
        <v>48</v>
      </c>
      <c r="E2725" s="1" t="s">
        <v>3248</v>
      </c>
      <c r="F2725" s="69">
        <v>42090</v>
      </c>
      <c r="G2725" s="1" t="s">
        <v>3249</v>
      </c>
      <c r="H2725" s="1" t="s">
        <v>679</v>
      </c>
      <c r="I2725" s="1" t="s">
        <v>45</v>
      </c>
      <c r="J2725" s="4" t="s">
        <v>3250</v>
      </c>
      <c r="K2725" s="1" t="s">
        <v>680</v>
      </c>
      <c r="L2725" s="1" t="s">
        <v>681</v>
      </c>
      <c r="M2725" s="1" t="s">
        <v>27</v>
      </c>
      <c r="N2725" s="1" t="s">
        <v>3251</v>
      </c>
      <c r="O2725" s="1" t="s">
        <v>400</v>
      </c>
      <c r="P2725" s="1" t="s">
        <v>401</v>
      </c>
      <c r="Q2725" s="63" t="s">
        <v>3248</v>
      </c>
      <c r="R2725" s="1" t="s">
        <v>29</v>
      </c>
      <c r="S2725" s="11" t="s">
        <v>18</v>
      </c>
      <c r="T2725" s="68" t="s">
        <v>29612</v>
      </c>
      <c r="U2725" s="68" t="s">
        <v>29438</v>
      </c>
      <c r="V2725" s="68" t="s">
        <v>29437</v>
      </c>
      <c r="W2725" s="68" t="s">
        <v>100</v>
      </c>
      <c r="X2725" s="68">
        <v>258</v>
      </c>
      <c r="AW2725" s="11"/>
    </row>
    <row r="2726" spans="1:63" ht="12" customHeight="1" x14ac:dyDescent="0.15">
      <c r="A2726" s="1" t="s">
        <v>4166</v>
      </c>
      <c r="B2726" s="1">
        <v>77</v>
      </c>
      <c r="C2726" s="1" t="s">
        <v>20</v>
      </c>
      <c r="D2726" s="1" t="s">
        <v>85</v>
      </c>
      <c r="F2726" s="72">
        <v>42090</v>
      </c>
      <c r="G2726" s="1" t="s">
        <v>4167</v>
      </c>
      <c r="H2726" s="1" t="s">
        <v>4144</v>
      </c>
      <c r="I2726" s="1" t="s">
        <v>94</v>
      </c>
      <c r="J2726" s="4">
        <v>35206</v>
      </c>
      <c r="K2726" s="1" t="s">
        <v>1778</v>
      </c>
      <c r="L2726" s="1" t="s">
        <v>4169</v>
      </c>
      <c r="M2726" s="1" t="s">
        <v>27</v>
      </c>
      <c r="N2726" s="1" t="s">
        <v>4170</v>
      </c>
      <c r="O2726" s="1" t="s">
        <v>400</v>
      </c>
      <c r="P2726" s="1" t="s">
        <v>401</v>
      </c>
      <c r="Q2726" s="63" t="s">
        <v>4171</v>
      </c>
      <c r="R2726" s="1" t="s">
        <v>555</v>
      </c>
      <c r="S2726" s="66" t="s">
        <v>28</v>
      </c>
      <c r="T2726" s="66" t="s">
        <v>27756</v>
      </c>
      <c r="U2726" s="66" t="s">
        <v>29438</v>
      </c>
      <c r="V2726" s="66" t="s">
        <v>29439</v>
      </c>
      <c r="W2726" s="66" t="s">
        <v>100</v>
      </c>
      <c r="X2726" s="66">
        <v>255</v>
      </c>
      <c r="AX2726" s="44"/>
      <c r="AY2726" s="44"/>
      <c r="BC2726" s="44"/>
      <c r="BD2726" s="44"/>
      <c r="BE2726" s="44"/>
      <c r="BF2726" s="44"/>
      <c r="BG2726" s="44"/>
      <c r="BH2726" s="44"/>
      <c r="BI2726" s="44"/>
      <c r="BJ2726" s="44"/>
      <c r="BK2726" s="44"/>
    </row>
    <row r="2727" spans="1:63" ht="12" customHeight="1" x14ac:dyDescent="0.15">
      <c r="A2727" s="1" t="s">
        <v>21107</v>
      </c>
      <c r="B2727" s="68">
        <v>56</v>
      </c>
      <c r="C2727" s="1" t="s">
        <v>20</v>
      </c>
      <c r="D2727" s="1" t="s">
        <v>37</v>
      </c>
      <c r="F2727" s="69">
        <v>42090</v>
      </c>
      <c r="G2727" s="1" t="s">
        <v>3253</v>
      </c>
      <c r="H2727" s="1" t="s">
        <v>3254</v>
      </c>
      <c r="I2727" s="1" t="s">
        <v>45</v>
      </c>
      <c r="J2727" s="4" t="s">
        <v>3255</v>
      </c>
      <c r="K2727" s="1" t="s">
        <v>156</v>
      </c>
      <c r="L2727" s="1" t="s">
        <v>3256</v>
      </c>
      <c r="M2727" s="1" t="s">
        <v>27</v>
      </c>
      <c r="N2727" s="1" t="s">
        <v>3257</v>
      </c>
      <c r="O2727" s="1" t="s">
        <v>400</v>
      </c>
      <c r="P2727" s="1" t="s">
        <v>401</v>
      </c>
      <c r="Q2727" s="63" t="s">
        <v>3258</v>
      </c>
      <c r="R2727" s="1" t="s">
        <v>555</v>
      </c>
      <c r="S2727" s="13" t="s">
        <v>28</v>
      </c>
      <c r="T2727" s="68" t="s">
        <v>27756</v>
      </c>
      <c r="U2727" s="68" t="s">
        <v>29438</v>
      </c>
      <c r="V2727" s="68" t="s">
        <v>29439</v>
      </c>
      <c r="W2727" s="68" t="s">
        <v>100</v>
      </c>
      <c r="X2727" s="68">
        <v>256</v>
      </c>
      <c r="BA2727" s="44"/>
      <c r="BB2727" s="44"/>
      <c r="BK2727" s="44"/>
    </row>
    <row r="2728" spans="1:63" ht="12" customHeight="1" x14ac:dyDescent="0.15">
      <c r="A2728" s="1" t="str">
        <f>HYPERLINK("http://www.killedbypolice.net/victims/150279.jpg","Meagan Hockaday")</f>
        <v>Meagan Hockaday</v>
      </c>
      <c r="B2728" s="68">
        <v>26</v>
      </c>
      <c r="C2728" s="1" t="s">
        <v>114</v>
      </c>
      <c r="D2728" s="1" t="s">
        <v>85</v>
      </c>
      <c r="E2728" s="1" t="s">
        <v>3232</v>
      </c>
      <c r="F2728" s="69">
        <v>42090</v>
      </c>
      <c r="G2728" s="1" t="s">
        <v>3233</v>
      </c>
      <c r="H2728" s="1" t="s">
        <v>3234</v>
      </c>
      <c r="I2728" s="1" t="s">
        <v>45</v>
      </c>
      <c r="J2728" s="4">
        <v>93036</v>
      </c>
      <c r="K2728" s="1" t="s">
        <v>3235</v>
      </c>
      <c r="L2728" s="1" t="s">
        <v>3236</v>
      </c>
      <c r="M2728" s="1" t="s">
        <v>27</v>
      </c>
      <c r="N2728" s="1" t="s">
        <v>3237</v>
      </c>
      <c r="P2728" s="1" t="s">
        <v>401</v>
      </c>
      <c r="Q2728" s="6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2728" s="1" t="s">
        <v>29</v>
      </c>
      <c r="S2728" s="13" t="s">
        <v>28</v>
      </c>
      <c r="T2728" s="68" t="s">
        <v>29493</v>
      </c>
      <c r="U2728" s="68" t="s">
        <v>29436</v>
      </c>
      <c r="V2728" s="68" t="s">
        <v>29439</v>
      </c>
      <c r="W2728" s="68" t="s">
        <v>100</v>
      </c>
      <c r="X2728" s="68">
        <v>245</v>
      </c>
      <c r="AW2728" s="44"/>
      <c r="AX2728" s="11"/>
      <c r="AY2728" s="11"/>
      <c r="BC2728" s="44"/>
      <c r="BD2728" s="44"/>
      <c r="BE2728" s="44"/>
      <c r="BF2728" s="44"/>
      <c r="BG2728" s="44"/>
      <c r="BH2728" s="44"/>
      <c r="BI2728" s="44"/>
      <c r="BJ2728" s="44"/>
      <c r="BK2728" s="44"/>
    </row>
    <row r="2729" spans="1:63" ht="12" customHeight="1" x14ac:dyDescent="0.15">
      <c r="A2729" s="1" t="s">
        <v>3283</v>
      </c>
      <c r="B2729" s="68">
        <v>53</v>
      </c>
      <c r="C2729" s="1" t="s">
        <v>114</v>
      </c>
      <c r="D2729" s="1" t="s">
        <v>37</v>
      </c>
      <c r="E2729" s="1" t="s">
        <v>3284</v>
      </c>
      <c r="F2729" s="69">
        <v>42089</v>
      </c>
      <c r="G2729" s="1" t="s">
        <v>3285</v>
      </c>
      <c r="H2729" s="1" t="s">
        <v>3286</v>
      </c>
      <c r="I2729" s="1" t="s">
        <v>363</v>
      </c>
      <c r="J2729" s="4" t="s">
        <v>3287</v>
      </c>
      <c r="K2729" s="1" t="s">
        <v>3288</v>
      </c>
      <c r="L2729" s="1" t="s">
        <v>3289</v>
      </c>
      <c r="M2729" s="1" t="s">
        <v>27</v>
      </c>
      <c r="N2729" s="1" t="s">
        <v>3290</v>
      </c>
      <c r="O2729" s="1" t="s">
        <v>400</v>
      </c>
      <c r="P2729" s="1" t="s">
        <v>401</v>
      </c>
      <c r="Q2729" s="63" t="s">
        <v>3291</v>
      </c>
      <c r="R2729" s="1" t="s">
        <v>29</v>
      </c>
      <c r="S2729" s="13" t="s">
        <v>28</v>
      </c>
      <c r="T2729" s="68" t="s">
        <v>27756</v>
      </c>
      <c r="U2729" s="68" t="s">
        <v>29438</v>
      </c>
      <c r="V2729" s="68" t="s">
        <v>29439</v>
      </c>
      <c r="W2729" s="68" t="s">
        <v>100</v>
      </c>
      <c r="X2729" s="68">
        <v>246</v>
      </c>
      <c r="BK2729" s="44"/>
    </row>
    <row r="2730" spans="1:63" ht="12" customHeight="1" x14ac:dyDescent="0.15">
      <c r="A2730" s="1" t="s">
        <v>3277</v>
      </c>
      <c r="B2730" s="1">
        <v>29</v>
      </c>
      <c r="C2730" s="1" t="s">
        <v>20</v>
      </c>
      <c r="D2730" s="1" t="s">
        <v>30</v>
      </c>
      <c r="E2730" s="1" t="s">
        <v>3278</v>
      </c>
      <c r="F2730" s="72">
        <v>42089</v>
      </c>
      <c r="G2730" s="1" t="s">
        <v>3279</v>
      </c>
      <c r="H2730" s="1" t="s">
        <v>33</v>
      </c>
      <c r="I2730" s="1" t="s">
        <v>32</v>
      </c>
      <c r="J2730" s="4" t="s">
        <v>3280</v>
      </c>
      <c r="K2730" s="1" t="s">
        <v>33</v>
      </c>
      <c r="L2730" s="1" t="s">
        <v>827</v>
      </c>
      <c r="M2730" s="1" t="s">
        <v>379</v>
      </c>
      <c r="N2730" s="1" t="s">
        <v>3281</v>
      </c>
      <c r="O2730" s="1" t="s">
        <v>400</v>
      </c>
      <c r="P2730" s="1" t="s">
        <v>401</v>
      </c>
      <c r="Q2730" s="63" t="s">
        <v>3282</v>
      </c>
      <c r="R2730" s="1" t="s">
        <v>29</v>
      </c>
      <c r="S2730" s="66" t="s">
        <v>379</v>
      </c>
      <c r="T2730" s="66" t="s">
        <v>30738</v>
      </c>
    </row>
    <row r="2731" spans="1:63" ht="12" customHeight="1" x14ac:dyDescent="0.15">
      <c r="A2731" s="1" t="s">
        <v>3272</v>
      </c>
      <c r="B2731" s="68">
        <v>35</v>
      </c>
      <c r="C2731" s="1" t="s">
        <v>20</v>
      </c>
      <c r="D2731" s="1" t="s">
        <v>48</v>
      </c>
      <c r="F2731" s="69">
        <v>42089</v>
      </c>
      <c r="G2731" s="1" t="s">
        <v>3273</v>
      </c>
      <c r="H2731" s="1" t="s">
        <v>224</v>
      </c>
      <c r="I2731" s="1" t="s">
        <v>45</v>
      </c>
      <c r="J2731" s="4" t="s">
        <v>3274</v>
      </c>
      <c r="K2731" s="1" t="s">
        <v>98</v>
      </c>
      <c r="L2731" s="1" t="s">
        <v>99</v>
      </c>
      <c r="M2731" s="1" t="s">
        <v>27</v>
      </c>
      <c r="N2731" s="1" t="s">
        <v>3275</v>
      </c>
      <c r="O2731" s="1" t="s">
        <v>400</v>
      </c>
      <c r="P2731" s="1" t="s">
        <v>401</v>
      </c>
      <c r="Q2731" s="63" t="s">
        <v>3276</v>
      </c>
      <c r="R2731" s="1" t="s">
        <v>555</v>
      </c>
      <c r="S2731" s="13" t="s">
        <v>28</v>
      </c>
      <c r="T2731" s="68" t="s">
        <v>29493</v>
      </c>
      <c r="U2731" s="68" t="s">
        <v>29436</v>
      </c>
      <c r="V2731" s="68" t="s">
        <v>29439</v>
      </c>
      <c r="W2731" s="68" t="s">
        <v>100</v>
      </c>
      <c r="X2731" s="68">
        <v>250</v>
      </c>
      <c r="AW2731" s="11"/>
      <c r="BA2731" s="44"/>
      <c r="BB2731" s="44"/>
      <c r="BK2731" s="44"/>
    </row>
    <row r="2732" spans="1:63" ht="12" customHeight="1" x14ac:dyDescent="0.15">
      <c r="A2732" s="1" t="s">
        <v>3292</v>
      </c>
      <c r="B2732" s="68">
        <v>27</v>
      </c>
      <c r="C2732" s="1" t="s">
        <v>20</v>
      </c>
      <c r="D2732" s="1" t="s">
        <v>85</v>
      </c>
      <c r="F2732" s="69">
        <v>42088</v>
      </c>
      <c r="G2732" s="1" t="s">
        <v>3293</v>
      </c>
      <c r="H2732" s="1" t="s">
        <v>3294</v>
      </c>
      <c r="I2732" s="1" t="s">
        <v>32</v>
      </c>
      <c r="J2732" s="4" t="s">
        <v>3295</v>
      </c>
      <c r="K2732" s="1" t="s">
        <v>3296</v>
      </c>
      <c r="L2732" s="1" t="s">
        <v>3297</v>
      </c>
      <c r="M2732" s="1" t="s">
        <v>27</v>
      </c>
      <c r="N2732" s="1" t="s">
        <v>3298</v>
      </c>
      <c r="O2732" s="1" t="s">
        <v>400</v>
      </c>
      <c r="P2732" s="1" t="s">
        <v>401</v>
      </c>
      <c r="Q2732" s="63" t="s">
        <v>3299</v>
      </c>
      <c r="R2732" s="1" t="s">
        <v>29</v>
      </c>
      <c r="S2732" s="13" t="s">
        <v>28</v>
      </c>
      <c r="T2732" s="68" t="s">
        <v>27756</v>
      </c>
      <c r="U2732" s="68" t="s">
        <v>29438</v>
      </c>
      <c r="V2732" s="68" t="s">
        <v>29440</v>
      </c>
      <c r="W2732" s="68" t="s">
        <v>100</v>
      </c>
      <c r="X2732" s="68">
        <v>240</v>
      </c>
      <c r="AW2732" s="44"/>
      <c r="AX2732" s="11"/>
      <c r="AY2732" s="11"/>
      <c r="BC2732" s="44"/>
      <c r="BD2732" s="44"/>
      <c r="BE2732" s="44"/>
      <c r="BF2732" s="44"/>
      <c r="BG2732" s="44"/>
      <c r="BH2732" s="44"/>
      <c r="BI2732" s="44"/>
      <c r="BJ2732" s="44"/>
      <c r="BK2732" s="44"/>
    </row>
    <row r="2733" spans="1:63" ht="12" customHeight="1" x14ac:dyDescent="0.15">
      <c r="A2733" s="1" t="s">
        <v>3300</v>
      </c>
      <c r="B2733" s="68">
        <v>28</v>
      </c>
      <c r="C2733" s="1" t="s">
        <v>20</v>
      </c>
      <c r="D2733" s="1" t="s">
        <v>48</v>
      </c>
      <c r="F2733" s="69">
        <v>42088</v>
      </c>
      <c r="G2733" s="1" t="s">
        <v>3301</v>
      </c>
      <c r="H2733" s="1" t="s">
        <v>98</v>
      </c>
      <c r="I2733" s="1" t="s">
        <v>45</v>
      </c>
      <c r="J2733" s="4" t="s">
        <v>3302</v>
      </c>
      <c r="K2733" s="1" t="s">
        <v>98</v>
      </c>
      <c r="L2733" s="1" t="s">
        <v>99</v>
      </c>
      <c r="M2733" s="1" t="s">
        <v>27</v>
      </c>
      <c r="N2733" s="1" t="s">
        <v>3303</v>
      </c>
      <c r="O2733" s="1" t="s">
        <v>400</v>
      </c>
      <c r="P2733" s="1" t="s">
        <v>401</v>
      </c>
      <c r="Q2733" s="63" t="s">
        <v>3304</v>
      </c>
      <c r="R2733" s="1" t="s">
        <v>29</v>
      </c>
      <c r="S2733" s="13" t="s">
        <v>28</v>
      </c>
      <c r="T2733" s="68" t="s">
        <v>27756</v>
      </c>
      <c r="U2733" s="68" t="s">
        <v>29438</v>
      </c>
      <c r="V2733" s="68" t="s">
        <v>29440</v>
      </c>
      <c r="W2733" s="68" t="s">
        <v>100</v>
      </c>
      <c r="X2733" s="68">
        <v>241</v>
      </c>
      <c r="AW2733" s="44"/>
      <c r="BK2733" s="11"/>
    </row>
    <row r="2734" spans="1:63" ht="12" customHeight="1" x14ac:dyDescent="0.15">
      <c r="A2734" s="1" t="s">
        <v>3305</v>
      </c>
      <c r="B2734" s="68">
        <v>23</v>
      </c>
      <c r="C2734" s="1" t="s">
        <v>20</v>
      </c>
      <c r="D2734" s="1" t="s">
        <v>85</v>
      </c>
      <c r="E2734" s="1" t="s">
        <v>3306</v>
      </c>
      <c r="F2734" s="69">
        <v>42088</v>
      </c>
      <c r="G2734" s="1" t="s">
        <v>3307</v>
      </c>
      <c r="H2734" s="1" t="s">
        <v>1916</v>
      </c>
      <c r="I2734" s="1" t="s">
        <v>173</v>
      </c>
      <c r="J2734" s="4" t="s">
        <v>3308</v>
      </c>
      <c r="K2734" s="1" t="s">
        <v>3309</v>
      </c>
      <c r="L2734" s="1" t="s">
        <v>3310</v>
      </c>
      <c r="M2734" s="1" t="s">
        <v>27</v>
      </c>
      <c r="N2734" s="1" t="s">
        <v>3311</v>
      </c>
      <c r="O2734" s="1" t="s">
        <v>400</v>
      </c>
      <c r="P2734" s="1" t="s">
        <v>401</v>
      </c>
      <c r="Q2734" s="63" t="s">
        <v>3312</v>
      </c>
      <c r="R2734" s="1" t="s">
        <v>29</v>
      </c>
      <c r="S2734" s="11" t="s">
        <v>379</v>
      </c>
      <c r="T2734" s="68" t="s">
        <v>29441</v>
      </c>
      <c r="U2734" s="68" t="s">
        <v>29436</v>
      </c>
      <c r="V2734" s="68" t="s">
        <v>29437</v>
      </c>
      <c r="W2734" s="68" t="s">
        <v>555</v>
      </c>
      <c r="X2734" s="68">
        <v>239</v>
      </c>
      <c r="AW2734" s="11"/>
      <c r="AX2734" s="44"/>
      <c r="AY2734" s="44"/>
      <c r="BC2734" s="44"/>
      <c r="BD2734" s="44"/>
      <c r="BE2734" s="44"/>
      <c r="BF2734" s="44"/>
      <c r="BG2734" s="44"/>
      <c r="BH2734" s="44"/>
      <c r="BI2734" s="44"/>
      <c r="BJ2734" s="44"/>
    </row>
    <row r="2735" spans="1:63" ht="12" customHeight="1" x14ac:dyDescent="0.15">
      <c r="A2735" s="1" t="s">
        <v>3336</v>
      </c>
      <c r="B2735" s="68">
        <v>38</v>
      </c>
      <c r="C2735" s="1" t="s">
        <v>20</v>
      </c>
      <c r="D2735" s="1" t="s">
        <v>37</v>
      </c>
      <c r="E2735" s="1" t="s">
        <v>3337</v>
      </c>
      <c r="F2735" s="69">
        <v>42087</v>
      </c>
      <c r="G2735" s="1" t="s">
        <v>3338</v>
      </c>
      <c r="H2735" s="1" t="s">
        <v>3339</v>
      </c>
      <c r="I2735" s="1" t="s">
        <v>438</v>
      </c>
      <c r="J2735" s="4" t="s">
        <v>3340</v>
      </c>
      <c r="K2735" s="1" t="s">
        <v>3339</v>
      </c>
      <c r="L2735" s="1" t="s">
        <v>3341</v>
      </c>
      <c r="M2735" s="1" t="s">
        <v>27</v>
      </c>
      <c r="N2735" s="1" t="s">
        <v>3342</v>
      </c>
      <c r="O2735" s="1" t="s">
        <v>400</v>
      </c>
      <c r="P2735" s="1" t="s">
        <v>401</v>
      </c>
      <c r="Q2735" s="63" t="s">
        <v>3343</v>
      </c>
      <c r="R2735" s="1" t="s">
        <v>29</v>
      </c>
      <c r="S2735" s="13" t="s">
        <v>28</v>
      </c>
      <c r="T2735" s="68" t="s">
        <v>27756</v>
      </c>
      <c r="U2735" s="68" t="s">
        <v>29438</v>
      </c>
      <c r="V2735" s="68" t="s">
        <v>29439</v>
      </c>
      <c r="W2735" s="68" t="s">
        <v>100</v>
      </c>
      <c r="X2735" s="68">
        <v>313</v>
      </c>
      <c r="AW2735" s="44"/>
      <c r="BK2735" s="11"/>
    </row>
    <row r="2736" spans="1:63" ht="12" customHeight="1" x14ac:dyDescent="0.2">
      <c r="A2736" s="1" t="s">
        <v>3321</v>
      </c>
      <c r="B2736" s="1">
        <v>63</v>
      </c>
      <c r="C2736" s="1" t="s">
        <v>20</v>
      </c>
      <c r="D2736" s="1" t="s">
        <v>37</v>
      </c>
      <c r="E2736" s="1" t="s">
        <v>3322</v>
      </c>
      <c r="F2736" s="72">
        <v>42087</v>
      </c>
      <c r="G2736" s="1" t="s">
        <v>3323</v>
      </c>
      <c r="H2736" s="1" t="s">
        <v>3324</v>
      </c>
      <c r="I2736" s="1" t="s">
        <v>123</v>
      </c>
      <c r="J2736" s="4" t="s">
        <v>3325</v>
      </c>
      <c r="K2736" s="1" t="s">
        <v>3326</v>
      </c>
      <c r="L2736" s="1" t="s">
        <v>3327</v>
      </c>
      <c r="M2736" s="1" t="s">
        <v>5411</v>
      </c>
      <c r="N2736" s="1" t="s">
        <v>3328</v>
      </c>
      <c r="O2736" s="1" t="s">
        <v>400</v>
      </c>
      <c r="P2736" s="1" t="s">
        <v>401</v>
      </c>
      <c r="Q2736" s="63" t="s">
        <v>3329</v>
      </c>
      <c r="R2736" s="1" t="s">
        <v>29</v>
      </c>
      <c r="S2736" s="13" t="s">
        <v>28</v>
      </c>
      <c r="T2736" s="66" t="s">
        <v>27756</v>
      </c>
      <c r="U2736" s="66" t="s">
        <v>29436</v>
      </c>
      <c r="V2736" s="66" t="s">
        <v>29439</v>
      </c>
      <c r="W2736" s="66" t="s">
        <v>100</v>
      </c>
      <c r="X2736" s="66">
        <v>242</v>
      </c>
      <c r="AW2736" s="70"/>
      <c r="AX2736" s="44"/>
      <c r="AY2736" s="44"/>
      <c r="AZ2736" s="44"/>
    </row>
    <row r="2737" spans="1:63" ht="12" customHeight="1" x14ac:dyDescent="0.15">
      <c r="A2737" s="1" t="s">
        <v>3313</v>
      </c>
      <c r="B2737" s="68">
        <v>29</v>
      </c>
      <c r="C2737" s="1" t="s">
        <v>20</v>
      </c>
      <c r="D2737" s="1" t="s">
        <v>85</v>
      </c>
      <c r="E2737" s="1" t="s">
        <v>3314</v>
      </c>
      <c r="F2737" s="69">
        <v>42087</v>
      </c>
      <c r="G2737" s="1" t="s">
        <v>3315</v>
      </c>
      <c r="H2737" s="1" t="s">
        <v>2698</v>
      </c>
      <c r="I2737" s="1" t="s">
        <v>244</v>
      </c>
      <c r="J2737" s="4" t="s">
        <v>3316</v>
      </c>
      <c r="K2737" s="1" t="s">
        <v>3317</v>
      </c>
      <c r="L2737" s="1" t="s">
        <v>3318</v>
      </c>
      <c r="M2737" s="1" t="s">
        <v>27</v>
      </c>
      <c r="N2737" s="1" t="s">
        <v>3319</v>
      </c>
      <c r="O2737" s="1" t="s">
        <v>400</v>
      </c>
      <c r="P2737" s="1" t="s">
        <v>401</v>
      </c>
      <c r="Q2737" s="63" t="s">
        <v>3320</v>
      </c>
      <c r="R2737" s="68" t="s">
        <v>555</v>
      </c>
      <c r="S2737" s="13" t="s">
        <v>28</v>
      </c>
      <c r="T2737" s="68" t="s">
        <v>27756</v>
      </c>
      <c r="U2737" s="68" t="s">
        <v>29438</v>
      </c>
      <c r="V2737" s="68" t="s">
        <v>29437</v>
      </c>
      <c r="W2737" s="68" t="s">
        <v>100</v>
      </c>
      <c r="X2737" s="68">
        <v>238</v>
      </c>
      <c r="AW2737" s="44"/>
      <c r="AX2737" s="11"/>
      <c r="AY2737" s="11"/>
      <c r="BA2737" s="44"/>
      <c r="BB2737" s="11"/>
      <c r="BC2737" s="44"/>
      <c r="BD2737" s="44"/>
      <c r="BE2737" s="44"/>
      <c r="BF2737" s="44"/>
      <c r="BG2737" s="44"/>
      <c r="BH2737" s="44"/>
      <c r="BI2737" s="44"/>
      <c r="BJ2737" s="44"/>
      <c r="BK2737" s="11"/>
    </row>
    <row r="2738" spans="1:63" ht="12" customHeight="1" x14ac:dyDescent="0.15">
      <c r="A2738" s="1" t="s">
        <v>3330</v>
      </c>
      <c r="B2738" s="68">
        <v>57</v>
      </c>
      <c r="C2738" s="1" t="s">
        <v>20</v>
      </c>
      <c r="D2738" s="1" t="s">
        <v>37</v>
      </c>
      <c r="E2738" s="1" t="s">
        <v>3331</v>
      </c>
      <c r="F2738" s="69">
        <v>42087</v>
      </c>
      <c r="G2738" s="1" t="s">
        <v>3332</v>
      </c>
      <c r="H2738" s="1" t="s">
        <v>606</v>
      </c>
      <c r="I2738" s="1" t="s">
        <v>45</v>
      </c>
      <c r="J2738" s="4" t="s">
        <v>3333</v>
      </c>
      <c r="K2738" s="1" t="s">
        <v>607</v>
      </c>
      <c r="L2738" s="1" t="s">
        <v>727</v>
      </c>
      <c r="M2738" s="1" t="s">
        <v>27</v>
      </c>
      <c r="N2738" s="1" t="s">
        <v>3334</v>
      </c>
      <c r="O2738" s="1" t="s">
        <v>1010</v>
      </c>
      <c r="P2738" s="1" t="s">
        <v>401</v>
      </c>
      <c r="Q2738" s="63" t="s">
        <v>3335</v>
      </c>
      <c r="R2738" s="1" t="s">
        <v>555</v>
      </c>
      <c r="S2738" s="13" t="s">
        <v>28</v>
      </c>
      <c r="T2738" s="68" t="s">
        <v>27756</v>
      </c>
      <c r="U2738" s="68" t="s">
        <v>29438</v>
      </c>
      <c r="V2738" s="68" t="s">
        <v>29439</v>
      </c>
      <c r="W2738" s="68" t="s">
        <v>100</v>
      </c>
      <c r="X2738" s="68">
        <v>247</v>
      </c>
      <c r="BA2738" s="44"/>
      <c r="BB2738" s="44"/>
      <c r="BK2738" s="11"/>
    </row>
    <row r="2739" spans="1:63" ht="12" customHeight="1" x14ac:dyDescent="0.15">
      <c r="A2739" s="1" t="s">
        <v>3356</v>
      </c>
      <c r="B2739" s="68">
        <v>24</v>
      </c>
      <c r="C2739" s="1" t="s">
        <v>20</v>
      </c>
      <c r="D2739" s="1" t="s">
        <v>85</v>
      </c>
      <c r="E2739" s="1" t="s">
        <v>20949</v>
      </c>
      <c r="F2739" s="69">
        <v>42086</v>
      </c>
      <c r="G2739" s="1" t="s">
        <v>3357</v>
      </c>
      <c r="H2739" s="1" t="s">
        <v>607</v>
      </c>
      <c r="I2739" s="1" t="s">
        <v>45</v>
      </c>
      <c r="J2739" s="4">
        <v>95050</v>
      </c>
      <c r="K2739" s="1" t="s">
        <v>607</v>
      </c>
      <c r="L2739" s="1" t="s">
        <v>3358</v>
      </c>
      <c r="M2739" s="1" t="s">
        <v>27</v>
      </c>
      <c r="N2739" s="1" t="s">
        <v>3359</v>
      </c>
      <c r="O2739" s="1" t="s">
        <v>550</v>
      </c>
      <c r="P2739" s="1" t="s">
        <v>401</v>
      </c>
      <c r="Q2739" s="63" t="s">
        <v>3360</v>
      </c>
      <c r="R2739" s="1" t="s">
        <v>29</v>
      </c>
      <c r="S2739" s="13" t="s">
        <v>28</v>
      </c>
      <c r="T2739" s="68" t="s">
        <v>27756</v>
      </c>
      <c r="U2739" s="68" t="s">
        <v>29438</v>
      </c>
      <c r="V2739" s="68" t="s">
        <v>29439</v>
      </c>
      <c r="W2739" s="68" t="s">
        <v>100</v>
      </c>
      <c r="X2739" s="68">
        <v>237</v>
      </c>
      <c r="AW2739" s="11"/>
      <c r="AX2739" s="44"/>
      <c r="AY2739" s="44"/>
      <c r="BC2739" s="44"/>
      <c r="BD2739" s="44"/>
      <c r="BE2739" s="44"/>
      <c r="BF2739" s="44"/>
      <c r="BG2739" s="44"/>
      <c r="BH2739" s="44"/>
      <c r="BI2739" s="44"/>
      <c r="BJ2739" s="44"/>
      <c r="BK2739" s="11"/>
    </row>
    <row r="2740" spans="1:63" ht="12" customHeight="1" x14ac:dyDescent="0.15">
      <c r="A2740" s="1" t="s">
        <v>3344</v>
      </c>
      <c r="B2740" s="1" t="s">
        <v>29</v>
      </c>
      <c r="C2740" s="1" t="s">
        <v>20</v>
      </c>
      <c r="D2740" s="1" t="s">
        <v>37</v>
      </c>
      <c r="F2740" s="72">
        <v>42086</v>
      </c>
      <c r="G2740" s="1" t="s">
        <v>3345</v>
      </c>
      <c r="H2740" s="1" t="s">
        <v>3346</v>
      </c>
      <c r="I2740" s="1" t="s">
        <v>303</v>
      </c>
      <c r="J2740" s="4">
        <v>98660</v>
      </c>
      <c r="K2740" s="1" t="s">
        <v>570</v>
      </c>
      <c r="L2740" s="1" t="s">
        <v>3347</v>
      </c>
      <c r="M2740" s="1" t="s">
        <v>2291</v>
      </c>
      <c r="N2740" s="1" t="s">
        <v>3348</v>
      </c>
      <c r="P2740" s="1" t="s">
        <v>401</v>
      </c>
      <c r="Q2740" s="63" t="str">
        <f>HYPERLINK("http://www.oregonlive.com/clark-county/index.ssf/2015/03/clark_county_jail_inmate_dies_1.html","http://www.oregonlive.com/clark-county/index.ssf/2015/03/clark_county_jail_inmate_dies_1.html")</f>
        <v>http://www.oregonlive.com/clark-county/index.ssf/2015/03/clark_county_jail_inmate_dies_1.html</v>
      </c>
      <c r="R2740" s="1" t="s">
        <v>29</v>
      </c>
      <c r="S2740" s="13" t="s">
        <v>18</v>
      </c>
    </row>
    <row r="2741" spans="1:63" ht="12" customHeight="1" x14ac:dyDescent="0.15">
      <c r="A2741" s="1" t="s">
        <v>3361</v>
      </c>
      <c r="B2741" s="1">
        <v>47</v>
      </c>
      <c r="C2741" s="1" t="s">
        <v>20</v>
      </c>
      <c r="D2741" s="1" t="s">
        <v>37</v>
      </c>
      <c r="E2741" s="1" t="s">
        <v>3362</v>
      </c>
      <c r="F2741" s="72">
        <v>42085</v>
      </c>
      <c r="G2741" s="1" t="s">
        <v>3363</v>
      </c>
      <c r="H2741" s="1" t="s">
        <v>3364</v>
      </c>
      <c r="I2741" s="1" t="s">
        <v>315</v>
      </c>
      <c r="J2741" s="4" t="s">
        <v>3365</v>
      </c>
      <c r="K2741" s="1" t="s">
        <v>3366</v>
      </c>
      <c r="L2741" s="1" t="s">
        <v>3367</v>
      </c>
      <c r="M2741" s="1" t="s">
        <v>14359</v>
      </c>
      <c r="N2741" s="1" t="s">
        <v>3368</v>
      </c>
      <c r="O2741" s="1" t="s">
        <v>400</v>
      </c>
      <c r="P2741" s="1" t="s">
        <v>401</v>
      </c>
      <c r="Q2741" s="63" t="s">
        <v>3369</v>
      </c>
      <c r="R2741" s="11" t="s">
        <v>964</v>
      </c>
      <c r="S2741" s="13" t="s">
        <v>18</v>
      </c>
      <c r="AX2741" s="44"/>
      <c r="AY2741" s="44"/>
      <c r="AZ2741" s="44"/>
    </row>
    <row r="2742" spans="1:63" ht="12" customHeight="1" x14ac:dyDescent="0.2">
      <c r="A2742" s="1" t="s">
        <v>3349</v>
      </c>
      <c r="B2742" s="68">
        <v>21</v>
      </c>
      <c r="C2742" s="1" t="s">
        <v>20</v>
      </c>
      <c r="D2742" s="1" t="s">
        <v>85</v>
      </c>
      <c r="E2742" s="1" t="s">
        <v>3350</v>
      </c>
      <c r="F2742" s="69">
        <v>42085</v>
      </c>
      <c r="G2742" s="1" t="s">
        <v>3351</v>
      </c>
      <c r="H2742" s="1" t="s">
        <v>3352</v>
      </c>
      <c r="I2742" s="1" t="s">
        <v>423</v>
      </c>
      <c r="J2742" s="4" t="s">
        <v>3353</v>
      </c>
      <c r="K2742" s="1" t="s">
        <v>1699</v>
      </c>
      <c r="L2742" s="1" t="s">
        <v>3354</v>
      </c>
      <c r="M2742" s="68" t="s">
        <v>5411</v>
      </c>
      <c r="N2742" s="1" t="s">
        <v>30975</v>
      </c>
      <c r="O2742" s="1" t="s">
        <v>400</v>
      </c>
      <c r="P2742" s="1" t="s">
        <v>401</v>
      </c>
      <c r="Q2742" s="63" t="s">
        <v>3355</v>
      </c>
      <c r="R2742" s="1" t="s">
        <v>29</v>
      </c>
      <c r="S2742" s="11" t="s">
        <v>18</v>
      </c>
      <c r="T2742" s="68" t="s">
        <v>29441</v>
      </c>
      <c r="U2742" s="68" t="s">
        <v>29438</v>
      </c>
      <c r="V2742" s="68" t="s">
        <v>29437</v>
      </c>
      <c r="W2742" s="68" t="s">
        <v>100</v>
      </c>
      <c r="X2742" s="68">
        <v>234</v>
      </c>
      <c r="AW2742" s="44"/>
      <c r="AX2742" s="44"/>
      <c r="AY2742" s="44"/>
      <c r="BB2742" s="70"/>
      <c r="BC2742" s="44"/>
      <c r="BD2742" s="44"/>
      <c r="BE2742" s="44"/>
      <c r="BF2742" s="44"/>
      <c r="BG2742" s="44"/>
      <c r="BH2742" s="44"/>
      <c r="BI2742" s="44"/>
      <c r="BJ2742" s="44"/>
      <c r="BK2742" s="11"/>
    </row>
    <row r="2743" spans="1:63" ht="12" customHeight="1" x14ac:dyDescent="0.15">
      <c r="A2743" s="1" t="s">
        <v>3376</v>
      </c>
      <c r="B2743" s="1">
        <v>43</v>
      </c>
      <c r="C2743" s="1" t="s">
        <v>20</v>
      </c>
      <c r="D2743" s="1" t="s">
        <v>37</v>
      </c>
      <c r="F2743" s="72">
        <v>42085</v>
      </c>
      <c r="G2743" s="1" t="s">
        <v>3377</v>
      </c>
      <c r="H2743" s="1" t="s">
        <v>2487</v>
      </c>
      <c r="I2743" s="1" t="s">
        <v>395</v>
      </c>
      <c r="J2743" s="4" t="s">
        <v>3378</v>
      </c>
      <c r="K2743" s="1" t="s">
        <v>2487</v>
      </c>
      <c r="L2743" s="1" t="s">
        <v>3379</v>
      </c>
      <c r="M2743" s="1" t="s">
        <v>379</v>
      </c>
      <c r="N2743" s="1" t="s">
        <v>3380</v>
      </c>
      <c r="O2743" s="1" t="s">
        <v>3381</v>
      </c>
      <c r="P2743" s="1" t="s">
        <v>401</v>
      </c>
      <c r="Q2743" s="63" t="s">
        <v>3382</v>
      </c>
      <c r="R2743" s="1" t="s">
        <v>29</v>
      </c>
      <c r="S2743" s="13" t="s">
        <v>18</v>
      </c>
    </row>
    <row r="2744" spans="1:63" ht="12" customHeight="1" x14ac:dyDescent="0.15">
      <c r="A2744" s="1" t="s">
        <v>3418</v>
      </c>
      <c r="B2744" s="68">
        <v>37</v>
      </c>
      <c r="C2744" s="1" t="s">
        <v>20</v>
      </c>
      <c r="D2744" s="1" t="s">
        <v>37</v>
      </c>
      <c r="E2744" s="1" t="s">
        <v>3419</v>
      </c>
      <c r="F2744" s="69">
        <v>42085</v>
      </c>
      <c r="G2744" s="1" t="s">
        <v>3420</v>
      </c>
      <c r="H2744" s="1" t="s">
        <v>3421</v>
      </c>
      <c r="I2744" s="1" t="s">
        <v>45</v>
      </c>
      <c r="J2744" s="4" t="s">
        <v>3422</v>
      </c>
      <c r="K2744" s="1" t="s">
        <v>3423</v>
      </c>
      <c r="L2744" s="1" t="s">
        <v>3424</v>
      </c>
      <c r="M2744" s="1" t="s">
        <v>27</v>
      </c>
      <c r="N2744" s="1" t="s">
        <v>3425</v>
      </c>
      <c r="O2744" s="1" t="s">
        <v>400</v>
      </c>
      <c r="P2744" s="1" t="s">
        <v>401</v>
      </c>
      <c r="Q2744" s="63" t="s">
        <v>3426</v>
      </c>
      <c r="R2744" s="1" t="s">
        <v>555</v>
      </c>
      <c r="S2744" s="13" t="s">
        <v>28</v>
      </c>
      <c r="T2744" s="68" t="s">
        <v>29493</v>
      </c>
      <c r="U2744" s="68" t="s">
        <v>29436</v>
      </c>
      <c r="V2744" s="68" t="s">
        <v>29439</v>
      </c>
      <c r="W2744" s="68" t="s">
        <v>100</v>
      </c>
      <c r="X2744" s="68">
        <v>231</v>
      </c>
      <c r="AW2744" s="44"/>
      <c r="BA2744" s="44"/>
      <c r="BB2744" s="44"/>
      <c r="BK2744" s="11"/>
    </row>
    <row r="2745" spans="1:63" ht="12" customHeight="1" x14ac:dyDescent="0.2">
      <c r="A2745" s="1" t="s">
        <v>3370</v>
      </c>
      <c r="B2745" s="68">
        <v>36</v>
      </c>
      <c r="C2745" s="1" t="s">
        <v>20</v>
      </c>
      <c r="D2745" s="1" t="s">
        <v>37</v>
      </c>
      <c r="E2745" s="1" t="s">
        <v>3371</v>
      </c>
      <c r="F2745" s="69">
        <v>42085</v>
      </c>
      <c r="G2745" s="1" t="s">
        <v>3372</v>
      </c>
      <c r="H2745" s="1" t="s">
        <v>1561</v>
      </c>
      <c r="I2745" s="1" t="s">
        <v>117</v>
      </c>
      <c r="J2745" s="4" t="s">
        <v>3373</v>
      </c>
      <c r="K2745" s="1" t="s">
        <v>1563</v>
      </c>
      <c r="L2745" s="1" t="s">
        <v>17750</v>
      </c>
      <c r="M2745" s="68" t="s">
        <v>5411</v>
      </c>
      <c r="N2745" s="1" t="s">
        <v>3374</v>
      </c>
      <c r="O2745" s="1" t="s">
        <v>400</v>
      </c>
      <c r="P2745" s="1" t="s">
        <v>401</v>
      </c>
      <c r="Q2745" s="63" t="s">
        <v>3375</v>
      </c>
      <c r="R2745" s="68" t="s">
        <v>555</v>
      </c>
      <c r="S2745" s="13" t="s">
        <v>28</v>
      </c>
      <c r="T2745" s="68" t="s">
        <v>29493</v>
      </c>
      <c r="U2745" s="68" t="s">
        <v>29436</v>
      </c>
      <c r="V2745" s="68" t="s">
        <v>29440</v>
      </c>
      <c r="W2745" s="68" t="s">
        <v>100</v>
      </c>
      <c r="X2745" s="68">
        <v>233</v>
      </c>
      <c r="AW2745" s="44"/>
      <c r="BA2745" s="44"/>
      <c r="BB2745" s="70"/>
    </row>
    <row r="2746" spans="1:63" ht="12" customHeight="1" x14ac:dyDescent="0.15">
      <c r="A2746" s="1" t="s">
        <v>3383</v>
      </c>
      <c r="B2746" s="1">
        <v>20</v>
      </c>
      <c r="C2746" s="1" t="s">
        <v>20</v>
      </c>
      <c r="D2746" s="1" t="s">
        <v>85</v>
      </c>
      <c r="E2746" s="1" t="s">
        <v>3384</v>
      </c>
      <c r="F2746" s="72">
        <v>42084</v>
      </c>
      <c r="G2746" s="1" t="s">
        <v>3385</v>
      </c>
      <c r="H2746" s="1" t="s">
        <v>3386</v>
      </c>
      <c r="I2746" s="1" t="s">
        <v>62</v>
      </c>
      <c r="J2746" s="4" t="s">
        <v>3387</v>
      </c>
      <c r="K2746" s="1" t="s">
        <v>2095</v>
      </c>
      <c r="L2746" s="1" t="s">
        <v>3388</v>
      </c>
      <c r="M2746" s="1" t="s">
        <v>379</v>
      </c>
      <c r="N2746" s="1" t="s">
        <v>3389</v>
      </c>
      <c r="O2746" s="1" t="s">
        <v>1010</v>
      </c>
      <c r="P2746" s="1" t="s">
        <v>401</v>
      </c>
      <c r="Q2746" s="63" t="s">
        <v>3390</v>
      </c>
      <c r="R2746" s="1" t="s">
        <v>100</v>
      </c>
      <c r="S2746" s="13" t="s">
        <v>379</v>
      </c>
      <c r="AX2746" s="44"/>
      <c r="AY2746" s="44"/>
      <c r="BC2746" s="44"/>
      <c r="BD2746" s="44"/>
      <c r="BE2746" s="44"/>
      <c r="BF2746" s="44"/>
      <c r="BG2746" s="44"/>
      <c r="BH2746" s="44"/>
      <c r="BI2746" s="44"/>
      <c r="BJ2746" s="44"/>
    </row>
    <row r="2747" spans="1:63" ht="12" customHeight="1" x14ac:dyDescent="0.2">
      <c r="A2747" s="66" t="s">
        <v>30667</v>
      </c>
      <c r="B2747" s="66">
        <v>31</v>
      </c>
      <c r="C2747" s="66" t="s">
        <v>20</v>
      </c>
      <c r="D2747" s="66" t="s">
        <v>37</v>
      </c>
      <c r="E2747" s="66" t="s">
        <v>30668</v>
      </c>
      <c r="F2747" s="69">
        <v>42084</v>
      </c>
      <c r="G2747" s="66" t="s">
        <v>30669</v>
      </c>
      <c r="H2747" s="66" t="s">
        <v>30670</v>
      </c>
      <c r="I2747" s="66" t="s">
        <v>404</v>
      </c>
      <c r="J2747" s="66" t="s">
        <v>30671</v>
      </c>
      <c r="K2747" s="66" t="s">
        <v>30672</v>
      </c>
      <c r="L2747" s="66" t="s">
        <v>511</v>
      </c>
      <c r="M2747" s="66" t="s">
        <v>379</v>
      </c>
      <c r="N2747" s="66" t="s">
        <v>30673</v>
      </c>
      <c r="O2747" s="66" t="s">
        <v>1010</v>
      </c>
      <c r="P2747" s="66" t="s">
        <v>30375</v>
      </c>
      <c r="Q2747" s="76" t="s">
        <v>30674</v>
      </c>
      <c r="R2747" s="66" t="s">
        <v>100</v>
      </c>
      <c r="S2747" s="66" t="s">
        <v>379</v>
      </c>
      <c r="T2747" s="77"/>
      <c r="U2747" s="77"/>
      <c r="V2747" s="77"/>
      <c r="W2747" s="77"/>
      <c r="X2747" s="77"/>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78"/>
      <c r="AW2747" s="78"/>
      <c r="AX2747" s="78"/>
      <c r="AY2747" s="78"/>
      <c r="AZ2747" s="78"/>
      <c r="BA2747" s="78"/>
      <c r="BB2747" s="78"/>
      <c r="BC2747" s="78"/>
      <c r="BD2747" s="78"/>
      <c r="BE2747" s="78"/>
      <c r="BF2747" s="78"/>
      <c r="BG2747" s="78"/>
      <c r="BH2747" s="78"/>
      <c r="BI2747" s="78"/>
      <c r="BJ2747" s="78"/>
    </row>
    <row r="2748" spans="1:63" ht="12" customHeight="1" x14ac:dyDescent="0.15">
      <c r="A2748" s="1" t="s">
        <v>3410</v>
      </c>
      <c r="B2748" s="68">
        <v>44</v>
      </c>
      <c r="C2748" s="1" t="s">
        <v>20</v>
      </c>
      <c r="D2748" s="1" t="s">
        <v>37</v>
      </c>
      <c r="E2748" s="1" t="s">
        <v>3411</v>
      </c>
      <c r="F2748" s="69">
        <v>42084</v>
      </c>
      <c r="G2748" s="1" t="s">
        <v>3412</v>
      </c>
      <c r="H2748" s="1" t="s">
        <v>3413</v>
      </c>
      <c r="I2748" s="1" t="s">
        <v>423</v>
      </c>
      <c r="J2748" s="4" t="s">
        <v>3414</v>
      </c>
      <c r="K2748" s="1" t="s">
        <v>2579</v>
      </c>
      <c r="L2748" s="1" t="s">
        <v>3415</v>
      </c>
      <c r="M2748" s="1" t="s">
        <v>27</v>
      </c>
      <c r="N2748" s="1" t="s">
        <v>3416</v>
      </c>
      <c r="O2748" s="1" t="s">
        <v>550</v>
      </c>
      <c r="P2748" s="1" t="s">
        <v>401</v>
      </c>
      <c r="Q2748" s="63" t="s">
        <v>3417</v>
      </c>
      <c r="R2748" s="1" t="s">
        <v>29</v>
      </c>
      <c r="S2748" s="13" t="s">
        <v>28</v>
      </c>
      <c r="T2748" s="68" t="s">
        <v>27756</v>
      </c>
      <c r="U2748" s="68" t="s">
        <v>29438</v>
      </c>
      <c r="V2748" s="68" t="s">
        <v>29437</v>
      </c>
      <c r="W2748" s="68" t="s">
        <v>100</v>
      </c>
      <c r="X2748" s="68">
        <v>309</v>
      </c>
      <c r="BK2748" s="44"/>
    </row>
    <row r="2749" spans="1:63" ht="12" customHeight="1" x14ac:dyDescent="0.15">
      <c r="A2749" s="1" t="s">
        <v>3399</v>
      </c>
      <c r="B2749" s="68">
        <v>42</v>
      </c>
      <c r="C2749" s="1" t="s">
        <v>20</v>
      </c>
      <c r="D2749" s="1" t="s">
        <v>37</v>
      </c>
      <c r="F2749" s="69">
        <v>42084</v>
      </c>
      <c r="G2749" s="1" t="s">
        <v>3400</v>
      </c>
      <c r="H2749" s="1" t="s">
        <v>1287</v>
      </c>
      <c r="I2749" s="1" t="s">
        <v>69</v>
      </c>
      <c r="J2749" s="4" t="s">
        <v>3401</v>
      </c>
      <c r="K2749" s="1" t="s">
        <v>1288</v>
      </c>
      <c r="L2749" s="1" t="s">
        <v>12562</v>
      </c>
      <c r="M2749" s="1" t="s">
        <v>27</v>
      </c>
      <c r="N2749" s="1" t="s">
        <v>3403</v>
      </c>
      <c r="O2749" s="1" t="s">
        <v>1010</v>
      </c>
      <c r="P2749" s="1" t="s">
        <v>401</v>
      </c>
      <c r="Q2749" s="63" t="s">
        <v>3404</v>
      </c>
      <c r="R2749" s="1" t="s">
        <v>29</v>
      </c>
      <c r="S2749" s="13" t="s">
        <v>28</v>
      </c>
      <c r="T2749" s="68" t="s">
        <v>27756</v>
      </c>
      <c r="U2749" s="68" t="s">
        <v>29438</v>
      </c>
      <c r="V2749" s="68" t="s">
        <v>29439</v>
      </c>
      <c r="W2749" s="68" t="s">
        <v>100</v>
      </c>
      <c r="X2749" s="68">
        <v>312</v>
      </c>
      <c r="BK2749" s="44"/>
    </row>
    <row r="2750" spans="1:63" ht="12" customHeight="1" x14ac:dyDescent="0.15">
      <c r="A2750" s="1" t="s">
        <v>3405</v>
      </c>
      <c r="B2750" s="68">
        <v>21</v>
      </c>
      <c r="C2750" s="1" t="s">
        <v>20</v>
      </c>
      <c r="D2750" s="1" t="s">
        <v>37</v>
      </c>
      <c r="F2750" s="69">
        <v>42084</v>
      </c>
      <c r="G2750" s="1" t="s">
        <v>3406</v>
      </c>
      <c r="H2750" s="1" t="s">
        <v>2034</v>
      </c>
      <c r="I2750" s="1" t="s">
        <v>123</v>
      </c>
      <c r="J2750" s="4" t="s">
        <v>2035</v>
      </c>
      <c r="K2750" s="1" t="s">
        <v>179</v>
      </c>
      <c r="L2750" s="1" t="s">
        <v>3407</v>
      </c>
      <c r="M2750" s="1" t="s">
        <v>27</v>
      </c>
      <c r="N2750" s="1" t="s">
        <v>3408</v>
      </c>
      <c r="O2750" s="1" t="s">
        <v>400</v>
      </c>
      <c r="P2750" s="1" t="s">
        <v>401</v>
      </c>
      <c r="Q2750" s="63" t="s">
        <v>3409</v>
      </c>
      <c r="R2750" s="1" t="s">
        <v>555</v>
      </c>
      <c r="S2750" s="13" t="s">
        <v>28</v>
      </c>
      <c r="T2750" s="68" t="s">
        <v>27756</v>
      </c>
      <c r="U2750" s="68" t="s">
        <v>29438</v>
      </c>
      <c r="V2750" s="68" t="s">
        <v>29439</v>
      </c>
      <c r="W2750" s="68" t="s">
        <v>100</v>
      </c>
      <c r="X2750" s="68">
        <v>235</v>
      </c>
      <c r="AW2750" s="44"/>
      <c r="BK2750" s="44"/>
    </row>
    <row r="2751" spans="1:63" ht="12" customHeight="1" x14ac:dyDescent="0.15">
      <c r="A2751" s="1" t="s">
        <v>3391</v>
      </c>
      <c r="B2751" s="68">
        <v>60</v>
      </c>
      <c r="C2751" s="1" t="s">
        <v>20</v>
      </c>
      <c r="D2751" s="1" t="s">
        <v>37</v>
      </c>
      <c r="F2751" s="69">
        <v>42084</v>
      </c>
      <c r="G2751" s="1" t="s">
        <v>3392</v>
      </c>
      <c r="H2751" s="1" t="s">
        <v>3393</v>
      </c>
      <c r="I2751" s="1" t="s">
        <v>217</v>
      </c>
      <c r="J2751" s="4" t="s">
        <v>3394</v>
      </c>
      <c r="K2751" s="1" t="s">
        <v>3395</v>
      </c>
      <c r="L2751" s="1" t="s">
        <v>3396</v>
      </c>
      <c r="M2751" s="1" t="s">
        <v>27</v>
      </c>
      <c r="N2751" s="1" t="s">
        <v>3397</v>
      </c>
      <c r="O2751" s="1" t="s">
        <v>1010</v>
      </c>
      <c r="P2751" s="1" t="s">
        <v>401</v>
      </c>
      <c r="Q2751" s="63" t="s">
        <v>3398</v>
      </c>
      <c r="R2751" s="1" t="s">
        <v>555</v>
      </c>
      <c r="S2751" s="13" t="s">
        <v>28</v>
      </c>
      <c r="T2751" s="68" t="s">
        <v>27756</v>
      </c>
      <c r="U2751" s="68" t="s">
        <v>29438</v>
      </c>
      <c r="V2751" s="68" t="s">
        <v>29439</v>
      </c>
      <c r="W2751" s="68" t="s">
        <v>100</v>
      </c>
      <c r="X2751" s="68">
        <v>311</v>
      </c>
      <c r="BA2751" s="44"/>
      <c r="BB2751" s="44"/>
      <c r="BK2751" s="44"/>
    </row>
    <row r="2752" spans="1:63" ht="12" customHeight="1" x14ac:dyDescent="0.15">
      <c r="A2752" s="1" t="s">
        <v>3433</v>
      </c>
      <c r="B2752" s="1">
        <v>28</v>
      </c>
      <c r="C2752" s="1" t="s">
        <v>20</v>
      </c>
      <c r="D2752" s="1" t="s">
        <v>30</v>
      </c>
      <c r="F2752" s="72">
        <v>42083</v>
      </c>
      <c r="G2752" s="1" t="s">
        <v>3428</v>
      </c>
      <c r="H2752" s="1" t="s">
        <v>754</v>
      </c>
      <c r="I2752" s="1" t="s">
        <v>423</v>
      </c>
      <c r="J2752" s="4" t="s">
        <v>3429</v>
      </c>
      <c r="K2752" s="1" t="s">
        <v>754</v>
      </c>
      <c r="L2752" s="1" t="s">
        <v>3430</v>
      </c>
      <c r="M2752" s="1" t="s">
        <v>379</v>
      </c>
      <c r="N2752" s="1" t="s">
        <v>3434</v>
      </c>
      <c r="O2752" s="1" t="s">
        <v>400</v>
      </c>
      <c r="P2752" s="1" t="s">
        <v>401</v>
      </c>
      <c r="Q2752" s="63" t="s">
        <v>3432</v>
      </c>
      <c r="R2752" s="11" t="s">
        <v>964</v>
      </c>
      <c r="S2752" s="13" t="s">
        <v>28</v>
      </c>
    </row>
    <row r="2753" spans="1:63" ht="12" customHeight="1" x14ac:dyDescent="0.15">
      <c r="A2753" s="1" t="s">
        <v>3489</v>
      </c>
      <c r="B2753" s="68">
        <v>24</v>
      </c>
      <c r="C2753" s="1" t="s">
        <v>20</v>
      </c>
      <c r="D2753" s="1" t="s">
        <v>139</v>
      </c>
      <c r="F2753" s="69">
        <v>42083</v>
      </c>
      <c r="G2753" s="1" t="s">
        <v>3490</v>
      </c>
      <c r="H2753" s="1" t="s">
        <v>3491</v>
      </c>
      <c r="I2753" s="1" t="s">
        <v>123</v>
      </c>
      <c r="J2753" s="4" t="s">
        <v>3492</v>
      </c>
      <c r="K2753" s="1" t="s">
        <v>2171</v>
      </c>
      <c r="L2753" s="1" t="s">
        <v>3493</v>
      </c>
      <c r="M2753" s="1" t="s">
        <v>27</v>
      </c>
      <c r="N2753" s="1" t="s">
        <v>3494</v>
      </c>
      <c r="O2753" s="1" t="s">
        <v>1010</v>
      </c>
      <c r="P2753" s="1" t="s">
        <v>401</v>
      </c>
      <c r="Q2753" s="63" t="s">
        <v>3495</v>
      </c>
      <c r="R2753" s="1" t="s">
        <v>29</v>
      </c>
      <c r="S2753" s="13" t="s">
        <v>28</v>
      </c>
      <c r="T2753" s="68" t="s">
        <v>27756</v>
      </c>
      <c r="U2753" s="68" t="s">
        <v>29438</v>
      </c>
      <c r="V2753" s="68" t="s">
        <v>29437</v>
      </c>
      <c r="W2753" s="68" t="s">
        <v>100</v>
      </c>
      <c r="X2753" s="68">
        <v>531</v>
      </c>
      <c r="AW2753" s="11"/>
      <c r="BK2753" s="44"/>
    </row>
    <row r="2754" spans="1:63" ht="12" customHeight="1" x14ac:dyDescent="0.15">
      <c r="A2754" s="1" t="s">
        <v>3442</v>
      </c>
      <c r="B2754" s="68">
        <v>34</v>
      </c>
      <c r="C2754" s="1" t="s">
        <v>20</v>
      </c>
      <c r="D2754" s="1" t="s">
        <v>37</v>
      </c>
      <c r="E2754" s="1" t="s">
        <v>3443</v>
      </c>
      <c r="F2754" s="69">
        <v>42083</v>
      </c>
      <c r="G2754" s="1" t="s">
        <v>3444</v>
      </c>
      <c r="H2754" s="1" t="s">
        <v>3445</v>
      </c>
      <c r="I2754" s="1" t="s">
        <v>395</v>
      </c>
      <c r="J2754" s="4" t="s">
        <v>3446</v>
      </c>
      <c r="K2754" s="1" t="s">
        <v>2647</v>
      </c>
      <c r="L2754" s="1" t="s">
        <v>2045</v>
      </c>
      <c r="M2754" s="1" t="s">
        <v>27</v>
      </c>
      <c r="N2754" s="1" t="s">
        <v>3447</v>
      </c>
      <c r="O2754" s="1" t="s">
        <v>400</v>
      </c>
      <c r="P2754" s="1" t="s">
        <v>401</v>
      </c>
      <c r="Q2754" s="63" t="s">
        <v>3448</v>
      </c>
      <c r="R2754" s="1" t="s">
        <v>29</v>
      </c>
      <c r="S2754" s="13" t="s">
        <v>28</v>
      </c>
      <c r="T2754" s="68" t="s">
        <v>27756</v>
      </c>
      <c r="U2754" s="68" t="s">
        <v>29438</v>
      </c>
      <c r="V2754" s="68" t="s">
        <v>29439</v>
      </c>
      <c r="W2754" s="68" t="s">
        <v>100</v>
      </c>
      <c r="X2754" s="68">
        <v>310</v>
      </c>
      <c r="AW2754" s="11"/>
      <c r="BK2754" s="44"/>
    </row>
    <row r="2755" spans="1:63" ht="12" customHeight="1" x14ac:dyDescent="0.15">
      <c r="A2755" s="1" t="s">
        <v>3435</v>
      </c>
      <c r="B2755" s="68">
        <v>63</v>
      </c>
      <c r="C2755" s="1" t="s">
        <v>20</v>
      </c>
      <c r="D2755" s="1" t="s">
        <v>85</v>
      </c>
      <c r="E2755" s="1" t="s">
        <v>3436</v>
      </c>
      <c r="F2755" s="69">
        <v>42083</v>
      </c>
      <c r="G2755" s="1" t="s">
        <v>3437</v>
      </c>
      <c r="H2755" s="1" t="s">
        <v>3438</v>
      </c>
      <c r="I2755" s="1" t="s">
        <v>25</v>
      </c>
      <c r="J2755" s="4">
        <v>70062</v>
      </c>
      <c r="K2755" s="1" t="s">
        <v>1778</v>
      </c>
      <c r="L2755" s="1" t="s">
        <v>3440</v>
      </c>
      <c r="M2755" s="1" t="s">
        <v>27</v>
      </c>
      <c r="N2755" s="1" t="s">
        <v>3441</v>
      </c>
      <c r="O2755" s="1" t="s">
        <v>550</v>
      </c>
      <c r="P2755" s="1" t="s">
        <v>401</v>
      </c>
      <c r="Q2755" s="63" t="s">
        <v>3436</v>
      </c>
      <c r="R2755" s="1" t="s">
        <v>555</v>
      </c>
      <c r="S2755" s="13" t="s">
        <v>28</v>
      </c>
      <c r="T2755" s="68" t="s">
        <v>29459</v>
      </c>
      <c r="U2755" s="68" t="s">
        <v>29438</v>
      </c>
      <c r="V2755" s="68" t="s">
        <v>29439</v>
      </c>
      <c r="W2755" s="68" t="s">
        <v>100</v>
      </c>
      <c r="X2755" s="68">
        <v>308</v>
      </c>
      <c r="AX2755" s="44"/>
      <c r="AY2755" s="44"/>
      <c r="BA2755" s="44"/>
      <c r="BB2755" s="44"/>
      <c r="BC2755" s="44"/>
      <c r="BD2755" s="44"/>
      <c r="BE2755" s="44"/>
      <c r="BF2755" s="44"/>
      <c r="BG2755" s="44"/>
      <c r="BH2755" s="44"/>
      <c r="BI2755" s="44"/>
      <c r="BJ2755" s="44"/>
      <c r="BK2755" s="44"/>
    </row>
    <row r="2756" spans="1:63" ht="12" customHeight="1" x14ac:dyDescent="0.15">
      <c r="A2756" s="1" t="s">
        <v>3427</v>
      </c>
      <c r="B2756" s="1">
        <v>28</v>
      </c>
      <c r="C2756" s="1" t="s">
        <v>20</v>
      </c>
      <c r="D2756" s="1" t="s">
        <v>48</v>
      </c>
      <c r="F2756" s="72">
        <v>42083</v>
      </c>
      <c r="G2756" s="1" t="s">
        <v>3428</v>
      </c>
      <c r="H2756" s="1" t="s">
        <v>754</v>
      </c>
      <c r="I2756" s="1" t="s">
        <v>423</v>
      </c>
      <c r="J2756" s="4" t="s">
        <v>3429</v>
      </c>
      <c r="K2756" s="1" t="s">
        <v>754</v>
      </c>
      <c r="L2756" s="1" t="s">
        <v>3430</v>
      </c>
      <c r="M2756" s="1" t="s">
        <v>379</v>
      </c>
      <c r="N2756" s="1" t="s">
        <v>3431</v>
      </c>
      <c r="O2756" s="1" t="s">
        <v>400</v>
      </c>
      <c r="P2756" s="1" t="s">
        <v>401</v>
      </c>
      <c r="Q2756" s="63" t="s">
        <v>3432</v>
      </c>
      <c r="R2756" s="1" t="s">
        <v>555</v>
      </c>
      <c r="S2756" s="66" t="s">
        <v>379</v>
      </c>
      <c r="T2756" s="66" t="s">
        <v>30738</v>
      </c>
      <c r="BA2756" s="11"/>
      <c r="BB2756" s="11"/>
    </row>
    <row r="2757" spans="1:63" ht="12" customHeight="1" x14ac:dyDescent="0.15">
      <c r="A2757" s="1" t="s">
        <v>3461</v>
      </c>
      <c r="B2757" s="1">
        <v>29</v>
      </c>
      <c r="C2757" s="1" t="s">
        <v>20</v>
      </c>
      <c r="D2757" s="1" t="s">
        <v>37</v>
      </c>
      <c r="E2757" s="1" t="s">
        <v>3462</v>
      </c>
      <c r="F2757" s="72">
        <v>42082</v>
      </c>
      <c r="G2757" s="1" t="s">
        <v>3463</v>
      </c>
      <c r="H2757" s="1" t="s">
        <v>3464</v>
      </c>
      <c r="I2757" s="1" t="s">
        <v>69</v>
      </c>
      <c r="J2757" s="4" t="s">
        <v>3465</v>
      </c>
      <c r="K2757" s="1" t="s">
        <v>3466</v>
      </c>
      <c r="L2757" s="1" t="s">
        <v>3467</v>
      </c>
      <c r="M2757" s="1" t="s">
        <v>27</v>
      </c>
      <c r="N2757" s="1" t="s">
        <v>21072</v>
      </c>
      <c r="O2757" s="1" t="s">
        <v>1010</v>
      </c>
      <c r="P2757" s="1" t="s">
        <v>401</v>
      </c>
      <c r="Q2757" s="63" t="s">
        <v>3468</v>
      </c>
      <c r="R2757" s="11" t="s">
        <v>964</v>
      </c>
      <c r="S2757" s="13" t="s">
        <v>18</v>
      </c>
      <c r="T2757" s="68"/>
      <c r="U2757" s="68"/>
      <c r="V2757" s="68"/>
      <c r="W2757" s="68"/>
      <c r="X2757" s="68"/>
    </row>
    <row r="2758" spans="1:63" ht="12" customHeight="1" x14ac:dyDescent="0.2">
      <c r="A2758" s="1" t="s">
        <v>3449</v>
      </c>
      <c r="B2758" s="68">
        <v>18</v>
      </c>
      <c r="C2758" s="1" t="s">
        <v>20</v>
      </c>
      <c r="D2758" s="1" t="s">
        <v>85</v>
      </c>
      <c r="F2758" s="69">
        <v>42082</v>
      </c>
      <c r="G2758" s="1" t="s">
        <v>3450</v>
      </c>
      <c r="H2758" s="1" t="s">
        <v>984</v>
      </c>
      <c r="I2758" s="1" t="s">
        <v>69</v>
      </c>
      <c r="J2758" s="4" t="s">
        <v>3451</v>
      </c>
      <c r="K2758" s="1" t="s">
        <v>105</v>
      </c>
      <c r="L2758" s="1" t="s">
        <v>3452</v>
      </c>
      <c r="M2758" s="1" t="s">
        <v>27</v>
      </c>
      <c r="N2758" s="1" t="s">
        <v>3453</v>
      </c>
      <c r="O2758" s="1" t="s">
        <v>30992</v>
      </c>
      <c r="P2758" s="1" t="s">
        <v>1159</v>
      </c>
      <c r="Q2758" s="63" t="s">
        <v>3454</v>
      </c>
      <c r="R2758" s="1" t="s">
        <v>29</v>
      </c>
      <c r="S2758" s="13" t="s">
        <v>18</v>
      </c>
      <c r="T2758" s="68" t="s">
        <v>28345</v>
      </c>
      <c r="U2758" s="68" t="s">
        <v>29438</v>
      </c>
      <c r="V2758" s="68" t="s">
        <v>29439</v>
      </c>
      <c r="W2758" s="68" t="s">
        <v>100</v>
      </c>
      <c r="X2758" s="68">
        <v>229</v>
      </c>
      <c r="AW2758" s="70"/>
      <c r="AX2758" s="70"/>
      <c r="AY2758" s="70"/>
      <c r="BC2758" s="44"/>
      <c r="BD2758" s="44"/>
      <c r="BE2758" s="44"/>
      <c r="BF2758" s="44"/>
      <c r="BG2758" s="44"/>
      <c r="BH2758" s="44"/>
      <c r="BI2758" s="44"/>
      <c r="BJ2758" s="44"/>
    </row>
    <row r="2759" spans="1:63" ht="12" customHeight="1" x14ac:dyDescent="0.2">
      <c r="A2759" s="1" t="s">
        <v>3455</v>
      </c>
      <c r="B2759" s="68">
        <v>16</v>
      </c>
      <c r="C2759" s="1" t="s">
        <v>20</v>
      </c>
      <c r="D2759" s="1" t="s">
        <v>85</v>
      </c>
      <c r="E2759" s="1" t="s">
        <v>3456</v>
      </c>
      <c r="F2759" s="69">
        <v>42082</v>
      </c>
      <c r="G2759" s="1" t="s">
        <v>3457</v>
      </c>
      <c r="H2759" s="1" t="s">
        <v>651</v>
      </c>
      <c r="I2759" s="1" t="s">
        <v>62</v>
      </c>
      <c r="J2759" s="4" t="s">
        <v>3458</v>
      </c>
      <c r="K2759" s="1" t="s">
        <v>652</v>
      </c>
      <c r="L2759" s="11" t="s">
        <v>653</v>
      </c>
      <c r="M2759" s="1" t="s">
        <v>27</v>
      </c>
      <c r="N2759" s="1" t="s">
        <v>3459</v>
      </c>
      <c r="O2759" s="1" t="s">
        <v>400</v>
      </c>
      <c r="P2759" s="1" t="s">
        <v>401</v>
      </c>
      <c r="Q2759" s="63" t="s">
        <v>3460</v>
      </c>
      <c r="R2759" s="1" t="s">
        <v>29</v>
      </c>
      <c r="S2759" s="13" t="s">
        <v>28</v>
      </c>
      <c r="T2759" s="68" t="s">
        <v>27756</v>
      </c>
      <c r="U2759" s="68" t="s">
        <v>29438</v>
      </c>
      <c r="V2759" s="68" t="s">
        <v>29437</v>
      </c>
      <c r="W2759" s="68" t="s">
        <v>100</v>
      </c>
      <c r="X2759" s="68">
        <v>265</v>
      </c>
      <c r="AW2759" s="70"/>
      <c r="AX2759" s="70"/>
      <c r="AY2759" s="70"/>
      <c r="BC2759" s="44"/>
      <c r="BD2759" s="44"/>
      <c r="BE2759" s="44"/>
      <c r="BF2759" s="44"/>
      <c r="BG2759" s="44"/>
      <c r="BH2759" s="44"/>
      <c r="BI2759" s="44"/>
      <c r="BJ2759" s="44"/>
      <c r="BK2759" s="44"/>
    </row>
    <row r="2760" spans="1:63" ht="12" customHeight="1" x14ac:dyDescent="0.15">
      <c r="A2760" s="1" t="s">
        <v>3504</v>
      </c>
      <c r="B2760" s="68">
        <v>31</v>
      </c>
      <c r="C2760" s="1" t="s">
        <v>20</v>
      </c>
      <c r="D2760" s="1" t="s">
        <v>37</v>
      </c>
      <c r="E2760" s="1" t="s">
        <v>3505</v>
      </c>
      <c r="F2760" s="69">
        <v>42082</v>
      </c>
      <c r="G2760" s="1" t="s">
        <v>3506</v>
      </c>
      <c r="H2760" s="1" t="s">
        <v>3507</v>
      </c>
      <c r="I2760" s="1" t="s">
        <v>790</v>
      </c>
      <c r="J2760" s="4" t="s">
        <v>3508</v>
      </c>
      <c r="K2760" s="1" t="s">
        <v>3509</v>
      </c>
      <c r="L2760" s="1" t="s">
        <v>3510</v>
      </c>
      <c r="M2760" s="1" t="s">
        <v>27</v>
      </c>
      <c r="N2760" s="1" t="s">
        <v>3511</v>
      </c>
      <c r="O2760" s="1" t="s">
        <v>1010</v>
      </c>
      <c r="P2760" s="1" t="s">
        <v>401</v>
      </c>
      <c r="Q2760" s="63" t="s">
        <v>3512</v>
      </c>
      <c r="R2760" s="1" t="s">
        <v>29</v>
      </c>
      <c r="S2760" s="13" t="s">
        <v>28</v>
      </c>
      <c r="T2760" s="68" t="s">
        <v>27756</v>
      </c>
      <c r="U2760" s="68" t="s">
        <v>29438</v>
      </c>
      <c r="V2760" s="68" t="s">
        <v>29439</v>
      </c>
      <c r="W2760" s="68" t="s">
        <v>555</v>
      </c>
      <c r="X2760" s="68">
        <v>230</v>
      </c>
      <c r="AW2760" s="11"/>
      <c r="BK2760" s="44"/>
    </row>
    <row r="2761" spans="1:63" ht="12" customHeight="1" x14ac:dyDescent="0.15">
      <c r="A2761" s="1" t="s">
        <v>3482</v>
      </c>
      <c r="B2761" s="68">
        <v>39</v>
      </c>
      <c r="C2761" s="1" t="s">
        <v>20</v>
      </c>
      <c r="D2761" s="1" t="s">
        <v>37</v>
      </c>
      <c r="E2761" s="1" t="s">
        <v>3483</v>
      </c>
      <c r="F2761" s="69">
        <v>42082</v>
      </c>
      <c r="G2761" s="1" t="s">
        <v>3484</v>
      </c>
      <c r="H2761" s="1" t="s">
        <v>3485</v>
      </c>
      <c r="I2761" s="1" t="s">
        <v>94</v>
      </c>
      <c r="J2761" s="4" t="s">
        <v>3486</v>
      </c>
      <c r="K2761" s="1" t="s">
        <v>2069</v>
      </c>
      <c r="L2761" s="1" t="s">
        <v>344</v>
      </c>
      <c r="M2761" s="1" t="s">
        <v>27</v>
      </c>
      <c r="N2761" s="1" t="s">
        <v>3487</v>
      </c>
      <c r="O2761" s="1" t="s">
        <v>1010</v>
      </c>
      <c r="P2761" s="1" t="s">
        <v>401</v>
      </c>
      <c r="Q2761" s="63" t="s">
        <v>3488</v>
      </c>
      <c r="R2761" s="1" t="s">
        <v>555</v>
      </c>
      <c r="S2761" s="13" t="s">
        <v>28</v>
      </c>
      <c r="T2761" s="68" t="s">
        <v>29478</v>
      </c>
      <c r="U2761" s="68" t="s">
        <v>29436</v>
      </c>
      <c r="V2761" s="68" t="s">
        <v>29439</v>
      </c>
      <c r="W2761" s="68" t="s">
        <v>555</v>
      </c>
      <c r="X2761" s="68">
        <v>228</v>
      </c>
      <c r="AW2761" s="44"/>
      <c r="BA2761" s="44"/>
      <c r="BB2761" s="44"/>
      <c r="BK2761" s="44"/>
    </row>
    <row r="2762" spans="1:63" ht="12" customHeight="1" x14ac:dyDescent="0.15">
      <c r="A2762" s="1" t="s">
        <v>3476</v>
      </c>
      <c r="B2762" s="68">
        <v>36</v>
      </c>
      <c r="C2762" s="1" t="s">
        <v>20</v>
      </c>
      <c r="D2762" s="1" t="s">
        <v>37</v>
      </c>
      <c r="E2762" s="1" t="s">
        <v>3477</v>
      </c>
      <c r="F2762" s="69">
        <v>42082</v>
      </c>
      <c r="G2762" s="1" t="s">
        <v>3478</v>
      </c>
      <c r="H2762" s="1" t="s">
        <v>679</v>
      </c>
      <c r="I2762" s="1" t="s">
        <v>45</v>
      </c>
      <c r="J2762" s="4" t="s">
        <v>3479</v>
      </c>
      <c r="K2762" s="1" t="s">
        <v>680</v>
      </c>
      <c r="L2762" s="1" t="s">
        <v>681</v>
      </c>
      <c r="M2762" s="1" t="s">
        <v>27</v>
      </c>
      <c r="N2762" s="1" t="s">
        <v>3480</v>
      </c>
      <c r="O2762" s="1" t="s">
        <v>550</v>
      </c>
      <c r="P2762" s="1" t="s">
        <v>401</v>
      </c>
      <c r="Q2762" s="63" t="s">
        <v>3481</v>
      </c>
      <c r="R2762" s="1" t="s">
        <v>555</v>
      </c>
      <c r="S2762" s="13" t="s">
        <v>28</v>
      </c>
      <c r="T2762" s="68" t="s">
        <v>27756</v>
      </c>
      <c r="U2762" s="68" t="s">
        <v>29438</v>
      </c>
      <c r="V2762" s="68" t="s">
        <v>29439</v>
      </c>
      <c r="W2762" s="68" t="s">
        <v>100</v>
      </c>
      <c r="X2762" s="68">
        <v>306</v>
      </c>
      <c r="AW2762" s="44"/>
      <c r="BK2762" s="44"/>
    </row>
    <row r="2763" spans="1:63" ht="12" customHeight="1" x14ac:dyDescent="0.2">
      <c r="A2763" s="1" t="s">
        <v>3469</v>
      </c>
      <c r="B2763" s="68">
        <v>20</v>
      </c>
      <c r="C2763" s="1" t="s">
        <v>20</v>
      </c>
      <c r="D2763" s="1" t="s">
        <v>37</v>
      </c>
      <c r="E2763" s="1" t="s">
        <v>20843</v>
      </c>
      <c r="F2763" s="69">
        <v>42082</v>
      </c>
      <c r="G2763" s="1" t="s">
        <v>3470</v>
      </c>
      <c r="H2763" s="1" t="s">
        <v>3471</v>
      </c>
      <c r="I2763" s="1" t="s">
        <v>303</v>
      </c>
      <c r="J2763" s="4" t="s">
        <v>3472</v>
      </c>
      <c r="K2763" s="1" t="s">
        <v>3473</v>
      </c>
      <c r="L2763" s="1" t="s">
        <v>4732</v>
      </c>
      <c r="M2763" s="1" t="s">
        <v>27</v>
      </c>
      <c r="N2763" s="1" t="s">
        <v>3474</v>
      </c>
      <c r="O2763" s="1" t="s">
        <v>1010</v>
      </c>
      <c r="P2763" s="1" t="s">
        <v>401</v>
      </c>
      <c r="Q2763" s="63" t="s">
        <v>3475</v>
      </c>
      <c r="R2763" s="68" t="s">
        <v>555</v>
      </c>
      <c r="S2763" s="13" t="s">
        <v>18</v>
      </c>
      <c r="T2763" s="68" t="s">
        <v>28345</v>
      </c>
      <c r="U2763" s="68" t="s">
        <v>29438</v>
      </c>
      <c r="V2763" s="68" t="s">
        <v>29439</v>
      </c>
      <c r="W2763" s="68" t="s">
        <v>100</v>
      </c>
      <c r="X2763" s="68">
        <v>295</v>
      </c>
      <c r="AW2763" s="70"/>
      <c r="BA2763" s="70"/>
      <c r="BB2763" s="70"/>
    </row>
    <row r="2764" spans="1:63" ht="12" customHeight="1" x14ac:dyDescent="0.15">
      <c r="A2764" s="1" t="s">
        <v>3513</v>
      </c>
      <c r="B2764" s="68">
        <v>49</v>
      </c>
      <c r="C2764" s="1" t="s">
        <v>114</v>
      </c>
      <c r="D2764" s="1" t="s">
        <v>37</v>
      </c>
      <c r="E2764" s="1" t="s">
        <v>3514</v>
      </c>
      <c r="F2764" s="69">
        <v>42081</v>
      </c>
      <c r="G2764" s="1" t="s">
        <v>3515</v>
      </c>
      <c r="H2764" s="1" t="s">
        <v>3516</v>
      </c>
      <c r="I2764" s="1" t="s">
        <v>123</v>
      </c>
      <c r="J2764" s="4" t="s">
        <v>3517</v>
      </c>
      <c r="K2764" s="1" t="s">
        <v>633</v>
      </c>
      <c r="L2764" s="1" t="s">
        <v>3327</v>
      </c>
      <c r="M2764" s="1" t="s">
        <v>27</v>
      </c>
      <c r="N2764" s="1" t="s">
        <v>3518</v>
      </c>
      <c r="O2764" s="1" t="s">
        <v>400</v>
      </c>
      <c r="P2764" s="1" t="s">
        <v>401</v>
      </c>
      <c r="Q2764" s="63" t="s">
        <v>3519</v>
      </c>
      <c r="R2764" s="1" t="s">
        <v>100</v>
      </c>
      <c r="S2764" s="13" t="s">
        <v>28</v>
      </c>
      <c r="T2764" s="68" t="s">
        <v>27756</v>
      </c>
      <c r="U2764" s="68" t="s">
        <v>29438</v>
      </c>
      <c r="V2764" s="68" t="s">
        <v>29439</v>
      </c>
      <c r="W2764" s="68" t="s">
        <v>100</v>
      </c>
      <c r="X2764" s="68">
        <v>225</v>
      </c>
      <c r="BK2764" s="44"/>
    </row>
    <row r="2765" spans="1:63" ht="12" customHeight="1" x14ac:dyDescent="0.15">
      <c r="A2765" s="1" t="s">
        <v>20600</v>
      </c>
      <c r="B2765" s="68">
        <v>47</v>
      </c>
      <c r="C2765" s="1" t="s">
        <v>20</v>
      </c>
      <c r="D2765" s="1" t="s">
        <v>37</v>
      </c>
      <c r="F2765" s="69">
        <v>42081</v>
      </c>
      <c r="G2765" s="1" t="s">
        <v>20602</v>
      </c>
      <c r="H2765" s="1" t="s">
        <v>679</v>
      </c>
      <c r="I2765" s="1" t="s">
        <v>45</v>
      </c>
      <c r="J2765" s="4">
        <v>93301</v>
      </c>
      <c r="K2765" s="1" t="s">
        <v>680</v>
      </c>
      <c r="L2765" s="1" t="s">
        <v>681</v>
      </c>
      <c r="M2765" s="1" t="s">
        <v>27</v>
      </c>
      <c r="N2765" s="1" t="s">
        <v>20603</v>
      </c>
      <c r="O2765" s="1" t="s">
        <v>550</v>
      </c>
      <c r="P2765" s="1" t="s">
        <v>401</v>
      </c>
      <c r="Q2765" s="1" t="s">
        <v>20601</v>
      </c>
      <c r="R2765" s="1" t="s">
        <v>29</v>
      </c>
      <c r="S2765" s="13" t="s">
        <v>28</v>
      </c>
      <c r="T2765" s="68" t="s">
        <v>29493</v>
      </c>
      <c r="U2765" s="68" t="s">
        <v>29436</v>
      </c>
      <c r="V2765" s="68" t="s">
        <v>29439</v>
      </c>
      <c r="W2765" s="68" t="s">
        <v>100</v>
      </c>
      <c r="X2765" s="68">
        <v>294</v>
      </c>
      <c r="BK2765" s="44"/>
    </row>
    <row r="2766" spans="1:63" ht="12" customHeight="1" x14ac:dyDescent="0.15">
      <c r="A2766" s="1" t="s">
        <v>3496</v>
      </c>
      <c r="B2766" s="68">
        <v>64</v>
      </c>
      <c r="C2766" s="1" t="s">
        <v>20</v>
      </c>
      <c r="D2766" s="1" t="s">
        <v>37</v>
      </c>
      <c r="E2766" s="1" t="s">
        <v>20300</v>
      </c>
      <c r="F2766" s="69">
        <v>42081</v>
      </c>
      <c r="G2766" s="1" t="s">
        <v>3497</v>
      </c>
      <c r="H2766" s="1" t="s">
        <v>3498</v>
      </c>
      <c r="I2766" s="1" t="s">
        <v>62</v>
      </c>
      <c r="J2766" s="4" t="s">
        <v>3499</v>
      </c>
      <c r="K2766" s="1" t="s">
        <v>3500</v>
      </c>
      <c r="L2766" s="1" t="s">
        <v>3501</v>
      </c>
      <c r="M2766" s="1" t="s">
        <v>27</v>
      </c>
      <c r="N2766" s="1" t="s">
        <v>3502</v>
      </c>
      <c r="O2766" s="1" t="s">
        <v>400</v>
      </c>
      <c r="P2766" s="1" t="s">
        <v>401</v>
      </c>
      <c r="Q2766" s="63" t="s">
        <v>3503</v>
      </c>
      <c r="R2766" s="1" t="s">
        <v>555</v>
      </c>
      <c r="S2766" s="13" t="s">
        <v>28</v>
      </c>
      <c r="T2766" s="68" t="s">
        <v>27756</v>
      </c>
      <c r="U2766" s="68" t="s">
        <v>29438</v>
      </c>
      <c r="V2766" s="68" t="s">
        <v>29439</v>
      </c>
      <c r="W2766" s="68" t="s">
        <v>100</v>
      </c>
      <c r="X2766" s="68">
        <v>226</v>
      </c>
      <c r="BK2766" s="44"/>
    </row>
    <row r="2767" spans="1:63" ht="12" customHeight="1" x14ac:dyDescent="0.15">
      <c r="A2767" s="1" t="s">
        <v>3520</v>
      </c>
      <c r="B2767" s="1">
        <v>35</v>
      </c>
      <c r="C2767" s="1" t="s">
        <v>20</v>
      </c>
      <c r="D2767" s="1" t="s">
        <v>85</v>
      </c>
      <c r="E2767" s="1" t="s">
        <v>3521</v>
      </c>
      <c r="F2767" s="72">
        <v>42080</v>
      </c>
      <c r="G2767" s="1" t="s">
        <v>3522</v>
      </c>
      <c r="H2767" s="1" t="s">
        <v>3523</v>
      </c>
      <c r="I2767" s="1" t="s">
        <v>173</v>
      </c>
      <c r="J2767" s="4" t="s">
        <v>3524</v>
      </c>
      <c r="K2767" s="1" t="s">
        <v>3525</v>
      </c>
      <c r="L2767" s="1" t="s">
        <v>3526</v>
      </c>
      <c r="M2767" s="1" t="s">
        <v>391</v>
      </c>
      <c r="N2767" s="1" t="s">
        <v>3527</v>
      </c>
      <c r="O2767" s="1" t="s">
        <v>400</v>
      </c>
      <c r="P2767" s="1" t="s">
        <v>401</v>
      </c>
      <c r="Q2767" s="63" t="s">
        <v>3528</v>
      </c>
      <c r="R2767" s="11" t="s">
        <v>964</v>
      </c>
      <c r="S2767" s="13" t="s">
        <v>18</v>
      </c>
      <c r="AU2767" s="11"/>
      <c r="AV2767" s="11"/>
      <c r="AW2767" s="11"/>
      <c r="AX2767" s="44"/>
      <c r="AY2767" s="44"/>
      <c r="BC2767" s="44"/>
      <c r="BD2767" s="44"/>
      <c r="BE2767" s="44"/>
      <c r="BF2767" s="44"/>
      <c r="BG2767" s="44"/>
      <c r="BH2767" s="44"/>
      <c r="BI2767" s="44"/>
      <c r="BJ2767" s="44"/>
    </row>
    <row r="2768" spans="1:63" ht="12" customHeight="1" x14ac:dyDescent="0.15">
      <c r="A2768" s="1" t="s">
        <v>3529</v>
      </c>
      <c r="B2768" s="68">
        <v>22</v>
      </c>
      <c r="C2768" s="1" t="s">
        <v>20</v>
      </c>
      <c r="D2768" s="1" t="s">
        <v>48</v>
      </c>
      <c r="E2768" s="1" t="s">
        <v>3530</v>
      </c>
      <c r="F2768" s="69">
        <v>42080</v>
      </c>
      <c r="G2768" s="1" t="s">
        <v>3531</v>
      </c>
      <c r="H2768" s="1" t="s">
        <v>1642</v>
      </c>
      <c r="I2768" s="1" t="s">
        <v>45</v>
      </c>
      <c r="J2768" s="4" t="s">
        <v>3532</v>
      </c>
      <c r="K2768" s="1" t="s">
        <v>1642</v>
      </c>
      <c r="L2768" s="1" t="s">
        <v>3533</v>
      </c>
      <c r="M2768" s="1" t="s">
        <v>27</v>
      </c>
      <c r="N2768" s="1" t="s">
        <v>3534</v>
      </c>
      <c r="O2768" s="1" t="s">
        <v>1010</v>
      </c>
      <c r="P2768" s="1" t="s">
        <v>401</v>
      </c>
      <c r="Q2768" s="63" t="s">
        <v>3535</v>
      </c>
      <c r="R2768" s="1" t="s">
        <v>29</v>
      </c>
      <c r="S2768" s="11" t="s">
        <v>18</v>
      </c>
      <c r="T2768" s="68" t="s">
        <v>28345</v>
      </c>
      <c r="U2768" s="68" t="s">
        <v>29441</v>
      </c>
      <c r="V2768" s="68" t="s">
        <v>29437</v>
      </c>
      <c r="W2768" s="68" t="s">
        <v>100</v>
      </c>
      <c r="X2768" s="68">
        <v>292</v>
      </c>
      <c r="AW2768" s="44"/>
    </row>
    <row r="2769" spans="1:63" ht="12" customHeight="1" x14ac:dyDescent="0.15">
      <c r="A2769" s="1" t="s">
        <v>3536</v>
      </c>
      <c r="B2769" s="1">
        <v>47</v>
      </c>
      <c r="C2769" s="1" t="s">
        <v>20</v>
      </c>
      <c r="D2769" s="1" t="s">
        <v>37</v>
      </c>
      <c r="F2769" s="72">
        <v>42080</v>
      </c>
      <c r="G2769" s="1" t="s">
        <v>3537</v>
      </c>
      <c r="H2769" s="1" t="s">
        <v>3538</v>
      </c>
      <c r="I2769" s="1" t="s">
        <v>25</v>
      </c>
      <c r="J2769" s="4" t="s">
        <v>3539</v>
      </c>
      <c r="K2769" s="1" t="s">
        <v>2160</v>
      </c>
      <c r="L2769" s="1" t="s">
        <v>14810</v>
      </c>
      <c r="M2769" s="1" t="s">
        <v>379</v>
      </c>
      <c r="N2769" s="1" t="s">
        <v>3540</v>
      </c>
      <c r="O2769" s="1" t="s">
        <v>400</v>
      </c>
      <c r="P2769" s="1" t="s">
        <v>401</v>
      </c>
      <c r="Q2769" s="63" t="s">
        <v>3541</v>
      </c>
      <c r="R2769" s="1" t="s">
        <v>29</v>
      </c>
      <c r="S2769" s="13" t="s">
        <v>18</v>
      </c>
    </row>
    <row r="2770" spans="1:63" ht="12" customHeight="1" x14ac:dyDescent="0.15">
      <c r="A2770" s="1" t="s">
        <v>3542</v>
      </c>
      <c r="B2770" s="68">
        <v>24</v>
      </c>
      <c r="C2770" s="1" t="s">
        <v>20</v>
      </c>
      <c r="D2770" s="1" t="s">
        <v>37</v>
      </c>
      <c r="E2770" s="1" t="s">
        <v>3543</v>
      </c>
      <c r="F2770" s="69">
        <v>42080</v>
      </c>
      <c r="G2770" s="1" t="s">
        <v>3544</v>
      </c>
      <c r="H2770" s="1" t="s">
        <v>3545</v>
      </c>
      <c r="I2770" s="1" t="s">
        <v>366</v>
      </c>
      <c r="J2770" s="4" t="s">
        <v>3546</v>
      </c>
      <c r="K2770" s="1" t="s">
        <v>3547</v>
      </c>
      <c r="L2770" s="1" t="s">
        <v>3548</v>
      </c>
      <c r="M2770" s="1" t="s">
        <v>27</v>
      </c>
      <c r="N2770" s="1" t="s">
        <v>3549</v>
      </c>
      <c r="O2770" s="1" t="s">
        <v>400</v>
      </c>
      <c r="P2770" s="1" t="s">
        <v>401</v>
      </c>
      <c r="Q2770" s="63" t="s">
        <v>3550</v>
      </c>
      <c r="R2770" s="1" t="s">
        <v>555</v>
      </c>
      <c r="S2770" s="13" t="s">
        <v>28</v>
      </c>
      <c r="T2770" s="68" t="s">
        <v>27756</v>
      </c>
      <c r="U2770" s="68" t="s">
        <v>29438</v>
      </c>
      <c r="V2770" s="68" t="s">
        <v>29440</v>
      </c>
      <c r="W2770" s="68" t="s">
        <v>100</v>
      </c>
      <c r="X2770" s="68">
        <v>217</v>
      </c>
      <c r="AW2770" s="11"/>
      <c r="BK2770" s="44"/>
    </row>
    <row r="2771" spans="1:63" ht="12" customHeight="1" x14ac:dyDescent="0.15">
      <c r="A2771" s="1" t="s">
        <v>3551</v>
      </c>
      <c r="B2771" s="68">
        <v>49</v>
      </c>
      <c r="C2771" s="1" t="s">
        <v>20</v>
      </c>
      <c r="D2771" s="1" t="s">
        <v>37</v>
      </c>
      <c r="F2771" s="69">
        <v>42080</v>
      </c>
      <c r="G2771" s="1" t="s">
        <v>3552</v>
      </c>
      <c r="H2771" s="1" t="s">
        <v>2020</v>
      </c>
      <c r="I2771" s="1" t="s">
        <v>117</v>
      </c>
      <c r="J2771" s="4" t="s">
        <v>3553</v>
      </c>
      <c r="K2771" s="1" t="s">
        <v>433</v>
      </c>
      <c r="L2771" s="1" t="s">
        <v>2022</v>
      </c>
      <c r="M2771" s="1" t="s">
        <v>27</v>
      </c>
      <c r="N2771" s="1" t="s">
        <v>3554</v>
      </c>
      <c r="O2771" s="1" t="s">
        <v>1010</v>
      </c>
      <c r="P2771" s="1" t="s">
        <v>401</v>
      </c>
      <c r="Q2771" s="63" t="s">
        <v>3555</v>
      </c>
      <c r="R2771" s="68" t="s">
        <v>555</v>
      </c>
      <c r="S2771" s="13" t="s">
        <v>28</v>
      </c>
      <c r="T2771" s="68" t="s">
        <v>27756</v>
      </c>
      <c r="U2771" s="68" t="s">
        <v>29438</v>
      </c>
      <c r="V2771" s="68" t="s">
        <v>29439</v>
      </c>
      <c r="W2771" s="68" t="s">
        <v>100</v>
      </c>
      <c r="X2771" s="68">
        <v>216</v>
      </c>
      <c r="BA2771" s="44"/>
      <c r="BB2771" s="11"/>
      <c r="BK2771" s="44"/>
    </row>
    <row r="2772" spans="1:63" ht="12" customHeight="1" x14ac:dyDescent="0.2">
      <c r="A2772" s="1" t="s">
        <v>3556</v>
      </c>
      <c r="B2772" s="68">
        <v>20</v>
      </c>
      <c r="C2772" s="1" t="s">
        <v>20</v>
      </c>
      <c r="D2772" s="1" t="s">
        <v>37</v>
      </c>
      <c r="E2772" s="1" t="s">
        <v>3557</v>
      </c>
      <c r="F2772" s="69">
        <v>42080</v>
      </c>
      <c r="G2772" s="1" t="s">
        <v>3558</v>
      </c>
      <c r="H2772" s="1" t="s">
        <v>3559</v>
      </c>
      <c r="I2772" s="1" t="s">
        <v>73</v>
      </c>
      <c r="J2772" s="4" t="s">
        <v>3560</v>
      </c>
      <c r="K2772" s="1" t="s">
        <v>1864</v>
      </c>
      <c r="L2772" s="1" t="s">
        <v>3561</v>
      </c>
      <c r="M2772" s="1" t="s">
        <v>27</v>
      </c>
      <c r="N2772" s="1" t="s">
        <v>3562</v>
      </c>
      <c r="O2772" s="1" t="s">
        <v>1010</v>
      </c>
      <c r="P2772" s="1" t="s">
        <v>401</v>
      </c>
      <c r="Q2772" s="63" t="s">
        <v>3563</v>
      </c>
      <c r="R2772" s="68" t="s">
        <v>555</v>
      </c>
      <c r="S2772" s="13" t="s">
        <v>28</v>
      </c>
      <c r="T2772" s="68" t="s">
        <v>27756</v>
      </c>
      <c r="U2772" s="68" t="s">
        <v>29438</v>
      </c>
      <c r="V2772" s="68" t="s">
        <v>29439</v>
      </c>
      <c r="W2772" s="68" t="s">
        <v>100</v>
      </c>
      <c r="X2772" s="68">
        <v>290</v>
      </c>
      <c r="AW2772" s="70"/>
      <c r="BA2772" s="44"/>
      <c r="BB2772" s="11"/>
      <c r="BK2772" s="44"/>
    </row>
    <row r="2773" spans="1:63" ht="12" customHeight="1" x14ac:dyDescent="0.15">
      <c r="A2773" s="1" t="s">
        <v>3564</v>
      </c>
      <c r="B2773" s="68">
        <v>24</v>
      </c>
      <c r="C2773" s="1" t="s">
        <v>114</v>
      </c>
      <c r="D2773" s="1" t="s">
        <v>37</v>
      </c>
      <c r="E2773" s="1" t="s">
        <v>3565</v>
      </c>
      <c r="F2773" s="69">
        <v>42080</v>
      </c>
      <c r="G2773" s="1" t="s">
        <v>3566</v>
      </c>
      <c r="H2773" s="1" t="s">
        <v>945</v>
      </c>
      <c r="I2773" s="1" t="s">
        <v>45</v>
      </c>
      <c r="J2773" s="4" t="s">
        <v>3567</v>
      </c>
      <c r="K2773" s="1" t="s">
        <v>945</v>
      </c>
      <c r="L2773" s="1" t="s">
        <v>946</v>
      </c>
      <c r="M2773" s="1" t="s">
        <v>27</v>
      </c>
      <c r="N2773" s="1" t="s">
        <v>3568</v>
      </c>
      <c r="O2773" s="1" t="s">
        <v>1010</v>
      </c>
      <c r="P2773" s="1" t="s">
        <v>401</v>
      </c>
      <c r="Q2773" s="63" t="s">
        <v>3569</v>
      </c>
      <c r="R2773" s="68" t="s">
        <v>555</v>
      </c>
      <c r="S2773" s="13" t="s">
        <v>379</v>
      </c>
      <c r="T2773" s="68" t="s">
        <v>379</v>
      </c>
      <c r="U2773" s="68" t="s">
        <v>29436</v>
      </c>
      <c r="V2773" s="68" t="s">
        <v>29439</v>
      </c>
      <c r="W2773" s="68" t="s">
        <v>100</v>
      </c>
      <c r="X2773" s="68">
        <v>221</v>
      </c>
      <c r="AW2773" s="11"/>
      <c r="BA2773" s="44"/>
      <c r="BB2773" s="11"/>
      <c r="BK2773" s="44"/>
    </row>
    <row r="2774" spans="1:63" ht="12" customHeight="1" x14ac:dyDescent="0.15">
      <c r="A2774" s="1" t="s">
        <v>3578</v>
      </c>
      <c r="B2774" s="1">
        <v>38</v>
      </c>
      <c r="C2774" s="1" t="s">
        <v>20</v>
      </c>
      <c r="D2774" s="1" t="s">
        <v>942</v>
      </c>
      <c r="E2774" s="1" t="s">
        <v>3579</v>
      </c>
      <c r="F2774" s="72">
        <v>42079</v>
      </c>
      <c r="G2774" s="1" t="s">
        <v>3580</v>
      </c>
      <c r="H2774" s="1" t="s">
        <v>2362</v>
      </c>
      <c r="I2774" s="1" t="s">
        <v>870</v>
      </c>
      <c r="J2774" s="4" t="s">
        <v>3581</v>
      </c>
      <c r="K2774" s="1" t="s">
        <v>2362</v>
      </c>
      <c r="L2774" s="1" t="s">
        <v>3582</v>
      </c>
      <c r="M2774" s="1" t="s">
        <v>14359</v>
      </c>
      <c r="N2774" s="1" t="s">
        <v>3583</v>
      </c>
      <c r="O2774" s="1" t="s">
        <v>400</v>
      </c>
      <c r="P2774" s="1" t="s">
        <v>401</v>
      </c>
      <c r="Q2774" s="63" t="s">
        <v>3584</v>
      </c>
      <c r="R2774" s="11" t="s">
        <v>964</v>
      </c>
      <c r="S2774" s="13" t="s">
        <v>18</v>
      </c>
    </row>
    <row r="2775" spans="1:63" ht="12" customHeight="1" x14ac:dyDescent="0.15">
      <c r="A2775" s="1" t="s">
        <v>3570</v>
      </c>
      <c r="B2775" s="1">
        <v>61</v>
      </c>
      <c r="C2775" s="1" t="s">
        <v>20</v>
      </c>
      <c r="D2775" s="1" t="s">
        <v>48</v>
      </c>
      <c r="F2775" s="72">
        <v>42079</v>
      </c>
      <c r="G2775" s="1" t="s">
        <v>3571</v>
      </c>
      <c r="H2775" s="1" t="s">
        <v>3572</v>
      </c>
      <c r="I2775" s="1" t="s">
        <v>62</v>
      </c>
      <c r="J2775" s="4" t="s">
        <v>3573</v>
      </c>
      <c r="K2775" s="1" t="s">
        <v>3574</v>
      </c>
      <c r="L2775" s="1" t="s">
        <v>3575</v>
      </c>
      <c r="M2775" s="1" t="s">
        <v>379</v>
      </c>
      <c r="N2775" s="1" t="s">
        <v>3576</v>
      </c>
      <c r="O2775" s="1" t="s">
        <v>1010</v>
      </c>
      <c r="P2775" s="1" t="s">
        <v>401</v>
      </c>
      <c r="Q2775" s="63" t="s">
        <v>3577</v>
      </c>
      <c r="R2775" s="1" t="s">
        <v>100</v>
      </c>
      <c r="S2775" s="13" t="s">
        <v>28</v>
      </c>
    </row>
    <row r="2776" spans="1:63" ht="12" customHeight="1" x14ac:dyDescent="0.15">
      <c r="A2776" s="1" t="s">
        <v>3589</v>
      </c>
      <c r="B2776" s="68">
        <v>28</v>
      </c>
      <c r="C2776" s="1" t="s">
        <v>20</v>
      </c>
      <c r="D2776" s="1" t="s">
        <v>37</v>
      </c>
      <c r="E2776" s="1" t="s">
        <v>3590</v>
      </c>
      <c r="F2776" s="69">
        <v>42079</v>
      </c>
      <c r="G2776" s="1" t="s">
        <v>3591</v>
      </c>
      <c r="H2776" s="1" t="s">
        <v>3592</v>
      </c>
      <c r="I2776" s="1" t="s">
        <v>133</v>
      </c>
      <c r="J2776" s="4" t="s">
        <v>3593</v>
      </c>
      <c r="K2776" s="1" t="s">
        <v>3594</v>
      </c>
      <c r="L2776" s="1" t="s">
        <v>4914</v>
      </c>
      <c r="M2776" s="1" t="s">
        <v>27</v>
      </c>
      <c r="N2776" s="1" t="s">
        <v>3595</v>
      </c>
      <c r="O2776" s="1" t="s">
        <v>1010</v>
      </c>
      <c r="P2776" s="1" t="s">
        <v>401</v>
      </c>
      <c r="Q2776" s="63" t="s">
        <v>3596</v>
      </c>
      <c r="R2776" s="1" t="s">
        <v>555</v>
      </c>
      <c r="S2776" s="13" t="s">
        <v>28</v>
      </c>
      <c r="T2776" s="68" t="s">
        <v>27756</v>
      </c>
      <c r="U2776" s="68" t="s">
        <v>29438</v>
      </c>
      <c r="V2776" s="68" t="s">
        <v>29439</v>
      </c>
      <c r="W2776" s="68" t="s">
        <v>100</v>
      </c>
      <c r="X2776" s="68">
        <v>212</v>
      </c>
      <c r="AW2776" s="44"/>
      <c r="BA2776" s="44"/>
      <c r="BB2776" s="11"/>
      <c r="BK2776" s="44"/>
    </row>
    <row r="2777" spans="1:63" ht="12" customHeight="1" x14ac:dyDescent="0.15">
      <c r="A2777" s="1" t="s">
        <v>3585</v>
      </c>
      <c r="B2777" s="68">
        <v>52</v>
      </c>
      <c r="C2777" s="1" t="s">
        <v>20</v>
      </c>
      <c r="D2777" s="1" t="s">
        <v>37</v>
      </c>
      <c r="F2777" s="69">
        <v>42079</v>
      </c>
      <c r="G2777" s="1" t="s">
        <v>3586</v>
      </c>
      <c r="H2777" s="1" t="s">
        <v>835</v>
      </c>
      <c r="I2777" s="1" t="s">
        <v>366</v>
      </c>
      <c r="J2777" s="4" t="s">
        <v>3587</v>
      </c>
      <c r="K2777" s="1" t="s">
        <v>835</v>
      </c>
      <c r="L2777" s="1" t="s">
        <v>836</v>
      </c>
      <c r="M2777" s="1" t="s">
        <v>27</v>
      </c>
      <c r="N2777" s="1" t="s">
        <v>21073</v>
      </c>
      <c r="O2777" s="1" t="s">
        <v>400</v>
      </c>
      <c r="P2777" s="1" t="s">
        <v>401</v>
      </c>
      <c r="Q2777" s="63" t="s">
        <v>3588</v>
      </c>
      <c r="R2777" s="68" t="s">
        <v>555</v>
      </c>
      <c r="S2777" s="13" t="s">
        <v>28</v>
      </c>
      <c r="T2777" s="68" t="s">
        <v>27756</v>
      </c>
      <c r="U2777" s="68" t="s">
        <v>29438</v>
      </c>
      <c r="V2777" s="68" t="s">
        <v>29439</v>
      </c>
      <c r="W2777" s="68" t="s">
        <v>100</v>
      </c>
      <c r="X2777" s="68">
        <v>213</v>
      </c>
      <c r="BA2777" s="44"/>
      <c r="BB2777" s="11"/>
      <c r="BK2777" s="44"/>
    </row>
    <row r="2778" spans="1:63" ht="12" customHeight="1" x14ac:dyDescent="0.15">
      <c r="A2778" s="1" t="s">
        <v>3605</v>
      </c>
      <c r="B2778" s="68">
        <v>27</v>
      </c>
      <c r="C2778" s="1" t="s">
        <v>20</v>
      </c>
      <c r="D2778" s="1" t="s">
        <v>37</v>
      </c>
      <c r="E2778" s="1" t="s">
        <v>3606</v>
      </c>
      <c r="F2778" s="69">
        <v>42078</v>
      </c>
      <c r="G2778" s="1" t="s">
        <v>3607</v>
      </c>
      <c r="H2778" s="1" t="s">
        <v>3608</v>
      </c>
      <c r="I2778" s="1" t="s">
        <v>669</v>
      </c>
      <c r="J2778" s="4" t="s">
        <v>3609</v>
      </c>
      <c r="K2778" s="1" t="s">
        <v>2316</v>
      </c>
      <c r="L2778" s="1" t="s">
        <v>3224</v>
      </c>
      <c r="M2778" s="1" t="s">
        <v>27</v>
      </c>
      <c r="N2778" s="1" t="s">
        <v>3610</v>
      </c>
      <c r="O2778" s="1" t="s">
        <v>1010</v>
      </c>
      <c r="P2778" s="1" t="s">
        <v>1159</v>
      </c>
      <c r="Q2778" s="63" t="s">
        <v>3611</v>
      </c>
      <c r="R2778" s="1" t="s">
        <v>29</v>
      </c>
      <c r="S2778" s="13" t="s">
        <v>28</v>
      </c>
      <c r="T2778" s="68" t="s">
        <v>29459</v>
      </c>
      <c r="U2778" s="68" t="s">
        <v>29436</v>
      </c>
      <c r="V2778" s="68" t="s">
        <v>29439</v>
      </c>
      <c r="W2778" s="68" t="s">
        <v>100</v>
      </c>
      <c r="X2778" s="68">
        <v>210</v>
      </c>
      <c r="AW2778" s="44"/>
      <c r="BK2778" s="44"/>
    </row>
    <row r="2779" spans="1:63" ht="12" customHeight="1" x14ac:dyDescent="0.15">
      <c r="A2779" s="1" t="s">
        <v>3597</v>
      </c>
      <c r="B2779" s="1">
        <v>41</v>
      </c>
      <c r="C2779" s="1" t="s">
        <v>20</v>
      </c>
      <c r="D2779" s="1" t="s">
        <v>37</v>
      </c>
      <c r="F2779" s="72">
        <v>42078</v>
      </c>
      <c r="G2779" s="1" t="s">
        <v>3598</v>
      </c>
      <c r="H2779" s="1" t="s">
        <v>3599</v>
      </c>
      <c r="I2779" s="1" t="s">
        <v>41</v>
      </c>
      <c r="J2779" s="4" t="s">
        <v>3600</v>
      </c>
      <c r="K2779" s="1" t="s">
        <v>3601</v>
      </c>
      <c r="L2779" s="1" t="s">
        <v>3602</v>
      </c>
      <c r="M2779" s="1" t="s">
        <v>391</v>
      </c>
      <c r="N2779" s="1" t="s">
        <v>3603</v>
      </c>
      <c r="O2779" s="1" t="s">
        <v>400</v>
      </c>
      <c r="P2779" s="1" t="s">
        <v>401</v>
      </c>
      <c r="Q2779" s="63" t="s">
        <v>3604</v>
      </c>
      <c r="R2779" s="1" t="s">
        <v>555</v>
      </c>
      <c r="S2779" s="13" t="s">
        <v>18</v>
      </c>
      <c r="AU2779" s="11"/>
      <c r="AV2779" s="11"/>
      <c r="AW2779" s="11"/>
    </row>
    <row r="2780" spans="1:63" ht="12" customHeight="1" x14ac:dyDescent="0.15">
      <c r="A2780" s="1" t="s">
        <v>3618</v>
      </c>
      <c r="B2780" s="68">
        <v>26</v>
      </c>
      <c r="C2780" s="1" t="s">
        <v>20</v>
      </c>
      <c r="D2780" s="1" t="s">
        <v>37</v>
      </c>
      <c r="E2780" s="1" t="s">
        <v>3619</v>
      </c>
      <c r="F2780" s="69">
        <v>42077</v>
      </c>
      <c r="G2780" s="1" t="s">
        <v>3620</v>
      </c>
      <c r="H2780" s="1" t="s">
        <v>3621</v>
      </c>
      <c r="I2780" s="1" t="s">
        <v>438</v>
      </c>
      <c r="J2780" s="4" t="s">
        <v>3622</v>
      </c>
      <c r="K2780" s="1" t="s">
        <v>3621</v>
      </c>
      <c r="L2780" s="1" t="s">
        <v>3623</v>
      </c>
      <c r="M2780" s="1" t="s">
        <v>27</v>
      </c>
      <c r="N2780" s="1" t="s">
        <v>3624</v>
      </c>
      <c r="O2780" s="1" t="s">
        <v>1010</v>
      </c>
      <c r="P2780" s="1" t="s">
        <v>401</v>
      </c>
      <c r="Q2780" s="63" t="s">
        <v>3625</v>
      </c>
      <c r="R2780" s="1" t="s">
        <v>29</v>
      </c>
      <c r="S2780" s="13" t="s">
        <v>28</v>
      </c>
      <c r="T2780" s="68" t="s">
        <v>27756</v>
      </c>
      <c r="U2780" s="68" t="s">
        <v>29438</v>
      </c>
      <c r="V2780" s="68" t="s">
        <v>29437</v>
      </c>
      <c r="W2780" s="68" t="s">
        <v>100</v>
      </c>
      <c r="X2780" s="68">
        <v>209</v>
      </c>
      <c r="AW2780" s="44"/>
      <c r="BK2780" s="44"/>
    </row>
    <row r="2781" spans="1:63" ht="12" customHeight="1" x14ac:dyDescent="0.15">
      <c r="A2781" s="1" t="s">
        <v>3612</v>
      </c>
      <c r="B2781" s="68">
        <v>29</v>
      </c>
      <c r="C2781" s="1" t="s">
        <v>20</v>
      </c>
      <c r="D2781" s="1" t="s">
        <v>48</v>
      </c>
      <c r="E2781" s="1" t="s">
        <v>3613</v>
      </c>
      <c r="F2781" s="69">
        <v>42077</v>
      </c>
      <c r="G2781" s="1" t="s">
        <v>3614</v>
      </c>
      <c r="H2781" s="1" t="s">
        <v>575</v>
      </c>
      <c r="I2781" s="1" t="s">
        <v>73</v>
      </c>
      <c r="J2781" s="4" t="s">
        <v>3615</v>
      </c>
      <c r="K2781" s="1" t="s">
        <v>576</v>
      </c>
      <c r="L2781" s="1" t="s">
        <v>577</v>
      </c>
      <c r="M2781" s="1" t="s">
        <v>27</v>
      </c>
      <c r="N2781" s="1" t="s">
        <v>3616</v>
      </c>
      <c r="O2781" s="1" t="s">
        <v>1010</v>
      </c>
      <c r="P2781" s="1" t="s">
        <v>401</v>
      </c>
      <c r="Q2781" s="63" t="s">
        <v>3617</v>
      </c>
      <c r="R2781" s="68" t="s">
        <v>555</v>
      </c>
      <c r="S2781" s="13" t="s">
        <v>28</v>
      </c>
      <c r="T2781" s="68" t="s">
        <v>27756</v>
      </c>
      <c r="U2781" s="68" t="s">
        <v>29438</v>
      </c>
      <c r="V2781" s="68" t="s">
        <v>29439</v>
      </c>
      <c r="W2781" s="68" t="s">
        <v>100</v>
      </c>
      <c r="X2781" s="68">
        <v>287</v>
      </c>
      <c r="AW2781" s="44"/>
      <c r="BA2781" s="44"/>
      <c r="BB2781" s="11"/>
      <c r="BK2781" s="44"/>
    </row>
    <row r="2782" spans="1:63" ht="12" customHeight="1" x14ac:dyDescent="0.15">
      <c r="A2782" s="1" t="s">
        <v>3650</v>
      </c>
      <c r="B2782" s="68">
        <v>53</v>
      </c>
      <c r="C2782" s="1" t="s">
        <v>20</v>
      </c>
      <c r="D2782" s="1" t="s">
        <v>37</v>
      </c>
      <c r="E2782" s="1" t="s">
        <v>3651</v>
      </c>
      <c r="F2782" s="69">
        <v>42077</v>
      </c>
      <c r="G2782" s="1" t="s">
        <v>3652</v>
      </c>
      <c r="H2782" s="1" t="s">
        <v>3653</v>
      </c>
      <c r="I2782" s="1" t="s">
        <v>150</v>
      </c>
      <c r="J2782" s="4" t="s">
        <v>3654</v>
      </c>
      <c r="K2782" s="1" t="s">
        <v>3655</v>
      </c>
      <c r="L2782" s="1" t="s">
        <v>17262</v>
      </c>
      <c r="M2782" s="1" t="s">
        <v>27</v>
      </c>
      <c r="N2782" s="1" t="s">
        <v>3656</v>
      </c>
      <c r="O2782" s="1" t="s">
        <v>1010</v>
      </c>
      <c r="P2782" s="1" t="s">
        <v>401</v>
      </c>
      <c r="Q2782" s="63" t="s">
        <v>3657</v>
      </c>
      <c r="R2782" s="1" t="s">
        <v>555</v>
      </c>
      <c r="S2782" s="13" t="s">
        <v>28</v>
      </c>
      <c r="T2782" s="68" t="s">
        <v>29493</v>
      </c>
      <c r="U2782" s="68" t="s">
        <v>29436</v>
      </c>
      <c r="V2782" s="68" t="s">
        <v>29439</v>
      </c>
      <c r="W2782" s="68" t="s">
        <v>100</v>
      </c>
      <c r="X2782" s="68">
        <v>208</v>
      </c>
      <c r="BK2782" s="44"/>
    </row>
    <row r="2783" spans="1:63" ht="12" customHeight="1" x14ac:dyDescent="0.15">
      <c r="A2783" s="1" t="s">
        <v>3626</v>
      </c>
      <c r="B2783" s="1">
        <v>23</v>
      </c>
      <c r="C2783" s="1" t="s">
        <v>20</v>
      </c>
      <c r="D2783" s="1" t="s">
        <v>48</v>
      </c>
      <c r="E2783" s="1" t="s">
        <v>3627</v>
      </c>
      <c r="F2783" s="72">
        <v>42076</v>
      </c>
      <c r="G2783" s="1" t="s">
        <v>3628</v>
      </c>
      <c r="H2783" s="1" t="s">
        <v>2874</v>
      </c>
      <c r="I2783" s="1" t="s">
        <v>45</v>
      </c>
      <c r="J2783" s="4" t="s">
        <v>3629</v>
      </c>
      <c r="K2783" s="1" t="s">
        <v>98</v>
      </c>
      <c r="L2783" s="1" t="s">
        <v>99</v>
      </c>
      <c r="M2783" s="1" t="s">
        <v>27</v>
      </c>
      <c r="N2783" s="1" t="s">
        <v>3630</v>
      </c>
      <c r="O2783" s="1" t="s">
        <v>400</v>
      </c>
      <c r="P2783" s="1" t="s">
        <v>401</v>
      </c>
      <c r="Q2783" s="63" t="s">
        <v>3631</v>
      </c>
      <c r="R2783" s="11" t="s">
        <v>964</v>
      </c>
      <c r="S2783" s="13" t="s">
        <v>18</v>
      </c>
      <c r="T2783" s="68"/>
      <c r="U2783" s="68"/>
      <c r="V2783" s="68"/>
      <c r="W2783" s="68"/>
      <c r="X2783" s="68"/>
    </row>
    <row r="2784" spans="1:63" ht="12" customHeight="1" x14ac:dyDescent="0.15">
      <c r="A2784" s="1" t="s">
        <v>3632</v>
      </c>
      <c r="B2784" s="68">
        <v>41</v>
      </c>
      <c r="C2784" s="1" t="s">
        <v>20</v>
      </c>
      <c r="D2784" s="1" t="s">
        <v>48</v>
      </c>
      <c r="E2784" s="1" t="s">
        <v>3633</v>
      </c>
      <c r="F2784" s="69">
        <v>42076</v>
      </c>
      <c r="G2784" s="1" t="s">
        <v>3634</v>
      </c>
      <c r="H2784" s="1" t="s">
        <v>3635</v>
      </c>
      <c r="I2784" s="1" t="s">
        <v>45</v>
      </c>
      <c r="J2784" s="4" t="s">
        <v>3636</v>
      </c>
      <c r="K2784" s="1" t="s">
        <v>3635</v>
      </c>
      <c r="L2784" s="1" t="s">
        <v>3637</v>
      </c>
      <c r="M2784" s="1" t="s">
        <v>27</v>
      </c>
      <c r="N2784" s="1" t="s">
        <v>3638</v>
      </c>
      <c r="O2784" s="1" t="s">
        <v>1010</v>
      </c>
      <c r="P2784" s="1" t="s">
        <v>401</v>
      </c>
      <c r="Q2784" s="63" t="s">
        <v>3639</v>
      </c>
      <c r="R2784" s="1" t="s">
        <v>29</v>
      </c>
      <c r="S2784" s="13" t="s">
        <v>28</v>
      </c>
      <c r="T2784" s="68" t="s">
        <v>27756</v>
      </c>
      <c r="U2784" s="68" t="s">
        <v>29436</v>
      </c>
      <c r="V2784" s="68" t="s">
        <v>21212</v>
      </c>
      <c r="W2784" s="68" t="s">
        <v>100</v>
      </c>
      <c r="X2784" s="68">
        <v>207</v>
      </c>
      <c r="BK2784" s="44"/>
    </row>
    <row r="2785" spans="1:63" ht="12" customHeight="1" x14ac:dyDescent="0.15">
      <c r="A2785" s="1" t="s">
        <v>3645</v>
      </c>
      <c r="B2785" s="68">
        <v>59</v>
      </c>
      <c r="C2785" s="1" t="s">
        <v>20</v>
      </c>
      <c r="D2785" s="1" t="s">
        <v>37</v>
      </c>
      <c r="F2785" s="69">
        <v>42076</v>
      </c>
      <c r="G2785" s="1" t="s">
        <v>3646</v>
      </c>
      <c r="H2785" s="1" t="s">
        <v>430</v>
      </c>
      <c r="I2785" s="1" t="s">
        <v>431</v>
      </c>
      <c r="J2785" s="4" t="s">
        <v>3647</v>
      </c>
      <c r="K2785" s="1" t="s">
        <v>433</v>
      </c>
      <c r="L2785" s="1" t="s">
        <v>5634</v>
      </c>
      <c r="M2785" s="1" t="s">
        <v>27</v>
      </c>
      <c r="N2785" s="1" t="s">
        <v>3648</v>
      </c>
      <c r="O2785" s="1" t="s">
        <v>400</v>
      </c>
      <c r="P2785" s="1" t="s">
        <v>401</v>
      </c>
      <c r="Q2785" s="63" t="s">
        <v>3649</v>
      </c>
      <c r="R2785" s="1" t="s">
        <v>29</v>
      </c>
      <c r="S2785" s="13" t="s">
        <v>28</v>
      </c>
      <c r="T2785" s="68" t="s">
        <v>27756</v>
      </c>
      <c r="U2785" s="68" t="s">
        <v>29438</v>
      </c>
      <c r="V2785" s="68" t="s">
        <v>29439</v>
      </c>
      <c r="W2785" s="68" t="s">
        <v>100</v>
      </c>
      <c r="X2785" s="68">
        <v>283</v>
      </c>
      <c r="BK2785" s="44"/>
    </row>
    <row r="2786" spans="1:63" ht="12" customHeight="1" x14ac:dyDescent="0.15">
      <c r="A2786" s="1" t="s">
        <v>3669</v>
      </c>
      <c r="B2786" s="68">
        <v>32</v>
      </c>
      <c r="C2786" s="1" t="s">
        <v>20</v>
      </c>
      <c r="D2786" s="1" t="s">
        <v>48</v>
      </c>
      <c r="E2786" s="1" t="s">
        <v>3670</v>
      </c>
      <c r="F2786" s="69">
        <v>42076</v>
      </c>
      <c r="G2786" s="1" t="s">
        <v>3671</v>
      </c>
      <c r="H2786" s="1" t="s">
        <v>98</v>
      </c>
      <c r="I2786" s="1" t="s">
        <v>45</v>
      </c>
      <c r="J2786" s="4" t="s">
        <v>3672</v>
      </c>
      <c r="K2786" s="1" t="s">
        <v>98</v>
      </c>
      <c r="L2786" s="11" t="s">
        <v>414</v>
      </c>
      <c r="M2786" s="1" t="s">
        <v>27</v>
      </c>
      <c r="N2786" s="1" t="s">
        <v>3673</v>
      </c>
      <c r="O2786" s="1" t="s">
        <v>1010</v>
      </c>
      <c r="P2786" s="1" t="s">
        <v>401</v>
      </c>
      <c r="Q2786" s="63" t="s">
        <v>3674</v>
      </c>
      <c r="R2786" s="1" t="s">
        <v>29</v>
      </c>
      <c r="S2786" s="13" t="s">
        <v>18</v>
      </c>
      <c r="T2786" s="68" t="s">
        <v>28345</v>
      </c>
      <c r="U2786" s="68" t="s">
        <v>29436</v>
      </c>
      <c r="V2786" s="68" t="s">
        <v>29440</v>
      </c>
      <c r="W2786" s="68" t="s">
        <v>100</v>
      </c>
      <c r="X2786" s="68">
        <v>351</v>
      </c>
      <c r="AW2786" s="11"/>
    </row>
    <row r="2787" spans="1:63" ht="12" customHeight="1" x14ac:dyDescent="0.15">
      <c r="A2787" s="1" t="s">
        <v>3640</v>
      </c>
      <c r="B2787" s="68">
        <v>36</v>
      </c>
      <c r="C2787" s="1" t="s">
        <v>20</v>
      </c>
      <c r="D2787" s="1" t="s">
        <v>37</v>
      </c>
      <c r="F2787" s="69">
        <v>42076</v>
      </c>
      <c r="G2787" s="1" t="s">
        <v>3641</v>
      </c>
      <c r="H2787" s="1" t="s">
        <v>415</v>
      </c>
      <c r="I2787" s="1" t="s">
        <v>45</v>
      </c>
      <c r="J2787" s="4" t="s">
        <v>3642</v>
      </c>
      <c r="K2787" s="1" t="s">
        <v>309</v>
      </c>
      <c r="L2787" s="1" t="s">
        <v>416</v>
      </c>
      <c r="M2787" s="1" t="s">
        <v>27</v>
      </c>
      <c r="N2787" s="1" t="s">
        <v>3643</v>
      </c>
      <c r="O2787" s="1" t="s">
        <v>1010</v>
      </c>
      <c r="P2787" s="1" t="s">
        <v>401</v>
      </c>
      <c r="Q2787" s="63" t="s">
        <v>3644</v>
      </c>
      <c r="R2787" s="1" t="s">
        <v>555</v>
      </c>
      <c r="S2787" s="13" t="s">
        <v>28</v>
      </c>
      <c r="T2787" s="68" t="s">
        <v>29493</v>
      </c>
      <c r="U2787" s="68" t="s">
        <v>29438</v>
      </c>
      <c r="V2787" s="68" t="s">
        <v>29439</v>
      </c>
      <c r="W2787" s="68" t="s">
        <v>100</v>
      </c>
      <c r="X2787" s="68">
        <v>289</v>
      </c>
      <c r="AW2787" s="44"/>
      <c r="BK2787" s="44"/>
    </row>
    <row r="2788" spans="1:63" ht="12" customHeight="1" x14ac:dyDescent="0.15">
      <c r="A2788" s="1" t="s">
        <v>3662</v>
      </c>
      <c r="B2788" s="68">
        <v>35</v>
      </c>
      <c r="C2788" s="1" t="s">
        <v>20</v>
      </c>
      <c r="D2788" s="1" t="s">
        <v>85</v>
      </c>
      <c r="F2788" s="69">
        <v>42075</v>
      </c>
      <c r="G2788" s="1" t="s">
        <v>3663</v>
      </c>
      <c r="H2788" s="1" t="s">
        <v>118</v>
      </c>
      <c r="I2788" s="1" t="s">
        <v>3664</v>
      </c>
      <c r="J2788" s="4" t="s">
        <v>3665</v>
      </c>
      <c r="K2788" s="1" t="s">
        <v>3666</v>
      </c>
      <c r="L2788" s="1" t="s">
        <v>3667</v>
      </c>
      <c r="M2788" s="1" t="s">
        <v>27</v>
      </c>
      <c r="N2788" s="1" t="s">
        <v>31043</v>
      </c>
      <c r="O2788" s="1" t="s">
        <v>400</v>
      </c>
      <c r="P2788" s="1" t="s">
        <v>401</v>
      </c>
      <c r="Q2788" s="63" t="s">
        <v>3668</v>
      </c>
      <c r="R2788" s="1" t="s">
        <v>555</v>
      </c>
      <c r="S2788" s="11" t="s">
        <v>18</v>
      </c>
      <c r="T2788" s="68" t="s">
        <v>28345</v>
      </c>
      <c r="U2788" s="68" t="s">
        <v>29436</v>
      </c>
      <c r="V2788" s="68" t="s">
        <v>29439</v>
      </c>
      <c r="W2788" s="68" t="s">
        <v>100</v>
      </c>
      <c r="X2788" s="68">
        <v>282</v>
      </c>
      <c r="AW2788" s="44"/>
      <c r="AX2788" s="11"/>
      <c r="AY2788" s="11"/>
      <c r="BA2788" s="44"/>
      <c r="BB2788" s="44"/>
      <c r="BC2788" s="44"/>
      <c r="BD2788" s="44"/>
      <c r="BE2788" s="44"/>
      <c r="BF2788" s="44"/>
      <c r="BG2788" s="44"/>
      <c r="BH2788" s="44"/>
      <c r="BI2788" s="44"/>
      <c r="BJ2788" s="44"/>
    </row>
    <row r="2789" spans="1:63" ht="12" customHeight="1" x14ac:dyDescent="0.15">
      <c r="A2789" s="1" t="s">
        <v>3658</v>
      </c>
      <c r="B2789" s="1">
        <v>42</v>
      </c>
      <c r="C2789" s="1" t="s">
        <v>20</v>
      </c>
      <c r="D2789" s="1" t="s">
        <v>85</v>
      </c>
      <c r="E2789" s="1" t="s">
        <v>3659</v>
      </c>
      <c r="F2789" s="72">
        <v>42075</v>
      </c>
      <c r="G2789" s="1" t="s">
        <v>3660</v>
      </c>
      <c r="H2789" s="1" t="s">
        <v>843</v>
      </c>
      <c r="I2789" s="1" t="s">
        <v>73</v>
      </c>
      <c r="J2789" s="4">
        <v>76010</v>
      </c>
      <c r="K2789" s="1" t="s">
        <v>74</v>
      </c>
      <c r="L2789" s="1" t="s">
        <v>844</v>
      </c>
      <c r="M2789" s="1" t="s">
        <v>2291</v>
      </c>
      <c r="N2789" s="1" t="s">
        <v>3661</v>
      </c>
      <c r="P2789" s="1" t="s">
        <v>401</v>
      </c>
      <c r="Q2789" s="63" t="str">
        <f>HYPERLINK("http://crimeblog.dallasnews.com/2015/03/man-in-arlington-police-custody-hospitazlied.html/","http://crimeblog.dallasnews.com/2015/03/man-in-arlington-police-custody-hospitazlied.html/")</f>
        <v>http://crimeblog.dallasnews.com/2015/03/man-in-arlington-police-custody-hospitazlied.html/</v>
      </c>
      <c r="R2789" s="1" t="s">
        <v>29</v>
      </c>
      <c r="S2789" s="13" t="s">
        <v>28</v>
      </c>
      <c r="AX2789" s="44"/>
      <c r="AY2789" s="44"/>
      <c r="BC2789" s="44"/>
      <c r="BD2789" s="44"/>
      <c r="BE2789" s="44"/>
      <c r="BF2789" s="44"/>
      <c r="BG2789" s="44"/>
      <c r="BH2789" s="44"/>
      <c r="BI2789" s="44"/>
      <c r="BJ2789" s="44"/>
    </row>
    <row r="2790" spans="1:63" ht="12" customHeight="1" x14ac:dyDescent="0.15">
      <c r="A2790" s="1" t="s">
        <v>3675</v>
      </c>
      <c r="B2790" s="68">
        <v>37</v>
      </c>
      <c r="C2790" s="1" t="s">
        <v>20</v>
      </c>
      <c r="D2790" s="1" t="s">
        <v>85</v>
      </c>
      <c r="E2790" s="1" t="s">
        <v>3676</v>
      </c>
      <c r="F2790" s="69">
        <v>42074</v>
      </c>
      <c r="G2790" s="1" t="s">
        <v>3677</v>
      </c>
      <c r="H2790" s="1" t="s">
        <v>3678</v>
      </c>
      <c r="I2790" s="1" t="s">
        <v>52</v>
      </c>
      <c r="J2790" s="4" t="s">
        <v>3679</v>
      </c>
      <c r="K2790" s="1" t="s">
        <v>694</v>
      </c>
      <c r="L2790" s="1" t="s">
        <v>3680</v>
      </c>
      <c r="M2790" s="1" t="s">
        <v>27</v>
      </c>
      <c r="N2790" s="1" t="s">
        <v>3681</v>
      </c>
      <c r="O2790" s="1" t="s">
        <v>1010</v>
      </c>
      <c r="P2790" s="1" t="s">
        <v>401</v>
      </c>
      <c r="Q2790" s="63" t="s">
        <v>3682</v>
      </c>
      <c r="R2790" s="1" t="s">
        <v>29</v>
      </c>
      <c r="S2790" s="13" t="s">
        <v>379</v>
      </c>
      <c r="T2790" s="68" t="s">
        <v>379</v>
      </c>
      <c r="U2790" s="68" t="s">
        <v>29436</v>
      </c>
      <c r="V2790" s="68" t="s">
        <v>29439</v>
      </c>
      <c r="W2790" s="68" t="s">
        <v>100</v>
      </c>
      <c r="X2790" s="68">
        <v>248</v>
      </c>
      <c r="AW2790" s="44"/>
      <c r="AX2790" s="44"/>
      <c r="AY2790" s="44"/>
      <c r="BC2790" s="44"/>
      <c r="BD2790" s="44"/>
      <c r="BE2790" s="44"/>
      <c r="BF2790" s="44"/>
      <c r="BG2790" s="44"/>
      <c r="BH2790" s="44"/>
      <c r="BI2790" s="44"/>
      <c r="BJ2790" s="44"/>
      <c r="BK2790" s="44"/>
    </row>
    <row r="2791" spans="1:63" ht="12" customHeight="1" x14ac:dyDescent="0.15">
      <c r="A2791" s="1" t="s">
        <v>3695</v>
      </c>
      <c r="B2791" s="68">
        <v>25</v>
      </c>
      <c r="C2791" s="1" t="s">
        <v>20</v>
      </c>
      <c r="D2791" s="1" t="s">
        <v>48</v>
      </c>
      <c r="F2791" s="69">
        <v>42074</v>
      </c>
      <c r="G2791" s="1" t="s">
        <v>3696</v>
      </c>
      <c r="H2791" s="1" t="s">
        <v>3697</v>
      </c>
      <c r="I2791" s="1" t="s">
        <v>45</v>
      </c>
      <c r="J2791" s="4" t="s">
        <v>3698</v>
      </c>
      <c r="K2791" s="1" t="s">
        <v>98</v>
      </c>
      <c r="L2791" s="1" t="s">
        <v>3699</v>
      </c>
      <c r="M2791" s="1" t="s">
        <v>27</v>
      </c>
      <c r="N2791" s="1" t="s">
        <v>3700</v>
      </c>
      <c r="O2791" s="1" t="s">
        <v>1010</v>
      </c>
      <c r="P2791" s="1" t="s">
        <v>401</v>
      </c>
      <c r="Q2791" s="63" t="s">
        <v>3701</v>
      </c>
      <c r="R2791" s="1" t="s">
        <v>29</v>
      </c>
      <c r="S2791" s="13" t="s">
        <v>379</v>
      </c>
      <c r="T2791" s="68" t="s">
        <v>379</v>
      </c>
      <c r="U2791" s="68" t="s">
        <v>29436</v>
      </c>
      <c r="V2791" s="68" t="s">
        <v>29439</v>
      </c>
      <c r="W2791" s="68" t="s">
        <v>100</v>
      </c>
      <c r="X2791" s="68">
        <v>796</v>
      </c>
      <c r="AW2791" s="44"/>
      <c r="BK2791" s="44"/>
    </row>
    <row r="2792" spans="1:63" ht="12" customHeight="1" x14ac:dyDescent="0.15">
      <c r="A2792" s="1" t="s">
        <v>3687</v>
      </c>
      <c r="B2792" s="68">
        <v>39</v>
      </c>
      <c r="C2792" s="1" t="s">
        <v>20</v>
      </c>
      <c r="D2792" s="1" t="s">
        <v>48</v>
      </c>
      <c r="E2792" s="1" t="s">
        <v>3688</v>
      </c>
      <c r="F2792" s="69">
        <v>42074</v>
      </c>
      <c r="G2792" s="1" t="s">
        <v>3689</v>
      </c>
      <c r="H2792" s="1" t="s">
        <v>3690</v>
      </c>
      <c r="I2792" s="1" t="s">
        <v>45</v>
      </c>
      <c r="J2792" s="4" t="s">
        <v>3691</v>
      </c>
      <c r="K2792" s="1" t="s">
        <v>1061</v>
      </c>
      <c r="L2792" s="1" t="s">
        <v>3692</v>
      </c>
      <c r="M2792" s="1" t="s">
        <v>27</v>
      </c>
      <c r="N2792" s="1" t="s">
        <v>3693</v>
      </c>
      <c r="O2792" s="1" t="s">
        <v>1010</v>
      </c>
      <c r="P2792" s="1" t="s">
        <v>401</v>
      </c>
      <c r="Q2792" s="63" t="s">
        <v>3694</v>
      </c>
      <c r="R2792" s="1" t="s">
        <v>555</v>
      </c>
      <c r="S2792" s="13" t="s">
        <v>28</v>
      </c>
      <c r="T2792" s="68" t="s">
        <v>27756</v>
      </c>
      <c r="U2792" s="68" t="s">
        <v>29438</v>
      </c>
      <c r="V2792" s="68" t="s">
        <v>29439</v>
      </c>
      <c r="W2792" s="68" t="s">
        <v>100</v>
      </c>
      <c r="X2792" s="68">
        <v>279</v>
      </c>
      <c r="AW2792" s="44"/>
      <c r="BK2792" s="44"/>
    </row>
    <row r="2793" spans="1:63" ht="12" customHeight="1" x14ac:dyDescent="0.15">
      <c r="A2793" s="1" t="s">
        <v>3702</v>
      </c>
      <c r="B2793" s="68">
        <v>54</v>
      </c>
      <c r="C2793" s="1" t="s">
        <v>20</v>
      </c>
      <c r="D2793" s="1" t="s">
        <v>37</v>
      </c>
      <c r="E2793" s="1" t="s">
        <v>3703</v>
      </c>
      <c r="F2793" s="69">
        <v>42074</v>
      </c>
      <c r="G2793" s="1" t="s">
        <v>3704</v>
      </c>
      <c r="H2793" s="1" t="s">
        <v>3705</v>
      </c>
      <c r="I2793" s="1" t="s">
        <v>94</v>
      </c>
      <c r="J2793" s="4" t="s">
        <v>3706</v>
      </c>
      <c r="K2793" s="1" t="s">
        <v>3707</v>
      </c>
      <c r="L2793" s="1" t="s">
        <v>3708</v>
      </c>
      <c r="M2793" s="1" t="s">
        <v>27</v>
      </c>
      <c r="N2793" s="1" t="s">
        <v>3709</v>
      </c>
      <c r="O2793" s="1" t="s">
        <v>1010</v>
      </c>
      <c r="P2793" s="1" t="s">
        <v>401</v>
      </c>
      <c r="Q2793" s="63" t="s">
        <v>3710</v>
      </c>
      <c r="R2793" s="1" t="s">
        <v>555</v>
      </c>
      <c r="S2793" s="13" t="s">
        <v>28</v>
      </c>
      <c r="T2793" s="68" t="s">
        <v>27756</v>
      </c>
      <c r="U2793" s="68" t="s">
        <v>29438</v>
      </c>
      <c r="V2793" s="68" t="s">
        <v>29439</v>
      </c>
      <c r="W2793" s="68" t="s">
        <v>100</v>
      </c>
      <c r="X2793" s="68">
        <v>307</v>
      </c>
      <c r="BK2793" s="44"/>
    </row>
    <row r="2794" spans="1:63" ht="12" customHeight="1" x14ac:dyDescent="0.15">
      <c r="A2794" s="1" t="s">
        <v>3745</v>
      </c>
      <c r="B2794" s="68">
        <v>53</v>
      </c>
      <c r="C2794" s="1" t="s">
        <v>20</v>
      </c>
      <c r="D2794" s="1" t="s">
        <v>37</v>
      </c>
      <c r="F2794" s="69">
        <v>42074</v>
      </c>
      <c r="G2794" s="1" t="s">
        <v>3746</v>
      </c>
      <c r="H2794" s="1" t="s">
        <v>3747</v>
      </c>
      <c r="I2794" s="1" t="s">
        <v>94</v>
      </c>
      <c r="J2794" s="4" t="s">
        <v>3748</v>
      </c>
      <c r="K2794" s="1" t="s">
        <v>1778</v>
      </c>
      <c r="L2794" s="1" t="s">
        <v>3749</v>
      </c>
      <c r="M2794" s="1" t="s">
        <v>27</v>
      </c>
      <c r="N2794" s="1" t="s">
        <v>3750</v>
      </c>
      <c r="O2794" s="1" t="s">
        <v>400</v>
      </c>
      <c r="P2794" s="1" t="s">
        <v>401</v>
      </c>
      <c r="Q2794" s="63" t="s">
        <v>3751</v>
      </c>
      <c r="R2794" s="1" t="s">
        <v>555</v>
      </c>
      <c r="S2794" s="13" t="s">
        <v>28</v>
      </c>
      <c r="T2794" s="68" t="s">
        <v>27756</v>
      </c>
      <c r="U2794" s="68" t="s">
        <v>29438</v>
      </c>
      <c r="V2794" s="68" t="s">
        <v>29439</v>
      </c>
      <c r="W2794" s="68" t="s">
        <v>100</v>
      </c>
      <c r="X2794" s="68">
        <v>581</v>
      </c>
      <c r="BA2794" s="44"/>
      <c r="BB2794" s="44"/>
      <c r="BK2794" s="44"/>
    </row>
    <row r="2795" spans="1:63" ht="12" customHeight="1" x14ac:dyDescent="0.2">
      <c r="A2795" s="1" t="s">
        <v>3711</v>
      </c>
      <c r="B2795" s="68">
        <v>31</v>
      </c>
      <c r="C2795" s="1" t="s">
        <v>20</v>
      </c>
      <c r="D2795" s="1" t="s">
        <v>37</v>
      </c>
      <c r="E2795" s="1" t="s">
        <v>3712</v>
      </c>
      <c r="F2795" s="69">
        <v>42074</v>
      </c>
      <c r="G2795" s="1" t="s">
        <v>3713</v>
      </c>
      <c r="H2795" s="1" t="s">
        <v>1192</v>
      </c>
      <c r="I2795" s="1" t="s">
        <v>319</v>
      </c>
      <c r="J2795" s="4" t="s">
        <v>3714</v>
      </c>
      <c r="K2795" s="1" t="s">
        <v>1193</v>
      </c>
      <c r="L2795" s="1" t="s">
        <v>1194</v>
      </c>
      <c r="M2795" s="1" t="s">
        <v>27</v>
      </c>
      <c r="N2795" s="1" t="s">
        <v>3715</v>
      </c>
      <c r="O2795" s="1" t="s">
        <v>1010</v>
      </c>
      <c r="P2795" s="1" t="s">
        <v>401</v>
      </c>
      <c r="Q2795" s="63" t="s">
        <v>3716</v>
      </c>
      <c r="R2795" s="68" t="s">
        <v>555</v>
      </c>
      <c r="S2795" s="13" t="s">
        <v>28</v>
      </c>
      <c r="T2795" s="68" t="s">
        <v>27756</v>
      </c>
      <c r="U2795" s="68" t="s">
        <v>29438</v>
      </c>
      <c r="V2795" s="68" t="s">
        <v>29439</v>
      </c>
      <c r="W2795" s="68" t="s">
        <v>100</v>
      </c>
      <c r="X2795" s="68">
        <v>277</v>
      </c>
      <c r="AW2795" s="11"/>
      <c r="BA2795" s="70"/>
      <c r="BB2795" s="70"/>
      <c r="BK2795" s="44"/>
    </row>
    <row r="2796" spans="1:63" ht="12" customHeight="1" x14ac:dyDescent="0.2">
      <c r="A2796" s="1" t="s">
        <v>3717</v>
      </c>
      <c r="B2796" s="68">
        <v>31</v>
      </c>
      <c r="C2796" s="1" t="s">
        <v>20</v>
      </c>
      <c r="D2796" s="1" t="s">
        <v>37</v>
      </c>
      <c r="E2796" s="1" t="s">
        <v>3718</v>
      </c>
      <c r="F2796" s="69">
        <v>42074</v>
      </c>
      <c r="G2796" s="1" t="s">
        <v>3719</v>
      </c>
      <c r="H2796" s="1" t="s">
        <v>3720</v>
      </c>
      <c r="I2796" s="1" t="s">
        <v>123</v>
      </c>
      <c r="J2796" s="4" t="s">
        <v>3721</v>
      </c>
      <c r="K2796" s="1" t="s">
        <v>3722</v>
      </c>
      <c r="L2796" s="1" t="s">
        <v>3723</v>
      </c>
      <c r="M2796" s="1" t="s">
        <v>27</v>
      </c>
      <c r="N2796" s="1" t="s">
        <v>3724</v>
      </c>
      <c r="O2796" s="1" t="s">
        <v>1010</v>
      </c>
      <c r="P2796" s="1" t="s">
        <v>401</v>
      </c>
      <c r="Q2796" s="63" t="s">
        <v>3725</v>
      </c>
      <c r="R2796" s="68" t="s">
        <v>555</v>
      </c>
      <c r="S2796" s="13" t="s">
        <v>18</v>
      </c>
      <c r="T2796" s="68" t="s">
        <v>29612</v>
      </c>
      <c r="U2796" s="68" t="s">
        <v>29438</v>
      </c>
      <c r="V2796" s="68" t="s">
        <v>29439</v>
      </c>
      <c r="W2796" s="68" t="s">
        <v>100</v>
      </c>
      <c r="X2796" s="68">
        <v>281</v>
      </c>
      <c r="AW2796" s="11"/>
      <c r="BA2796" s="70"/>
      <c r="BB2796" s="70"/>
    </row>
    <row r="2797" spans="1:63" ht="12" customHeight="1" x14ac:dyDescent="0.15">
      <c r="A2797" s="1" t="s">
        <v>3740</v>
      </c>
      <c r="B2797" s="68">
        <v>31</v>
      </c>
      <c r="C2797" s="1" t="s">
        <v>20</v>
      </c>
      <c r="D2797" s="1" t="s">
        <v>85</v>
      </c>
      <c r="E2797" s="1" t="s">
        <v>3741</v>
      </c>
      <c r="F2797" s="69">
        <v>42073</v>
      </c>
      <c r="G2797" s="1" t="s">
        <v>3742</v>
      </c>
      <c r="H2797" s="1" t="s">
        <v>189</v>
      </c>
      <c r="I2797" s="1" t="s">
        <v>25</v>
      </c>
      <c r="J2797" s="4" t="s">
        <v>1681</v>
      </c>
      <c r="K2797" s="1" t="s">
        <v>3743</v>
      </c>
      <c r="L2797" s="44" t="s">
        <v>1683</v>
      </c>
      <c r="M2797" s="1" t="s">
        <v>27</v>
      </c>
      <c r="N2797" s="1" t="s">
        <v>29669</v>
      </c>
      <c r="O2797" s="1" t="s">
        <v>1010</v>
      </c>
      <c r="P2797" s="1" t="s">
        <v>401</v>
      </c>
      <c r="Q2797" s="63" t="s">
        <v>3744</v>
      </c>
      <c r="R2797" s="1" t="s">
        <v>29</v>
      </c>
      <c r="S2797" s="13" t="s">
        <v>28</v>
      </c>
      <c r="T2797" s="68" t="s">
        <v>27756</v>
      </c>
      <c r="U2797" s="68" t="s">
        <v>29438</v>
      </c>
      <c r="V2797" s="68" t="s">
        <v>29439</v>
      </c>
      <c r="W2797" s="68" t="s">
        <v>100</v>
      </c>
      <c r="X2797" s="68">
        <v>278</v>
      </c>
      <c r="AW2797" s="11"/>
      <c r="AX2797" s="11"/>
      <c r="AY2797" s="11"/>
      <c r="BC2797" s="44"/>
      <c r="BD2797" s="44"/>
      <c r="BE2797" s="44"/>
      <c r="BF2797" s="44"/>
      <c r="BG2797" s="44"/>
      <c r="BH2797" s="44"/>
      <c r="BI2797" s="44"/>
      <c r="BJ2797" s="44"/>
      <c r="BK2797" s="44"/>
    </row>
    <row r="2798" spans="1:63" ht="12" customHeight="1" x14ac:dyDescent="0.15">
      <c r="A2798" s="1" t="s">
        <v>3732</v>
      </c>
      <c r="B2798" s="68">
        <v>23</v>
      </c>
      <c r="C2798" s="1" t="s">
        <v>20</v>
      </c>
      <c r="D2798" s="1" t="s">
        <v>37</v>
      </c>
      <c r="F2798" s="69">
        <v>42073</v>
      </c>
      <c r="G2798" s="1" t="s">
        <v>3733</v>
      </c>
      <c r="H2798" s="1" t="s">
        <v>3734</v>
      </c>
      <c r="I2798" s="1" t="s">
        <v>173</v>
      </c>
      <c r="J2798" s="4" t="s">
        <v>3735</v>
      </c>
      <c r="K2798" s="1" t="s">
        <v>3736</v>
      </c>
      <c r="L2798" s="1" t="s">
        <v>3737</v>
      </c>
      <c r="M2798" s="1" t="s">
        <v>27</v>
      </c>
      <c r="N2798" s="1" t="s">
        <v>3738</v>
      </c>
      <c r="O2798" s="1" t="s">
        <v>1010</v>
      </c>
      <c r="P2798" s="1" t="s">
        <v>401</v>
      </c>
      <c r="Q2798" s="63" t="s">
        <v>3739</v>
      </c>
      <c r="R2798" s="1" t="s">
        <v>29</v>
      </c>
      <c r="S2798" s="13" t="s">
        <v>28</v>
      </c>
      <c r="T2798" s="68" t="s">
        <v>29493</v>
      </c>
      <c r="U2798" s="68" t="s">
        <v>29438</v>
      </c>
      <c r="V2798" s="68" t="s">
        <v>29439</v>
      </c>
      <c r="W2798" s="68" t="s">
        <v>555</v>
      </c>
      <c r="X2798" s="68">
        <v>536</v>
      </c>
      <c r="AW2798" s="11"/>
      <c r="AX2798" s="44"/>
      <c r="AY2798" s="44"/>
      <c r="BK2798" s="44"/>
    </row>
    <row r="2799" spans="1:63" ht="12" customHeight="1" x14ac:dyDescent="0.15">
      <c r="A2799" s="1" t="s">
        <v>3726</v>
      </c>
      <c r="B2799" s="1">
        <v>29</v>
      </c>
      <c r="C2799" s="1" t="s">
        <v>20</v>
      </c>
      <c r="D2799" s="1" t="s">
        <v>85</v>
      </c>
      <c r="E2799" s="1" t="s">
        <v>3727</v>
      </c>
      <c r="F2799" s="72">
        <v>42073</v>
      </c>
      <c r="G2799" s="1" t="s">
        <v>3728</v>
      </c>
      <c r="H2799" s="1" t="s">
        <v>2588</v>
      </c>
      <c r="I2799" s="1" t="s">
        <v>69</v>
      </c>
      <c r="J2799" s="4" t="s">
        <v>3729</v>
      </c>
      <c r="K2799" s="1" t="s">
        <v>2589</v>
      </c>
      <c r="L2799" s="1" t="s">
        <v>2590</v>
      </c>
      <c r="M2799" s="1" t="s">
        <v>391</v>
      </c>
      <c r="N2799" s="1" t="s">
        <v>3730</v>
      </c>
      <c r="O2799" s="1" t="s">
        <v>400</v>
      </c>
      <c r="P2799" s="1" t="s">
        <v>401</v>
      </c>
      <c r="Q2799" s="63" t="s">
        <v>3731</v>
      </c>
      <c r="R2799" s="1" t="s">
        <v>555</v>
      </c>
      <c r="S2799" s="13" t="s">
        <v>18</v>
      </c>
      <c r="AU2799" s="44"/>
      <c r="AV2799" s="44"/>
      <c r="AW2799" s="11"/>
      <c r="AX2799" s="44"/>
      <c r="AY2799" s="44"/>
      <c r="BA2799" s="11"/>
      <c r="BB2799" s="11"/>
      <c r="BC2799" s="44"/>
      <c r="BD2799" s="44"/>
      <c r="BE2799" s="44"/>
      <c r="BF2799" s="44"/>
      <c r="BG2799" s="44"/>
      <c r="BH2799" s="44"/>
      <c r="BI2799" s="44"/>
      <c r="BJ2799" s="44"/>
    </row>
    <row r="2800" spans="1:63" ht="12" customHeight="1" x14ac:dyDescent="0.15">
      <c r="A2800" s="1" t="s">
        <v>3252</v>
      </c>
      <c r="B2800" s="68">
        <v>37</v>
      </c>
      <c r="C2800" s="1" t="s">
        <v>20</v>
      </c>
      <c r="D2800" s="68" t="s">
        <v>48</v>
      </c>
      <c r="F2800" s="69">
        <v>42073</v>
      </c>
      <c r="G2800" s="1" t="s">
        <v>3752</v>
      </c>
      <c r="H2800" s="1" t="s">
        <v>485</v>
      </c>
      <c r="I2800" s="1" t="s">
        <v>45</v>
      </c>
      <c r="J2800" s="4" t="s">
        <v>3753</v>
      </c>
      <c r="K2800" s="1" t="s">
        <v>309</v>
      </c>
      <c r="L2800" s="1" t="s">
        <v>486</v>
      </c>
      <c r="M2800" s="1" t="s">
        <v>27</v>
      </c>
      <c r="N2800" s="1" t="s">
        <v>3754</v>
      </c>
      <c r="O2800" s="1" t="s">
        <v>1010</v>
      </c>
      <c r="P2800" s="1" t="s">
        <v>401</v>
      </c>
      <c r="Q2800" s="63" t="s">
        <v>3755</v>
      </c>
      <c r="R2800" s="1" t="s">
        <v>555</v>
      </c>
      <c r="S2800" s="13" t="s">
        <v>28</v>
      </c>
      <c r="T2800" s="68" t="s">
        <v>29505</v>
      </c>
      <c r="U2800" s="68" t="s">
        <v>29436</v>
      </c>
      <c r="V2800" s="68" t="s">
        <v>29437</v>
      </c>
      <c r="W2800" s="68" t="s">
        <v>100</v>
      </c>
      <c r="X2800" s="68">
        <v>883</v>
      </c>
      <c r="AW2800" s="44"/>
      <c r="BA2800" s="44"/>
      <c r="BB2800" s="44"/>
      <c r="BK2800" s="44"/>
    </row>
    <row r="2801" spans="1:63" ht="12" customHeight="1" x14ac:dyDescent="0.15">
      <c r="A2801" s="1" t="s">
        <v>3683</v>
      </c>
      <c r="B2801" s="68">
        <v>64</v>
      </c>
      <c r="C2801" s="1" t="s">
        <v>20</v>
      </c>
      <c r="D2801" s="1" t="s">
        <v>85</v>
      </c>
      <c r="E2801" s="1" t="s">
        <v>3684</v>
      </c>
      <c r="F2801" s="69">
        <v>42073</v>
      </c>
      <c r="G2801" s="1" t="s">
        <v>3685</v>
      </c>
      <c r="H2801" s="1" t="s">
        <v>984</v>
      </c>
      <c r="I2801" s="1" t="s">
        <v>69</v>
      </c>
      <c r="J2801" s="4">
        <v>44105</v>
      </c>
      <c r="K2801" s="1" t="s">
        <v>105</v>
      </c>
      <c r="L2801" s="1" t="s">
        <v>3452</v>
      </c>
      <c r="M2801" s="1" t="s">
        <v>27</v>
      </c>
      <c r="N2801" s="1" t="s">
        <v>3686</v>
      </c>
      <c r="P2801" s="1" t="s">
        <v>401</v>
      </c>
      <c r="Q2801" s="63" t="str">
        <f>HYPERLINK("http://www.19actionnews.com/story/28380324/one-dead-after-officer-involved-shooting-in-cleveland","http://www.19actionnews.com/story/28380324/one-dead-after-officer-involved-shooting-in-cleveland")</f>
        <v>http://www.19actionnews.com/story/28380324/one-dead-after-officer-involved-shooting-in-cleveland</v>
      </c>
      <c r="R2801" s="1" t="s">
        <v>29</v>
      </c>
      <c r="S2801" s="13" t="s">
        <v>28</v>
      </c>
      <c r="T2801" s="68" t="s">
        <v>27756</v>
      </c>
      <c r="U2801" s="68" t="s">
        <v>29438</v>
      </c>
      <c r="V2801" s="68" t="s">
        <v>29439</v>
      </c>
      <c r="W2801" s="68" t="s">
        <v>555</v>
      </c>
      <c r="X2801" s="68">
        <v>206</v>
      </c>
      <c r="AX2801" s="44"/>
      <c r="AY2801" s="44"/>
      <c r="BC2801" s="44"/>
      <c r="BD2801" s="44"/>
      <c r="BE2801" s="44"/>
      <c r="BF2801" s="44"/>
      <c r="BG2801" s="44"/>
      <c r="BH2801" s="44"/>
      <c r="BI2801" s="44"/>
      <c r="BJ2801" s="44"/>
      <c r="BK2801" s="44"/>
    </row>
    <row r="2802" spans="1:63" ht="12" customHeight="1" x14ac:dyDescent="0.15">
      <c r="A2802" s="1" t="s">
        <v>3784</v>
      </c>
      <c r="B2802" s="68">
        <v>58</v>
      </c>
      <c r="C2802" s="1" t="s">
        <v>20</v>
      </c>
      <c r="D2802" s="1" t="s">
        <v>37</v>
      </c>
      <c r="E2802" s="1" t="s">
        <v>3785</v>
      </c>
      <c r="F2802" s="69">
        <v>42072</v>
      </c>
      <c r="G2802" s="1" t="s">
        <v>3786</v>
      </c>
      <c r="H2802" s="1" t="s">
        <v>3787</v>
      </c>
      <c r="I2802" s="1" t="s">
        <v>366</v>
      </c>
      <c r="J2802" s="4" t="s">
        <v>3788</v>
      </c>
      <c r="K2802" s="1" t="s">
        <v>3789</v>
      </c>
      <c r="L2802" s="1" t="s">
        <v>3790</v>
      </c>
      <c r="M2802" s="1" t="s">
        <v>27</v>
      </c>
      <c r="N2802" s="1" t="s">
        <v>3791</v>
      </c>
      <c r="O2802" s="1" t="s">
        <v>1010</v>
      </c>
      <c r="P2802" s="1" t="s">
        <v>401</v>
      </c>
      <c r="Q2802" s="63" t="s">
        <v>3792</v>
      </c>
      <c r="R2802" s="11" t="s">
        <v>964</v>
      </c>
      <c r="S2802" s="13" t="s">
        <v>28</v>
      </c>
      <c r="T2802" s="68" t="s">
        <v>27756</v>
      </c>
      <c r="U2802" s="68" t="s">
        <v>29438</v>
      </c>
      <c r="V2802" s="68" t="s">
        <v>29439</v>
      </c>
      <c r="W2802" s="68" t="s">
        <v>100</v>
      </c>
      <c r="X2802" s="68">
        <v>274</v>
      </c>
      <c r="BA2802" s="44"/>
      <c r="BB2802" s="44"/>
      <c r="BK2802" s="44"/>
    </row>
    <row r="2803" spans="1:63" ht="12" customHeight="1" x14ac:dyDescent="0.15">
      <c r="A2803" s="1" t="s">
        <v>3761</v>
      </c>
      <c r="B2803" s="68">
        <v>30</v>
      </c>
      <c r="C2803" s="1" t="s">
        <v>20</v>
      </c>
      <c r="D2803" s="1" t="s">
        <v>85</v>
      </c>
      <c r="E2803" s="1" t="s">
        <v>3762</v>
      </c>
      <c r="F2803" s="69">
        <v>42072</v>
      </c>
      <c r="G2803" s="1" t="s">
        <v>3763</v>
      </c>
      <c r="H2803" s="1" t="s">
        <v>1767</v>
      </c>
      <c r="I2803" s="1" t="s">
        <v>62</v>
      </c>
      <c r="J2803" s="4" t="s">
        <v>3764</v>
      </c>
      <c r="K2803" s="1" t="s">
        <v>1769</v>
      </c>
      <c r="L2803" s="1" t="s">
        <v>3765</v>
      </c>
      <c r="M2803" s="1" t="s">
        <v>27</v>
      </c>
      <c r="N2803" s="1" t="s">
        <v>3766</v>
      </c>
      <c r="O2803" s="1" t="s">
        <v>1010</v>
      </c>
      <c r="P2803" s="1" t="s">
        <v>401</v>
      </c>
      <c r="Q2803" s="63" t="s">
        <v>3767</v>
      </c>
      <c r="R2803" s="1" t="s">
        <v>100</v>
      </c>
      <c r="S2803" s="13" t="s">
        <v>28</v>
      </c>
      <c r="T2803" s="68" t="s">
        <v>27756</v>
      </c>
      <c r="U2803" s="68" t="s">
        <v>29438</v>
      </c>
      <c r="V2803" s="68" t="s">
        <v>29439</v>
      </c>
      <c r="W2803" s="68" t="s">
        <v>100</v>
      </c>
      <c r="X2803" s="68">
        <v>276</v>
      </c>
      <c r="AW2803" s="11"/>
      <c r="AX2803" s="11"/>
      <c r="AY2803" s="11"/>
      <c r="BC2803" s="44"/>
      <c r="BD2803" s="44"/>
      <c r="BE2803" s="44"/>
      <c r="BF2803" s="44"/>
      <c r="BG2803" s="44"/>
      <c r="BH2803" s="44"/>
      <c r="BI2803" s="44"/>
      <c r="BJ2803" s="44"/>
      <c r="BK2803" s="44"/>
    </row>
    <row r="2804" spans="1:63" ht="12" customHeight="1" x14ac:dyDescent="0.15">
      <c r="A2804" s="1" t="s">
        <v>3775</v>
      </c>
      <c r="B2804" s="68">
        <v>46</v>
      </c>
      <c r="C2804" s="1" t="s">
        <v>20</v>
      </c>
      <c r="D2804" s="1" t="s">
        <v>37</v>
      </c>
      <c r="E2804" s="1" t="s">
        <v>3776</v>
      </c>
      <c r="F2804" s="69">
        <v>42072</v>
      </c>
      <c r="G2804" s="1" t="s">
        <v>3777</v>
      </c>
      <c r="H2804" s="1" t="s">
        <v>3778</v>
      </c>
      <c r="I2804" s="1" t="s">
        <v>209</v>
      </c>
      <c r="J2804" s="4" t="s">
        <v>3779</v>
      </c>
      <c r="K2804" s="1" t="s">
        <v>3780</v>
      </c>
      <c r="L2804" s="1" t="s">
        <v>3781</v>
      </c>
      <c r="M2804" s="1" t="s">
        <v>27</v>
      </c>
      <c r="N2804" s="1" t="s">
        <v>3782</v>
      </c>
      <c r="O2804" s="1" t="s">
        <v>1010</v>
      </c>
      <c r="P2804" s="1" t="s">
        <v>401</v>
      </c>
      <c r="Q2804" s="63" t="s">
        <v>3783</v>
      </c>
      <c r="R2804" s="1" t="s">
        <v>100</v>
      </c>
      <c r="S2804" s="13" t="s">
        <v>28</v>
      </c>
      <c r="T2804" s="68" t="s">
        <v>27756</v>
      </c>
      <c r="U2804" s="68" t="s">
        <v>29438</v>
      </c>
      <c r="V2804" s="68" t="s">
        <v>29439</v>
      </c>
      <c r="W2804" s="68" t="s">
        <v>100</v>
      </c>
      <c r="X2804" s="68">
        <v>275</v>
      </c>
      <c r="BK2804" s="44"/>
    </row>
    <row r="2805" spans="1:63" ht="12" customHeight="1" x14ac:dyDescent="0.2">
      <c r="A2805" s="1" t="s">
        <v>3756</v>
      </c>
      <c r="B2805" s="1">
        <v>64</v>
      </c>
      <c r="C2805" s="1" t="s">
        <v>114</v>
      </c>
      <c r="D2805" s="1" t="s">
        <v>21</v>
      </c>
      <c r="F2805" s="72">
        <v>42072</v>
      </c>
      <c r="G2805" s="1" t="s">
        <v>3757</v>
      </c>
      <c r="H2805" s="1" t="s">
        <v>1831</v>
      </c>
      <c r="I2805" s="1" t="s">
        <v>81</v>
      </c>
      <c r="J2805" s="4" t="s">
        <v>1832</v>
      </c>
      <c r="K2805" s="1" t="s">
        <v>1833</v>
      </c>
      <c r="L2805" s="1" t="s">
        <v>3758</v>
      </c>
      <c r="M2805" s="1" t="s">
        <v>379</v>
      </c>
      <c r="N2805" s="1" t="s">
        <v>3759</v>
      </c>
      <c r="O2805" s="1" t="s">
        <v>400</v>
      </c>
      <c r="P2805" s="1" t="s">
        <v>401</v>
      </c>
      <c r="Q2805" s="63" t="s">
        <v>3760</v>
      </c>
      <c r="R2805" s="1" t="s">
        <v>100</v>
      </c>
      <c r="S2805" s="13" t="s">
        <v>18</v>
      </c>
      <c r="AX2805" s="70"/>
      <c r="AY2805" s="70"/>
      <c r="BC2805" s="70"/>
      <c r="BD2805" s="70"/>
      <c r="BE2805" s="70"/>
      <c r="BF2805" s="70"/>
      <c r="BG2805" s="70"/>
      <c r="BH2805" s="70"/>
      <c r="BI2805" s="70"/>
      <c r="BJ2805" s="70"/>
    </row>
    <row r="2806" spans="1:63" ht="12" customHeight="1" x14ac:dyDescent="0.15">
      <c r="A2806" s="1" t="s">
        <v>3768</v>
      </c>
      <c r="B2806" s="68">
        <v>27</v>
      </c>
      <c r="C2806" s="1" t="s">
        <v>20</v>
      </c>
      <c r="D2806" s="1" t="s">
        <v>85</v>
      </c>
      <c r="E2806" s="1" t="s">
        <v>3769</v>
      </c>
      <c r="F2806" s="69">
        <v>42072</v>
      </c>
      <c r="G2806" s="1" t="s">
        <v>3770</v>
      </c>
      <c r="H2806" s="1" t="s">
        <v>3771</v>
      </c>
      <c r="I2806" s="1" t="s">
        <v>173</v>
      </c>
      <c r="J2806" s="4" t="s">
        <v>3772</v>
      </c>
      <c r="K2806" s="1" t="s">
        <v>1304</v>
      </c>
      <c r="L2806" s="1" t="s">
        <v>862</v>
      </c>
      <c r="M2806" s="1" t="s">
        <v>27</v>
      </c>
      <c r="N2806" s="1" t="s">
        <v>3773</v>
      </c>
      <c r="O2806" s="1" t="s">
        <v>21481</v>
      </c>
      <c r="P2806" s="1" t="s">
        <v>1159</v>
      </c>
      <c r="Q2806" s="63" t="s">
        <v>3774</v>
      </c>
      <c r="R2806" s="1" t="s">
        <v>555</v>
      </c>
      <c r="S2806" s="13" t="s">
        <v>18</v>
      </c>
      <c r="T2806" s="68" t="s">
        <v>28345</v>
      </c>
      <c r="U2806" s="68" t="s">
        <v>29436</v>
      </c>
      <c r="V2806" s="68" t="s">
        <v>29439</v>
      </c>
      <c r="W2806" s="68" t="s">
        <v>100</v>
      </c>
      <c r="X2806" s="68">
        <v>205</v>
      </c>
      <c r="AW2806" s="44"/>
      <c r="AX2806" s="11"/>
      <c r="AY2806" s="11"/>
      <c r="BA2806" s="44"/>
      <c r="BB2806" s="44"/>
      <c r="BC2806" s="44"/>
      <c r="BD2806" s="44"/>
      <c r="BE2806" s="44"/>
      <c r="BF2806" s="44"/>
      <c r="BG2806" s="44"/>
      <c r="BH2806" s="44"/>
      <c r="BI2806" s="44"/>
      <c r="BJ2806" s="44"/>
    </row>
    <row r="2807" spans="1:63" ht="12" customHeight="1" x14ac:dyDescent="0.15">
      <c r="A2807" s="1" t="s">
        <v>3799</v>
      </c>
      <c r="B2807" s="68">
        <v>40</v>
      </c>
      <c r="C2807" s="1" t="s">
        <v>20</v>
      </c>
      <c r="D2807" s="1" t="s">
        <v>48</v>
      </c>
      <c r="E2807" s="1" t="s">
        <v>3800</v>
      </c>
      <c r="F2807" s="69">
        <v>42071</v>
      </c>
      <c r="G2807" s="1" t="s">
        <v>3801</v>
      </c>
      <c r="H2807" s="1" t="s">
        <v>1094</v>
      </c>
      <c r="I2807" s="1" t="s">
        <v>395</v>
      </c>
      <c r="J2807" s="4" t="s">
        <v>3802</v>
      </c>
      <c r="K2807" s="1" t="s">
        <v>1095</v>
      </c>
      <c r="L2807" s="1" t="s">
        <v>1096</v>
      </c>
      <c r="M2807" s="1" t="s">
        <v>27</v>
      </c>
      <c r="N2807" s="1" t="s">
        <v>3803</v>
      </c>
      <c r="O2807" s="1" t="s">
        <v>1010</v>
      </c>
      <c r="P2807" s="1" t="s">
        <v>401</v>
      </c>
      <c r="Q2807" s="63" t="s">
        <v>3804</v>
      </c>
      <c r="R2807" s="1" t="s">
        <v>100</v>
      </c>
      <c r="S2807" s="13" t="s">
        <v>28</v>
      </c>
      <c r="T2807" s="68" t="s">
        <v>27756</v>
      </c>
      <c r="U2807" s="68" t="s">
        <v>29438</v>
      </c>
      <c r="V2807" s="68" t="s">
        <v>29439</v>
      </c>
      <c r="W2807" s="68" t="s">
        <v>100</v>
      </c>
      <c r="X2807" s="68">
        <v>272</v>
      </c>
      <c r="BK2807" s="44"/>
    </row>
    <row r="2808" spans="1:63" ht="12" customHeight="1" x14ac:dyDescent="0.15">
      <c r="A2808" s="1" t="s">
        <v>3805</v>
      </c>
      <c r="B2808" s="68">
        <v>35</v>
      </c>
      <c r="C2808" s="1" t="s">
        <v>20</v>
      </c>
      <c r="D2808" s="1" t="s">
        <v>37</v>
      </c>
      <c r="E2808" s="1" t="s">
        <v>3806</v>
      </c>
      <c r="F2808" s="69">
        <v>42071</v>
      </c>
      <c r="G2808" s="1" t="s">
        <v>3807</v>
      </c>
      <c r="H2808" s="1" t="s">
        <v>3808</v>
      </c>
      <c r="I2808" s="1" t="s">
        <v>225</v>
      </c>
      <c r="J2808" s="4" t="s">
        <v>3809</v>
      </c>
      <c r="K2808" s="1" t="s">
        <v>3810</v>
      </c>
      <c r="L2808" s="1" t="s">
        <v>3811</v>
      </c>
      <c r="M2808" s="1" t="s">
        <v>27</v>
      </c>
      <c r="N2808" s="1" t="s">
        <v>3812</v>
      </c>
      <c r="O2808" s="1" t="s">
        <v>1010</v>
      </c>
      <c r="P2808" s="1" t="s">
        <v>401</v>
      </c>
      <c r="Q2808" s="63" t="s">
        <v>3813</v>
      </c>
      <c r="R2808" s="1" t="s">
        <v>100</v>
      </c>
      <c r="S2808" s="13" t="s">
        <v>379</v>
      </c>
      <c r="T2808" s="68" t="s">
        <v>379</v>
      </c>
      <c r="U2808" s="68" t="s">
        <v>29438</v>
      </c>
      <c r="V2808" s="68" t="s">
        <v>29437</v>
      </c>
      <c r="W2808" s="68" t="s">
        <v>100</v>
      </c>
      <c r="X2808" s="68">
        <v>273</v>
      </c>
      <c r="AW2808" s="44"/>
      <c r="BK2808" s="44"/>
    </row>
    <row r="2809" spans="1:63" ht="12" customHeight="1" x14ac:dyDescent="0.15">
      <c r="A2809" s="1" t="s">
        <v>3793</v>
      </c>
      <c r="B2809" s="68">
        <v>43</v>
      </c>
      <c r="C2809" s="1" t="s">
        <v>114</v>
      </c>
      <c r="D2809" s="1" t="s">
        <v>85</v>
      </c>
      <c r="E2809" s="1" t="s">
        <v>3794</v>
      </c>
      <c r="F2809" s="69">
        <v>42071</v>
      </c>
      <c r="G2809" s="1" t="s">
        <v>3795</v>
      </c>
      <c r="H2809" s="1" t="s">
        <v>1879</v>
      </c>
      <c r="I2809" s="1" t="s">
        <v>45</v>
      </c>
      <c r="J2809" s="4" t="s">
        <v>3796</v>
      </c>
      <c r="K2809" s="1" t="s">
        <v>1061</v>
      </c>
      <c r="L2809" s="1" t="s">
        <v>1881</v>
      </c>
      <c r="M2809" s="1" t="s">
        <v>27</v>
      </c>
      <c r="N2809" s="1" t="s">
        <v>3797</v>
      </c>
      <c r="O2809" s="1" t="s">
        <v>1010</v>
      </c>
      <c r="P2809" s="1" t="s">
        <v>401</v>
      </c>
      <c r="Q2809" s="63" t="s">
        <v>3798</v>
      </c>
      <c r="R2809" s="1" t="s">
        <v>555</v>
      </c>
      <c r="S2809" s="13" t="s">
        <v>28</v>
      </c>
      <c r="T2809" s="68" t="s">
        <v>29493</v>
      </c>
      <c r="U2809" s="68" t="s">
        <v>29436</v>
      </c>
      <c r="V2809" s="68" t="s">
        <v>29439</v>
      </c>
      <c r="W2809" s="68" t="s">
        <v>555</v>
      </c>
      <c r="X2809" s="68">
        <v>204</v>
      </c>
      <c r="AX2809" s="44"/>
      <c r="AY2809" s="44"/>
      <c r="BA2809" s="44"/>
      <c r="BB2809" s="44"/>
      <c r="BC2809" s="44"/>
      <c r="BD2809" s="44"/>
      <c r="BE2809" s="44"/>
      <c r="BF2809" s="44"/>
      <c r="BG2809" s="44"/>
      <c r="BH2809" s="44"/>
      <c r="BI2809" s="44"/>
      <c r="BJ2809" s="44"/>
      <c r="BK2809" s="44"/>
    </row>
    <row r="2810" spans="1:63" ht="12" customHeight="1" x14ac:dyDescent="0.15">
      <c r="A2810" s="1" t="s">
        <v>3814</v>
      </c>
      <c r="B2810" s="68">
        <v>29</v>
      </c>
      <c r="C2810" s="1" t="s">
        <v>20</v>
      </c>
      <c r="D2810" s="1" t="s">
        <v>37</v>
      </c>
      <c r="E2810" s="1" t="s">
        <v>3815</v>
      </c>
      <c r="F2810" s="69">
        <v>42070</v>
      </c>
      <c r="G2810" s="1" t="s">
        <v>3816</v>
      </c>
      <c r="H2810" s="1" t="s">
        <v>632</v>
      </c>
      <c r="I2810" s="1" t="s">
        <v>123</v>
      </c>
      <c r="J2810" s="4" t="s">
        <v>2804</v>
      </c>
      <c r="K2810" s="1" t="s">
        <v>3817</v>
      </c>
      <c r="L2810" s="1" t="s">
        <v>634</v>
      </c>
      <c r="M2810" s="1" t="s">
        <v>27</v>
      </c>
      <c r="N2810" s="1" t="s">
        <v>3818</v>
      </c>
      <c r="O2810" s="1" t="s">
        <v>400</v>
      </c>
      <c r="P2810" s="1" t="s">
        <v>401</v>
      </c>
      <c r="Q2810" s="63" t="s">
        <v>3819</v>
      </c>
      <c r="R2810" s="1" t="s">
        <v>29</v>
      </c>
      <c r="S2810" s="13" t="s">
        <v>28</v>
      </c>
      <c r="T2810" s="68" t="s">
        <v>27756</v>
      </c>
      <c r="U2810" s="68" t="s">
        <v>29438</v>
      </c>
      <c r="V2810" s="68" t="s">
        <v>29439</v>
      </c>
      <c r="W2810" s="68" t="s">
        <v>100</v>
      </c>
      <c r="X2810" s="68">
        <v>271</v>
      </c>
      <c r="AW2810" s="44"/>
      <c r="BK2810" s="44"/>
    </row>
    <row r="2811" spans="1:63" ht="12" customHeight="1" x14ac:dyDescent="0.15">
      <c r="A2811" s="1" t="s">
        <v>3829</v>
      </c>
      <c r="B2811" s="1">
        <v>62</v>
      </c>
      <c r="C2811" s="1" t="s">
        <v>20</v>
      </c>
      <c r="D2811" s="1" t="s">
        <v>85</v>
      </c>
      <c r="E2811" s="1" t="s">
        <v>3830</v>
      </c>
      <c r="F2811" s="72">
        <v>42069</v>
      </c>
      <c r="G2811" s="1" t="s">
        <v>3831</v>
      </c>
      <c r="H2811" s="1" t="s">
        <v>1916</v>
      </c>
      <c r="I2811" s="1" t="s">
        <v>173</v>
      </c>
      <c r="J2811" s="4" t="s">
        <v>3832</v>
      </c>
      <c r="K2811" s="1" t="s">
        <v>1556</v>
      </c>
      <c r="L2811" s="1" t="s">
        <v>2540</v>
      </c>
      <c r="M2811" s="1" t="s">
        <v>379</v>
      </c>
      <c r="N2811" s="1" t="s">
        <v>3833</v>
      </c>
      <c r="O2811" s="1" t="s">
        <v>30997</v>
      </c>
      <c r="P2811" s="1" t="s">
        <v>29633</v>
      </c>
      <c r="Q2811" s="63" t="s">
        <v>3834</v>
      </c>
      <c r="R2811" s="1" t="s">
        <v>100</v>
      </c>
      <c r="S2811" s="13" t="s">
        <v>18</v>
      </c>
      <c r="W2811" s="18" t="s">
        <v>29626</v>
      </c>
      <c r="AX2811" s="44"/>
      <c r="AY2811" s="44"/>
      <c r="BC2811" s="44"/>
      <c r="BD2811" s="44"/>
      <c r="BE2811" s="44"/>
      <c r="BF2811" s="44"/>
      <c r="BG2811" s="44"/>
      <c r="BH2811" s="44"/>
      <c r="BI2811" s="44"/>
      <c r="BJ2811" s="44"/>
    </row>
    <row r="2812" spans="1:63" ht="12" customHeight="1" x14ac:dyDescent="0.2">
      <c r="A2812" s="1" t="s">
        <v>3835</v>
      </c>
      <c r="B2812" s="68">
        <v>19</v>
      </c>
      <c r="C2812" s="1" t="s">
        <v>20</v>
      </c>
      <c r="D2812" s="1" t="s">
        <v>85</v>
      </c>
      <c r="E2812" s="1" t="s">
        <v>3836</v>
      </c>
      <c r="F2812" s="69">
        <v>42069</v>
      </c>
      <c r="G2812" s="1" t="s">
        <v>3837</v>
      </c>
      <c r="H2812" s="1" t="s">
        <v>2160</v>
      </c>
      <c r="I2812" s="1" t="s">
        <v>438</v>
      </c>
      <c r="J2812" s="4" t="s">
        <v>3838</v>
      </c>
      <c r="K2812" s="1" t="s">
        <v>2160</v>
      </c>
      <c r="L2812" s="1" t="s">
        <v>3839</v>
      </c>
      <c r="M2812" s="1" t="s">
        <v>27</v>
      </c>
      <c r="N2812" s="1" t="s">
        <v>3840</v>
      </c>
      <c r="O2812" s="1" t="s">
        <v>400</v>
      </c>
      <c r="P2812" s="1" t="s">
        <v>401</v>
      </c>
      <c r="Q2812" s="63" t="s">
        <v>3841</v>
      </c>
      <c r="R2812" s="1" t="s">
        <v>100</v>
      </c>
      <c r="S2812" s="13" t="s">
        <v>18</v>
      </c>
      <c r="T2812" s="68" t="s">
        <v>28345</v>
      </c>
      <c r="U2812" s="68" t="s">
        <v>29438</v>
      </c>
      <c r="V2812" s="68" t="s">
        <v>29440</v>
      </c>
      <c r="W2812" s="68" t="s">
        <v>100</v>
      </c>
      <c r="X2812" s="68">
        <v>203</v>
      </c>
      <c r="AW2812" s="70"/>
      <c r="AX2812" s="70"/>
      <c r="AY2812" s="70"/>
      <c r="BC2812" s="44"/>
      <c r="BD2812" s="44"/>
      <c r="BE2812" s="44"/>
      <c r="BF2812" s="44"/>
      <c r="BG2812" s="44"/>
      <c r="BH2812" s="44"/>
      <c r="BI2812" s="44"/>
      <c r="BJ2812" s="44"/>
    </row>
    <row r="2813" spans="1:63" ht="12" customHeight="1" x14ac:dyDescent="0.15">
      <c r="A2813" s="1" t="s">
        <v>3842</v>
      </c>
      <c r="B2813" s="68">
        <v>48</v>
      </c>
      <c r="C2813" s="1" t="s">
        <v>20</v>
      </c>
      <c r="D2813" s="1" t="s">
        <v>85</v>
      </c>
      <c r="E2813" s="1" t="s">
        <v>3843</v>
      </c>
      <c r="F2813" s="69">
        <v>42069</v>
      </c>
      <c r="G2813" s="1" t="s">
        <v>3844</v>
      </c>
      <c r="H2813" s="1" t="s">
        <v>3845</v>
      </c>
      <c r="I2813" s="1" t="s">
        <v>62</v>
      </c>
      <c r="J2813" s="4" t="s">
        <v>3846</v>
      </c>
      <c r="K2813" s="1" t="s">
        <v>2095</v>
      </c>
      <c r="L2813" s="1" t="s">
        <v>3388</v>
      </c>
      <c r="M2813" s="1" t="s">
        <v>27</v>
      </c>
      <c r="N2813" s="1" t="s">
        <v>3847</v>
      </c>
      <c r="O2813" s="1" t="s">
        <v>400</v>
      </c>
      <c r="P2813" s="1" t="s">
        <v>401</v>
      </c>
      <c r="Q2813" s="63" t="s">
        <v>3848</v>
      </c>
      <c r="R2813" s="1" t="s">
        <v>100</v>
      </c>
      <c r="S2813" s="13" t="s">
        <v>379</v>
      </c>
      <c r="T2813" s="68" t="s">
        <v>379</v>
      </c>
      <c r="U2813" s="68" t="s">
        <v>29436</v>
      </c>
      <c r="V2813" s="68" t="s">
        <v>29439</v>
      </c>
      <c r="W2813" s="68" t="s">
        <v>100</v>
      </c>
      <c r="X2813" s="68">
        <v>270</v>
      </c>
      <c r="AX2813" s="44"/>
      <c r="AY2813" s="44"/>
      <c r="BC2813" s="44"/>
      <c r="BD2813" s="44"/>
      <c r="BE2813" s="44"/>
      <c r="BF2813" s="44"/>
      <c r="BG2813" s="44"/>
      <c r="BH2813" s="44"/>
      <c r="BI2813" s="44"/>
      <c r="BJ2813" s="44"/>
      <c r="BK2813" s="44"/>
    </row>
    <row r="2814" spans="1:63" ht="12" customHeight="1" x14ac:dyDescent="0.15">
      <c r="A2814" s="1" t="s">
        <v>3820</v>
      </c>
      <c r="B2814" s="68">
        <v>37</v>
      </c>
      <c r="C2814" s="1" t="s">
        <v>20</v>
      </c>
      <c r="D2814" s="1" t="s">
        <v>85</v>
      </c>
      <c r="E2814" s="1" t="s">
        <v>3821</v>
      </c>
      <c r="F2814" s="69">
        <v>42069</v>
      </c>
      <c r="G2814" s="1" t="s">
        <v>3822</v>
      </c>
      <c r="H2814" s="1" t="s">
        <v>3823</v>
      </c>
      <c r="I2814" s="1" t="s">
        <v>209</v>
      </c>
      <c r="J2814" s="4" t="s">
        <v>3824</v>
      </c>
      <c r="K2814" s="1" t="s">
        <v>3825</v>
      </c>
      <c r="L2814" s="1" t="s">
        <v>3826</v>
      </c>
      <c r="M2814" s="1" t="s">
        <v>27</v>
      </c>
      <c r="N2814" s="1" t="s">
        <v>3827</v>
      </c>
      <c r="O2814" s="1" t="s">
        <v>1010</v>
      </c>
      <c r="P2814" s="1" t="s">
        <v>401</v>
      </c>
      <c r="Q2814" s="63" t="s">
        <v>3828</v>
      </c>
      <c r="R2814" s="1" t="s">
        <v>29</v>
      </c>
      <c r="S2814" s="13" t="s">
        <v>18</v>
      </c>
      <c r="T2814" s="68" t="s">
        <v>28345</v>
      </c>
      <c r="U2814" s="68" t="s">
        <v>29441</v>
      </c>
      <c r="V2814" s="68" t="s">
        <v>29440</v>
      </c>
      <c r="W2814" s="68" t="s">
        <v>100</v>
      </c>
      <c r="X2814" s="68">
        <v>269</v>
      </c>
      <c r="AW2814" s="44"/>
      <c r="AX2814" s="44"/>
      <c r="AY2814" s="44"/>
      <c r="BC2814" s="44"/>
      <c r="BD2814" s="44"/>
      <c r="BE2814" s="44"/>
      <c r="BF2814" s="44"/>
      <c r="BG2814" s="44"/>
      <c r="BH2814" s="44"/>
      <c r="BI2814" s="44"/>
      <c r="BJ2814" s="44"/>
    </row>
    <row r="2815" spans="1:63" ht="12" customHeight="1" x14ac:dyDescent="0.15">
      <c r="A2815" s="1" t="s">
        <v>3849</v>
      </c>
      <c r="B2815" s="1">
        <v>33</v>
      </c>
      <c r="C2815" s="1" t="s">
        <v>20</v>
      </c>
      <c r="D2815" s="1" t="s">
        <v>48</v>
      </c>
      <c r="F2815" s="72">
        <v>42069</v>
      </c>
      <c r="G2815" s="1" t="s">
        <v>3850</v>
      </c>
      <c r="H2815" s="1" t="s">
        <v>857</v>
      </c>
      <c r="I2815" s="1" t="s">
        <v>73</v>
      </c>
      <c r="J2815" s="4" t="s">
        <v>3851</v>
      </c>
      <c r="K2815" s="1" t="s">
        <v>857</v>
      </c>
      <c r="L2815" s="1" t="s">
        <v>858</v>
      </c>
      <c r="M2815" s="1" t="s">
        <v>27</v>
      </c>
      <c r="N2815" s="1" t="s">
        <v>3852</v>
      </c>
      <c r="O2815" s="1" t="s">
        <v>1010</v>
      </c>
      <c r="P2815" s="1" t="s">
        <v>401</v>
      </c>
      <c r="Q2815" s="63" t="s">
        <v>3853</v>
      </c>
      <c r="R2815" s="1" t="s">
        <v>29</v>
      </c>
      <c r="S2815" s="13" t="s">
        <v>28</v>
      </c>
      <c r="T2815" s="66" t="s">
        <v>27756</v>
      </c>
      <c r="U2815" s="66" t="s">
        <v>29438</v>
      </c>
      <c r="V2815" s="66" t="s">
        <v>29439</v>
      </c>
      <c r="W2815" s="66" t="s">
        <v>100</v>
      </c>
      <c r="X2815" s="66">
        <v>325</v>
      </c>
      <c r="BK2815" s="44"/>
    </row>
    <row r="2816" spans="1:63" ht="12" customHeight="1" x14ac:dyDescent="0.15">
      <c r="A2816" s="1" t="s">
        <v>3854</v>
      </c>
      <c r="B2816" s="1">
        <v>34</v>
      </c>
      <c r="C2816" s="1" t="s">
        <v>20</v>
      </c>
      <c r="D2816" s="1" t="s">
        <v>37</v>
      </c>
      <c r="E2816" s="1" t="s">
        <v>3855</v>
      </c>
      <c r="F2816" s="72">
        <v>42069</v>
      </c>
      <c r="G2816" s="1" t="s">
        <v>3856</v>
      </c>
      <c r="H2816" s="1" t="s">
        <v>3857</v>
      </c>
      <c r="I2816" s="1" t="s">
        <v>73</v>
      </c>
      <c r="J2816" s="4">
        <v>75482</v>
      </c>
      <c r="K2816" s="1" t="s">
        <v>3858</v>
      </c>
      <c r="L2816" s="1" t="s">
        <v>3859</v>
      </c>
      <c r="M2816" s="1" t="s">
        <v>391</v>
      </c>
      <c r="N2816" s="1" t="s">
        <v>3860</v>
      </c>
      <c r="P2816" s="1" t="s">
        <v>401</v>
      </c>
      <c r="Q2816" s="63" t="str">
        <f>HYPERLINK("http://www.ksstradio.com/2015/03/09/texas-rangers-investigate-death-of-inmate/","http://www.ksstradio.com/2015/03/09/texas-rangers-investigate-death-of-inmate/")</f>
        <v>http://www.ksstradio.com/2015/03/09/texas-rangers-investigate-death-of-inmate/</v>
      </c>
      <c r="R2816" s="1" t="s">
        <v>29</v>
      </c>
      <c r="S2816" s="13" t="s">
        <v>18</v>
      </c>
      <c r="AU2816" s="11"/>
      <c r="AV2816" s="11"/>
      <c r="AW2816" s="11"/>
    </row>
    <row r="2817" spans="1:63" ht="12" customHeight="1" x14ac:dyDescent="0.15">
      <c r="A2817" s="1" t="s">
        <v>3868</v>
      </c>
      <c r="B2817" s="68">
        <v>36</v>
      </c>
      <c r="C2817" s="1" t="s">
        <v>20</v>
      </c>
      <c r="D2817" s="1" t="s">
        <v>48</v>
      </c>
      <c r="F2817" s="69">
        <v>42068</v>
      </c>
      <c r="G2817" s="1" t="s">
        <v>3869</v>
      </c>
      <c r="H2817" s="1" t="s">
        <v>3870</v>
      </c>
      <c r="I2817" s="1" t="s">
        <v>45</v>
      </c>
      <c r="J2817" s="4" t="s">
        <v>3871</v>
      </c>
      <c r="K2817" s="1" t="s">
        <v>98</v>
      </c>
      <c r="L2817" s="1" t="s">
        <v>99</v>
      </c>
      <c r="M2817" s="1" t="s">
        <v>27</v>
      </c>
      <c r="N2817" s="1" t="s">
        <v>3872</v>
      </c>
      <c r="O2817" s="1" t="s">
        <v>1010</v>
      </c>
      <c r="P2817" s="1" t="s">
        <v>401</v>
      </c>
      <c r="Q2817" s="63" t="s">
        <v>3873</v>
      </c>
      <c r="R2817" s="1" t="s">
        <v>100</v>
      </c>
      <c r="S2817" s="13" t="s">
        <v>18</v>
      </c>
      <c r="T2817" s="68" t="s">
        <v>28345</v>
      </c>
      <c r="U2817" s="68" t="s">
        <v>29436</v>
      </c>
      <c r="V2817" s="68" t="s">
        <v>29437</v>
      </c>
      <c r="W2817" s="68" t="s">
        <v>100</v>
      </c>
      <c r="X2817" s="68">
        <v>201</v>
      </c>
      <c r="AW2817" s="44"/>
    </row>
    <row r="2818" spans="1:63" ht="12" customHeight="1" x14ac:dyDescent="0.15">
      <c r="A2818" s="1" t="s">
        <v>3874</v>
      </c>
      <c r="B2818" s="68">
        <v>34</v>
      </c>
      <c r="C2818" s="1" t="s">
        <v>20</v>
      </c>
      <c r="D2818" s="1" t="s">
        <v>37</v>
      </c>
      <c r="E2818" s="1" t="s">
        <v>3875</v>
      </c>
      <c r="F2818" s="69">
        <v>42068</v>
      </c>
      <c r="G2818" s="1" t="s">
        <v>3876</v>
      </c>
      <c r="H2818" s="1" t="s">
        <v>2316</v>
      </c>
      <c r="I2818" s="1" t="s">
        <v>463</v>
      </c>
      <c r="J2818" s="4" t="s">
        <v>3877</v>
      </c>
      <c r="K2818" s="1" t="s">
        <v>1492</v>
      </c>
      <c r="L2818" s="1" t="s">
        <v>3878</v>
      </c>
      <c r="M2818" s="1" t="s">
        <v>27</v>
      </c>
      <c r="N2818" s="1" t="s">
        <v>3879</v>
      </c>
      <c r="O2818" s="1" t="s">
        <v>1010</v>
      </c>
      <c r="P2818" s="1" t="s">
        <v>401</v>
      </c>
      <c r="Q2818" s="63" t="s">
        <v>3880</v>
      </c>
      <c r="R2818" s="1" t="s">
        <v>29</v>
      </c>
      <c r="S2818" s="13" t="s">
        <v>28</v>
      </c>
      <c r="T2818" s="68" t="s">
        <v>27756</v>
      </c>
      <c r="U2818" s="68" t="s">
        <v>29438</v>
      </c>
      <c r="V2818" s="68" t="s">
        <v>29439</v>
      </c>
      <c r="W2818" s="68" t="s">
        <v>100</v>
      </c>
      <c r="X2818" s="68">
        <v>202</v>
      </c>
      <c r="AW2818" s="11"/>
      <c r="BK2818" s="44"/>
    </row>
    <row r="2819" spans="1:63" ht="12" customHeight="1" x14ac:dyDescent="0.15">
      <c r="A2819" s="1" t="s">
        <v>3861</v>
      </c>
      <c r="B2819" s="68">
        <v>45</v>
      </c>
      <c r="C2819" s="1" t="s">
        <v>20</v>
      </c>
      <c r="D2819" s="1" t="s">
        <v>85</v>
      </c>
      <c r="E2819" s="1" t="s">
        <v>3862</v>
      </c>
      <c r="F2819" s="69">
        <v>42068</v>
      </c>
      <c r="G2819" s="1" t="s">
        <v>3863</v>
      </c>
      <c r="H2819" s="1" t="s">
        <v>887</v>
      </c>
      <c r="I2819" s="1" t="s">
        <v>438</v>
      </c>
      <c r="J2819" s="4" t="s">
        <v>3864</v>
      </c>
      <c r="K2819" s="1" t="s">
        <v>887</v>
      </c>
      <c r="L2819" s="1" t="s">
        <v>3865</v>
      </c>
      <c r="M2819" s="1" t="s">
        <v>27</v>
      </c>
      <c r="N2819" s="1" t="s">
        <v>3866</v>
      </c>
      <c r="O2819" s="1" t="s">
        <v>1010</v>
      </c>
      <c r="P2819" s="1" t="s">
        <v>401</v>
      </c>
      <c r="Q2819" s="63" t="s">
        <v>3867</v>
      </c>
      <c r="R2819" s="68" t="s">
        <v>555</v>
      </c>
      <c r="S2819" s="13" t="s">
        <v>28</v>
      </c>
      <c r="T2819" s="68" t="s">
        <v>29493</v>
      </c>
      <c r="U2819" s="68" t="s">
        <v>29436</v>
      </c>
      <c r="V2819" s="68" t="s">
        <v>29439</v>
      </c>
      <c r="W2819" s="68" t="s">
        <v>100</v>
      </c>
      <c r="X2819" s="68">
        <v>200</v>
      </c>
      <c r="AX2819" s="44"/>
      <c r="AY2819" s="44"/>
      <c r="BA2819" s="44"/>
      <c r="BB2819" s="11"/>
      <c r="BC2819" s="44"/>
      <c r="BD2819" s="44"/>
      <c r="BE2819" s="44"/>
      <c r="BF2819" s="44"/>
      <c r="BG2819" s="44"/>
      <c r="BH2819" s="44"/>
      <c r="BI2819" s="44"/>
      <c r="BJ2819" s="44"/>
      <c r="BK2819" s="44"/>
    </row>
    <row r="2820" spans="1:63" ht="12" customHeight="1" x14ac:dyDescent="0.2">
      <c r="A2820" s="1" t="s">
        <v>3881</v>
      </c>
      <c r="B2820" s="68">
        <v>28</v>
      </c>
      <c r="C2820" s="1" t="s">
        <v>20</v>
      </c>
      <c r="D2820" s="1" t="s">
        <v>21</v>
      </c>
      <c r="F2820" s="69">
        <v>42067</v>
      </c>
      <c r="G2820" s="1" t="s">
        <v>3882</v>
      </c>
      <c r="H2820" s="1" t="s">
        <v>1760</v>
      </c>
      <c r="I2820" s="1" t="s">
        <v>45</v>
      </c>
      <c r="J2820" s="4" t="s">
        <v>3883</v>
      </c>
      <c r="K2820" s="1" t="s">
        <v>1762</v>
      </c>
      <c r="L2820" s="1" t="s">
        <v>1763</v>
      </c>
      <c r="M2820" s="1" t="s">
        <v>27</v>
      </c>
      <c r="N2820" s="1" t="s">
        <v>3884</v>
      </c>
      <c r="O2820" s="1" t="s">
        <v>550</v>
      </c>
      <c r="P2820" s="1" t="s">
        <v>401</v>
      </c>
      <c r="Q2820" s="63" t="s">
        <v>3885</v>
      </c>
      <c r="R2820" s="1" t="s">
        <v>29</v>
      </c>
      <c r="S2820" s="13" t="s">
        <v>28</v>
      </c>
      <c r="T2820" s="68" t="s">
        <v>27756</v>
      </c>
      <c r="U2820" s="68" t="s">
        <v>29438</v>
      </c>
      <c r="V2820" s="68" t="s">
        <v>29439</v>
      </c>
      <c r="W2820" s="68" t="s">
        <v>100</v>
      </c>
      <c r="X2820" s="68">
        <v>249</v>
      </c>
      <c r="AW2820" s="44"/>
      <c r="AX2820" s="70"/>
      <c r="AY2820" s="70"/>
      <c r="BC2820" s="70"/>
      <c r="BD2820" s="70"/>
      <c r="BE2820" s="70"/>
      <c r="BF2820" s="70"/>
      <c r="BG2820" s="70"/>
      <c r="BH2820" s="70"/>
      <c r="BI2820" s="70"/>
      <c r="BJ2820" s="70"/>
      <c r="BK2820" s="44"/>
    </row>
    <row r="2821" spans="1:63" ht="12" customHeight="1" x14ac:dyDescent="0.15">
      <c r="A2821" s="1" t="s">
        <v>3886</v>
      </c>
      <c r="B2821" s="68">
        <v>26</v>
      </c>
      <c r="C2821" s="1" t="s">
        <v>20</v>
      </c>
      <c r="D2821" s="1" t="s">
        <v>48</v>
      </c>
      <c r="E2821" s="1" t="s">
        <v>3887</v>
      </c>
      <c r="F2821" s="69">
        <v>42067</v>
      </c>
      <c r="G2821" s="1" t="s">
        <v>3888</v>
      </c>
      <c r="H2821" s="1" t="s">
        <v>3889</v>
      </c>
      <c r="I2821" s="1" t="s">
        <v>62</v>
      </c>
      <c r="J2821" s="4" t="s">
        <v>3890</v>
      </c>
      <c r="K2821" s="1" t="s">
        <v>3891</v>
      </c>
      <c r="L2821" s="1" t="s">
        <v>261</v>
      </c>
      <c r="M2821" s="1" t="s">
        <v>27</v>
      </c>
      <c r="N2821" s="1" t="s">
        <v>3892</v>
      </c>
      <c r="O2821" s="1" t="s">
        <v>1010</v>
      </c>
      <c r="P2821" s="1" t="s">
        <v>401</v>
      </c>
      <c r="Q2821" s="63" t="s">
        <v>3893</v>
      </c>
      <c r="R2821" s="1" t="s">
        <v>29</v>
      </c>
      <c r="S2821" s="13" t="s">
        <v>18</v>
      </c>
      <c r="T2821" s="68" t="s">
        <v>28345</v>
      </c>
      <c r="U2821" s="68" t="s">
        <v>29436</v>
      </c>
      <c r="V2821" s="68" t="s">
        <v>29439</v>
      </c>
      <c r="W2821" s="68" t="s">
        <v>100</v>
      </c>
      <c r="X2821" s="68">
        <v>199</v>
      </c>
      <c r="AW2821" s="44"/>
    </row>
    <row r="2822" spans="1:63" ht="12" customHeight="1" x14ac:dyDescent="0.15">
      <c r="A2822" s="1" t="s">
        <v>3894</v>
      </c>
      <c r="B2822" s="68">
        <v>25</v>
      </c>
      <c r="C2822" s="1" t="s">
        <v>20</v>
      </c>
      <c r="D2822" s="1" t="s">
        <v>85</v>
      </c>
      <c r="E2822" s="1" t="s">
        <v>3895</v>
      </c>
      <c r="F2822" s="69">
        <v>42066</v>
      </c>
      <c r="G2822" s="1" t="s">
        <v>3896</v>
      </c>
      <c r="H2822" s="1" t="s">
        <v>3897</v>
      </c>
      <c r="I2822" s="1" t="s">
        <v>52</v>
      </c>
      <c r="J2822" s="4" t="s">
        <v>3898</v>
      </c>
      <c r="K2822" s="1" t="s">
        <v>3899</v>
      </c>
      <c r="L2822" s="1" t="s">
        <v>695</v>
      </c>
      <c r="M2822" s="1" t="s">
        <v>27</v>
      </c>
      <c r="N2822" s="1" t="s">
        <v>3900</v>
      </c>
      <c r="O2822" s="1" t="s">
        <v>1010</v>
      </c>
      <c r="P2822" s="1" t="s">
        <v>401</v>
      </c>
      <c r="Q2822" s="63" t="s">
        <v>3901</v>
      </c>
      <c r="R2822" s="1" t="s">
        <v>100</v>
      </c>
      <c r="S2822" s="13" t="s">
        <v>28</v>
      </c>
      <c r="T2822" s="68" t="s">
        <v>27756</v>
      </c>
      <c r="U2822" s="68" t="s">
        <v>29438</v>
      </c>
      <c r="V2822" s="68" t="s">
        <v>29439</v>
      </c>
      <c r="W2822" s="68" t="s">
        <v>100</v>
      </c>
      <c r="X2822" s="68">
        <v>197</v>
      </c>
      <c r="AW2822" s="44"/>
      <c r="AX2822" s="44"/>
      <c r="AY2822" s="44"/>
      <c r="BC2822" s="44"/>
      <c r="BD2822" s="44"/>
      <c r="BE2822" s="44"/>
      <c r="BF2822" s="44"/>
      <c r="BG2822" s="44"/>
      <c r="BH2822" s="44"/>
      <c r="BI2822" s="44"/>
      <c r="BJ2822" s="44"/>
      <c r="BK2822" s="44"/>
    </row>
    <row r="2823" spans="1:63" ht="12" customHeight="1" x14ac:dyDescent="0.15">
      <c r="A2823" s="1" t="s">
        <v>3902</v>
      </c>
      <c r="B2823" s="68">
        <v>25</v>
      </c>
      <c r="C2823" s="1" t="s">
        <v>20</v>
      </c>
      <c r="D2823" s="1" t="s">
        <v>37</v>
      </c>
      <c r="E2823" s="1" t="s">
        <v>3903</v>
      </c>
      <c r="F2823" s="69">
        <v>42066</v>
      </c>
      <c r="G2823" s="1" t="s">
        <v>3904</v>
      </c>
      <c r="H2823" s="1" t="s">
        <v>3905</v>
      </c>
      <c r="I2823" s="1" t="s">
        <v>123</v>
      </c>
      <c r="J2823" s="4" t="s">
        <v>3906</v>
      </c>
      <c r="K2823" s="1" t="s">
        <v>633</v>
      </c>
      <c r="L2823" s="1" t="s">
        <v>3907</v>
      </c>
      <c r="M2823" s="1" t="s">
        <v>27</v>
      </c>
      <c r="N2823" s="1" t="s">
        <v>3908</v>
      </c>
      <c r="O2823" s="1" t="s">
        <v>1010</v>
      </c>
      <c r="P2823" s="1" t="s">
        <v>401</v>
      </c>
      <c r="Q2823" s="63" t="s">
        <v>3909</v>
      </c>
      <c r="R2823" s="1" t="s">
        <v>100</v>
      </c>
      <c r="S2823" s="13" t="s">
        <v>28</v>
      </c>
      <c r="T2823" s="68" t="s">
        <v>29493</v>
      </c>
      <c r="U2823" s="68" t="s">
        <v>29438</v>
      </c>
      <c r="V2823" s="68" t="s">
        <v>29439</v>
      </c>
      <c r="W2823" s="68" t="s">
        <v>100</v>
      </c>
      <c r="X2823" s="68">
        <v>198</v>
      </c>
      <c r="AW2823" s="44"/>
      <c r="BK2823" s="44"/>
    </row>
    <row r="2824" spans="1:63" ht="12" customHeight="1" x14ac:dyDescent="0.2">
      <c r="A2824" s="1" t="s">
        <v>3910</v>
      </c>
      <c r="B2824" s="68">
        <v>20</v>
      </c>
      <c r="C2824" s="1" t="s">
        <v>20</v>
      </c>
      <c r="D2824" s="1" t="s">
        <v>85</v>
      </c>
      <c r="E2824" s="1" t="s">
        <v>3911</v>
      </c>
      <c r="F2824" s="69">
        <v>42065</v>
      </c>
      <c r="G2824" s="1" t="s">
        <v>3912</v>
      </c>
      <c r="H2824" s="1" t="s">
        <v>3913</v>
      </c>
      <c r="I2824" s="1" t="s">
        <v>44</v>
      </c>
      <c r="J2824" s="4" t="s">
        <v>3914</v>
      </c>
      <c r="K2824" s="1" t="s">
        <v>3915</v>
      </c>
      <c r="L2824" s="1" t="s">
        <v>3916</v>
      </c>
      <c r="M2824" s="1" t="s">
        <v>27</v>
      </c>
      <c r="N2824" s="1" t="s">
        <v>3917</v>
      </c>
      <c r="O2824" s="1" t="s">
        <v>1010</v>
      </c>
      <c r="P2824" s="1" t="s">
        <v>401</v>
      </c>
      <c r="Q2824" s="63" t="s">
        <v>3918</v>
      </c>
      <c r="R2824" s="1" t="s">
        <v>29</v>
      </c>
      <c r="S2824" s="13" t="s">
        <v>28</v>
      </c>
      <c r="T2824" s="68" t="s">
        <v>27756</v>
      </c>
      <c r="U2824" s="68" t="s">
        <v>29436</v>
      </c>
      <c r="V2824" s="68" t="s">
        <v>29440</v>
      </c>
      <c r="W2824" s="68" t="s">
        <v>100</v>
      </c>
      <c r="X2824" s="68">
        <v>196</v>
      </c>
      <c r="AW2824" s="70"/>
      <c r="AX2824" s="70"/>
      <c r="AY2824" s="70"/>
      <c r="BC2824" s="44"/>
      <c r="BD2824" s="44"/>
      <c r="BE2824" s="44"/>
      <c r="BF2824" s="44"/>
      <c r="BG2824" s="44"/>
      <c r="BH2824" s="44"/>
      <c r="BI2824" s="44"/>
      <c r="BJ2824" s="44"/>
      <c r="BK2824" s="44"/>
    </row>
    <row r="2825" spans="1:63" ht="12" customHeight="1" x14ac:dyDescent="0.2">
      <c r="A2825" s="66" t="s">
        <v>29585</v>
      </c>
      <c r="B2825" s="66">
        <v>35</v>
      </c>
      <c r="C2825" s="66" t="s">
        <v>20</v>
      </c>
      <c r="D2825" s="66" t="s">
        <v>21</v>
      </c>
      <c r="E2825" s="66"/>
      <c r="F2825" s="67">
        <v>42064</v>
      </c>
      <c r="G2825" s="67"/>
      <c r="H2825" s="66" t="s">
        <v>723</v>
      </c>
      <c r="I2825" s="66" t="s">
        <v>73</v>
      </c>
      <c r="J2825" s="66"/>
      <c r="K2825" s="66" t="s">
        <v>558</v>
      </c>
      <c r="L2825" s="66" t="s">
        <v>559</v>
      </c>
      <c r="M2825" s="66" t="s">
        <v>27</v>
      </c>
      <c r="N2825" s="66"/>
      <c r="O2825" s="66" t="s">
        <v>400</v>
      </c>
      <c r="P2825" s="66" t="s">
        <v>401</v>
      </c>
      <c r="Q2825" s="66"/>
      <c r="R2825" s="66" t="s">
        <v>100</v>
      </c>
      <c r="S2825" s="66" t="s">
        <v>28</v>
      </c>
      <c r="T2825" s="66" t="s">
        <v>27756</v>
      </c>
      <c r="U2825" s="66" t="s">
        <v>29438</v>
      </c>
      <c r="V2825" s="66" t="s">
        <v>29439</v>
      </c>
      <c r="W2825" s="66" t="s">
        <v>100</v>
      </c>
      <c r="X2825" s="66">
        <v>195</v>
      </c>
      <c r="Y2825" s="66"/>
      <c r="Z2825" s="66"/>
      <c r="AA2825" s="66"/>
      <c r="AB2825" s="66"/>
      <c r="AC2825" s="66"/>
      <c r="AD2825" s="66"/>
      <c r="AE2825" s="66"/>
      <c r="AF2825" s="66"/>
      <c r="AG2825" s="66"/>
      <c r="AH2825" s="66"/>
      <c r="AI2825" s="66"/>
      <c r="AJ2825" s="66"/>
      <c r="AK2825" s="66"/>
      <c r="AL2825" s="66"/>
      <c r="AM2825" s="66"/>
      <c r="AN2825" s="66"/>
      <c r="AO2825" s="66"/>
      <c r="AP2825" s="66"/>
      <c r="AQ2825" s="66"/>
      <c r="AR2825" s="66"/>
      <c r="AS2825" s="66"/>
      <c r="AT2825" s="66"/>
      <c r="AU2825" s="66"/>
      <c r="AV2825" s="66"/>
      <c r="AW2825" s="66"/>
      <c r="AX2825" s="66"/>
      <c r="AY2825" s="66"/>
      <c r="AZ2825" s="66"/>
      <c r="BA2825" s="66"/>
      <c r="BB2825" s="66"/>
      <c r="BC2825" s="70"/>
      <c r="BD2825" s="70"/>
      <c r="BE2825" s="70"/>
      <c r="BF2825" s="70"/>
      <c r="BG2825" s="70"/>
      <c r="BH2825" s="70"/>
      <c r="BI2825" s="70"/>
      <c r="BJ2825" s="70"/>
      <c r="BK2825" s="44"/>
    </row>
    <row r="2826" spans="1:63" ht="12" customHeight="1" x14ac:dyDescent="0.15">
      <c r="A2826" s="1" t="s">
        <v>3931</v>
      </c>
      <c r="B2826" s="68">
        <v>49</v>
      </c>
      <c r="C2826" s="1" t="s">
        <v>20</v>
      </c>
      <c r="D2826" s="1" t="s">
        <v>37</v>
      </c>
      <c r="F2826" s="69">
        <v>42064</v>
      </c>
      <c r="G2826" s="1" t="s">
        <v>3932</v>
      </c>
      <c r="H2826" s="1" t="s">
        <v>3933</v>
      </c>
      <c r="I2826" s="1" t="s">
        <v>669</v>
      </c>
      <c r="J2826" s="4" t="s">
        <v>3934</v>
      </c>
      <c r="K2826" s="1" t="s">
        <v>3935</v>
      </c>
      <c r="L2826" s="1" t="s">
        <v>3936</v>
      </c>
      <c r="M2826" s="1" t="s">
        <v>27</v>
      </c>
      <c r="N2826" s="1" t="s">
        <v>3937</v>
      </c>
      <c r="O2826" s="1" t="s">
        <v>1010</v>
      </c>
      <c r="P2826" s="1" t="s">
        <v>401</v>
      </c>
      <c r="Q2826" s="63" t="s">
        <v>3938</v>
      </c>
      <c r="R2826" s="1" t="s">
        <v>29</v>
      </c>
      <c r="S2826" s="13" t="s">
        <v>28</v>
      </c>
      <c r="T2826" s="68" t="s">
        <v>27756</v>
      </c>
      <c r="U2826" s="68" t="s">
        <v>29438</v>
      </c>
      <c r="V2826" s="68" t="s">
        <v>29439</v>
      </c>
      <c r="W2826" s="68" t="s">
        <v>100</v>
      </c>
      <c r="X2826" s="68">
        <v>268</v>
      </c>
      <c r="BK2826" s="44"/>
    </row>
    <row r="2827" spans="1:63" ht="12" customHeight="1" x14ac:dyDescent="0.15">
      <c r="A2827" s="1" t="s">
        <v>3939</v>
      </c>
      <c r="B2827" s="1">
        <v>63</v>
      </c>
      <c r="C2827" s="1" t="s">
        <v>20</v>
      </c>
      <c r="D2827" s="1" t="s">
        <v>37</v>
      </c>
      <c r="F2827" s="72">
        <v>42064</v>
      </c>
      <c r="G2827" s="1" t="s">
        <v>3940</v>
      </c>
      <c r="H2827" s="1" t="s">
        <v>3941</v>
      </c>
      <c r="I2827" s="1" t="s">
        <v>870</v>
      </c>
      <c r="J2827" s="4" t="s">
        <v>3942</v>
      </c>
      <c r="K2827" s="1" t="s">
        <v>3943</v>
      </c>
      <c r="L2827" s="1" t="s">
        <v>3944</v>
      </c>
      <c r="M2827" s="1" t="s">
        <v>379</v>
      </c>
      <c r="N2827" s="1" t="s">
        <v>3945</v>
      </c>
      <c r="O2827" s="1" t="s">
        <v>400</v>
      </c>
      <c r="P2827" s="1" t="s">
        <v>401</v>
      </c>
      <c r="Q2827" s="63" t="s">
        <v>3946</v>
      </c>
      <c r="R2827" s="1" t="s">
        <v>29</v>
      </c>
      <c r="S2827" s="13" t="s">
        <v>18</v>
      </c>
    </row>
    <row r="2828" spans="1:63" ht="12" customHeight="1" x14ac:dyDescent="0.2">
      <c r="A2828" s="1" t="s">
        <v>3919</v>
      </c>
      <c r="B2828" s="68">
        <v>43</v>
      </c>
      <c r="C2828" s="1" t="s">
        <v>20</v>
      </c>
      <c r="D2828" s="1" t="s">
        <v>85</v>
      </c>
      <c r="E2828" s="1" t="s">
        <v>3920</v>
      </c>
      <c r="F2828" s="69">
        <v>42064</v>
      </c>
      <c r="G2828" s="1" t="s">
        <v>3921</v>
      </c>
      <c r="H2828" s="1" t="s">
        <v>98</v>
      </c>
      <c r="I2828" s="1" t="s">
        <v>45</v>
      </c>
      <c r="J2828" s="4" t="s">
        <v>3922</v>
      </c>
      <c r="K2828" s="1" t="s">
        <v>98</v>
      </c>
      <c r="L2828" s="1" t="s">
        <v>99</v>
      </c>
      <c r="M2828" s="68" t="s">
        <v>5411</v>
      </c>
      <c r="N2828" s="1" t="s">
        <v>3923</v>
      </c>
      <c r="O2828" s="1" t="s">
        <v>400</v>
      </c>
      <c r="P2828" s="1" t="s">
        <v>401</v>
      </c>
      <c r="Q2828" s="63" t="s">
        <v>3924</v>
      </c>
      <c r="R2828" s="1" t="s">
        <v>555</v>
      </c>
      <c r="S2828" s="13" t="s">
        <v>18</v>
      </c>
      <c r="T2828" s="68" t="s">
        <v>28345</v>
      </c>
      <c r="U2828" s="68" t="s">
        <v>29438</v>
      </c>
      <c r="V2828" s="68" t="s">
        <v>29439</v>
      </c>
      <c r="W2828" s="68" t="s">
        <v>555</v>
      </c>
      <c r="X2828" s="68">
        <v>194</v>
      </c>
      <c r="AX2828" s="44"/>
      <c r="AY2828" s="44"/>
      <c r="BA2828" s="44"/>
      <c r="BB2828" s="70"/>
      <c r="BC2828" s="44"/>
      <c r="BD2828" s="44"/>
      <c r="BE2828" s="44"/>
      <c r="BF2828" s="44"/>
      <c r="BG2828" s="44"/>
      <c r="BH2828" s="44"/>
      <c r="BI2828" s="44"/>
      <c r="BJ2828" s="44"/>
    </row>
    <row r="2829" spans="1:63" ht="12" customHeight="1" x14ac:dyDescent="0.15">
      <c r="A2829" s="1" t="s">
        <v>3925</v>
      </c>
      <c r="B2829" s="1">
        <v>47</v>
      </c>
      <c r="C2829" s="1" t="s">
        <v>20</v>
      </c>
      <c r="D2829" s="1" t="s">
        <v>85</v>
      </c>
      <c r="E2829" s="1" t="s">
        <v>3926</v>
      </c>
      <c r="F2829" s="72">
        <v>42064</v>
      </c>
      <c r="G2829" s="1" t="s">
        <v>3927</v>
      </c>
      <c r="H2829" s="1" t="s">
        <v>1094</v>
      </c>
      <c r="I2829" s="1" t="s">
        <v>395</v>
      </c>
      <c r="J2829" s="4" t="s">
        <v>3928</v>
      </c>
      <c r="K2829" s="1" t="s">
        <v>1095</v>
      </c>
      <c r="L2829" s="1" t="s">
        <v>1096</v>
      </c>
      <c r="M2829" s="1" t="s">
        <v>391</v>
      </c>
      <c r="N2829" s="1" t="s">
        <v>3929</v>
      </c>
      <c r="O2829" s="1" t="s">
        <v>1010</v>
      </c>
      <c r="P2829" s="1" t="s">
        <v>401</v>
      </c>
      <c r="Q2829" s="63" t="s">
        <v>3930</v>
      </c>
      <c r="R2829" s="1" t="s">
        <v>555</v>
      </c>
      <c r="S2829" s="13" t="s">
        <v>18</v>
      </c>
      <c r="AU2829" s="11"/>
      <c r="AV2829" s="11"/>
      <c r="AW2829" s="11"/>
      <c r="AX2829" s="44"/>
      <c r="AY2829" s="44"/>
      <c r="BA2829" s="11"/>
      <c r="BB2829" s="11"/>
      <c r="BC2829" s="44"/>
      <c r="BD2829" s="44"/>
      <c r="BE2829" s="44"/>
      <c r="BF2829" s="44"/>
      <c r="BG2829" s="44"/>
      <c r="BH2829" s="44"/>
      <c r="BI2829" s="44"/>
      <c r="BJ2829" s="44"/>
    </row>
    <row r="2830" spans="1:63" ht="12" customHeight="1" x14ac:dyDescent="0.15">
      <c r="A2830" s="1" t="s">
        <v>19120</v>
      </c>
      <c r="B2830" s="1">
        <v>32</v>
      </c>
      <c r="C2830" s="1" t="s">
        <v>20</v>
      </c>
      <c r="D2830" s="1" t="s">
        <v>85</v>
      </c>
      <c r="F2830" s="72">
        <v>42064</v>
      </c>
      <c r="G2830" s="1" t="s">
        <v>19121</v>
      </c>
      <c r="H2830" s="1" t="s">
        <v>19122</v>
      </c>
      <c r="I2830" s="1" t="s">
        <v>52</v>
      </c>
      <c r="J2830" s="4">
        <v>20695</v>
      </c>
      <c r="K2830" s="1" t="s">
        <v>2833</v>
      </c>
      <c r="L2830" s="1" t="s">
        <v>19123</v>
      </c>
      <c r="M2830" s="1" t="s">
        <v>391</v>
      </c>
      <c r="N2830" s="1" t="s">
        <v>19125</v>
      </c>
      <c r="O2830" s="1" t="s">
        <v>400</v>
      </c>
      <c r="P2830" s="1" t="s">
        <v>401</v>
      </c>
      <c r="Q2830" s="63" t="s">
        <v>19124</v>
      </c>
      <c r="R2830" s="1" t="s">
        <v>29</v>
      </c>
      <c r="S2830" s="3" t="s">
        <v>18</v>
      </c>
      <c r="AU2830" s="11"/>
      <c r="AV2830" s="11"/>
      <c r="AX2830" s="44"/>
      <c r="AY2830" s="44"/>
      <c r="BC2830" s="44"/>
      <c r="BD2830" s="44"/>
      <c r="BE2830" s="44"/>
      <c r="BF2830" s="44"/>
      <c r="BG2830" s="44"/>
      <c r="BH2830" s="44"/>
      <c r="BI2830" s="44"/>
      <c r="BJ2830" s="44"/>
    </row>
    <row r="2831" spans="1:63" ht="12" customHeight="1" x14ac:dyDescent="0.15">
      <c r="A2831" s="1" t="s">
        <v>3971</v>
      </c>
      <c r="B2831" s="68">
        <v>34</v>
      </c>
      <c r="C2831" s="1" t="s">
        <v>20</v>
      </c>
      <c r="D2831" s="1" t="s">
        <v>85</v>
      </c>
      <c r="E2831" s="1" t="s">
        <v>3972</v>
      </c>
      <c r="F2831" s="69">
        <v>42063</v>
      </c>
      <c r="G2831" s="1" t="s">
        <v>3973</v>
      </c>
      <c r="H2831" s="1" t="s">
        <v>3974</v>
      </c>
      <c r="I2831" s="1" t="s">
        <v>431</v>
      </c>
      <c r="J2831" s="4" t="s">
        <v>3975</v>
      </c>
      <c r="K2831" s="1" t="s">
        <v>3976</v>
      </c>
      <c r="L2831" s="1" t="s">
        <v>3977</v>
      </c>
      <c r="M2831" s="1" t="s">
        <v>27</v>
      </c>
      <c r="N2831" s="1" t="s">
        <v>3978</v>
      </c>
      <c r="O2831" s="1" t="s">
        <v>400</v>
      </c>
      <c r="P2831" s="1" t="s">
        <v>401</v>
      </c>
      <c r="Q2831" s="63" t="s">
        <v>3979</v>
      </c>
      <c r="R2831" s="1" t="s">
        <v>100</v>
      </c>
      <c r="S2831" s="13" t="s">
        <v>18</v>
      </c>
      <c r="T2831" s="68" t="s">
        <v>28345</v>
      </c>
      <c r="U2831" s="68" t="s">
        <v>29436</v>
      </c>
      <c r="V2831" s="68" t="s">
        <v>29437</v>
      </c>
      <c r="W2831" s="68" t="s">
        <v>100</v>
      </c>
      <c r="X2831" s="68">
        <v>188</v>
      </c>
      <c r="AW2831" s="11"/>
      <c r="AX2831" s="11"/>
      <c r="AY2831" s="11"/>
      <c r="BA2831" s="64"/>
      <c r="BC2831" s="11"/>
      <c r="BD2831" s="11"/>
      <c r="BE2831" s="11"/>
      <c r="BF2831" s="11"/>
      <c r="BG2831" s="11"/>
      <c r="BH2831" s="11"/>
      <c r="BI2831" s="11"/>
      <c r="BJ2831" s="11"/>
    </row>
    <row r="2832" spans="1:63" ht="12" customHeight="1" x14ac:dyDescent="0.15">
      <c r="A2832" s="1" t="s">
        <v>3956</v>
      </c>
      <c r="B2832" s="68">
        <v>28</v>
      </c>
      <c r="C2832" s="1" t="s">
        <v>20</v>
      </c>
      <c r="D2832" s="1" t="s">
        <v>85</v>
      </c>
      <c r="E2832" s="1" t="s">
        <v>3957</v>
      </c>
      <c r="F2832" s="69">
        <v>42063</v>
      </c>
      <c r="G2832" s="1" t="s">
        <v>3958</v>
      </c>
      <c r="H2832" s="1" t="s">
        <v>51</v>
      </c>
      <c r="I2832" s="1" t="s">
        <v>431</v>
      </c>
      <c r="J2832" s="4" t="s">
        <v>2852</v>
      </c>
      <c r="K2832" s="1" t="s">
        <v>2853</v>
      </c>
      <c r="L2832" s="1" t="s">
        <v>3959</v>
      </c>
      <c r="M2832" s="1" t="s">
        <v>27</v>
      </c>
      <c r="N2832" s="1" t="s">
        <v>3960</v>
      </c>
      <c r="O2832" s="1" t="s">
        <v>1010</v>
      </c>
      <c r="P2832" s="1" t="s">
        <v>401</v>
      </c>
      <c r="Q2832" s="63" t="s">
        <v>3961</v>
      </c>
      <c r="R2832" s="1" t="s">
        <v>100</v>
      </c>
      <c r="S2832" s="13" t="s">
        <v>28</v>
      </c>
      <c r="T2832" s="68" t="s">
        <v>27756</v>
      </c>
      <c r="U2832" s="68" t="s">
        <v>29438</v>
      </c>
      <c r="V2832" s="68" t="s">
        <v>29437</v>
      </c>
      <c r="W2832" s="68" t="s">
        <v>100</v>
      </c>
      <c r="X2832" s="68">
        <v>190</v>
      </c>
      <c r="AW2832" s="44"/>
      <c r="AX2832" s="11"/>
      <c r="AY2832" s="11"/>
      <c r="BC2832" s="11"/>
      <c r="BD2832" s="11"/>
      <c r="BE2832" s="11"/>
      <c r="BF2832" s="11"/>
      <c r="BG2832" s="11"/>
      <c r="BH2832" s="11"/>
      <c r="BI2832" s="11"/>
      <c r="BJ2832" s="11"/>
      <c r="BK2832" s="44"/>
    </row>
    <row r="2833" spans="1:63" ht="12" customHeight="1" x14ac:dyDescent="0.15">
      <c r="A2833" s="1" t="s">
        <v>3980</v>
      </c>
      <c r="B2833" s="68">
        <v>28</v>
      </c>
      <c r="C2833" s="1" t="s">
        <v>114</v>
      </c>
      <c r="D2833" s="1" t="s">
        <v>48</v>
      </c>
      <c r="F2833" s="69">
        <v>42063</v>
      </c>
      <c r="G2833" s="1" t="s">
        <v>3981</v>
      </c>
      <c r="H2833" s="1" t="s">
        <v>561</v>
      </c>
      <c r="I2833" s="1" t="s">
        <v>123</v>
      </c>
      <c r="J2833" s="4" t="s">
        <v>3982</v>
      </c>
      <c r="K2833" s="1" t="s">
        <v>562</v>
      </c>
      <c r="L2833" s="1" t="s">
        <v>563</v>
      </c>
      <c r="M2833" s="1" t="s">
        <v>27</v>
      </c>
      <c r="N2833" s="1" t="s">
        <v>3983</v>
      </c>
      <c r="O2833" s="1" t="s">
        <v>1010</v>
      </c>
      <c r="P2833" s="1" t="s">
        <v>401</v>
      </c>
      <c r="Q2833" s="63" t="s">
        <v>3984</v>
      </c>
      <c r="R2833" s="1" t="s">
        <v>100</v>
      </c>
      <c r="S2833" s="13" t="s">
        <v>28</v>
      </c>
      <c r="T2833" s="68" t="s">
        <v>29493</v>
      </c>
      <c r="U2833" s="68" t="s">
        <v>29436</v>
      </c>
      <c r="V2833" s="68" t="s">
        <v>29439</v>
      </c>
      <c r="W2833" s="68" t="s">
        <v>100</v>
      </c>
      <c r="X2833" s="68">
        <v>189</v>
      </c>
      <c r="AW2833" s="44"/>
      <c r="BK2833" s="44"/>
    </row>
    <row r="2834" spans="1:63" ht="12" customHeight="1" x14ac:dyDescent="0.15">
      <c r="A2834" s="1" t="s">
        <v>3992</v>
      </c>
      <c r="B2834" s="68">
        <v>37</v>
      </c>
      <c r="C2834" s="1" t="s">
        <v>114</v>
      </c>
      <c r="D2834" s="1" t="s">
        <v>37</v>
      </c>
      <c r="E2834" s="1" t="s">
        <v>3993</v>
      </c>
      <c r="F2834" s="69">
        <v>42063</v>
      </c>
      <c r="G2834" s="1" t="s">
        <v>3994</v>
      </c>
      <c r="H2834" s="1" t="s">
        <v>3995</v>
      </c>
      <c r="I2834" s="1" t="s">
        <v>123</v>
      </c>
      <c r="J2834" s="4" t="s">
        <v>3996</v>
      </c>
      <c r="K2834" s="1" t="s">
        <v>3997</v>
      </c>
      <c r="L2834" s="1" t="s">
        <v>3998</v>
      </c>
      <c r="M2834" s="1" t="s">
        <v>27</v>
      </c>
      <c r="N2834" s="1" t="s">
        <v>3999</v>
      </c>
      <c r="O2834" s="1" t="s">
        <v>1010</v>
      </c>
      <c r="P2834" s="1" t="s">
        <v>401</v>
      </c>
      <c r="Q2834" s="63" t="s">
        <v>4000</v>
      </c>
      <c r="R2834" s="1" t="s">
        <v>100</v>
      </c>
      <c r="S2834" s="13" t="s">
        <v>28</v>
      </c>
      <c r="T2834" s="68" t="s">
        <v>27756</v>
      </c>
      <c r="U2834" s="68" t="s">
        <v>29438</v>
      </c>
      <c r="V2834" s="68" t="s">
        <v>29437</v>
      </c>
      <c r="W2834" s="68" t="s">
        <v>100</v>
      </c>
      <c r="X2834" s="68">
        <v>192</v>
      </c>
      <c r="AW2834" s="44"/>
      <c r="BK2834" s="44"/>
    </row>
    <row r="2835" spans="1:63" ht="12" customHeight="1" x14ac:dyDescent="0.15">
      <c r="A2835" s="1" t="s">
        <v>3985</v>
      </c>
      <c r="B2835" s="68">
        <v>24</v>
      </c>
      <c r="C2835" s="1" t="s">
        <v>20</v>
      </c>
      <c r="D2835" s="1" t="s">
        <v>37</v>
      </c>
      <c r="E2835" s="1" t="s">
        <v>3986</v>
      </c>
      <c r="F2835" s="69">
        <v>42063</v>
      </c>
      <c r="G2835" s="1" t="s">
        <v>3987</v>
      </c>
      <c r="H2835" s="1" t="s">
        <v>3988</v>
      </c>
      <c r="I2835" s="1" t="s">
        <v>32</v>
      </c>
      <c r="J2835" s="4" t="s">
        <v>3989</v>
      </c>
      <c r="K2835" s="1" t="s">
        <v>252</v>
      </c>
      <c r="L2835" s="1" t="s">
        <v>34</v>
      </c>
      <c r="M2835" s="1" t="s">
        <v>27</v>
      </c>
      <c r="N2835" s="1" t="s">
        <v>3990</v>
      </c>
      <c r="O2835" s="1" t="s">
        <v>1010</v>
      </c>
      <c r="P2835" s="1" t="s">
        <v>401</v>
      </c>
      <c r="Q2835" s="63" t="s">
        <v>3991</v>
      </c>
      <c r="R2835" s="1" t="s">
        <v>100</v>
      </c>
      <c r="S2835" s="13" t="s">
        <v>28</v>
      </c>
      <c r="T2835" s="68" t="s">
        <v>27756</v>
      </c>
      <c r="U2835" s="68" t="s">
        <v>29438</v>
      </c>
      <c r="V2835" s="68" t="s">
        <v>29439</v>
      </c>
      <c r="W2835" s="68" t="s">
        <v>100</v>
      </c>
      <c r="X2835" s="68">
        <v>186</v>
      </c>
      <c r="AW2835" s="11"/>
      <c r="BK2835" s="44"/>
    </row>
    <row r="2836" spans="1:63" ht="12" customHeight="1" x14ac:dyDescent="0.2">
      <c r="A2836" s="1" t="s">
        <v>3947</v>
      </c>
      <c r="B2836" s="68">
        <v>17</v>
      </c>
      <c r="C2836" s="1" t="s">
        <v>20</v>
      </c>
      <c r="D2836" s="1" t="s">
        <v>37</v>
      </c>
      <c r="E2836" s="1" t="s">
        <v>3948</v>
      </c>
      <c r="F2836" s="69">
        <v>42063</v>
      </c>
      <c r="G2836" s="1" t="s">
        <v>3949</v>
      </c>
      <c r="H2836" s="1" t="s">
        <v>3950</v>
      </c>
      <c r="I2836" s="1" t="s">
        <v>57</v>
      </c>
      <c r="J2836" s="4" t="s">
        <v>3951</v>
      </c>
      <c r="K2836" s="1" t="s">
        <v>3952</v>
      </c>
      <c r="L2836" s="1" t="s">
        <v>3953</v>
      </c>
      <c r="M2836" s="68" t="s">
        <v>5411</v>
      </c>
      <c r="N2836" s="1" t="s">
        <v>3954</v>
      </c>
      <c r="O2836" s="1" t="s">
        <v>400</v>
      </c>
      <c r="P2836" s="1" t="s">
        <v>401</v>
      </c>
      <c r="Q2836" s="63" t="s">
        <v>3955</v>
      </c>
      <c r="R2836" s="1" t="s">
        <v>100</v>
      </c>
      <c r="S2836" s="11" t="s">
        <v>18</v>
      </c>
      <c r="T2836" s="68" t="s">
        <v>28345</v>
      </c>
      <c r="U2836" s="68" t="s">
        <v>29438</v>
      </c>
      <c r="V2836" s="68" t="s">
        <v>29439</v>
      </c>
      <c r="W2836" s="68" t="s">
        <v>555</v>
      </c>
      <c r="X2836" s="68">
        <v>187</v>
      </c>
      <c r="AW2836" s="70"/>
      <c r="BB2836" s="70"/>
    </row>
    <row r="2837" spans="1:63" ht="12" customHeight="1" x14ac:dyDescent="0.2">
      <c r="A2837" s="1" t="s">
        <v>3962</v>
      </c>
      <c r="B2837" s="68">
        <v>40</v>
      </c>
      <c r="C2837" s="1" t="s">
        <v>20</v>
      </c>
      <c r="D2837" s="1" t="s">
        <v>85</v>
      </c>
      <c r="E2837" s="1" t="s">
        <v>3963</v>
      </c>
      <c r="F2837" s="69">
        <v>42063</v>
      </c>
      <c r="G2837" s="1" t="s">
        <v>3964</v>
      </c>
      <c r="H2837" s="1" t="s">
        <v>3965</v>
      </c>
      <c r="I2837" s="1" t="s">
        <v>366</v>
      </c>
      <c r="J2837" s="4" t="s">
        <v>3966</v>
      </c>
      <c r="K2837" s="1" t="s">
        <v>3967</v>
      </c>
      <c r="L2837" s="1" t="s">
        <v>3968</v>
      </c>
      <c r="M2837" s="1" t="s">
        <v>27</v>
      </c>
      <c r="N2837" s="1" t="s">
        <v>3969</v>
      </c>
      <c r="O2837" s="1" t="s">
        <v>550</v>
      </c>
      <c r="P2837" s="1" t="s">
        <v>401</v>
      </c>
      <c r="Q2837" s="63" t="s">
        <v>3970</v>
      </c>
      <c r="R2837" s="68" t="s">
        <v>555</v>
      </c>
      <c r="S2837" s="13" t="s">
        <v>28</v>
      </c>
      <c r="T2837" s="68" t="s">
        <v>27756</v>
      </c>
      <c r="U2837" s="68" t="s">
        <v>29438</v>
      </c>
      <c r="V2837" s="68" t="s">
        <v>29437</v>
      </c>
      <c r="W2837" s="68" t="s">
        <v>100</v>
      </c>
      <c r="X2837" s="68">
        <v>191</v>
      </c>
      <c r="AX2837" s="44"/>
      <c r="AY2837" s="44"/>
      <c r="BA2837" s="70"/>
      <c r="BB2837" s="44"/>
      <c r="BC2837" s="11"/>
      <c r="BD2837" s="11"/>
      <c r="BE2837" s="11"/>
      <c r="BF2837" s="11"/>
      <c r="BG2837" s="11"/>
      <c r="BH2837" s="11"/>
      <c r="BI2837" s="11"/>
      <c r="BJ2837" s="11"/>
      <c r="BK2837" s="44"/>
    </row>
    <row r="2838" spans="1:63" ht="12" customHeight="1" x14ac:dyDescent="0.15">
      <c r="A2838" s="1" t="s">
        <v>4001</v>
      </c>
      <c r="B2838" s="68">
        <v>27</v>
      </c>
      <c r="C2838" s="1" t="s">
        <v>20</v>
      </c>
      <c r="D2838" s="1" t="s">
        <v>48</v>
      </c>
      <c r="E2838" s="1" t="s">
        <v>4002</v>
      </c>
      <c r="F2838" s="69">
        <v>42062</v>
      </c>
      <c r="G2838" s="1" t="s">
        <v>4003</v>
      </c>
      <c r="H2838" s="1" t="s">
        <v>3690</v>
      </c>
      <c r="I2838" s="1" t="s">
        <v>45</v>
      </c>
      <c r="J2838" s="4" t="s">
        <v>4004</v>
      </c>
      <c r="K2838" s="1" t="s">
        <v>1061</v>
      </c>
      <c r="L2838" s="1" t="s">
        <v>3692</v>
      </c>
      <c r="M2838" s="1" t="s">
        <v>27</v>
      </c>
      <c r="N2838" s="1" t="s">
        <v>4005</v>
      </c>
      <c r="O2838" s="1" t="s">
        <v>400</v>
      </c>
      <c r="P2838" s="1" t="s">
        <v>401</v>
      </c>
      <c r="Q2838" s="63" t="s">
        <v>4006</v>
      </c>
      <c r="R2838" s="1" t="s">
        <v>100</v>
      </c>
      <c r="S2838" s="13" t="s">
        <v>18</v>
      </c>
      <c r="T2838" s="68" t="s">
        <v>28345</v>
      </c>
      <c r="U2838" s="68" t="s">
        <v>29441</v>
      </c>
      <c r="V2838" s="68" t="s">
        <v>29439</v>
      </c>
      <c r="W2838" s="68" t="s">
        <v>100</v>
      </c>
      <c r="X2838" s="68">
        <v>185</v>
      </c>
      <c r="AW2838" s="44"/>
    </row>
    <row r="2839" spans="1:63" ht="12" customHeight="1" x14ac:dyDescent="0.15">
      <c r="A2839" s="1" t="s">
        <v>4007</v>
      </c>
      <c r="B2839" s="68">
        <v>21</v>
      </c>
      <c r="C2839" s="1" t="s">
        <v>20</v>
      </c>
      <c r="D2839" s="1" t="s">
        <v>48</v>
      </c>
      <c r="F2839" s="69">
        <v>42061</v>
      </c>
      <c r="G2839" s="1" t="s">
        <v>4008</v>
      </c>
      <c r="H2839" s="1" t="s">
        <v>945</v>
      </c>
      <c r="I2839" s="1" t="s">
        <v>45</v>
      </c>
      <c r="J2839" s="4" t="s">
        <v>4009</v>
      </c>
      <c r="K2839" s="1" t="s">
        <v>945</v>
      </c>
      <c r="L2839" s="1" t="s">
        <v>946</v>
      </c>
      <c r="M2839" s="1" t="s">
        <v>27</v>
      </c>
      <c r="N2839" s="1" t="s">
        <v>4010</v>
      </c>
      <c r="O2839" s="1" t="s">
        <v>400</v>
      </c>
      <c r="P2839" s="1" t="s">
        <v>401</v>
      </c>
      <c r="Q2839" s="63" t="s">
        <v>4011</v>
      </c>
      <c r="R2839" s="1" t="s">
        <v>100</v>
      </c>
      <c r="S2839" s="13" t="s">
        <v>28</v>
      </c>
      <c r="T2839" s="68" t="s">
        <v>29493</v>
      </c>
      <c r="U2839" s="68" t="s">
        <v>29436</v>
      </c>
      <c r="V2839" s="68" t="s">
        <v>29439</v>
      </c>
      <c r="W2839" s="68" t="s">
        <v>100</v>
      </c>
      <c r="X2839" s="68">
        <v>182</v>
      </c>
      <c r="AW2839" s="44"/>
      <c r="BK2839" s="44"/>
    </row>
    <row r="2840" spans="1:63" ht="12" customHeight="1" x14ac:dyDescent="0.15">
      <c r="A2840" s="1" t="s">
        <v>4018</v>
      </c>
      <c r="B2840" s="68">
        <v>42</v>
      </c>
      <c r="C2840" s="1" t="s">
        <v>20</v>
      </c>
      <c r="D2840" s="68" t="s">
        <v>48</v>
      </c>
      <c r="F2840" s="69">
        <v>42061</v>
      </c>
      <c r="G2840" s="1" t="s">
        <v>4019</v>
      </c>
      <c r="H2840" s="1" t="s">
        <v>4020</v>
      </c>
      <c r="I2840" s="1" t="s">
        <v>62</v>
      </c>
      <c r="J2840" s="4" t="s">
        <v>4021</v>
      </c>
      <c r="K2840" s="1" t="s">
        <v>1864</v>
      </c>
      <c r="L2840" s="1" t="s">
        <v>4022</v>
      </c>
      <c r="M2840" s="1" t="s">
        <v>27</v>
      </c>
      <c r="N2840" s="1" t="s">
        <v>4023</v>
      </c>
      <c r="O2840" s="1" t="s">
        <v>400</v>
      </c>
      <c r="P2840" s="1" t="s">
        <v>401</v>
      </c>
      <c r="Q2840" s="63" t="s">
        <v>4024</v>
      </c>
      <c r="R2840" s="1" t="s">
        <v>100</v>
      </c>
      <c r="S2840" s="13" t="s">
        <v>28</v>
      </c>
      <c r="T2840" s="68" t="s">
        <v>27756</v>
      </c>
      <c r="U2840" s="68" t="s">
        <v>29438</v>
      </c>
      <c r="V2840" s="68" t="s">
        <v>29440</v>
      </c>
      <c r="W2840" s="68" t="s">
        <v>100</v>
      </c>
      <c r="X2840" s="68">
        <v>181</v>
      </c>
      <c r="BK2840" s="44"/>
    </row>
    <row r="2841" spans="1:63" ht="12" customHeight="1" x14ac:dyDescent="0.15">
      <c r="A2841" s="1" t="s">
        <v>4025</v>
      </c>
      <c r="B2841" s="68">
        <v>34</v>
      </c>
      <c r="C2841" s="1" t="s">
        <v>114</v>
      </c>
      <c r="D2841" s="1" t="s">
        <v>37</v>
      </c>
      <c r="E2841" s="1" t="s">
        <v>4026</v>
      </c>
      <c r="F2841" s="69">
        <v>42061</v>
      </c>
      <c r="G2841" s="1" t="s">
        <v>4027</v>
      </c>
      <c r="H2841" s="1" t="s">
        <v>4028</v>
      </c>
      <c r="I2841" s="1" t="s">
        <v>173</v>
      </c>
      <c r="J2841" s="4" t="s">
        <v>4029</v>
      </c>
      <c r="K2841" s="1" t="s">
        <v>4030</v>
      </c>
      <c r="L2841" s="1" t="s">
        <v>4031</v>
      </c>
      <c r="M2841" s="1" t="s">
        <v>27</v>
      </c>
      <c r="N2841" s="1" t="s">
        <v>4032</v>
      </c>
      <c r="O2841" s="1" t="s">
        <v>1010</v>
      </c>
      <c r="P2841" s="1" t="s">
        <v>401</v>
      </c>
      <c r="Q2841" s="63" t="s">
        <v>4033</v>
      </c>
      <c r="R2841" s="1" t="s">
        <v>100</v>
      </c>
      <c r="S2841" s="13" t="s">
        <v>28</v>
      </c>
      <c r="T2841" s="68" t="s">
        <v>27756</v>
      </c>
      <c r="U2841" s="68" t="s">
        <v>29438</v>
      </c>
      <c r="V2841" s="68" t="s">
        <v>29437</v>
      </c>
      <c r="W2841" s="68" t="s">
        <v>100</v>
      </c>
      <c r="X2841" s="68">
        <v>184</v>
      </c>
      <c r="AW2841" s="11"/>
      <c r="BK2841" s="44"/>
    </row>
    <row r="2842" spans="1:63" ht="12" customHeight="1" x14ac:dyDescent="0.15">
      <c r="A2842" s="1" t="s">
        <v>20285</v>
      </c>
      <c r="B2842" s="68">
        <v>49</v>
      </c>
      <c r="C2842" s="1" t="s">
        <v>20</v>
      </c>
      <c r="D2842" s="1" t="s">
        <v>37</v>
      </c>
      <c r="F2842" s="69">
        <v>42061</v>
      </c>
      <c r="G2842" s="1" t="s">
        <v>4012</v>
      </c>
      <c r="H2842" s="1" t="s">
        <v>4013</v>
      </c>
      <c r="I2842" s="1" t="s">
        <v>669</v>
      </c>
      <c r="J2842" s="4" t="s">
        <v>4014</v>
      </c>
      <c r="K2842" s="1" t="s">
        <v>4015</v>
      </c>
      <c r="L2842" s="1" t="s">
        <v>4016</v>
      </c>
      <c r="M2842" s="1" t="s">
        <v>27</v>
      </c>
      <c r="N2842" s="1" t="s">
        <v>29503</v>
      </c>
      <c r="O2842" s="1" t="s">
        <v>401</v>
      </c>
      <c r="P2842" s="1" t="s">
        <v>401</v>
      </c>
      <c r="Q2842" s="63" t="s">
        <v>4017</v>
      </c>
      <c r="R2842" s="1" t="s">
        <v>29</v>
      </c>
      <c r="S2842" s="11" t="s">
        <v>28</v>
      </c>
      <c r="T2842" s="68" t="s">
        <v>27756</v>
      </c>
      <c r="U2842" s="68" t="s">
        <v>29436</v>
      </c>
      <c r="V2842" s="68" t="s">
        <v>29439</v>
      </c>
      <c r="W2842" s="68" t="s">
        <v>100</v>
      </c>
      <c r="X2842" s="68">
        <v>183</v>
      </c>
      <c r="AX2842" s="44"/>
      <c r="AY2842" s="44"/>
    </row>
    <row r="2843" spans="1:63" ht="12" customHeight="1" x14ac:dyDescent="0.2">
      <c r="A2843" s="1" t="s">
        <v>4053</v>
      </c>
      <c r="B2843" s="68">
        <v>31</v>
      </c>
      <c r="C2843" s="1" t="s">
        <v>20</v>
      </c>
      <c r="D2843" s="1" t="s">
        <v>37</v>
      </c>
      <c r="E2843" s="1" t="s">
        <v>4054</v>
      </c>
      <c r="F2843" s="69">
        <v>42061</v>
      </c>
      <c r="H2843" s="1" t="s">
        <v>4055</v>
      </c>
      <c r="I2843" s="1" t="s">
        <v>217</v>
      </c>
      <c r="J2843" s="4">
        <v>47802</v>
      </c>
      <c r="K2843" s="1" t="s">
        <v>4056</v>
      </c>
      <c r="L2843" s="1" t="s">
        <v>5418</v>
      </c>
      <c r="M2843" s="68" t="s">
        <v>5411</v>
      </c>
      <c r="N2843" s="1" t="s">
        <v>4057</v>
      </c>
      <c r="P2843" s="1" t="s">
        <v>401</v>
      </c>
      <c r="Q2843" s="6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2843" s="1" t="s">
        <v>29</v>
      </c>
      <c r="S2843" s="13" t="s">
        <v>18</v>
      </c>
      <c r="T2843" s="68" t="s">
        <v>28345</v>
      </c>
      <c r="U2843" s="68" t="s">
        <v>29436</v>
      </c>
      <c r="V2843" s="68" t="s">
        <v>29439</v>
      </c>
      <c r="W2843" s="68" t="s">
        <v>100</v>
      </c>
      <c r="X2843" s="68">
        <v>180</v>
      </c>
      <c r="AW2843" s="11"/>
      <c r="BB2843" s="70"/>
    </row>
    <row r="2844" spans="1:63" ht="12" customHeight="1" x14ac:dyDescent="0.15">
      <c r="A2844" s="1" t="s">
        <v>4040</v>
      </c>
      <c r="B2844" s="1">
        <v>54</v>
      </c>
      <c r="C2844" s="1" t="s">
        <v>20</v>
      </c>
      <c r="D2844" s="1" t="s">
        <v>37</v>
      </c>
      <c r="F2844" s="72">
        <v>42060</v>
      </c>
      <c r="G2844" s="1" t="s">
        <v>4041</v>
      </c>
      <c r="H2844" s="1" t="s">
        <v>4042</v>
      </c>
      <c r="I2844" s="1" t="s">
        <v>404</v>
      </c>
      <c r="J2844" s="4" t="s">
        <v>4043</v>
      </c>
      <c r="K2844" s="1" t="s">
        <v>1288</v>
      </c>
      <c r="L2844" s="1" t="s">
        <v>4044</v>
      </c>
      <c r="M2844" s="1" t="s">
        <v>14359</v>
      </c>
      <c r="N2844" s="1" t="s">
        <v>4045</v>
      </c>
      <c r="O2844" s="1" t="s">
        <v>1010</v>
      </c>
      <c r="P2844" s="1" t="s">
        <v>401</v>
      </c>
      <c r="Q2844" s="63" t="s">
        <v>4046</v>
      </c>
      <c r="R2844" s="1" t="s">
        <v>100</v>
      </c>
      <c r="S2844" s="13" t="s">
        <v>18</v>
      </c>
      <c r="AX2844" s="44"/>
      <c r="AY2844" s="44"/>
      <c r="AZ2844" s="44"/>
    </row>
    <row r="2845" spans="1:63" ht="12" customHeight="1" x14ac:dyDescent="0.15">
      <c r="A2845" s="1" t="s">
        <v>4034</v>
      </c>
      <c r="B2845" s="68">
        <v>27</v>
      </c>
      <c r="C2845" s="1" t="s">
        <v>20</v>
      </c>
      <c r="D2845" s="1" t="s">
        <v>85</v>
      </c>
      <c r="E2845" s="1" t="s">
        <v>4035</v>
      </c>
      <c r="F2845" s="69">
        <v>42060</v>
      </c>
      <c r="G2845" s="1" t="s">
        <v>4036</v>
      </c>
      <c r="H2845" s="1" t="s">
        <v>1094</v>
      </c>
      <c r="I2845" s="1" t="s">
        <v>395</v>
      </c>
      <c r="J2845" s="4" t="s">
        <v>4037</v>
      </c>
      <c r="K2845" s="1" t="s">
        <v>1095</v>
      </c>
      <c r="L2845" s="1" t="s">
        <v>1096</v>
      </c>
      <c r="M2845" s="1" t="s">
        <v>27</v>
      </c>
      <c r="N2845" s="1" t="s">
        <v>4038</v>
      </c>
      <c r="O2845" s="1" t="s">
        <v>1010</v>
      </c>
      <c r="P2845" s="1" t="s">
        <v>401</v>
      </c>
      <c r="Q2845" s="63" t="s">
        <v>4039</v>
      </c>
      <c r="R2845" s="1" t="s">
        <v>100</v>
      </c>
      <c r="S2845" s="13" t="s">
        <v>379</v>
      </c>
      <c r="T2845" s="68" t="s">
        <v>379</v>
      </c>
      <c r="U2845" s="68" t="s">
        <v>29436</v>
      </c>
      <c r="V2845" s="68" t="s">
        <v>29437</v>
      </c>
      <c r="W2845" s="68" t="s">
        <v>100</v>
      </c>
      <c r="X2845" s="68">
        <v>178</v>
      </c>
      <c r="AW2845" s="44"/>
      <c r="AX2845" s="11"/>
      <c r="AY2845" s="11"/>
      <c r="BC2845" s="11"/>
      <c r="BD2845" s="11"/>
      <c r="BE2845" s="11"/>
      <c r="BF2845" s="11"/>
      <c r="BG2845" s="11"/>
      <c r="BH2845" s="11"/>
      <c r="BI2845" s="11"/>
      <c r="BJ2845" s="11"/>
      <c r="BK2845" s="44"/>
    </row>
    <row r="2846" spans="1:63" ht="12" customHeight="1" x14ac:dyDescent="0.15">
      <c r="A2846" s="1" t="s">
        <v>4047</v>
      </c>
      <c r="B2846" s="68">
        <v>43</v>
      </c>
      <c r="C2846" s="1" t="s">
        <v>20</v>
      </c>
      <c r="D2846" s="1" t="s">
        <v>37</v>
      </c>
      <c r="E2846" s="1" t="s">
        <v>4048</v>
      </c>
      <c r="F2846" s="69">
        <v>42060</v>
      </c>
      <c r="G2846" s="1" t="s">
        <v>4049</v>
      </c>
      <c r="H2846" s="1" t="s">
        <v>655</v>
      </c>
      <c r="I2846" s="1" t="s">
        <v>269</v>
      </c>
      <c r="J2846" s="4" t="s">
        <v>4050</v>
      </c>
      <c r="K2846" s="1" t="s">
        <v>570</v>
      </c>
      <c r="L2846" s="1" t="s">
        <v>571</v>
      </c>
      <c r="M2846" s="1" t="s">
        <v>27</v>
      </c>
      <c r="N2846" s="1" t="s">
        <v>4051</v>
      </c>
      <c r="O2846" s="1" t="s">
        <v>1010</v>
      </c>
      <c r="P2846" s="1" t="s">
        <v>401</v>
      </c>
      <c r="Q2846" s="63" t="s">
        <v>4052</v>
      </c>
      <c r="R2846" s="68" t="s">
        <v>555</v>
      </c>
      <c r="S2846" s="13" t="s">
        <v>28</v>
      </c>
      <c r="T2846" s="68" t="s">
        <v>27756</v>
      </c>
      <c r="U2846" s="68" t="s">
        <v>29438</v>
      </c>
      <c r="V2846" s="68" t="s">
        <v>29439</v>
      </c>
      <c r="W2846" s="68" t="s">
        <v>100</v>
      </c>
      <c r="X2846" s="68">
        <v>179</v>
      </c>
      <c r="BA2846" s="44"/>
      <c r="BB2846" s="11"/>
      <c r="BK2846" s="44"/>
    </row>
    <row r="2847" spans="1:63" ht="12" customHeight="1" x14ac:dyDescent="0.2">
      <c r="A2847" s="1" t="s">
        <v>4058</v>
      </c>
      <c r="B2847" s="68">
        <v>30</v>
      </c>
      <c r="C2847" s="1" t="s">
        <v>20</v>
      </c>
      <c r="D2847" s="1" t="s">
        <v>48</v>
      </c>
      <c r="E2847" s="1" t="s">
        <v>4059</v>
      </c>
      <c r="F2847" s="69">
        <v>42059</v>
      </c>
      <c r="G2847" s="1" t="s">
        <v>4060</v>
      </c>
      <c r="H2847" s="1" t="s">
        <v>437</v>
      </c>
      <c r="I2847" s="1" t="s">
        <v>438</v>
      </c>
      <c r="J2847" s="4" t="s">
        <v>4061</v>
      </c>
      <c r="K2847" s="1" t="s">
        <v>4062</v>
      </c>
      <c r="L2847" s="1" t="s">
        <v>4063</v>
      </c>
      <c r="M2847" s="68" t="s">
        <v>5411</v>
      </c>
      <c r="N2847" s="1" t="s">
        <v>4064</v>
      </c>
      <c r="O2847" s="1" t="s">
        <v>400</v>
      </c>
      <c r="P2847" s="1" t="s">
        <v>401</v>
      </c>
      <c r="Q2847" s="63" t="s">
        <v>4065</v>
      </c>
      <c r="R2847" s="1" t="s">
        <v>555</v>
      </c>
      <c r="S2847" s="13" t="s">
        <v>28</v>
      </c>
      <c r="T2847" s="68" t="s">
        <v>29493</v>
      </c>
      <c r="U2847" s="68" t="s">
        <v>29438</v>
      </c>
      <c r="V2847" s="68" t="s">
        <v>29439</v>
      </c>
      <c r="W2847" s="68" t="s">
        <v>100</v>
      </c>
      <c r="X2847" s="68">
        <v>177</v>
      </c>
      <c r="AW2847" s="11"/>
      <c r="BA2847" s="44"/>
      <c r="BB2847" s="70"/>
    </row>
    <row r="2848" spans="1:63" ht="12" customHeight="1" x14ac:dyDescent="0.2">
      <c r="A2848" s="1" t="s">
        <v>4066</v>
      </c>
      <c r="B2848" s="68">
        <v>16</v>
      </c>
      <c r="C2848" s="1" t="s">
        <v>20</v>
      </c>
      <c r="D2848" s="1" t="s">
        <v>85</v>
      </c>
      <c r="F2848" s="69">
        <v>42058</v>
      </c>
      <c r="G2848" s="1" t="s">
        <v>4067</v>
      </c>
      <c r="H2848" s="1" t="s">
        <v>4068</v>
      </c>
      <c r="I2848" s="1" t="s">
        <v>94</v>
      </c>
      <c r="J2848" s="4" t="s">
        <v>4069</v>
      </c>
      <c r="K2848" s="1" t="s">
        <v>4070</v>
      </c>
      <c r="L2848" s="1" t="s">
        <v>4071</v>
      </c>
      <c r="M2848" s="1" t="s">
        <v>27</v>
      </c>
      <c r="N2848" s="1" t="s">
        <v>4072</v>
      </c>
      <c r="O2848" s="1" t="s">
        <v>400</v>
      </c>
      <c r="P2848" s="1" t="s">
        <v>401</v>
      </c>
      <c r="Q2848" s="63" t="s">
        <v>4073</v>
      </c>
      <c r="R2848" s="1" t="s">
        <v>100</v>
      </c>
      <c r="S2848" s="13" t="s">
        <v>28</v>
      </c>
      <c r="T2848" s="68" t="s">
        <v>27756</v>
      </c>
      <c r="U2848" s="68" t="s">
        <v>29438</v>
      </c>
      <c r="V2848" s="68" t="s">
        <v>29439</v>
      </c>
      <c r="W2848" s="68" t="s">
        <v>100</v>
      </c>
      <c r="X2848" s="68">
        <v>176</v>
      </c>
      <c r="AW2848" s="70"/>
      <c r="AX2848" s="70"/>
      <c r="AY2848" s="70"/>
      <c r="BC2848" s="11"/>
      <c r="BD2848" s="11"/>
      <c r="BE2848" s="11"/>
      <c r="BF2848" s="11"/>
      <c r="BG2848" s="11"/>
      <c r="BH2848" s="11"/>
      <c r="BI2848" s="11"/>
      <c r="BJ2848" s="11"/>
      <c r="BK2848" s="44"/>
    </row>
    <row r="2849" spans="1:63" ht="12" customHeight="1" x14ac:dyDescent="0.15">
      <c r="A2849" s="1" t="s">
        <v>4091</v>
      </c>
      <c r="B2849" s="68">
        <v>37</v>
      </c>
      <c r="C2849" s="1" t="s">
        <v>20</v>
      </c>
      <c r="D2849" s="1" t="s">
        <v>37</v>
      </c>
      <c r="E2849" s="1" t="s">
        <v>4092</v>
      </c>
      <c r="F2849" s="69">
        <v>42058</v>
      </c>
      <c r="G2849" s="1" t="s">
        <v>4093</v>
      </c>
      <c r="H2849" s="1" t="s">
        <v>4094</v>
      </c>
      <c r="I2849" s="1" t="s">
        <v>173</v>
      </c>
      <c r="J2849" s="4" t="s">
        <v>4095</v>
      </c>
      <c r="K2849" s="1" t="s">
        <v>3309</v>
      </c>
      <c r="L2849" s="1" t="s">
        <v>4096</v>
      </c>
      <c r="M2849" s="1" t="s">
        <v>27</v>
      </c>
      <c r="N2849" s="1" t="s">
        <v>4097</v>
      </c>
      <c r="O2849" s="1" t="s">
        <v>1010</v>
      </c>
      <c r="P2849" s="1" t="s">
        <v>401</v>
      </c>
      <c r="Q2849" s="63" t="s">
        <v>4098</v>
      </c>
      <c r="R2849" s="1" t="s">
        <v>100</v>
      </c>
      <c r="S2849" s="13" t="s">
        <v>28</v>
      </c>
      <c r="T2849" s="68" t="s">
        <v>29493</v>
      </c>
      <c r="U2849" s="68" t="s">
        <v>29436</v>
      </c>
      <c r="V2849" s="68" t="s">
        <v>29439</v>
      </c>
      <c r="W2849" s="68" t="s">
        <v>100</v>
      </c>
      <c r="X2849" s="68">
        <v>174</v>
      </c>
      <c r="AW2849" s="44"/>
      <c r="BK2849" s="44"/>
    </row>
    <row r="2850" spans="1:63" ht="12" customHeight="1" x14ac:dyDescent="0.2">
      <c r="A2850" s="1" t="s">
        <v>4082</v>
      </c>
      <c r="B2850" s="68">
        <v>42</v>
      </c>
      <c r="C2850" s="1" t="s">
        <v>20</v>
      </c>
      <c r="D2850" s="1" t="s">
        <v>37</v>
      </c>
      <c r="E2850" s="1" t="s">
        <v>4083</v>
      </c>
      <c r="F2850" s="69">
        <v>42058</v>
      </c>
      <c r="G2850" s="1" t="s">
        <v>4084</v>
      </c>
      <c r="H2850" s="1" t="s">
        <v>4085</v>
      </c>
      <c r="I2850" s="1" t="s">
        <v>404</v>
      </c>
      <c r="J2850" s="4" t="s">
        <v>4086</v>
      </c>
      <c r="K2850" s="1" t="s">
        <v>4087</v>
      </c>
      <c r="L2850" s="1" t="s">
        <v>4088</v>
      </c>
      <c r="M2850" s="68" t="s">
        <v>5411</v>
      </c>
      <c r="N2850" s="1" t="s">
        <v>4089</v>
      </c>
      <c r="O2850" s="1" t="s">
        <v>400</v>
      </c>
      <c r="P2850" s="1" t="s">
        <v>401</v>
      </c>
      <c r="Q2850" s="63" t="s">
        <v>4090</v>
      </c>
      <c r="R2850" s="1" t="s">
        <v>100</v>
      </c>
      <c r="S2850" s="13" t="s">
        <v>28</v>
      </c>
      <c r="T2850" s="68" t="s">
        <v>29493</v>
      </c>
      <c r="U2850" s="68" t="s">
        <v>29438</v>
      </c>
      <c r="V2850" s="68" t="s">
        <v>29437</v>
      </c>
      <c r="W2850" s="68" t="s">
        <v>100</v>
      </c>
      <c r="X2850" s="68">
        <v>266</v>
      </c>
      <c r="BB2850" s="70"/>
    </row>
    <row r="2851" spans="1:63" ht="12" customHeight="1" x14ac:dyDescent="0.2">
      <c r="A2851" s="1" t="s">
        <v>4099</v>
      </c>
      <c r="B2851" s="68">
        <v>39</v>
      </c>
      <c r="C2851" s="1" t="s">
        <v>20</v>
      </c>
      <c r="D2851" s="1" t="s">
        <v>37</v>
      </c>
      <c r="E2851" s="1" t="s">
        <v>4100</v>
      </c>
      <c r="F2851" s="69">
        <v>42058</v>
      </c>
      <c r="G2851" s="1" t="s">
        <v>4101</v>
      </c>
      <c r="H2851" s="1" t="s">
        <v>1627</v>
      </c>
      <c r="I2851" s="1" t="s">
        <v>463</v>
      </c>
      <c r="J2851" s="4" t="s">
        <v>4102</v>
      </c>
      <c r="K2851" s="1" t="s">
        <v>938</v>
      </c>
      <c r="L2851" s="1" t="s">
        <v>2253</v>
      </c>
      <c r="M2851" s="68" t="s">
        <v>5411</v>
      </c>
      <c r="N2851" s="1" t="s">
        <v>4103</v>
      </c>
      <c r="O2851" s="1" t="s">
        <v>1010</v>
      </c>
      <c r="P2851" s="1" t="s">
        <v>401</v>
      </c>
      <c r="Q2851" s="63" t="s">
        <v>4104</v>
      </c>
      <c r="R2851" s="1" t="s">
        <v>100</v>
      </c>
      <c r="S2851" s="13" t="s">
        <v>18</v>
      </c>
      <c r="T2851" s="68" t="s">
        <v>28345</v>
      </c>
      <c r="U2851" s="68" t="s">
        <v>29436</v>
      </c>
      <c r="V2851" s="68" t="s">
        <v>29439</v>
      </c>
      <c r="W2851" s="68" t="s">
        <v>100</v>
      </c>
      <c r="X2851" s="68">
        <v>371</v>
      </c>
      <c r="AW2851" s="44"/>
      <c r="BB2851" s="70"/>
    </row>
    <row r="2852" spans="1:63" ht="12" customHeight="1" x14ac:dyDescent="0.15">
      <c r="A2852" s="1" t="s">
        <v>4120</v>
      </c>
      <c r="B2852" s="68">
        <v>41</v>
      </c>
      <c r="C2852" s="1" t="s">
        <v>20</v>
      </c>
      <c r="D2852" s="1" t="s">
        <v>37</v>
      </c>
      <c r="E2852" s="1" t="s">
        <v>4121</v>
      </c>
      <c r="F2852" s="69">
        <v>42058</v>
      </c>
      <c r="G2852" s="1" t="s">
        <v>4122</v>
      </c>
      <c r="H2852" s="1" t="s">
        <v>4123</v>
      </c>
      <c r="I2852" s="1" t="s">
        <v>173</v>
      </c>
      <c r="J2852" s="4" t="s">
        <v>4124</v>
      </c>
      <c r="K2852" s="1" t="s">
        <v>4125</v>
      </c>
      <c r="L2852" s="1" t="s">
        <v>4126</v>
      </c>
      <c r="M2852" s="1" t="s">
        <v>27</v>
      </c>
      <c r="N2852" s="1" t="s">
        <v>4127</v>
      </c>
      <c r="P2852" s="1" t="s">
        <v>401</v>
      </c>
      <c r="Q2852" s="63" t="s">
        <v>4128</v>
      </c>
      <c r="R2852" s="1" t="s">
        <v>29</v>
      </c>
      <c r="S2852" s="13" t="s">
        <v>28</v>
      </c>
      <c r="T2852" s="68" t="s">
        <v>27756</v>
      </c>
      <c r="U2852" s="68" t="s">
        <v>29438</v>
      </c>
      <c r="V2852" s="68" t="s">
        <v>29440</v>
      </c>
      <c r="W2852" s="68" t="s">
        <v>100</v>
      </c>
      <c r="X2852" s="68">
        <v>175</v>
      </c>
      <c r="BK2852" s="44"/>
    </row>
    <row r="2853" spans="1:63" ht="12" customHeight="1" x14ac:dyDescent="0.15">
      <c r="A2853" s="1" t="s">
        <v>4074</v>
      </c>
      <c r="B2853" s="68">
        <v>47</v>
      </c>
      <c r="C2853" s="1" t="s">
        <v>20</v>
      </c>
      <c r="D2853" s="1" t="s">
        <v>37</v>
      </c>
      <c r="F2853" s="69">
        <v>42058</v>
      </c>
      <c r="G2853" s="1" t="s">
        <v>4075</v>
      </c>
      <c r="H2853" s="1" t="s">
        <v>4076</v>
      </c>
      <c r="I2853" s="1" t="s">
        <v>25</v>
      </c>
      <c r="J2853" s="4" t="s">
        <v>4077</v>
      </c>
      <c r="K2853" s="1" t="s">
        <v>4078</v>
      </c>
      <c r="L2853" s="1" t="s">
        <v>4079</v>
      </c>
      <c r="M2853" s="1" t="s">
        <v>27</v>
      </c>
      <c r="N2853" s="1" t="s">
        <v>4080</v>
      </c>
      <c r="O2853" s="1" t="s">
        <v>1010</v>
      </c>
      <c r="P2853" s="1" t="s">
        <v>401</v>
      </c>
      <c r="Q2853" s="63" t="s">
        <v>4081</v>
      </c>
      <c r="R2853" s="68" t="s">
        <v>555</v>
      </c>
      <c r="S2853" s="13" t="s">
        <v>28</v>
      </c>
      <c r="T2853" s="68" t="s">
        <v>27756</v>
      </c>
      <c r="U2853" s="68" t="s">
        <v>29438</v>
      </c>
      <c r="V2853" s="68" t="s">
        <v>29439</v>
      </c>
      <c r="W2853" s="68" t="s">
        <v>100</v>
      </c>
      <c r="X2853" s="68">
        <v>172</v>
      </c>
      <c r="BA2853" s="44"/>
      <c r="BB2853" s="11"/>
      <c r="BK2853" s="44"/>
    </row>
    <row r="2854" spans="1:63" ht="12" customHeight="1" x14ac:dyDescent="0.15">
      <c r="A2854" s="1" t="s">
        <v>4105</v>
      </c>
      <c r="B2854" s="1">
        <v>39</v>
      </c>
      <c r="C2854" s="1" t="s">
        <v>20</v>
      </c>
      <c r="D2854" s="1" t="s">
        <v>85</v>
      </c>
      <c r="E2854" s="1" t="s">
        <v>4106</v>
      </c>
      <c r="F2854" s="72">
        <v>42057</v>
      </c>
      <c r="G2854" s="1" t="s">
        <v>4107</v>
      </c>
      <c r="H2854" s="1" t="s">
        <v>4108</v>
      </c>
      <c r="I2854" s="1" t="s">
        <v>62</v>
      </c>
      <c r="J2854" s="4" t="s">
        <v>4109</v>
      </c>
      <c r="K2854" s="1" t="s">
        <v>1123</v>
      </c>
      <c r="L2854" s="1" t="s">
        <v>4110</v>
      </c>
      <c r="M2854" s="1" t="s">
        <v>391</v>
      </c>
      <c r="N2854" s="1" t="s">
        <v>4111</v>
      </c>
      <c r="O2854" s="1" t="s">
        <v>1010</v>
      </c>
      <c r="P2854" s="1" t="s">
        <v>401</v>
      </c>
      <c r="Q2854" s="63" t="s">
        <v>4112</v>
      </c>
      <c r="R2854" s="1" t="s">
        <v>100</v>
      </c>
      <c r="S2854" s="13" t="s">
        <v>18</v>
      </c>
      <c r="AU2854" s="11"/>
      <c r="AV2854" s="11"/>
      <c r="AW2854" s="11"/>
      <c r="AX2854" s="44"/>
      <c r="AY2854" s="44"/>
      <c r="BC2854" s="11"/>
      <c r="BD2854" s="11"/>
      <c r="BE2854" s="11"/>
      <c r="BF2854" s="11"/>
      <c r="BG2854" s="11"/>
      <c r="BH2854" s="11"/>
      <c r="BI2854" s="11"/>
      <c r="BJ2854" s="11"/>
    </row>
    <row r="2855" spans="1:63" ht="12" customHeight="1" x14ac:dyDescent="0.15">
      <c r="A2855" s="1" t="s">
        <v>4113</v>
      </c>
      <c r="B2855" s="68">
        <v>50</v>
      </c>
      <c r="C2855" s="1" t="s">
        <v>20</v>
      </c>
      <c r="D2855" s="1" t="s">
        <v>37</v>
      </c>
      <c r="F2855" s="69">
        <v>42057</v>
      </c>
      <c r="G2855" s="1" t="s">
        <v>4114</v>
      </c>
      <c r="H2855" s="1" t="s">
        <v>4115</v>
      </c>
      <c r="I2855" s="1" t="s">
        <v>62</v>
      </c>
      <c r="J2855" s="4" t="s">
        <v>4116</v>
      </c>
      <c r="K2855" s="1" t="s">
        <v>1769</v>
      </c>
      <c r="L2855" s="1" t="s">
        <v>4117</v>
      </c>
      <c r="M2855" s="1" t="s">
        <v>27</v>
      </c>
      <c r="N2855" s="1" t="s">
        <v>4118</v>
      </c>
      <c r="O2855" s="1" t="s">
        <v>1010</v>
      </c>
      <c r="P2855" s="1" t="s">
        <v>401</v>
      </c>
      <c r="Q2855" s="63" t="s">
        <v>4119</v>
      </c>
      <c r="R2855" s="1" t="s">
        <v>100</v>
      </c>
      <c r="S2855" s="13" t="s">
        <v>28</v>
      </c>
      <c r="T2855" s="68" t="s">
        <v>27756</v>
      </c>
      <c r="U2855" s="68" t="s">
        <v>29438</v>
      </c>
      <c r="V2855" s="68" t="s">
        <v>29439</v>
      </c>
      <c r="W2855" s="68" t="s">
        <v>100</v>
      </c>
      <c r="X2855" s="68">
        <v>170</v>
      </c>
      <c r="BK2855" s="44"/>
    </row>
    <row r="2856" spans="1:63" ht="12" customHeight="1" x14ac:dyDescent="0.15">
      <c r="A2856" s="1" t="s">
        <v>4136</v>
      </c>
      <c r="B2856" s="68">
        <v>51</v>
      </c>
      <c r="C2856" s="1" t="s">
        <v>20</v>
      </c>
      <c r="D2856" s="1" t="s">
        <v>37</v>
      </c>
      <c r="E2856" s="1" t="s">
        <v>4137</v>
      </c>
      <c r="F2856" s="69">
        <v>42056</v>
      </c>
      <c r="G2856" s="1" t="s">
        <v>4138</v>
      </c>
      <c r="H2856" s="1" t="s">
        <v>216</v>
      </c>
      <c r="I2856" s="1" t="s">
        <v>217</v>
      </c>
      <c r="J2856" s="4" t="s">
        <v>4139</v>
      </c>
      <c r="K2856" s="1" t="s">
        <v>420</v>
      </c>
      <c r="L2856" s="1" t="s">
        <v>218</v>
      </c>
      <c r="M2856" s="1" t="s">
        <v>27</v>
      </c>
      <c r="N2856" s="1" t="s">
        <v>4140</v>
      </c>
      <c r="O2856" s="1" t="s">
        <v>1010</v>
      </c>
      <c r="P2856" s="1" t="s">
        <v>401</v>
      </c>
      <c r="Q2856" s="63" t="str">
        <f>HYPERLINK("http://www.theindychannel.com/news/local-news/suspect-fatally-shot-by-impd-officer-on-east-side","http://www.theindychannel.com/news/local-news/suspect-fatally-shot-by-impd-officer-on-east-side")</f>
        <v>http://www.theindychannel.com/news/local-news/suspect-fatally-shot-by-impd-officer-on-east-side</v>
      </c>
      <c r="R2856" s="1" t="s">
        <v>100</v>
      </c>
      <c r="S2856" s="13" t="s">
        <v>28</v>
      </c>
      <c r="T2856" s="68" t="s">
        <v>29493</v>
      </c>
      <c r="U2856" s="68" t="s">
        <v>29438</v>
      </c>
      <c r="V2856" s="68" t="s">
        <v>29439</v>
      </c>
      <c r="W2856" s="68" t="s">
        <v>100</v>
      </c>
      <c r="X2856" s="68">
        <v>168</v>
      </c>
      <c r="BK2856" s="44"/>
    </row>
    <row r="2857" spans="1:63" ht="12" customHeight="1" x14ac:dyDescent="0.15">
      <c r="A2857" s="1" t="s">
        <v>4129</v>
      </c>
      <c r="B2857" s="68">
        <v>41</v>
      </c>
      <c r="C2857" s="1" t="s">
        <v>20</v>
      </c>
      <c r="D2857" s="1" t="s">
        <v>37</v>
      </c>
      <c r="E2857" s="1" t="s">
        <v>4130</v>
      </c>
      <c r="F2857" s="69">
        <v>42056</v>
      </c>
      <c r="G2857" s="1" t="s">
        <v>4131</v>
      </c>
      <c r="H2857" s="1" t="s">
        <v>4132</v>
      </c>
      <c r="I2857" s="1" t="s">
        <v>195</v>
      </c>
      <c r="J2857" s="4" t="s">
        <v>4133</v>
      </c>
      <c r="K2857" s="1" t="s">
        <v>2316</v>
      </c>
      <c r="L2857" s="1" t="s">
        <v>3085</v>
      </c>
      <c r="M2857" s="1" t="s">
        <v>27</v>
      </c>
      <c r="N2857" s="1" t="s">
        <v>4134</v>
      </c>
      <c r="O2857" s="1" t="s">
        <v>1010</v>
      </c>
      <c r="P2857" s="1" t="s">
        <v>401</v>
      </c>
      <c r="Q2857" s="63" t="s">
        <v>4135</v>
      </c>
      <c r="R2857" s="1" t="s">
        <v>29</v>
      </c>
      <c r="S2857" s="13" t="s">
        <v>28</v>
      </c>
      <c r="T2857" s="68" t="s">
        <v>27756</v>
      </c>
      <c r="U2857" s="68" t="s">
        <v>29438</v>
      </c>
      <c r="V2857" s="68" t="s">
        <v>29439</v>
      </c>
      <c r="W2857" s="68" t="s">
        <v>100</v>
      </c>
      <c r="X2857" s="68">
        <v>167</v>
      </c>
      <c r="BK2857" s="44"/>
    </row>
    <row r="2858" spans="1:63" ht="12" customHeight="1" x14ac:dyDescent="0.15">
      <c r="A2858" s="1" t="s">
        <v>4149</v>
      </c>
      <c r="B2858" s="1">
        <v>41</v>
      </c>
      <c r="C2858" s="1" t="s">
        <v>20</v>
      </c>
      <c r="D2858" s="1" t="s">
        <v>85</v>
      </c>
      <c r="E2858" s="1" t="s">
        <v>4150</v>
      </c>
      <c r="F2858" s="72">
        <v>42055</v>
      </c>
      <c r="G2858" s="1" t="s">
        <v>4151</v>
      </c>
      <c r="H2858" s="1" t="s">
        <v>2487</v>
      </c>
      <c r="I2858" s="1" t="s">
        <v>395</v>
      </c>
      <c r="J2858" s="4" t="s">
        <v>4152</v>
      </c>
      <c r="K2858" s="1" t="s">
        <v>4153</v>
      </c>
      <c r="L2858" s="1" t="s">
        <v>4154</v>
      </c>
      <c r="M2858" s="1" t="s">
        <v>391</v>
      </c>
      <c r="N2858" s="1" t="s">
        <v>4155</v>
      </c>
      <c r="O2858" s="1" t="s">
        <v>1010</v>
      </c>
      <c r="P2858" s="1" t="s">
        <v>401</v>
      </c>
      <c r="Q2858" s="63" t="s">
        <v>4156</v>
      </c>
      <c r="R2858" s="1" t="s">
        <v>100</v>
      </c>
      <c r="S2858" s="13" t="s">
        <v>18</v>
      </c>
      <c r="AU2858" s="11"/>
      <c r="AV2858" s="11"/>
      <c r="AW2858" s="11"/>
      <c r="AX2858" s="44"/>
      <c r="AY2858" s="44"/>
      <c r="BC2858" s="11"/>
      <c r="BD2858" s="11"/>
      <c r="BE2858" s="11"/>
      <c r="BF2858" s="11"/>
      <c r="BG2858" s="11"/>
      <c r="BH2858" s="11"/>
      <c r="BI2858" s="11"/>
      <c r="BJ2858" s="11"/>
    </row>
    <row r="2859" spans="1:63" ht="12" customHeight="1" x14ac:dyDescent="0.15">
      <c r="A2859" s="1" t="s">
        <v>4141</v>
      </c>
      <c r="B2859" s="68">
        <v>38</v>
      </c>
      <c r="C2859" s="1" t="s">
        <v>20</v>
      </c>
      <c r="D2859" s="1" t="s">
        <v>85</v>
      </c>
      <c r="E2859" s="1" t="s">
        <v>4142</v>
      </c>
      <c r="F2859" s="69">
        <v>42055</v>
      </c>
      <c r="G2859" s="1" t="s">
        <v>4143</v>
      </c>
      <c r="H2859" s="1" t="s">
        <v>4144</v>
      </c>
      <c r="I2859" s="1" t="s">
        <v>94</v>
      </c>
      <c r="J2859" s="4" t="s">
        <v>4145</v>
      </c>
      <c r="K2859" s="1" t="s">
        <v>1778</v>
      </c>
      <c r="L2859" s="1" t="s">
        <v>4146</v>
      </c>
      <c r="M2859" s="1" t="s">
        <v>27</v>
      </c>
      <c r="N2859" s="1" t="s">
        <v>4147</v>
      </c>
      <c r="O2859" s="1" t="s">
        <v>1010</v>
      </c>
      <c r="P2859" s="1" t="s">
        <v>401</v>
      </c>
      <c r="Q2859" s="63" t="s">
        <v>4148</v>
      </c>
      <c r="R2859" s="1" t="s">
        <v>100</v>
      </c>
      <c r="S2859" s="13" t="s">
        <v>28</v>
      </c>
      <c r="T2859" s="68" t="s">
        <v>27756</v>
      </c>
      <c r="U2859" s="68" t="s">
        <v>29438</v>
      </c>
      <c r="V2859" s="68" t="s">
        <v>29439</v>
      </c>
      <c r="W2859" s="68" t="s">
        <v>100</v>
      </c>
      <c r="X2859" s="68">
        <v>166</v>
      </c>
      <c r="AW2859" s="44"/>
      <c r="AX2859" s="44"/>
      <c r="AY2859" s="44"/>
      <c r="BC2859" s="11"/>
      <c r="BD2859" s="11"/>
      <c r="BE2859" s="11"/>
      <c r="BF2859" s="11"/>
      <c r="BG2859" s="11"/>
      <c r="BH2859" s="11"/>
      <c r="BI2859" s="11"/>
      <c r="BJ2859" s="11"/>
      <c r="BK2859" s="44"/>
    </row>
    <row r="2860" spans="1:63" ht="12" customHeight="1" x14ac:dyDescent="0.15">
      <c r="A2860" s="1" t="s">
        <v>4157</v>
      </c>
      <c r="B2860" s="1" t="s">
        <v>29</v>
      </c>
      <c r="C2860" s="1" t="s">
        <v>20</v>
      </c>
      <c r="D2860" s="1" t="s">
        <v>48</v>
      </c>
      <c r="F2860" s="69">
        <v>42055</v>
      </c>
      <c r="G2860" s="1" t="s">
        <v>21047</v>
      </c>
      <c r="H2860" s="1" t="s">
        <v>723</v>
      </c>
      <c r="I2860" s="1" t="s">
        <v>73</v>
      </c>
      <c r="K2860" s="1" t="s">
        <v>558</v>
      </c>
      <c r="L2860" s="1" t="s">
        <v>5634</v>
      </c>
      <c r="M2860" s="1" t="s">
        <v>27</v>
      </c>
      <c r="N2860" s="1" t="s">
        <v>21048</v>
      </c>
      <c r="O2860" s="1" t="s">
        <v>4684</v>
      </c>
      <c r="P2860" s="1" t="s">
        <v>401</v>
      </c>
      <c r="Q2860" s="63" t="s">
        <v>4158</v>
      </c>
      <c r="R2860" s="1" t="s">
        <v>100</v>
      </c>
      <c r="S2860" s="13" t="s">
        <v>28</v>
      </c>
      <c r="T2860" s="68" t="s">
        <v>27756</v>
      </c>
      <c r="U2860" s="68" t="s">
        <v>29438</v>
      </c>
      <c r="V2860" s="68" t="s">
        <v>29437</v>
      </c>
      <c r="W2860" s="68" t="s">
        <v>100</v>
      </c>
      <c r="X2860" s="68">
        <v>584</v>
      </c>
      <c r="BK2860" s="44"/>
    </row>
    <row r="2861" spans="1:63" ht="12" customHeight="1" x14ac:dyDescent="0.15">
      <c r="A2861" s="1" t="s">
        <v>4159</v>
      </c>
      <c r="B2861" s="68">
        <v>31</v>
      </c>
      <c r="C2861" s="1" t="s">
        <v>20</v>
      </c>
      <c r="D2861" s="1" t="s">
        <v>48</v>
      </c>
      <c r="E2861" s="1" t="s">
        <v>4160</v>
      </c>
      <c r="F2861" s="69">
        <v>42055</v>
      </c>
      <c r="G2861" s="1" t="s">
        <v>4161</v>
      </c>
      <c r="H2861" s="1" t="s">
        <v>4162</v>
      </c>
      <c r="I2861" s="1" t="s">
        <v>73</v>
      </c>
      <c r="J2861" s="4" t="s">
        <v>4163</v>
      </c>
      <c r="K2861" s="1" t="s">
        <v>74</v>
      </c>
      <c r="L2861" s="1" t="s">
        <v>4164</v>
      </c>
      <c r="M2861" s="1" t="s">
        <v>27</v>
      </c>
      <c r="N2861" s="1" t="s">
        <v>21075</v>
      </c>
      <c r="O2861" s="1" t="s">
        <v>400</v>
      </c>
      <c r="P2861" s="1" t="s">
        <v>401</v>
      </c>
      <c r="Q2861" s="63" t="s">
        <v>4165</v>
      </c>
      <c r="R2861" s="1" t="s">
        <v>29</v>
      </c>
      <c r="S2861" s="13" t="s">
        <v>18</v>
      </c>
      <c r="T2861" s="68" t="s">
        <v>28345</v>
      </c>
      <c r="U2861" s="68" t="s">
        <v>29436</v>
      </c>
      <c r="V2861" s="68" t="s">
        <v>29439</v>
      </c>
      <c r="W2861" s="68" t="s">
        <v>100</v>
      </c>
      <c r="X2861" s="68">
        <v>165</v>
      </c>
      <c r="AW2861" s="11"/>
    </row>
    <row r="2862" spans="1:63" ht="12" customHeight="1" x14ac:dyDescent="0.15">
      <c r="A2862" s="1" t="s">
        <v>4172</v>
      </c>
      <c r="B2862" s="1">
        <v>35</v>
      </c>
      <c r="C2862" s="1" t="s">
        <v>20</v>
      </c>
      <c r="D2862" s="1" t="s">
        <v>37</v>
      </c>
      <c r="E2862" s="1" t="s">
        <v>4173</v>
      </c>
      <c r="F2862" s="72">
        <v>42055</v>
      </c>
      <c r="G2862" s="1" t="s">
        <v>4174</v>
      </c>
      <c r="H2862" s="1" t="s">
        <v>302</v>
      </c>
      <c r="I2862" s="1" t="s">
        <v>45</v>
      </c>
      <c r="J2862" s="4" t="s">
        <v>4175</v>
      </c>
      <c r="K2862" s="1" t="s">
        <v>1331</v>
      </c>
      <c r="L2862" s="1" t="s">
        <v>4176</v>
      </c>
      <c r="M2862" s="1" t="s">
        <v>391</v>
      </c>
      <c r="N2862" s="1" t="s">
        <v>4177</v>
      </c>
      <c r="O2862" s="1" t="s">
        <v>1010</v>
      </c>
      <c r="P2862" s="1" t="s">
        <v>401</v>
      </c>
      <c r="Q2862" s="63" t="s">
        <v>4178</v>
      </c>
      <c r="R2862" s="1" t="s">
        <v>29</v>
      </c>
      <c r="S2862" s="13" t="s">
        <v>18</v>
      </c>
      <c r="AU2862" s="11"/>
      <c r="AV2862" s="11"/>
      <c r="AW2862" s="11"/>
    </row>
    <row r="2863" spans="1:63" ht="12" customHeight="1" x14ac:dyDescent="0.2">
      <c r="A2863" s="1" t="s">
        <v>4188</v>
      </c>
      <c r="B2863" s="68">
        <v>20</v>
      </c>
      <c r="C2863" s="1" t="s">
        <v>114</v>
      </c>
      <c r="D2863" s="1" t="s">
        <v>85</v>
      </c>
      <c r="E2863" s="1" t="s">
        <v>4189</v>
      </c>
      <c r="F2863" s="69">
        <v>42053</v>
      </c>
      <c r="G2863" s="1" t="s">
        <v>4190</v>
      </c>
      <c r="H2863" s="1" t="s">
        <v>4191</v>
      </c>
      <c r="I2863" s="1" t="s">
        <v>366</v>
      </c>
      <c r="J2863" s="4" t="s">
        <v>4192</v>
      </c>
      <c r="K2863" s="1" t="s">
        <v>4193</v>
      </c>
      <c r="L2863" s="1" t="s">
        <v>4194</v>
      </c>
      <c r="M2863" s="1" t="s">
        <v>27</v>
      </c>
      <c r="N2863" s="1" t="s">
        <v>4195</v>
      </c>
      <c r="O2863" s="1" t="s">
        <v>550</v>
      </c>
      <c r="P2863" s="1" t="s">
        <v>401</v>
      </c>
      <c r="Q2863" s="63" t="s">
        <v>4196</v>
      </c>
      <c r="R2863" s="68" t="s">
        <v>555</v>
      </c>
      <c r="S2863" s="11" t="s">
        <v>35</v>
      </c>
      <c r="T2863" s="68" t="s">
        <v>29441</v>
      </c>
      <c r="U2863" s="68" t="s">
        <v>29436</v>
      </c>
      <c r="V2863" s="68" t="s">
        <v>29439</v>
      </c>
      <c r="W2863" s="68" t="s">
        <v>100</v>
      </c>
      <c r="X2863" s="68">
        <v>163</v>
      </c>
      <c r="AW2863" s="70"/>
      <c r="AX2863" s="70"/>
      <c r="AY2863" s="70"/>
      <c r="BA2863" s="44"/>
      <c r="BB2863" s="11"/>
      <c r="BC2863" s="11"/>
      <c r="BD2863" s="11"/>
      <c r="BE2863" s="11"/>
      <c r="BF2863" s="11"/>
      <c r="BG2863" s="11"/>
      <c r="BH2863" s="11"/>
      <c r="BI2863" s="11"/>
      <c r="BJ2863" s="11"/>
    </row>
    <row r="2864" spans="1:63" ht="12" customHeight="1" x14ac:dyDescent="0.15">
      <c r="A2864" s="1" t="s">
        <v>4213</v>
      </c>
      <c r="B2864" s="68">
        <v>32</v>
      </c>
      <c r="C2864" s="1" t="s">
        <v>20</v>
      </c>
      <c r="D2864" s="1" t="s">
        <v>37</v>
      </c>
      <c r="E2864" s="1" t="s">
        <v>4214</v>
      </c>
      <c r="F2864" s="69">
        <v>42052</v>
      </c>
      <c r="G2864" s="1" t="s">
        <v>4215</v>
      </c>
      <c r="H2864" s="1" t="s">
        <v>4216</v>
      </c>
      <c r="I2864" s="1" t="s">
        <v>57</v>
      </c>
      <c r="J2864" s="4" t="s">
        <v>4217</v>
      </c>
      <c r="K2864" s="1" t="s">
        <v>3952</v>
      </c>
      <c r="L2864" s="1" t="s">
        <v>4218</v>
      </c>
      <c r="M2864" s="1" t="s">
        <v>27</v>
      </c>
      <c r="N2864" s="1" t="s">
        <v>4219</v>
      </c>
      <c r="O2864" s="1" t="s">
        <v>400</v>
      </c>
      <c r="P2864" s="1" t="s">
        <v>401</v>
      </c>
      <c r="Q2864" s="63" t="s">
        <v>4220</v>
      </c>
      <c r="R2864" s="1" t="s">
        <v>100</v>
      </c>
      <c r="S2864" s="13" t="s">
        <v>28</v>
      </c>
      <c r="T2864" s="68" t="s">
        <v>27756</v>
      </c>
      <c r="U2864" s="68" t="s">
        <v>29438</v>
      </c>
      <c r="V2864" s="68" t="s">
        <v>29439</v>
      </c>
      <c r="W2864" s="68" t="s">
        <v>100</v>
      </c>
      <c r="X2864" s="68">
        <v>160</v>
      </c>
      <c r="AW2864" s="11"/>
      <c r="BK2864" s="44"/>
    </row>
    <row r="2865" spans="1:63" ht="12" customHeight="1" x14ac:dyDescent="0.15">
      <c r="A2865" s="1" t="s">
        <v>4206</v>
      </c>
      <c r="B2865" s="68">
        <v>30</v>
      </c>
      <c r="C2865" s="1" t="s">
        <v>20</v>
      </c>
      <c r="D2865" s="1" t="s">
        <v>37</v>
      </c>
      <c r="F2865" s="69">
        <v>42052</v>
      </c>
      <c r="G2865" s="1" t="s">
        <v>4207</v>
      </c>
      <c r="H2865" s="1" t="s">
        <v>4208</v>
      </c>
      <c r="I2865" s="1" t="s">
        <v>46</v>
      </c>
      <c r="J2865" s="4" t="s">
        <v>4209</v>
      </c>
      <c r="K2865" s="1" t="s">
        <v>42</v>
      </c>
      <c r="L2865" s="1" t="s">
        <v>4210</v>
      </c>
      <c r="M2865" s="1" t="s">
        <v>27</v>
      </c>
      <c r="N2865" s="1" t="s">
        <v>4211</v>
      </c>
      <c r="O2865" s="1" t="s">
        <v>401</v>
      </c>
      <c r="P2865" s="1" t="s">
        <v>401</v>
      </c>
      <c r="Q2865" s="63" t="s">
        <v>4212</v>
      </c>
      <c r="R2865" s="1" t="s">
        <v>100</v>
      </c>
      <c r="S2865" s="11" t="s">
        <v>18</v>
      </c>
      <c r="T2865" s="68" t="s">
        <v>29612</v>
      </c>
      <c r="U2865" s="68" t="s">
        <v>29438</v>
      </c>
      <c r="V2865" s="68" t="s">
        <v>29440</v>
      </c>
      <c r="W2865" s="68" t="s">
        <v>100</v>
      </c>
      <c r="X2865" s="68">
        <v>161</v>
      </c>
      <c r="AW2865" s="11"/>
    </row>
    <row r="2866" spans="1:63" ht="12" customHeight="1" x14ac:dyDescent="0.15">
      <c r="A2866" s="1" t="s">
        <v>4179</v>
      </c>
      <c r="B2866" s="68">
        <v>31</v>
      </c>
      <c r="C2866" s="1" t="s">
        <v>20</v>
      </c>
      <c r="D2866" s="1" t="s">
        <v>37</v>
      </c>
      <c r="E2866" s="1" t="s">
        <v>4180</v>
      </c>
      <c r="F2866" s="69">
        <v>42052</v>
      </c>
      <c r="G2866" s="1" t="s">
        <v>4181</v>
      </c>
      <c r="H2866" s="1" t="s">
        <v>4182</v>
      </c>
      <c r="I2866" s="1" t="s">
        <v>431</v>
      </c>
      <c r="J2866" s="4" t="s">
        <v>4183</v>
      </c>
      <c r="K2866" s="1" t="s">
        <v>4184</v>
      </c>
      <c r="L2866" s="1" t="s">
        <v>4185</v>
      </c>
      <c r="M2866" s="1" t="s">
        <v>27</v>
      </c>
      <c r="N2866" s="1" t="s">
        <v>4186</v>
      </c>
      <c r="O2866" s="1" t="s">
        <v>400</v>
      </c>
      <c r="P2866" s="1" t="s">
        <v>401</v>
      </c>
      <c r="Q2866" s="63" t="s">
        <v>4187</v>
      </c>
      <c r="R2866" s="1" t="s">
        <v>100</v>
      </c>
      <c r="S2866" s="13" t="s">
        <v>18</v>
      </c>
      <c r="T2866" s="68" t="s">
        <v>28345</v>
      </c>
      <c r="U2866" s="68" t="s">
        <v>29436</v>
      </c>
      <c r="V2866" s="68" t="s">
        <v>29440</v>
      </c>
      <c r="W2866" s="68" t="s">
        <v>100</v>
      </c>
      <c r="X2866" s="68">
        <v>159</v>
      </c>
      <c r="AW2866" s="11"/>
    </row>
    <row r="2867" spans="1:63" ht="12" customHeight="1" x14ac:dyDescent="0.15">
      <c r="A2867" s="1" t="s">
        <v>4197</v>
      </c>
      <c r="B2867" s="68">
        <v>50</v>
      </c>
      <c r="C2867" s="1" t="s">
        <v>20</v>
      </c>
      <c r="D2867" s="1" t="s">
        <v>48</v>
      </c>
      <c r="E2867" s="1" t="s">
        <v>4198</v>
      </c>
      <c r="F2867" s="69">
        <v>42052</v>
      </c>
      <c r="G2867" s="1" t="s">
        <v>4199</v>
      </c>
      <c r="H2867" s="1" t="s">
        <v>4200</v>
      </c>
      <c r="I2867" s="1" t="s">
        <v>73</v>
      </c>
      <c r="J2867" s="4" t="s">
        <v>4201</v>
      </c>
      <c r="K2867" s="1" t="s">
        <v>4202</v>
      </c>
      <c r="L2867" s="1" t="s">
        <v>4203</v>
      </c>
      <c r="M2867" s="1" t="s">
        <v>27</v>
      </c>
      <c r="N2867" s="1" t="s">
        <v>4204</v>
      </c>
      <c r="O2867" s="1" t="s">
        <v>1010</v>
      </c>
      <c r="P2867" s="1" t="s">
        <v>401</v>
      </c>
      <c r="Q2867" s="63" t="s">
        <v>4205</v>
      </c>
      <c r="R2867" s="1" t="s">
        <v>100</v>
      </c>
      <c r="S2867" s="13" t="s">
        <v>379</v>
      </c>
      <c r="T2867" s="68" t="s">
        <v>379</v>
      </c>
      <c r="U2867" s="68" t="s">
        <v>29436</v>
      </c>
      <c r="V2867" s="68" t="s">
        <v>29439</v>
      </c>
      <c r="W2867" s="68" t="s">
        <v>100</v>
      </c>
      <c r="X2867" s="68">
        <v>162</v>
      </c>
      <c r="BK2867" s="44"/>
    </row>
    <row r="2868" spans="1:63" ht="12" customHeight="1" x14ac:dyDescent="0.15">
      <c r="A2868" s="1" t="s">
        <v>4221</v>
      </c>
      <c r="B2868" s="68">
        <v>43</v>
      </c>
      <c r="C2868" s="1" t="s">
        <v>114</v>
      </c>
      <c r="D2868" s="1" t="s">
        <v>37</v>
      </c>
      <c r="E2868" s="1" t="s">
        <v>4222</v>
      </c>
      <c r="F2868" s="69">
        <v>42052</v>
      </c>
      <c r="G2868" s="1" t="s">
        <v>4223</v>
      </c>
      <c r="H2868" s="1" t="s">
        <v>834</v>
      </c>
      <c r="I2868" s="1" t="s">
        <v>366</v>
      </c>
      <c r="J2868" s="4" t="s">
        <v>4224</v>
      </c>
      <c r="K2868" s="1" t="s">
        <v>835</v>
      </c>
      <c r="L2868" s="1" t="s">
        <v>4225</v>
      </c>
      <c r="M2868" s="1" t="s">
        <v>27</v>
      </c>
      <c r="N2868" s="1" t="s">
        <v>4226</v>
      </c>
      <c r="O2868" s="1" t="s">
        <v>400</v>
      </c>
      <c r="P2868" s="1" t="s">
        <v>401</v>
      </c>
      <c r="Q2868" s="63" t="s">
        <v>4227</v>
      </c>
      <c r="R2868" s="1" t="s">
        <v>29</v>
      </c>
      <c r="S2868" s="13" t="s">
        <v>28</v>
      </c>
      <c r="T2868" s="68" t="s">
        <v>27756</v>
      </c>
      <c r="U2868" s="68" t="s">
        <v>29438</v>
      </c>
      <c r="V2868" s="68" t="s">
        <v>29439</v>
      </c>
      <c r="W2868" s="68" t="s">
        <v>100</v>
      </c>
      <c r="X2868" s="68">
        <v>130</v>
      </c>
      <c r="BK2868" s="44"/>
    </row>
    <row r="2869" spans="1:63" ht="12" customHeight="1" x14ac:dyDescent="0.15">
      <c r="A2869" s="1" t="s">
        <v>4228</v>
      </c>
      <c r="B2869" s="68">
        <v>56</v>
      </c>
      <c r="C2869" s="1" t="s">
        <v>20</v>
      </c>
      <c r="D2869" s="1" t="s">
        <v>37</v>
      </c>
      <c r="F2869" s="69">
        <v>42051</v>
      </c>
      <c r="G2869" s="1" t="s">
        <v>4229</v>
      </c>
      <c r="H2869" s="1" t="s">
        <v>4230</v>
      </c>
      <c r="I2869" s="1" t="s">
        <v>123</v>
      </c>
      <c r="J2869" s="4" t="s">
        <v>4231</v>
      </c>
      <c r="K2869" s="1" t="s">
        <v>562</v>
      </c>
      <c r="L2869" s="1" t="s">
        <v>4232</v>
      </c>
      <c r="M2869" s="1" t="s">
        <v>27</v>
      </c>
      <c r="N2869" s="1" t="s">
        <v>4233</v>
      </c>
      <c r="O2869" s="1" t="s">
        <v>1010</v>
      </c>
      <c r="P2869" s="1" t="s">
        <v>401</v>
      </c>
      <c r="Q2869" s="63" t="s">
        <v>4234</v>
      </c>
      <c r="R2869" s="1" t="s">
        <v>100</v>
      </c>
      <c r="S2869" s="13" t="s">
        <v>28</v>
      </c>
      <c r="T2869" s="68" t="s">
        <v>27756</v>
      </c>
      <c r="U2869" s="68" t="s">
        <v>29438</v>
      </c>
      <c r="V2869" s="68" t="s">
        <v>29439</v>
      </c>
      <c r="W2869" s="68" t="s">
        <v>100</v>
      </c>
      <c r="X2869" s="68">
        <v>156</v>
      </c>
      <c r="BK2869" s="44"/>
    </row>
    <row r="2870" spans="1:63" ht="12" customHeight="1" x14ac:dyDescent="0.15">
      <c r="A2870" s="1" t="s">
        <v>4235</v>
      </c>
      <c r="B2870" s="68">
        <v>26</v>
      </c>
      <c r="C2870" s="1" t="s">
        <v>20</v>
      </c>
      <c r="D2870" s="1" t="s">
        <v>37</v>
      </c>
      <c r="E2870" s="1" t="s">
        <v>4236</v>
      </c>
      <c r="F2870" s="69">
        <v>42051</v>
      </c>
      <c r="G2870" s="1" t="s">
        <v>4237</v>
      </c>
      <c r="H2870" s="1" t="s">
        <v>4238</v>
      </c>
      <c r="I2870" s="1" t="s">
        <v>790</v>
      </c>
      <c r="J2870" s="4" t="s">
        <v>4239</v>
      </c>
      <c r="K2870" s="1" t="s">
        <v>4240</v>
      </c>
      <c r="L2870" s="1" t="s">
        <v>4241</v>
      </c>
      <c r="M2870" s="1" t="s">
        <v>27</v>
      </c>
      <c r="N2870" s="1" t="s">
        <v>4242</v>
      </c>
      <c r="O2870" s="1" t="s">
        <v>1010</v>
      </c>
      <c r="P2870" s="1" t="s">
        <v>401</v>
      </c>
      <c r="Q2870" s="63" t="s">
        <v>4243</v>
      </c>
      <c r="R2870" s="1" t="s">
        <v>100</v>
      </c>
      <c r="S2870" s="13" t="s">
        <v>28</v>
      </c>
      <c r="T2870" s="68" t="s">
        <v>27756</v>
      </c>
      <c r="U2870" s="68" t="s">
        <v>29438</v>
      </c>
      <c r="V2870" s="68" t="s">
        <v>29439</v>
      </c>
      <c r="W2870" s="68" t="s">
        <v>100</v>
      </c>
      <c r="X2870" s="68">
        <v>157</v>
      </c>
      <c r="AW2870" s="44"/>
      <c r="BK2870" s="44"/>
    </row>
    <row r="2871" spans="1:63" ht="12" customHeight="1" x14ac:dyDescent="0.2">
      <c r="A2871" s="1" t="s">
        <v>4269</v>
      </c>
      <c r="B2871" s="68">
        <v>24</v>
      </c>
      <c r="C2871" s="1" t="s">
        <v>20</v>
      </c>
      <c r="D2871" s="1" t="s">
        <v>37</v>
      </c>
      <c r="E2871" s="1" t="s">
        <v>4270</v>
      </c>
      <c r="F2871" s="69">
        <v>42051</v>
      </c>
      <c r="G2871" s="1" t="s">
        <v>4271</v>
      </c>
      <c r="H2871" s="1" t="s">
        <v>4272</v>
      </c>
      <c r="I2871" s="1" t="s">
        <v>240</v>
      </c>
      <c r="J2871" s="4" t="s">
        <v>4273</v>
      </c>
      <c r="K2871" s="1" t="s">
        <v>590</v>
      </c>
      <c r="L2871" s="1" t="s">
        <v>4274</v>
      </c>
      <c r="M2871" s="1" t="s">
        <v>27</v>
      </c>
      <c r="N2871" s="1" t="s">
        <v>4275</v>
      </c>
      <c r="O2871" s="1" t="s">
        <v>1010</v>
      </c>
      <c r="P2871" s="1" t="s">
        <v>401</v>
      </c>
      <c r="Q2871" s="63" t="s">
        <v>4276</v>
      </c>
      <c r="R2871" s="68" t="s">
        <v>555</v>
      </c>
      <c r="S2871" s="13" t="s">
        <v>18</v>
      </c>
      <c r="T2871" s="68" t="s">
        <v>29612</v>
      </c>
      <c r="U2871" s="68" t="s">
        <v>29438</v>
      </c>
      <c r="V2871" s="68" t="s">
        <v>29439</v>
      </c>
      <c r="W2871" s="68" t="s">
        <v>100</v>
      </c>
      <c r="X2871" s="68">
        <v>158</v>
      </c>
      <c r="AW2871" s="11"/>
      <c r="BA2871" s="70"/>
      <c r="BB2871" s="44"/>
    </row>
    <row r="2872" spans="1:63" ht="12" customHeight="1" x14ac:dyDescent="0.15">
      <c r="A2872" s="1" t="s">
        <v>4260</v>
      </c>
      <c r="B2872" s="68">
        <v>34</v>
      </c>
      <c r="C2872" s="1" t="s">
        <v>20</v>
      </c>
      <c r="D2872" s="1" t="s">
        <v>37</v>
      </c>
      <c r="E2872" s="1" t="s">
        <v>4261</v>
      </c>
      <c r="F2872" s="69">
        <v>42050</v>
      </c>
      <c r="G2872" s="1" t="s">
        <v>4262</v>
      </c>
      <c r="H2872" s="1" t="s">
        <v>4263</v>
      </c>
      <c r="I2872" s="1" t="s">
        <v>669</v>
      </c>
      <c r="J2872" s="4" t="s">
        <v>4264</v>
      </c>
      <c r="K2872" s="1" t="s">
        <v>4265</v>
      </c>
      <c r="L2872" s="1" t="s">
        <v>4266</v>
      </c>
      <c r="M2872" s="1" t="s">
        <v>27</v>
      </c>
      <c r="N2872" s="1" t="s">
        <v>4267</v>
      </c>
      <c r="O2872" s="1" t="s">
        <v>1010</v>
      </c>
      <c r="P2872" s="1" t="s">
        <v>401</v>
      </c>
      <c r="Q2872" s="63" t="s">
        <v>4268</v>
      </c>
      <c r="R2872" s="1" t="s">
        <v>100</v>
      </c>
      <c r="S2872" s="13" t="s">
        <v>28</v>
      </c>
      <c r="T2872" s="68" t="s">
        <v>27756</v>
      </c>
      <c r="U2872" s="68" t="s">
        <v>29438</v>
      </c>
      <c r="V2872" s="68" t="s">
        <v>29440</v>
      </c>
      <c r="W2872" s="68" t="s">
        <v>100</v>
      </c>
      <c r="X2872" s="68">
        <v>151</v>
      </c>
      <c r="AW2872" s="11"/>
      <c r="BK2872" s="44"/>
    </row>
    <row r="2873" spans="1:63" ht="12" customHeight="1" x14ac:dyDescent="0.2">
      <c r="A2873" s="1" t="s">
        <v>4244</v>
      </c>
      <c r="B2873" s="68">
        <v>25</v>
      </c>
      <c r="C2873" s="1" t="s">
        <v>20</v>
      </c>
      <c r="D2873" s="1" t="s">
        <v>85</v>
      </c>
      <c r="E2873" s="1" t="s">
        <v>4245</v>
      </c>
      <c r="F2873" s="69">
        <v>42050</v>
      </c>
      <c r="G2873" s="1" t="s">
        <v>4246</v>
      </c>
      <c r="H2873" s="1" t="s">
        <v>4247</v>
      </c>
      <c r="I2873" s="1" t="s">
        <v>62</v>
      </c>
      <c r="J2873" s="4" t="s">
        <v>4248</v>
      </c>
      <c r="K2873" s="1" t="s">
        <v>161</v>
      </c>
      <c r="L2873" s="1" t="s">
        <v>4249</v>
      </c>
      <c r="M2873" s="68" t="s">
        <v>5411</v>
      </c>
      <c r="N2873" s="1" t="s">
        <v>31044</v>
      </c>
      <c r="O2873" s="1" t="s">
        <v>1010</v>
      </c>
      <c r="P2873" s="1" t="s">
        <v>401</v>
      </c>
      <c r="Q2873" s="63" t="s">
        <v>4250</v>
      </c>
      <c r="R2873" s="1" t="s">
        <v>555</v>
      </c>
      <c r="S2873" s="11" t="s">
        <v>18</v>
      </c>
      <c r="T2873" s="68" t="s">
        <v>28345</v>
      </c>
      <c r="U2873" s="68" t="s">
        <v>29436</v>
      </c>
      <c r="V2873" s="68" t="s">
        <v>29439</v>
      </c>
      <c r="W2873" s="68" t="s">
        <v>100</v>
      </c>
      <c r="X2873" s="68">
        <v>150</v>
      </c>
      <c r="AW2873" s="44"/>
      <c r="AX2873" s="44"/>
      <c r="AY2873" s="44"/>
      <c r="BA2873" s="44"/>
      <c r="BB2873" s="70"/>
      <c r="BC2873" s="11"/>
      <c r="BD2873" s="11"/>
      <c r="BE2873" s="11"/>
      <c r="BF2873" s="11"/>
      <c r="BG2873" s="11"/>
      <c r="BH2873" s="11"/>
      <c r="BI2873" s="11"/>
      <c r="BJ2873" s="11"/>
    </row>
    <row r="2874" spans="1:63" ht="12" customHeight="1" x14ac:dyDescent="0.2">
      <c r="A2874" s="1" t="s">
        <v>4251</v>
      </c>
      <c r="B2874" s="68">
        <v>34</v>
      </c>
      <c r="C2874" s="1" t="s">
        <v>20</v>
      </c>
      <c r="D2874" s="1" t="s">
        <v>37</v>
      </c>
      <c r="E2874" s="1" t="s">
        <v>4252</v>
      </c>
      <c r="F2874" s="69">
        <v>42050</v>
      </c>
      <c r="G2874" s="1" t="s">
        <v>4253</v>
      </c>
      <c r="H2874" s="1" t="s">
        <v>4254</v>
      </c>
      <c r="I2874" s="1" t="s">
        <v>117</v>
      </c>
      <c r="J2874" s="4" t="s">
        <v>4255</v>
      </c>
      <c r="K2874" s="1" t="s">
        <v>4256</v>
      </c>
      <c r="L2874" s="1" t="s">
        <v>4257</v>
      </c>
      <c r="M2874" s="1" t="s">
        <v>27</v>
      </c>
      <c r="N2874" s="1" t="s">
        <v>4258</v>
      </c>
      <c r="O2874" s="1" t="s">
        <v>1010</v>
      </c>
      <c r="P2874" s="1" t="s">
        <v>401</v>
      </c>
      <c r="Q2874" s="63" t="s">
        <v>4259</v>
      </c>
      <c r="R2874" s="68" t="s">
        <v>555</v>
      </c>
      <c r="S2874" s="13" t="s">
        <v>28</v>
      </c>
      <c r="T2874" s="68" t="s">
        <v>29451</v>
      </c>
      <c r="U2874" s="68" t="s">
        <v>29436</v>
      </c>
      <c r="V2874" s="68" t="s">
        <v>29439</v>
      </c>
      <c r="W2874" s="68" t="s">
        <v>100</v>
      </c>
      <c r="X2874" s="68">
        <v>153</v>
      </c>
      <c r="AW2874" s="11"/>
      <c r="BA2874" s="70"/>
      <c r="BB2874" s="44"/>
      <c r="BK2874" s="44"/>
    </row>
    <row r="2875" spans="1:63" ht="12" customHeight="1" x14ac:dyDescent="0.15">
      <c r="A2875" s="1" t="s">
        <v>4277</v>
      </c>
      <c r="B2875" s="68">
        <v>51</v>
      </c>
      <c r="C2875" s="1" t="s">
        <v>20</v>
      </c>
      <c r="D2875" s="1" t="s">
        <v>37</v>
      </c>
      <c r="E2875" s="1" t="s">
        <v>20291</v>
      </c>
      <c r="F2875" s="69">
        <v>42049</v>
      </c>
      <c r="G2875" s="1" t="s">
        <v>4278</v>
      </c>
      <c r="H2875" s="1" t="s">
        <v>4279</v>
      </c>
      <c r="I2875" s="1" t="s">
        <v>73</v>
      </c>
      <c r="J2875" s="4" t="s">
        <v>4280</v>
      </c>
      <c r="K2875" s="1" t="s">
        <v>4281</v>
      </c>
      <c r="L2875" s="1" t="s">
        <v>4282</v>
      </c>
      <c r="M2875" s="1" t="s">
        <v>27</v>
      </c>
      <c r="N2875" s="1" t="s">
        <v>4283</v>
      </c>
      <c r="O2875" s="1" t="s">
        <v>550</v>
      </c>
      <c r="P2875" s="1" t="s">
        <v>401</v>
      </c>
      <c r="Q2875" s="63" t="s">
        <v>4284</v>
      </c>
      <c r="R2875" s="1" t="s">
        <v>100</v>
      </c>
      <c r="S2875" s="13" t="s">
        <v>28</v>
      </c>
      <c r="T2875" s="68" t="s">
        <v>27756</v>
      </c>
      <c r="U2875" s="68" t="s">
        <v>29438</v>
      </c>
      <c r="V2875" s="68" t="s">
        <v>29439</v>
      </c>
      <c r="W2875" s="68" t="s">
        <v>100</v>
      </c>
      <c r="X2875" s="68">
        <v>155</v>
      </c>
      <c r="BK2875" s="44"/>
    </row>
    <row r="2876" spans="1:63" ht="12" customHeight="1" x14ac:dyDescent="0.2">
      <c r="A2876" s="1" t="s">
        <v>4285</v>
      </c>
      <c r="B2876" s="68">
        <v>16</v>
      </c>
      <c r="C2876" s="1" t="s">
        <v>20</v>
      </c>
      <c r="D2876" s="1" t="s">
        <v>37</v>
      </c>
      <c r="E2876" s="1" t="s">
        <v>4286</v>
      </c>
      <c r="F2876" s="69">
        <v>42049</v>
      </c>
      <c r="G2876" s="1" t="s">
        <v>4287</v>
      </c>
      <c r="H2876" s="1" t="s">
        <v>528</v>
      </c>
      <c r="I2876" s="1" t="s">
        <v>52</v>
      </c>
      <c r="J2876" s="4" t="s">
        <v>4288</v>
      </c>
      <c r="K2876" s="1" t="s">
        <v>1592</v>
      </c>
      <c r="L2876" s="1" t="s">
        <v>231</v>
      </c>
      <c r="M2876" s="1" t="s">
        <v>27</v>
      </c>
      <c r="N2876" s="1" t="s">
        <v>4289</v>
      </c>
      <c r="O2876" s="1" t="s">
        <v>1010</v>
      </c>
      <c r="P2876" s="1" t="s">
        <v>401</v>
      </c>
      <c r="Q2876" s="63" t="s">
        <v>4290</v>
      </c>
      <c r="R2876" s="68" t="s">
        <v>555</v>
      </c>
      <c r="S2876" s="13" t="s">
        <v>28</v>
      </c>
      <c r="T2876" s="68" t="s">
        <v>27756</v>
      </c>
      <c r="U2876" s="68" t="s">
        <v>29438</v>
      </c>
      <c r="V2876" s="68" t="s">
        <v>29437</v>
      </c>
      <c r="W2876" s="68" t="s">
        <v>100</v>
      </c>
      <c r="X2876" s="68">
        <v>149</v>
      </c>
      <c r="AW2876" s="70"/>
      <c r="BA2876" s="70"/>
      <c r="BB2876" s="44"/>
      <c r="BK2876" s="44"/>
    </row>
    <row r="2877" spans="1:63" ht="12" customHeight="1" x14ac:dyDescent="0.15">
      <c r="A2877" s="1" t="s">
        <v>4303</v>
      </c>
      <c r="B2877" s="68">
        <v>27</v>
      </c>
      <c r="C2877" s="1" t="s">
        <v>20</v>
      </c>
      <c r="D2877" s="1" t="s">
        <v>37</v>
      </c>
      <c r="F2877" s="69">
        <v>42048</v>
      </c>
      <c r="G2877" s="1" t="s">
        <v>4304</v>
      </c>
      <c r="H2877" s="1" t="s">
        <v>4305</v>
      </c>
      <c r="I2877" s="1" t="s">
        <v>319</v>
      </c>
      <c r="J2877" s="4" t="s">
        <v>4306</v>
      </c>
      <c r="K2877" s="1" t="s">
        <v>2082</v>
      </c>
      <c r="L2877" s="1" t="s">
        <v>4307</v>
      </c>
      <c r="M2877" s="1" t="s">
        <v>27</v>
      </c>
      <c r="N2877" s="1" t="s">
        <v>4308</v>
      </c>
      <c r="O2877" s="1" t="s">
        <v>1010</v>
      </c>
      <c r="P2877" s="1" t="s">
        <v>401</v>
      </c>
      <c r="Q2877" s="63" t="s">
        <v>4309</v>
      </c>
      <c r="R2877" s="1" t="s">
        <v>100</v>
      </c>
      <c r="S2877" s="13" t="s">
        <v>28</v>
      </c>
      <c r="T2877" s="68" t="s">
        <v>27756</v>
      </c>
      <c r="U2877" s="68" t="s">
        <v>29438</v>
      </c>
      <c r="V2877" s="68" t="s">
        <v>29439</v>
      </c>
      <c r="W2877" s="68" t="s">
        <v>100</v>
      </c>
      <c r="X2877" s="68">
        <v>148</v>
      </c>
      <c r="AW2877" s="44"/>
      <c r="BK2877" s="44"/>
    </row>
    <row r="2878" spans="1:63" ht="12" customHeight="1" x14ac:dyDescent="0.15">
      <c r="A2878" s="1" t="s">
        <v>4310</v>
      </c>
      <c r="B2878" s="68">
        <v>35</v>
      </c>
      <c r="C2878" s="1" t="s">
        <v>20</v>
      </c>
      <c r="D2878" s="68" t="s">
        <v>48</v>
      </c>
      <c r="E2878" s="1" t="s">
        <v>4311</v>
      </c>
      <c r="F2878" s="69">
        <v>42048</v>
      </c>
      <c r="G2878" s="1" t="s">
        <v>4312</v>
      </c>
      <c r="H2878" s="1" t="s">
        <v>4313</v>
      </c>
      <c r="I2878" s="1" t="s">
        <v>404</v>
      </c>
      <c r="J2878" s="4">
        <v>19606</v>
      </c>
      <c r="K2878" s="1" t="s">
        <v>4314</v>
      </c>
      <c r="L2878" s="1" t="s">
        <v>9350</v>
      </c>
      <c r="M2878" s="1" t="s">
        <v>27</v>
      </c>
      <c r="N2878" s="1" t="s">
        <v>4315</v>
      </c>
      <c r="O2878" s="1" t="s">
        <v>400</v>
      </c>
      <c r="P2878" s="1" t="s">
        <v>401</v>
      </c>
      <c r="Q2878" s="63" t="str">
        <f>HYPERLINK("http://touch.mcall.com/#section/-1/article/p2p-82809119/","http://touch.mcall.com/#section/-1/article/p2p-82809119/")</f>
        <v>http://touch.mcall.com/#section/-1/article/p2p-82809119/</v>
      </c>
      <c r="R2878" s="1" t="s">
        <v>100</v>
      </c>
      <c r="S2878" s="13" t="s">
        <v>18</v>
      </c>
      <c r="T2878" s="68" t="s">
        <v>28345</v>
      </c>
      <c r="U2878" s="68" t="s">
        <v>29436</v>
      </c>
      <c r="V2878" s="68" t="s">
        <v>29439</v>
      </c>
      <c r="W2878" s="68" t="s">
        <v>100</v>
      </c>
      <c r="X2878" s="68">
        <v>147</v>
      </c>
      <c r="AW2878" s="44"/>
    </row>
    <row r="2879" spans="1:63" ht="12" customHeight="1" x14ac:dyDescent="0.15">
      <c r="A2879" s="1" t="s">
        <v>4316</v>
      </c>
      <c r="B2879" s="68">
        <v>23</v>
      </c>
      <c r="C2879" s="1" t="s">
        <v>20</v>
      </c>
      <c r="D2879" s="1" t="s">
        <v>37</v>
      </c>
      <c r="E2879" s="1" t="s">
        <v>4317</v>
      </c>
      <c r="F2879" s="69">
        <v>42048</v>
      </c>
      <c r="G2879" s="1" t="s">
        <v>4318</v>
      </c>
      <c r="H2879" s="1" t="s">
        <v>309</v>
      </c>
      <c r="I2879" s="1" t="s">
        <v>45</v>
      </c>
      <c r="J2879" s="4" t="s">
        <v>4319</v>
      </c>
      <c r="K2879" s="1" t="s">
        <v>309</v>
      </c>
      <c r="L2879" s="1" t="s">
        <v>4320</v>
      </c>
      <c r="M2879" s="1" t="s">
        <v>27</v>
      </c>
      <c r="N2879" s="1" t="s">
        <v>4321</v>
      </c>
      <c r="O2879" s="1" t="s">
        <v>1010</v>
      </c>
      <c r="P2879" s="1" t="s">
        <v>401</v>
      </c>
      <c r="Q2879" s="63" t="s">
        <v>4322</v>
      </c>
      <c r="R2879" s="1" t="s">
        <v>100</v>
      </c>
      <c r="S2879" s="13" t="s">
        <v>379</v>
      </c>
      <c r="T2879" s="68" t="s">
        <v>379</v>
      </c>
      <c r="U2879" s="68" t="s">
        <v>29438</v>
      </c>
      <c r="V2879" s="68" t="s">
        <v>29437</v>
      </c>
      <c r="W2879" s="68" t="s">
        <v>100</v>
      </c>
      <c r="X2879" s="68">
        <v>145</v>
      </c>
      <c r="AW2879" s="11"/>
      <c r="BK2879" s="44"/>
    </row>
    <row r="2880" spans="1:63" ht="12" customHeight="1" x14ac:dyDescent="0.15">
      <c r="A2880" s="1" t="s">
        <v>4291</v>
      </c>
      <c r="B2880" s="68">
        <v>21</v>
      </c>
      <c r="C2880" s="1" t="s">
        <v>20</v>
      </c>
      <c r="D2880" s="1" t="s">
        <v>48</v>
      </c>
      <c r="F2880" s="69">
        <v>42048</v>
      </c>
      <c r="G2880" s="1" t="s">
        <v>4292</v>
      </c>
      <c r="H2880" s="1" t="s">
        <v>430</v>
      </c>
      <c r="I2880" s="1" t="s">
        <v>363</v>
      </c>
      <c r="J2880" s="4" t="s">
        <v>4293</v>
      </c>
      <c r="K2880" s="1" t="s">
        <v>598</v>
      </c>
      <c r="L2880" s="1" t="s">
        <v>2121</v>
      </c>
      <c r="M2880" s="1" t="s">
        <v>27</v>
      </c>
      <c r="N2880" s="1" t="s">
        <v>4294</v>
      </c>
      <c r="O2880" s="1" t="s">
        <v>1010</v>
      </c>
      <c r="P2880" s="1" t="s">
        <v>401</v>
      </c>
      <c r="Q2880" s="63" t="s">
        <v>4295</v>
      </c>
      <c r="R2880" s="1" t="s">
        <v>29</v>
      </c>
      <c r="S2880" s="13" t="s">
        <v>28</v>
      </c>
      <c r="T2880" s="68" t="s">
        <v>27756</v>
      </c>
      <c r="U2880" s="68" t="s">
        <v>29438</v>
      </c>
      <c r="V2880" s="68" t="s">
        <v>29437</v>
      </c>
      <c r="W2880" s="68" t="s">
        <v>100</v>
      </c>
      <c r="X2880" s="68">
        <v>146</v>
      </c>
      <c r="AW2880" s="44"/>
      <c r="BK2880" s="44"/>
    </row>
    <row r="2881" spans="1:63" ht="12" customHeight="1" x14ac:dyDescent="0.15">
      <c r="A2881" s="1" t="s">
        <v>4296</v>
      </c>
      <c r="B2881" s="68">
        <v>37</v>
      </c>
      <c r="C2881" s="1" t="s">
        <v>20</v>
      </c>
      <c r="D2881" s="1" t="s">
        <v>48</v>
      </c>
      <c r="E2881" s="1" t="s">
        <v>4297</v>
      </c>
      <c r="F2881" s="69">
        <v>42048</v>
      </c>
      <c r="G2881" s="1" t="s">
        <v>4298</v>
      </c>
      <c r="H2881" s="1" t="s">
        <v>4299</v>
      </c>
      <c r="I2881" s="1" t="s">
        <v>123</v>
      </c>
      <c r="J2881" s="4" t="s">
        <v>4300</v>
      </c>
      <c r="K2881" s="1" t="s">
        <v>2390</v>
      </c>
      <c r="L2881" s="1" t="s">
        <v>2391</v>
      </c>
      <c r="M2881" s="1" t="s">
        <v>27</v>
      </c>
      <c r="N2881" s="1" t="s">
        <v>4301</v>
      </c>
      <c r="O2881" s="1" t="s">
        <v>1010</v>
      </c>
      <c r="P2881" s="1" t="s">
        <v>401</v>
      </c>
      <c r="Q2881" s="63" t="s">
        <v>4302</v>
      </c>
      <c r="R2881" s="1" t="s">
        <v>555</v>
      </c>
      <c r="S2881" s="13" t="s">
        <v>28</v>
      </c>
      <c r="T2881" s="68" t="s">
        <v>29493</v>
      </c>
      <c r="U2881" s="68" t="s">
        <v>29436</v>
      </c>
      <c r="V2881" s="68" t="s">
        <v>29439</v>
      </c>
      <c r="W2881" s="68" t="s">
        <v>100</v>
      </c>
      <c r="X2881" s="68">
        <v>154</v>
      </c>
      <c r="AW2881" s="11"/>
      <c r="BA2881" s="44"/>
      <c r="BB2881" s="44"/>
      <c r="BK2881" s="44"/>
    </row>
    <row r="2882" spans="1:63" ht="12" customHeight="1" x14ac:dyDescent="0.15">
      <c r="A2882" s="1" t="s">
        <v>4336</v>
      </c>
      <c r="B2882" s="1">
        <v>37</v>
      </c>
      <c r="C2882" s="1" t="s">
        <v>20</v>
      </c>
      <c r="D2882" s="1" t="s">
        <v>37</v>
      </c>
      <c r="E2882" s="1" t="s">
        <v>4337</v>
      </c>
      <c r="F2882" s="72">
        <v>42046</v>
      </c>
      <c r="G2882" s="1" t="s">
        <v>4338</v>
      </c>
      <c r="H2882" s="1" t="s">
        <v>4339</v>
      </c>
      <c r="I2882" s="1" t="s">
        <v>62</v>
      </c>
      <c r="J2882" s="4" t="s">
        <v>4340</v>
      </c>
      <c r="K2882" s="1" t="s">
        <v>4341</v>
      </c>
      <c r="L2882" s="1" t="s">
        <v>4342</v>
      </c>
      <c r="M2882" s="1" t="s">
        <v>27</v>
      </c>
      <c r="N2882" s="1" t="s">
        <v>4343</v>
      </c>
      <c r="O2882" s="1" t="s">
        <v>400</v>
      </c>
      <c r="P2882" s="1" t="s">
        <v>401</v>
      </c>
      <c r="Q2882" s="63" t="str">
        <f>HYPERLINK("http://www.starfl.com/news/local-news/officer-involved-shooting-under-investigation-1.440104","http://www.starfl.com/news/local-news/officer-involved-shooting-under-investigation-1.440104")</f>
        <v>http://www.starfl.com/news/local-news/officer-involved-shooting-under-investigation-1.440104</v>
      </c>
      <c r="R2882" s="1" t="s">
        <v>29</v>
      </c>
      <c r="S2882" s="13" t="s">
        <v>18</v>
      </c>
      <c r="T2882" s="68"/>
      <c r="U2882" s="68"/>
      <c r="V2882" s="68"/>
      <c r="W2882" s="68"/>
      <c r="X2882" s="68"/>
    </row>
    <row r="2883" spans="1:63" ht="12" customHeight="1" x14ac:dyDescent="0.2">
      <c r="A2883" s="1" t="s">
        <v>4323</v>
      </c>
      <c r="B2883" s="68">
        <v>23</v>
      </c>
      <c r="C2883" s="1" t="s">
        <v>20</v>
      </c>
      <c r="D2883" s="1" t="s">
        <v>85</v>
      </c>
      <c r="E2883" s="1" t="s">
        <v>4324</v>
      </c>
      <c r="F2883" s="69">
        <v>42046</v>
      </c>
      <c r="G2883" s="1" t="s">
        <v>4325</v>
      </c>
      <c r="H2883" s="1" t="s">
        <v>606</v>
      </c>
      <c r="I2883" s="1" t="s">
        <v>45</v>
      </c>
      <c r="J2883" s="4" t="s">
        <v>4326</v>
      </c>
      <c r="K2883" s="1" t="s">
        <v>607</v>
      </c>
      <c r="L2883" s="1" t="s">
        <v>727</v>
      </c>
      <c r="M2883" s="1" t="s">
        <v>27</v>
      </c>
      <c r="N2883" s="1" t="s">
        <v>4327</v>
      </c>
      <c r="O2883" s="1" t="s">
        <v>1010</v>
      </c>
      <c r="P2883" s="1" t="s">
        <v>401</v>
      </c>
      <c r="Q2883" s="63" t="s">
        <v>4328</v>
      </c>
      <c r="R2883" s="68" t="s">
        <v>555</v>
      </c>
      <c r="S2883" s="13" t="s">
        <v>28</v>
      </c>
      <c r="T2883" s="68" t="s">
        <v>29493</v>
      </c>
      <c r="U2883" s="68" t="s">
        <v>29436</v>
      </c>
      <c r="V2883" s="68" t="s">
        <v>29439</v>
      </c>
      <c r="W2883" s="68" t="s">
        <v>100</v>
      </c>
      <c r="X2883" s="68">
        <v>141</v>
      </c>
      <c r="AW2883" s="11"/>
      <c r="AX2883" s="44"/>
      <c r="AY2883" s="44"/>
      <c r="BA2883" s="70"/>
      <c r="BB2883" s="44"/>
      <c r="BC2883" s="11"/>
      <c r="BD2883" s="11"/>
      <c r="BE2883" s="11"/>
      <c r="BF2883" s="11"/>
      <c r="BG2883" s="11"/>
      <c r="BH2883" s="11"/>
      <c r="BI2883" s="11"/>
      <c r="BJ2883" s="11"/>
      <c r="BK2883" s="44"/>
    </row>
    <row r="2884" spans="1:63" ht="12" customHeight="1" x14ac:dyDescent="0.15">
      <c r="A2884" s="1" t="s">
        <v>4329</v>
      </c>
      <c r="B2884" s="68">
        <v>46</v>
      </c>
      <c r="C2884" s="1" t="s">
        <v>20</v>
      </c>
      <c r="D2884" s="1" t="s">
        <v>37</v>
      </c>
      <c r="F2884" s="69">
        <v>42046</v>
      </c>
      <c r="G2884" s="1" t="s">
        <v>4330</v>
      </c>
      <c r="H2884" s="1" t="s">
        <v>4331</v>
      </c>
      <c r="I2884" s="1" t="s">
        <v>94</v>
      </c>
      <c r="J2884" s="4">
        <v>36853</v>
      </c>
      <c r="K2884" s="1" t="s">
        <v>4332</v>
      </c>
      <c r="L2884" s="1" t="s">
        <v>4333</v>
      </c>
      <c r="M2884" s="1" t="s">
        <v>27</v>
      </c>
      <c r="N2884" s="1" t="s">
        <v>4334</v>
      </c>
      <c r="O2884" s="1" t="s">
        <v>400</v>
      </c>
      <c r="P2884" s="1" t="s">
        <v>401</v>
      </c>
      <c r="Q2884" s="63" t="s">
        <v>4335</v>
      </c>
      <c r="R2884" s="68" t="s">
        <v>555</v>
      </c>
      <c r="S2884" s="13" t="s">
        <v>18</v>
      </c>
      <c r="T2884" s="68" t="s">
        <v>29612</v>
      </c>
      <c r="U2884" s="68" t="s">
        <v>29438</v>
      </c>
      <c r="V2884" s="68" t="s">
        <v>29440</v>
      </c>
      <c r="W2884" s="68" t="s">
        <v>555</v>
      </c>
      <c r="X2884" s="68">
        <v>142</v>
      </c>
      <c r="BA2884" s="44"/>
      <c r="BB2884" s="44"/>
    </row>
    <row r="2885" spans="1:63" ht="12" customHeight="1" x14ac:dyDescent="0.15">
      <c r="A2885" s="1" t="s">
        <v>4344</v>
      </c>
      <c r="B2885" s="68">
        <v>49</v>
      </c>
      <c r="C2885" s="1" t="s">
        <v>20</v>
      </c>
      <c r="D2885" s="1" t="s">
        <v>85</v>
      </c>
      <c r="E2885" s="1" t="s">
        <v>4345</v>
      </c>
      <c r="F2885" s="69">
        <v>42045</v>
      </c>
      <c r="G2885" s="1" t="s">
        <v>4346</v>
      </c>
      <c r="H2885" s="1" t="s">
        <v>1192</v>
      </c>
      <c r="I2885" s="1" t="s">
        <v>319</v>
      </c>
      <c r="J2885" s="4" t="s">
        <v>4347</v>
      </c>
      <c r="K2885" s="1" t="s">
        <v>1193</v>
      </c>
      <c r="L2885" s="1" t="s">
        <v>1194</v>
      </c>
      <c r="M2885" s="1" t="s">
        <v>27</v>
      </c>
      <c r="N2885" s="1" t="s">
        <v>4348</v>
      </c>
      <c r="O2885" s="1" t="s">
        <v>1010</v>
      </c>
      <c r="P2885" s="1" t="s">
        <v>401</v>
      </c>
      <c r="Q2885" s="63" t="s">
        <v>4349</v>
      </c>
      <c r="R2885" s="1" t="s">
        <v>29</v>
      </c>
      <c r="S2885" s="13" t="s">
        <v>28</v>
      </c>
      <c r="T2885" s="68" t="s">
        <v>27756</v>
      </c>
      <c r="U2885" s="68" t="s">
        <v>29438</v>
      </c>
      <c r="V2885" s="68" t="s">
        <v>29439</v>
      </c>
      <c r="W2885" s="68" t="s">
        <v>100</v>
      </c>
      <c r="X2885" s="68">
        <v>139</v>
      </c>
      <c r="AX2885" s="44"/>
      <c r="AY2885" s="44"/>
      <c r="BC2885" s="11"/>
      <c r="BD2885" s="11"/>
      <c r="BE2885" s="11"/>
      <c r="BF2885" s="11"/>
      <c r="BG2885" s="11"/>
      <c r="BH2885" s="11"/>
      <c r="BI2885" s="11"/>
      <c r="BJ2885" s="11"/>
      <c r="BK2885" s="44"/>
    </row>
    <row r="2886" spans="1:63" ht="12" customHeight="1" x14ac:dyDescent="0.15">
      <c r="A2886" s="1" t="s">
        <v>4358</v>
      </c>
      <c r="B2886" s="68">
        <v>45</v>
      </c>
      <c r="C2886" s="1" t="s">
        <v>20</v>
      </c>
      <c r="D2886" s="1" t="s">
        <v>37</v>
      </c>
      <c r="E2886" s="1" t="s">
        <v>4359</v>
      </c>
      <c r="F2886" s="69">
        <v>42045</v>
      </c>
      <c r="G2886" s="1" t="s">
        <v>4360</v>
      </c>
      <c r="H2886" s="1" t="s">
        <v>4361</v>
      </c>
      <c r="I2886" s="1" t="s">
        <v>209</v>
      </c>
      <c r="J2886" s="4" t="s">
        <v>4362</v>
      </c>
      <c r="K2886" s="1" t="s">
        <v>4363</v>
      </c>
      <c r="L2886" s="1" t="s">
        <v>4364</v>
      </c>
      <c r="M2886" s="1" t="s">
        <v>27</v>
      </c>
      <c r="N2886" s="1" t="s">
        <v>4365</v>
      </c>
      <c r="O2886" s="1" t="s">
        <v>400</v>
      </c>
      <c r="P2886" s="1" t="s">
        <v>401</v>
      </c>
      <c r="Q2886" s="63" t="s">
        <v>4366</v>
      </c>
      <c r="R2886" s="68" t="s">
        <v>555</v>
      </c>
      <c r="S2886" s="13" t="s">
        <v>28</v>
      </c>
      <c r="T2886" s="68" t="s">
        <v>27756</v>
      </c>
      <c r="U2886" s="68" t="s">
        <v>29438</v>
      </c>
      <c r="V2886" s="68" t="s">
        <v>29437</v>
      </c>
      <c r="W2886" s="68" t="s">
        <v>100</v>
      </c>
      <c r="X2886" s="68">
        <v>140</v>
      </c>
      <c r="BA2886" s="44"/>
      <c r="BB2886" s="11"/>
      <c r="BK2886" s="44"/>
    </row>
    <row r="2887" spans="1:63" ht="12" customHeight="1" x14ac:dyDescent="0.2">
      <c r="A2887" s="1" t="s">
        <v>4350</v>
      </c>
      <c r="B2887" s="68">
        <v>35</v>
      </c>
      <c r="C2887" s="1" t="s">
        <v>20</v>
      </c>
      <c r="D2887" s="1" t="s">
        <v>48</v>
      </c>
      <c r="E2887" s="1" t="s">
        <v>4351</v>
      </c>
      <c r="F2887" s="69">
        <v>42045</v>
      </c>
      <c r="G2887" s="1" t="s">
        <v>4352</v>
      </c>
      <c r="H2887" s="1" t="s">
        <v>4353</v>
      </c>
      <c r="I2887" s="1" t="s">
        <v>303</v>
      </c>
      <c r="J2887" s="4" t="s">
        <v>4354</v>
      </c>
      <c r="K2887" s="1" t="s">
        <v>1288</v>
      </c>
      <c r="L2887" s="1" t="s">
        <v>4355</v>
      </c>
      <c r="M2887" s="68" t="s">
        <v>5411</v>
      </c>
      <c r="N2887" s="1" t="s">
        <v>4356</v>
      </c>
      <c r="O2887" s="1" t="s">
        <v>400</v>
      </c>
      <c r="P2887" s="1" t="s">
        <v>401</v>
      </c>
      <c r="Q2887" s="63" t="s">
        <v>4357</v>
      </c>
      <c r="R2887" s="68" t="s">
        <v>555</v>
      </c>
      <c r="S2887" s="13" t="s">
        <v>18</v>
      </c>
      <c r="T2887" s="68" t="s">
        <v>28345</v>
      </c>
      <c r="U2887" s="68" t="s">
        <v>29436</v>
      </c>
      <c r="V2887" s="68" t="s">
        <v>29440</v>
      </c>
      <c r="W2887" s="68" t="s">
        <v>100</v>
      </c>
      <c r="X2887" s="68">
        <v>138</v>
      </c>
      <c r="AW2887" s="44"/>
      <c r="BA2887" s="44"/>
      <c r="BB2887" s="70"/>
    </row>
    <row r="2888" spans="1:63" ht="12" customHeight="1" x14ac:dyDescent="0.2">
      <c r="A2888" s="1" t="s">
        <v>4381</v>
      </c>
      <c r="B2888" s="1">
        <v>27</v>
      </c>
      <c r="C2888" s="1" t="s">
        <v>20</v>
      </c>
      <c r="D2888" s="1" t="s">
        <v>85</v>
      </c>
      <c r="E2888" s="1" t="s">
        <v>30983</v>
      </c>
      <c r="F2888" s="72">
        <v>42044</v>
      </c>
      <c r="G2888" s="1" t="s">
        <v>4382</v>
      </c>
      <c r="H2888" s="1" t="s">
        <v>1818</v>
      </c>
      <c r="I2888" s="1" t="s">
        <v>62</v>
      </c>
      <c r="J2888" s="4" t="s">
        <v>4383</v>
      </c>
      <c r="K2888" s="1" t="s">
        <v>1123</v>
      </c>
      <c r="L2888" s="1" t="s">
        <v>4384</v>
      </c>
      <c r="M2888" s="1" t="s">
        <v>9486</v>
      </c>
      <c r="N2888" s="1" t="s">
        <v>31045</v>
      </c>
      <c r="O2888" s="1" t="s">
        <v>1010</v>
      </c>
      <c r="P2888" s="1" t="s">
        <v>401</v>
      </c>
      <c r="Q2888" s="63" t="s">
        <v>4385</v>
      </c>
      <c r="R2888" s="1" t="s">
        <v>100</v>
      </c>
      <c r="S2888" s="13" t="s">
        <v>18</v>
      </c>
      <c r="AT2888" s="70"/>
      <c r="AU2888" s="70"/>
      <c r="BK2888" s="78"/>
    </row>
    <row r="2889" spans="1:63" ht="12" customHeight="1" x14ac:dyDescent="0.15">
      <c r="A2889" s="1" t="s">
        <v>4386</v>
      </c>
      <c r="B2889" s="1">
        <v>64</v>
      </c>
      <c r="C2889" s="1" t="s">
        <v>20</v>
      </c>
      <c r="D2889" s="1" t="s">
        <v>37</v>
      </c>
      <c r="F2889" s="72">
        <v>42044</v>
      </c>
      <c r="G2889" s="1" t="s">
        <v>4387</v>
      </c>
      <c r="H2889" s="1" t="s">
        <v>4388</v>
      </c>
      <c r="I2889" s="1" t="s">
        <v>45</v>
      </c>
      <c r="J2889" s="4" t="s">
        <v>4389</v>
      </c>
      <c r="K2889" s="1" t="s">
        <v>98</v>
      </c>
      <c r="L2889" s="1" t="s">
        <v>99</v>
      </c>
      <c r="M2889" s="1" t="s">
        <v>379</v>
      </c>
      <c r="N2889" s="1" t="s">
        <v>4390</v>
      </c>
      <c r="O2889" s="1" t="s">
        <v>1010</v>
      </c>
      <c r="P2889" s="1" t="s">
        <v>401</v>
      </c>
      <c r="Q2889" s="63" t="s">
        <v>4391</v>
      </c>
      <c r="R2889" s="1" t="s">
        <v>100</v>
      </c>
      <c r="S2889" s="13" t="s">
        <v>18</v>
      </c>
    </row>
    <row r="2890" spans="1:63" ht="12" customHeight="1" x14ac:dyDescent="0.15">
      <c r="A2890" s="1" t="s">
        <v>4377</v>
      </c>
      <c r="B2890" s="68">
        <v>45</v>
      </c>
      <c r="C2890" s="1" t="s">
        <v>20</v>
      </c>
      <c r="D2890" s="1" t="s">
        <v>85</v>
      </c>
      <c r="E2890" s="1" t="s">
        <v>4378</v>
      </c>
      <c r="F2890" s="69">
        <v>42044</v>
      </c>
      <c r="G2890" s="1" t="s">
        <v>4379</v>
      </c>
      <c r="H2890" s="1" t="s">
        <v>285</v>
      </c>
      <c r="I2890" s="1" t="s">
        <v>73</v>
      </c>
      <c r="J2890" s="4" t="s">
        <v>4380</v>
      </c>
      <c r="K2890" s="1" t="s">
        <v>285</v>
      </c>
      <c r="L2890" s="1" t="s">
        <v>286</v>
      </c>
      <c r="M2890" s="1" t="s">
        <v>27</v>
      </c>
      <c r="N2890" s="1" t="s">
        <v>21168</v>
      </c>
      <c r="O2890" s="1" t="s">
        <v>1010</v>
      </c>
      <c r="P2890" s="1" t="s">
        <v>401</v>
      </c>
      <c r="Q2890" s="6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2890" s="1" t="s">
        <v>100</v>
      </c>
      <c r="S2890" s="13" t="s">
        <v>379</v>
      </c>
      <c r="T2890" s="13" t="s">
        <v>379</v>
      </c>
      <c r="U2890" s="68" t="s">
        <v>29438</v>
      </c>
      <c r="V2890" s="68" t="s">
        <v>29439</v>
      </c>
      <c r="W2890" s="68" t="s">
        <v>100</v>
      </c>
      <c r="X2890" s="68">
        <v>137</v>
      </c>
      <c r="AX2890" s="44"/>
      <c r="AY2890" s="44"/>
      <c r="BC2890" s="11"/>
      <c r="BD2890" s="11"/>
      <c r="BE2890" s="11"/>
      <c r="BF2890" s="11"/>
      <c r="BG2890" s="11"/>
      <c r="BH2890" s="11"/>
      <c r="BI2890" s="11"/>
      <c r="BJ2890" s="11"/>
      <c r="BK2890" s="44"/>
    </row>
    <row r="2891" spans="1:63" ht="12" customHeight="1" x14ac:dyDescent="0.15">
      <c r="A2891" s="1" t="s">
        <v>4367</v>
      </c>
      <c r="B2891" s="68">
        <v>61</v>
      </c>
      <c r="C2891" s="1" t="s">
        <v>20</v>
      </c>
      <c r="D2891" s="1" t="s">
        <v>37</v>
      </c>
      <c r="E2891" s="1" t="s">
        <v>4368</v>
      </c>
      <c r="F2891" s="69">
        <v>42044</v>
      </c>
      <c r="G2891" s="1" t="s">
        <v>4369</v>
      </c>
      <c r="H2891" s="1" t="s">
        <v>4370</v>
      </c>
      <c r="I2891" s="1" t="s">
        <v>4371</v>
      </c>
      <c r="J2891" s="4" t="s">
        <v>4372</v>
      </c>
      <c r="K2891" s="1" t="s">
        <v>4373</v>
      </c>
      <c r="L2891" s="1" t="s">
        <v>4374</v>
      </c>
      <c r="M2891" s="1" t="s">
        <v>27</v>
      </c>
      <c r="N2891" s="1" t="s">
        <v>4375</v>
      </c>
      <c r="O2891" s="1" t="s">
        <v>1010</v>
      </c>
      <c r="P2891" s="1" t="s">
        <v>401</v>
      </c>
      <c r="Q2891" s="63" t="s">
        <v>4376</v>
      </c>
      <c r="R2891" s="68" t="s">
        <v>555</v>
      </c>
      <c r="S2891" s="13" t="s">
        <v>28</v>
      </c>
      <c r="T2891" s="68" t="s">
        <v>27756</v>
      </c>
      <c r="U2891" s="68" t="s">
        <v>29441</v>
      </c>
      <c r="V2891" s="68" t="s">
        <v>29439</v>
      </c>
      <c r="W2891" s="68" t="s">
        <v>100</v>
      </c>
      <c r="X2891" s="68">
        <v>136</v>
      </c>
      <c r="BA2891" s="44"/>
      <c r="BB2891" s="44"/>
      <c r="BK2891" s="44"/>
    </row>
    <row r="2892" spans="1:63" ht="12" customHeight="1" x14ac:dyDescent="0.15">
      <c r="A2892" s="1" t="s">
        <v>4414</v>
      </c>
      <c r="B2892" s="68">
        <v>33</v>
      </c>
      <c r="C2892" s="1" t="s">
        <v>20</v>
      </c>
      <c r="D2892" s="1" t="s">
        <v>48</v>
      </c>
      <c r="E2892" s="1" t="s">
        <v>4415</v>
      </c>
      <c r="F2892" s="69">
        <v>42043</v>
      </c>
      <c r="G2892" s="1" t="s">
        <v>4416</v>
      </c>
      <c r="H2892" s="1" t="s">
        <v>4417</v>
      </c>
      <c r="I2892" s="1" t="s">
        <v>330</v>
      </c>
      <c r="J2892" s="4" t="s">
        <v>4418</v>
      </c>
      <c r="K2892" s="1" t="s">
        <v>4417</v>
      </c>
      <c r="L2892" s="1" t="s">
        <v>4419</v>
      </c>
      <c r="M2892" s="1" t="s">
        <v>27</v>
      </c>
      <c r="N2892" s="1" t="s">
        <v>4420</v>
      </c>
      <c r="O2892" s="1" t="s">
        <v>1010</v>
      </c>
      <c r="P2892" s="1" t="s">
        <v>401</v>
      </c>
      <c r="Q2892" s="63" t="s">
        <v>4421</v>
      </c>
      <c r="R2892" s="1" t="s">
        <v>100</v>
      </c>
      <c r="S2892" s="13" t="s">
        <v>28</v>
      </c>
      <c r="T2892" s="68" t="s">
        <v>27756</v>
      </c>
      <c r="U2892" s="68" t="s">
        <v>29438</v>
      </c>
      <c r="V2892" s="68" t="s">
        <v>29437</v>
      </c>
      <c r="W2892" s="68" t="s">
        <v>100</v>
      </c>
      <c r="X2892" s="68">
        <v>131</v>
      </c>
      <c r="AW2892" s="11"/>
      <c r="BK2892" s="44"/>
    </row>
    <row r="2893" spans="1:63" ht="12" customHeight="1" x14ac:dyDescent="0.15">
      <c r="A2893" s="1" t="s">
        <v>4422</v>
      </c>
      <c r="B2893" s="68">
        <v>46</v>
      </c>
      <c r="C2893" s="1" t="s">
        <v>20</v>
      </c>
      <c r="D2893" s="1" t="s">
        <v>85</v>
      </c>
      <c r="E2893" s="1" t="str">
        <f>HYPERLINK("http://www.trbimg.com/img-54da5444/turbine/os-joseph-paffen-20150210/243/243x137","http://www.trbimg.com/img-54da5444/turbine/os-joseph-paffen-20150210/243/243x137")</f>
        <v>http://www.trbimg.com/img-54da5444/turbine/os-joseph-paffen-20150210/243/243x137</v>
      </c>
      <c r="F2893" s="69">
        <v>42043</v>
      </c>
      <c r="G2893" s="1" t="s">
        <v>4423</v>
      </c>
      <c r="H2893" s="1" t="s">
        <v>1060</v>
      </c>
      <c r="I2893" s="1" t="s">
        <v>62</v>
      </c>
      <c r="J2893" s="4">
        <v>32812</v>
      </c>
      <c r="K2893" s="1" t="s">
        <v>1061</v>
      </c>
      <c r="L2893" s="1" t="s">
        <v>4424</v>
      </c>
      <c r="M2893" s="1" t="s">
        <v>27</v>
      </c>
      <c r="N2893" s="1" t="s">
        <v>4425</v>
      </c>
      <c r="O2893" s="1" t="s">
        <v>400</v>
      </c>
      <c r="P2893" s="1" t="s">
        <v>401</v>
      </c>
      <c r="Q2893" s="6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2893" s="1" t="s">
        <v>29</v>
      </c>
      <c r="S2893" s="13" t="s">
        <v>28</v>
      </c>
      <c r="T2893" s="68" t="s">
        <v>27756</v>
      </c>
      <c r="U2893" s="68" t="s">
        <v>29438</v>
      </c>
      <c r="V2893" s="68" t="s">
        <v>29439</v>
      </c>
      <c r="W2893" s="68" t="s">
        <v>100</v>
      </c>
      <c r="X2893" s="68">
        <v>134</v>
      </c>
      <c r="AX2893" s="44"/>
      <c r="AY2893" s="44"/>
      <c r="BC2893" s="11"/>
      <c r="BD2893" s="11"/>
      <c r="BE2893" s="11"/>
      <c r="BF2893" s="11"/>
      <c r="BG2893" s="11"/>
      <c r="BH2893" s="11"/>
      <c r="BI2893" s="11"/>
      <c r="BJ2893" s="11"/>
      <c r="BK2893" s="44"/>
    </row>
    <row r="2894" spans="1:63" ht="12" customHeight="1" x14ac:dyDescent="0.15">
      <c r="A2894" s="1" t="s">
        <v>4426</v>
      </c>
      <c r="B2894" s="68">
        <v>27</v>
      </c>
      <c r="C2894" s="1" t="s">
        <v>20</v>
      </c>
      <c r="D2894" s="1" t="s">
        <v>37</v>
      </c>
      <c r="E2894" s="1" t="s">
        <v>4427</v>
      </c>
      <c r="F2894" s="69">
        <v>42043</v>
      </c>
      <c r="G2894" s="1" t="s">
        <v>4428</v>
      </c>
      <c r="H2894" s="1" t="s">
        <v>1313</v>
      </c>
      <c r="I2894" s="1" t="s">
        <v>73</v>
      </c>
      <c r="J2894" s="4" t="s">
        <v>4429</v>
      </c>
      <c r="K2894" s="1" t="s">
        <v>1314</v>
      </c>
      <c r="L2894" s="1" t="s">
        <v>1315</v>
      </c>
      <c r="M2894" s="1" t="s">
        <v>27</v>
      </c>
      <c r="N2894" s="1" t="s">
        <v>4430</v>
      </c>
      <c r="O2894" s="1" t="s">
        <v>400</v>
      </c>
      <c r="P2894" s="1" t="s">
        <v>401</v>
      </c>
      <c r="Q2894" s="63" t="s">
        <v>4431</v>
      </c>
      <c r="R2894" s="1" t="s">
        <v>29</v>
      </c>
      <c r="S2894" s="13" t="s">
        <v>28</v>
      </c>
      <c r="T2894" s="68" t="s">
        <v>27756</v>
      </c>
      <c r="U2894" s="68" t="s">
        <v>29438</v>
      </c>
      <c r="V2894" s="68" t="s">
        <v>29439</v>
      </c>
      <c r="W2894" s="68" t="s">
        <v>100</v>
      </c>
      <c r="X2894" s="68">
        <v>132</v>
      </c>
      <c r="AW2894" s="44"/>
      <c r="BK2894" s="44"/>
    </row>
    <row r="2895" spans="1:63" ht="12" customHeight="1" x14ac:dyDescent="0.15">
      <c r="A2895" s="1" t="s">
        <v>4392</v>
      </c>
      <c r="B2895" s="68">
        <v>41</v>
      </c>
      <c r="C2895" s="1" t="s">
        <v>20</v>
      </c>
      <c r="D2895" s="68" t="s">
        <v>37</v>
      </c>
      <c r="E2895" s="1" t="s">
        <v>4393</v>
      </c>
      <c r="F2895" s="69">
        <v>42043</v>
      </c>
      <c r="G2895" s="1" t="s">
        <v>4394</v>
      </c>
      <c r="H2895" s="1" t="s">
        <v>4395</v>
      </c>
      <c r="I2895" s="1" t="s">
        <v>73</v>
      </c>
      <c r="J2895" s="4" t="s">
        <v>4396</v>
      </c>
      <c r="K2895" s="1" t="s">
        <v>4397</v>
      </c>
      <c r="L2895" s="1" t="s">
        <v>4398</v>
      </c>
      <c r="M2895" s="1" t="s">
        <v>27</v>
      </c>
      <c r="N2895" s="1" t="s">
        <v>4399</v>
      </c>
      <c r="O2895" s="1" t="s">
        <v>400</v>
      </c>
      <c r="P2895" s="1" t="s">
        <v>401</v>
      </c>
      <c r="Q2895" s="63" t="str">
        <f>HYPERLINK("http://www.cbsnews.com/news/texas-officer-responding-to-home-fatally-shoots-off-duty-deputy/","http://www.cbsnews.com/news/texas-officer-responding-to-home-fatally-shoots-off-duty-deputy/")</f>
        <v>http://www.cbsnews.com/news/texas-officer-responding-to-home-fatally-shoots-off-duty-deputy/</v>
      </c>
      <c r="R2895" s="1" t="s">
        <v>29</v>
      </c>
      <c r="S2895" s="13" t="s">
        <v>28</v>
      </c>
      <c r="T2895" s="68" t="s">
        <v>27756</v>
      </c>
      <c r="U2895" s="68" t="s">
        <v>29438</v>
      </c>
      <c r="V2895" s="68" t="s">
        <v>29439</v>
      </c>
      <c r="W2895" s="68" t="s">
        <v>100</v>
      </c>
      <c r="X2895" s="68">
        <v>135</v>
      </c>
      <c r="BK2895" s="44"/>
    </row>
    <row r="2896" spans="1:63" ht="12" customHeight="1" x14ac:dyDescent="0.2">
      <c r="A2896" s="1" t="s">
        <v>4400</v>
      </c>
      <c r="B2896" s="68">
        <v>57</v>
      </c>
      <c r="C2896" s="1" t="s">
        <v>20</v>
      </c>
      <c r="D2896" s="1" t="s">
        <v>37</v>
      </c>
      <c r="E2896" s="1" t="s">
        <v>4401</v>
      </c>
      <c r="F2896" s="69">
        <v>42043</v>
      </c>
      <c r="G2896" s="1" t="s">
        <v>4402</v>
      </c>
      <c r="H2896" s="1" t="s">
        <v>4403</v>
      </c>
      <c r="I2896" s="1" t="s">
        <v>423</v>
      </c>
      <c r="J2896" s="4" t="s">
        <v>4404</v>
      </c>
      <c r="K2896" s="1" t="s">
        <v>4405</v>
      </c>
      <c r="L2896" s="1" t="s">
        <v>4406</v>
      </c>
      <c r="M2896" s="1" t="s">
        <v>27</v>
      </c>
      <c r="N2896" s="1" t="s">
        <v>4407</v>
      </c>
      <c r="O2896" s="1" t="s">
        <v>1010</v>
      </c>
      <c r="P2896" s="1" t="s">
        <v>401</v>
      </c>
      <c r="Q2896" s="63" t="s">
        <v>4401</v>
      </c>
      <c r="R2896" s="68" t="s">
        <v>555</v>
      </c>
      <c r="S2896" s="13" t="s">
        <v>28</v>
      </c>
      <c r="T2896" s="68" t="s">
        <v>27756</v>
      </c>
      <c r="U2896" s="68" t="s">
        <v>29438</v>
      </c>
      <c r="V2896" s="68" t="s">
        <v>29439</v>
      </c>
      <c r="W2896" s="68" t="s">
        <v>100</v>
      </c>
      <c r="X2896" s="68">
        <v>133</v>
      </c>
      <c r="AX2896" s="44"/>
      <c r="AY2896" s="44"/>
      <c r="BA2896" s="70"/>
      <c r="BB2896" s="70"/>
      <c r="BK2896" s="44"/>
    </row>
    <row r="2897" spans="1:63" ht="12" customHeight="1" x14ac:dyDescent="0.15">
      <c r="A2897" s="1" t="s">
        <v>4408</v>
      </c>
      <c r="B2897" s="1">
        <v>37</v>
      </c>
      <c r="C2897" s="1" t="s">
        <v>114</v>
      </c>
      <c r="D2897" s="1" t="s">
        <v>85</v>
      </c>
      <c r="E2897" s="1" t="s">
        <v>4409</v>
      </c>
      <c r="F2897" s="72">
        <v>42043</v>
      </c>
      <c r="G2897" s="1" t="s">
        <v>4410</v>
      </c>
      <c r="H2897" s="1" t="s">
        <v>4411</v>
      </c>
      <c r="I2897" s="1" t="s">
        <v>244</v>
      </c>
      <c r="J2897" s="4">
        <v>22030</v>
      </c>
      <c r="K2897" s="1" t="s">
        <v>4411</v>
      </c>
      <c r="L2897" s="1" t="s">
        <v>4412</v>
      </c>
      <c r="M2897" s="1" t="s">
        <v>391</v>
      </c>
      <c r="N2897" s="1" t="s">
        <v>4413</v>
      </c>
      <c r="P2897" s="1" t="s">
        <v>401</v>
      </c>
      <c r="Q2897" s="6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2897" s="1" t="s">
        <v>29</v>
      </c>
      <c r="S2897" s="13" t="s">
        <v>18</v>
      </c>
      <c r="AU2897" s="11"/>
      <c r="AV2897" s="11"/>
      <c r="AW2897" s="11"/>
      <c r="AX2897" s="44"/>
      <c r="AY2897" s="44"/>
      <c r="BC2897" s="11"/>
      <c r="BD2897" s="11"/>
      <c r="BE2897" s="11"/>
      <c r="BF2897" s="11"/>
      <c r="BG2897" s="11"/>
      <c r="BH2897" s="11"/>
      <c r="BI2897" s="11"/>
      <c r="BJ2897" s="11"/>
    </row>
    <row r="2898" spans="1:63" ht="12" customHeight="1" x14ac:dyDescent="0.15">
      <c r="A2898" s="1" t="s">
        <v>4432</v>
      </c>
      <c r="B2898" s="68">
        <v>74</v>
      </c>
      <c r="C2898" s="1" t="s">
        <v>20</v>
      </c>
      <c r="D2898" s="1" t="s">
        <v>85</v>
      </c>
      <c r="F2898" s="69">
        <v>42042</v>
      </c>
      <c r="G2898" s="1" t="s">
        <v>4433</v>
      </c>
      <c r="H2898" s="1" t="s">
        <v>834</v>
      </c>
      <c r="I2898" s="1" t="s">
        <v>366</v>
      </c>
      <c r="J2898" s="4">
        <v>28052</v>
      </c>
      <c r="K2898" s="1" t="s">
        <v>4434</v>
      </c>
      <c r="L2898" s="1" t="s">
        <v>4225</v>
      </c>
      <c r="M2898" s="1" t="s">
        <v>27</v>
      </c>
      <c r="N2898" s="1" t="s">
        <v>4435</v>
      </c>
      <c r="O2898" s="1" t="s">
        <v>400</v>
      </c>
      <c r="P2898" s="1" t="s">
        <v>401</v>
      </c>
      <c r="Q2898" s="6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2898" s="1" t="s">
        <v>100</v>
      </c>
      <c r="S2898" s="13" t="s">
        <v>28</v>
      </c>
      <c r="T2898" s="68" t="s">
        <v>27756</v>
      </c>
      <c r="U2898" s="68" t="s">
        <v>29438</v>
      </c>
      <c r="V2898" s="68" t="s">
        <v>29439</v>
      </c>
      <c r="W2898" s="68" t="s">
        <v>100</v>
      </c>
      <c r="X2898" s="68">
        <v>554</v>
      </c>
      <c r="AX2898" s="44"/>
      <c r="AY2898" s="44"/>
      <c r="BC2898" s="11"/>
      <c r="BD2898" s="11"/>
      <c r="BE2898" s="11"/>
      <c r="BF2898" s="11"/>
      <c r="BG2898" s="11"/>
      <c r="BH2898" s="11"/>
      <c r="BI2898" s="11"/>
      <c r="BJ2898" s="11"/>
      <c r="BK2898" s="44"/>
    </row>
    <row r="2899" spans="1:63" ht="12" customHeight="1" x14ac:dyDescent="0.15">
      <c r="A2899" s="1" t="s">
        <v>4448</v>
      </c>
      <c r="B2899" s="68">
        <v>26</v>
      </c>
      <c r="C2899" s="1" t="s">
        <v>20</v>
      </c>
      <c r="D2899" s="1" t="s">
        <v>37</v>
      </c>
      <c r="F2899" s="69">
        <v>42042</v>
      </c>
      <c r="G2899" s="1" t="s">
        <v>4449</v>
      </c>
      <c r="H2899" s="1" t="s">
        <v>4450</v>
      </c>
      <c r="I2899" s="1" t="s">
        <v>45</v>
      </c>
      <c r="J2899" s="4" t="s">
        <v>4451</v>
      </c>
      <c r="K2899" s="1" t="s">
        <v>783</v>
      </c>
      <c r="L2899" s="1" t="s">
        <v>784</v>
      </c>
      <c r="M2899" s="1" t="s">
        <v>27</v>
      </c>
      <c r="N2899" s="1" t="s">
        <v>4453</v>
      </c>
      <c r="O2899" s="1" t="s">
        <v>1010</v>
      </c>
      <c r="P2899" s="1" t="s">
        <v>401</v>
      </c>
      <c r="Q2899" s="63" t="s">
        <v>4454</v>
      </c>
      <c r="R2899" s="1" t="s">
        <v>100</v>
      </c>
      <c r="S2899" s="11" t="s">
        <v>18</v>
      </c>
      <c r="T2899" s="68" t="s">
        <v>29612</v>
      </c>
      <c r="U2899" s="68" t="s">
        <v>29438</v>
      </c>
      <c r="V2899" s="68" t="s">
        <v>29439</v>
      </c>
      <c r="W2899" s="68" t="s">
        <v>100</v>
      </c>
      <c r="X2899" s="68">
        <v>532</v>
      </c>
      <c r="AW2899" s="44"/>
    </row>
    <row r="2900" spans="1:63" ht="12" customHeight="1" x14ac:dyDescent="0.15">
      <c r="A2900" s="1" t="s">
        <v>4442</v>
      </c>
      <c r="B2900" s="68">
        <v>25</v>
      </c>
      <c r="C2900" s="1" t="s">
        <v>20</v>
      </c>
      <c r="D2900" s="1" t="s">
        <v>85</v>
      </c>
      <c r="E2900" s="1" t="s">
        <v>4443</v>
      </c>
      <c r="F2900" s="69">
        <v>42041</v>
      </c>
      <c r="G2900" s="1" t="s">
        <v>4444</v>
      </c>
      <c r="H2900" s="1" t="s">
        <v>1094</v>
      </c>
      <c r="I2900" s="1" t="s">
        <v>395</v>
      </c>
      <c r="J2900" s="4" t="s">
        <v>4445</v>
      </c>
      <c r="K2900" s="1" t="s">
        <v>1095</v>
      </c>
      <c r="L2900" s="1" t="s">
        <v>1096</v>
      </c>
      <c r="M2900" s="1" t="s">
        <v>27</v>
      </c>
      <c r="N2900" s="1" t="s">
        <v>4446</v>
      </c>
      <c r="O2900" s="1" t="s">
        <v>1010</v>
      </c>
      <c r="P2900" s="1" t="s">
        <v>401</v>
      </c>
      <c r="Q2900" s="63" t="s">
        <v>4447</v>
      </c>
      <c r="R2900" s="1" t="s">
        <v>100</v>
      </c>
      <c r="S2900" s="13" t="s">
        <v>28</v>
      </c>
      <c r="T2900" s="68" t="s">
        <v>27756</v>
      </c>
      <c r="U2900" s="68" t="s">
        <v>29438</v>
      </c>
      <c r="V2900" s="68" t="s">
        <v>29439</v>
      </c>
      <c r="W2900" s="68" t="s">
        <v>100</v>
      </c>
      <c r="X2900" s="68">
        <v>129</v>
      </c>
      <c r="AW2900" s="44"/>
      <c r="AX2900" s="44"/>
      <c r="AY2900" s="44"/>
      <c r="BC2900" s="11"/>
      <c r="BD2900" s="11"/>
      <c r="BE2900" s="11"/>
      <c r="BF2900" s="11"/>
      <c r="BG2900" s="11"/>
      <c r="BH2900" s="11"/>
      <c r="BI2900" s="11"/>
      <c r="BJ2900" s="11"/>
      <c r="BK2900" s="44"/>
    </row>
    <row r="2901" spans="1:63" ht="12" customHeight="1" x14ac:dyDescent="0.15">
      <c r="A2901" s="1" t="s">
        <v>4484</v>
      </c>
      <c r="B2901" s="68">
        <v>28</v>
      </c>
      <c r="C2901" s="1" t="s">
        <v>20</v>
      </c>
      <c r="D2901" s="1" t="s">
        <v>85</v>
      </c>
      <c r="E2901" s="1" t="s">
        <v>20286</v>
      </c>
      <c r="F2901" s="69">
        <v>42039</v>
      </c>
      <c r="G2901" s="1" t="s">
        <v>4485</v>
      </c>
      <c r="H2901" s="1" t="s">
        <v>3498</v>
      </c>
      <c r="I2901" s="1" t="s">
        <v>62</v>
      </c>
      <c r="J2901" s="4" t="s">
        <v>3499</v>
      </c>
      <c r="K2901" s="1" t="s">
        <v>3500</v>
      </c>
      <c r="L2901" s="1" t="s">
        <v>3501</v>
      </c>
      <c r="M2901" s="1" t="s">
        <v>27</v>
      </c>
      <c r="N2901" s="1" t="s">
        <v>4486</v>
      </c>
      <c r="O2901" s="1" t="s">
        <v>550</v>
      </c>
      <c r="P2901" s="1" t="s">
        <v>401</v>
      </c>
      <c r="Q2901" s="63" t="s">
        <v>4487</v>
      </c>
      <c r="R2901" s="1" t="s">
        <v>100</v>
      </c>
      <c r="S2901" s="13" t="s">
        <v>18</v>
      </c>
      <c r="T2901" s="68" t="s">
        <v>28345</v>
      </c>
      <c r="U2901" s="68" t="s">
        <v>29438</v>
      </c>
      <c r="V2901" s="68" t="s">
        <v>29439</v>
      </c>
      <c r="W2901" s="68" t="s">
        <v>100</v>
      </c>
      <c r="X2901" s="68">
        <v>116</v>
      </c>
      <c r="AW2901" s="44"/>
      <c r="AX2901" s="11"/>
      <c r="AY2901" s="11"/>
      <c r="BC2901" s="11"/>
      <c r="BD2901" s="11"/>
      <c r="BE2901" s="11"/>
      <c r="BF2901" s="11"/>
      <c r="BG2901" s="11"/>
      <c r="BH2901" s="11"/>
      <c r="BI2901" s="11"/>
      <c r="BJ2901" s="11"/>
    </row>
    <row r="2902" spans="1:63" ht="12" customHeight="1" x14ac:dyDescent="0.15">
      <c r="A2902" s="1" t="s">
        <v>4480</v>
      </c>
      <c r="B2902" s="1">
        <v>60</v>
      </c>
      <c r="C2902" s="1" t="s">
        <v>20</v>
      </c>
      <c r="D2902" s="1" t="s">
        <v>85</v>
      </c>
      <c r="E2902" s="1" t="s">
        <v>30984</v>
      </c>
      <c r="F2902" s="72">
        <v>42039</v>
      </c>
      <c r="G2902" s="1" t="s">
        <v>4481</v>
      </c>
      <c r="H2902" s="1" t="s">
        <v>87</v>
      </c>
      <c r="I2902" s="1" t="s">
        <v>44</v>
      </c>
      <c r="J2902" s="4" t="s">
        <v>1677</v>
      </c>
      <c r="K2902" s="1" t="s">
        <v>88</v>
      </c>
      <c r="L2902" s="1" t="s">
        <v>89</v>
      </c>
      <c r="M2902" s="1" t="s">
        <v>379</v>
      </c>
      <c r="N2902" s="1" t="s">
        <v>4482</v>
      </c>
      <c r="O2902" s="1" t="s">
        <v>1010</v>
      </c>
      <c r="P2902" s="1" t="s">
        <v>401</v>
      </c>
      <c r="Q2902" s="63" t="s">
        <v>4483</v>
      </c>
      <c r="R2902" s="1" t="s">
        <v>100</v>
      </c>
      <c r="S2902" s="13" t="s">
        <v>18</v>
      </c>
    </row>
    <row r="2903" spans="1:63" ht="12" customHeight="1" x14ac:dyDescent="0.15">
      <c r="A2903" s="1" t="s">
        <v>4455</v>
      </c>
      <c r="B2903" s="68">
        <v>36</v>
      </c>
      <c r="C2903" s="1" t="s">
        <v>20</v>
      </c>
      <c r="D2903" s="1" t="s">
        <v>85</v>
      </c>
      <c r="E2903" s="1" t="s">
        <v>4456</v>
      </c>
      <c r="F2903" s="69">
        <v>42039</v>
      </c>
      <c r="G2903" s="1" t="s">
        <v>4457</v>
      </c>
      <c r="H2903" s="1" t="s">
        <v>1192</v>
      </c>
      <c r="I2903" s="1" t="s">
        <v>319</v>
      </c>
      <c r="J2903" s="4" t="s">
        <v>4458</v>
      </c>
      <c r="K2903" s="1" t="s">
        <v>1193</v>
      </c>
      <c r="L2903" s="1" t="s">
        <v>5634</v>
      </c>
      <c r="M2903" s="1" t="s">
        <v>27</v>
      </c>
      <c r="N2903" s="1" t="s">
        <v>4459</v>
      </c>
      <c r="O2903" s="1" t="s">
        <v>1010</v>
      </c>
      <c r="P2903" s="1" t="s">
        <v>401</v>
      </c>
      <c r="Q2903" s="63" t="s">
        <v>4460</v>
      </c>
      <c r="R2903" s="1" t="s">
        <v>100</v>
      </c>
      <c r="S2903" s="13" t="s">
        <v>28</v>
      </c>
      <c r="T2903" s="68" t="s">
        <v>29493</v>
      </c>
      <c r="U2903" s="68" t="s">
        <v>29436</v>
      </c>
      <c r="V2903" s="68" t="s">
        <v>29439</v>
      </c>
      <c r="W2903" s="68" t="s">
        <v>100</v>
      </c>
      <c r="X2903" s="68">
        <v>127</v>
      </c>
      <c r="AW2903" s="44"/>
      <c r="AX2903" s="44"/>
      <c r="AY2903" s="44"/>
      <c r="BC2903" s="11"/>
      <c r="BD2903" s="11"/>
      <c r="BE2903" s="11"/>
      <c r="BF2903" s="11"/>
      <c r="BG2903" s="11"/>
      <c r="BH2903" s="11"/>
      <c r="BI2903" s="11"/>
      <c r="BJ2903" s="11"/>
      <c r="BK2903" s="44"/>
    </row>
    <row r="2904" spans="1:63" ht="12" customHeight="1" x14ac:dyDescent="0.15">
      <c r="A2904" s="1" t="s">
        <v>4461</v>
      </c>
      <c r="B2904" s="68">
        <v>51</v>
      </c>
      <c r="C2904" s="1" t="s">
        <v>20</v>
      </c>
      <c r="D2904" s="1" t="s">
        <v>85</v>
      </c>
      <c r="E2904" s="1" t="s">
        <v>4462</v>
      </c>
      <c r="F2904" s="69">
        <v>42039</v>
      </c>
      <c r="G2904" s="1" t="s">
        <v>4463</v>
      </c>
      <c r="H2904" s="1" t="s">
        <v>4464</v>
      </c>
      <c r="I2904" s="1" t="s">
        <v>73</v>
      </c>
      <c r="J2904" s="4" t="s">
        <v>4465</v>
      </c>
      <c r="K2904" s="1" t="s">
        <v>800</v>
      </c>
      <c r="L2904" s="1" t="s">
        <v>801</v>
      </c>
      <c r="M2904" s="1" t="s">
        <v>27</v>
      </c>
      <c r="N2904" s="1" t="s">
        <v>4466</v>
      </c>
      <c r="O2904" s="1" t="s">
        <v>1010</v>
      </c>
      <c r="P2904" s="1" t="s">
        <v>401</v>
      </c>
      <c r="Q2904" s="6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2904" s="1" t="s">
        <v>100</v>
      </c>
      <c r="S2904" s="13" t="s">
        <v>28</v>
      </c>
      <c r="T2904" s="68" t="s">
        <v>27756</v>
      </c>
      <c r="U2904" s="68" t="s">
        <v>29438</v>
      </c>
      <c r="V2904" s="68" t="s">
        <v>29437</v>
      </c>
      <c r="W2904" s="68" t="s">
        <v>100</v>
      </c>
      <c r="X2904" s="68">
        <v>126</v>
      </c>
      <c r="AX2904" s="44"/>
      <c r="AY2904" s="44"/>
      <c r="BC2904" s="11"/>
      <c r="BD2904" s="11"/>
      <c r="BE2904" s="11"/>
      <c r="BF2904" s="11"/>
      <c r="BG2904" s="11"/>
      <c r="BH2904" s="11"/>
      <c r="BI2904" s="11"/>
      <c r="BJ2904" s="11"/>
      <c r="BK2904" s="44"/>
    </row>
    <row r="2905" spans="1:63" ht="12" customHeight="1" x14ac:dyDescent="0.15">
      <c r="A2905" s="1" t="s">
        <v>4476</v>
      </c>
      <c r="B2905" s="68">
        <v>28</v>
      </c>
      <c r="C2905" s="1" t="s">
        <v>20</v>
      </c>
      <c r="D2905" s="1" t="s">
        <v>48</v>
      </c>
      <c r="E2905" s="1" t="s">
        <v>4477</v>
      </c>
      <c r="F2905" s="69">
        <v>42039</v>
      </c>
      <c r="G2905" s="1" t="s">
        <v>4468</v>
      </c>
      <c r="H2905" s="1" t="s">
        <v>3905</v>
      </c>
      <c r="I2905" s="1" t="s">
        <v>123</v>
      </c>
      <c r="J2905" s="4" t="s">
        <v>4478</v>
      </c>
      <c r="K2905" s="1" t="s">
        <v>633</v>
      </c>
      <c r="L2905" s="1" t="s">
        <v>19410</v>
      </c>
      <c r="M2905" s="1" t="s">
        <v>27</v>
      </c>
      <c r="N2905" s="1" t="s">
        <v>4479</v>
      </c>
      <c r="O2905" s="1" t="s">
        <v>1010</v>
      </c>
      <c r="P2905" s="1" t="s">
        <v>401</v>
      </c>
      <c r="Q2905" s="63" t="s">
        <v>4470</v>
      </c>
      <c r="R2905" s="1" t="s">
        <v>100</v>
      </c>
      <c r="S2905" s="13" t="s">
        <v>28</v>
      </c>
      <c r="T2905" s="68" t="s">
        <v>27756</v>
      </c>
      <c r="U2905" s="68" t="s">
        <v>29438</v>
      </c>
      <c r="V2905" s="68" t="s">
        <v>29437</v>
      </c>
      <c r="W2905" s="68" t="s">
        <v>100</v>
      </c>
      <c r="X2905" s="68">
        <v>124</v>
      </c>
      <c r="AW2905" s="44"/>
      <c r="BK2905" s="44"/>
    </row>
    <row r="2906" spans="1:63" ht="12" customHeight="1" x14ac:dyDescent="0.15">
      <c r="A2906" s="1" t="s">
        <v>4471</v>
      </c>
      <c r="B2906" s="68">
        <v>37</v>
      </c>
      <c r="C2906" s="1" t="s">
        <v>20</v>
      </c>
      <c r="D2906" s="1" t="s">
        <v>48</v>
      </c>
      <c r="F2906" s="69">
        <v>42039</v>
      </c>
      <c r="G2906" s="1" t="s">
        <v>4472</v>
      </c>
      <c r="H2906" s="1" t="s">
        <v>1060</v>
      </c>
      <c r="I2906" s="1" t="s">
        <v>62</v>
      </c>
      <c r="J2906" s="4" t="s">
        <v>4473</v>
      </c>
      <c r="K2906" s="1" t="s">
        <v>1061</v>
      </c>
      <c r="L2906" s="1" t="s">
        <v>1062</v>
      </c>
      <c r="M2906" s="1" t="s">
        <v>27</v>
      </c>
      <c r="N2906" s="1" t="s">
        <v>4474</v>
      </c>
      <c r="O2906" s="1" t="s">
        <v>1010</v>
      </c>
      <c r="P2906" s="1" t="s">
        <v>401</v>
      </c>
      <c r="Q2906" s="63" t="s">
        <v>4475</v>
      </c>
      <c r="R2906" s="1" t="s">
        <v>100</v>
      </c>
      <c r="S2906" s="13" t="s">
        <v>28</v>
      </c>
      <c r="T2906" s="68" t="s">
        <v>27756</v>
      </c>
      <c r="U2906" s="68" t="s">
        <v>29438</v>
      </c>
      <c r="V2906" s="68" t="s">
        <v>29439</v>
      </c>
      <c r="W2906" s="68" t="s">
        <v>100</v>
      </c>
      <c r="X2906" s="68">
        <v>123</v>
      </c>
      <c r="AW2906" s="11"/>
      <c r="BK2906" s="44"/>
    </row>
    <row r="2907" spans="1:63" ht="12" customHeight="1" x14ac:dyDescent="0.2">
      <c r="A2907" s="1" t="s">
        <v>4488</v>
      </c>
      <c r="B2907" s="1">
        <v>59</v>
      </c>
      <c r="C2907" s="1" t="s">
        <v>20</v>
      </c>
      <c r="D2907" s="1" t="s">
        <v>37</v>
      </c>
      <c r="E2907" s="1" t="s">
        <v>4489</v>
      </c>
      <c r="F2907" s="72">
        <v>42039</v>
      </c>
      <c r="G2907" s="1" t="s">
        <v>4490</v>
      </c>
      <c r="H2907" s="1" t="s">
        <v>4491</v>
      </c>
      <c r="I2907" s="1" t="s">
        <v>45</v>
      </c>
      <c r="J2907" s="4" t="s">
        <v>4492</v>
      </c>
      <c r="K2907" s="1" t="s">
        <v>309</v>
      </c>
      <c r="L2907" s="1" t="s">
        <v>4493</v>
      </c>
      <c r="M2907" s="1" t="s">
        <v>4494</v>
      </c>
      <c r="N2907" s="1" t="s">
        <v>4495</v>
      </c>
      <c r="O2907" s="1" t="s">
        <v>1010</v>
      </c>
      <c r="P2907" s="1" t="s">
        <v>401</v>
      </c>
      <c r="Q2907" s="6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2907" s="1" t="s">
        <v>100</v>
      </c>
      <c r="S2907" s="13" t="s">
        <v>28</v>
      </c>
      <c r="T2907" s="66" t="s">
        <v>27756</v>
      </c>
      <c r="U2907" s="66" t="s">
        <v>29436</v>
      </c>
      <c r="V2907" s="66" t="s">
        <v>29437</v>
      </c>
      <c r="W2907" s="66" t="s">
        <v>100</v>
      </c>
      <c r="X2907" s="66">
        <v>128</v>
      </c>
      <c r="AW2907" s="70"/>
      <c r="AX2907" s="44"/>
      <c r="AY2907" s="44"/>
      <c r="AZ2907" s="44"/>
    </row>
    <row r="2908" spans="1:63" ht="12" customHeight="1" x14ac:dyDescent="0.15">
      <c r="A2908" s="1" t="str">
        <f>HYPERLINK("http://www.killedbypolice.net/victims/150102.jpg","Joaquin Hernandez")</f>
        <v>Joaquin Hernandez</v>
      </c>
      <c r="B2908" s="68">
        <v>28</v>
      </c>
      <c r="C2908" s="1" t="s">
        <v>20</v>
      </c>
      <c r="D2908" s="1" t="s">
        <v>48</v>
      </c>
      <c r="E2908" s="1" t="s">
        <v>4467</v>
      </c>
      <c r="F2908" s="69">
        <v>42039</v>
      </c>
      <c r="G2908" s="1" t="s">
        <v>4468</v>
      </c>
      <c r="H2908" s="1" t="s">
        <v>3905</v>
      </c>
      <c r="I2908" s="1" t="s">
        <v>123</v>
      </c>
      <c r="J2908" s="4">
        <v>85042</v>
      </c>
      <c r="K2908" s="1" t="s">
        <v>633</v>
      </c>
      <c r="L2908" s="1" t="s">
        <v>1429</v>
      </c>
      <c r="M2908" s="1" t="s">
        <v>27</v>
      </c>
      <c r="N2908" s="1" t="s">
        <v>4469</v>
      </c>
      <c r="P2908" s="1" t="s">
        <v>401</v>
      </c>
      <c r="Q2908" s="63" t="s">
        <v>4470</v>
      </c>
      <c r="R2908" s="1" t="s">
        <v>29</v>
      </c>
      <c r="S2908" s="13" t="s">
        <v>18</v>
      </c>
      <c r="T2908" s="68" t="s">
        <v>28345</v>
      </c>
      <c r="U2908" s="68" t="s">
        <v>29436</v>
      </c>
      <c r="V2908" s="68" t="s">
        <v>29439</v>
      </c>
      <c r="W2908" s="68" t="s">
        <v>100</v>
      </c>
      <c r="X2908" s="68">
        <v>125</v>
      </c>
      <c r="AW2908" s="44"/>
    </row>
    <row r="2909" spans="1:63" ht="12" customHeight="1" x14ac:dyDescent="0.15">
      <c r="A2909" s="1" t="s">
        <v>4504</v>
      </c>
      <c r="B2909" s="68">
        <v>38</v>
      </c>
      <c r="C2909" s="1" t="s">
        <v>114</v>
      </c>
      <c r="D2909" s="1" t="s">
        <v>85</v>
      </c>
      <c r="E2909" s="1" t="s">
        <v>4505</v>
      </c>
      <c r="F2909" s="69">
        <v>42038</v>
      </c>
      <c r="G2909" s="1" t="s">
        <v>4506</v>
      </c>
      <c r="H2909" s="1" t="s">
        <v>4507</v>
      </c>
      <c r="I2909" s="1" t="s">
        <v>45</v>
      </c>
      <c r="J2909" s="4" t="s">
        <v>4508</v>
      </c>
      <c r="K2909" s="1" t="s">
        <v>602</v>
      </c>
      <c r="L2909" s="1" t="s">
        <v>4509</v>
      </c>
      <c r="M2909" s="1" t="s">
        <v>27</v>
      </c>
      <c r="N2909" s="1" t="s">
        <v>4510</v>
      </c>
      <c r="O2909" s="1" t="s">
        <v>1010</v>
      </c>
      <c r="P2909" s="1" t="s">
        <v>401</v>
      </c>
      <c r="Q2909" s="63" t="s">
        <v>4511</v>
      </c>
      <c r="R2909" s="1" t="s">
        <v>100</v>
      </c>
      <c r="S2909" s="13" t="s">
        <v>28</v>
      </c>
      <c r="T2909" s="68" t="s">
        <v>27756</v>
      </c>
      <c r="U2909" s="68" t="s">
        <v>29438</v>
      </c>
      <c r="V2909" s="68" t="s">
        <v>29437</v>
      </c>
      <c r="W2909" s="68" t="s">
        <v>100</v>
      </c>
      <c r="X2909" s="68">
        <v>118</v>
      </c>
      <c r="AW2909" s="44"/>
      <c r="AX2909" s="44"/>
      <c r="AY2909" s="44"/>
      <c r="BC2909" s="11"/>
      <c r="BD2909" s="11"/>
      <c r="BE2909" s="11"/>
      <c r="BF2909" s="11"/>
      <c r="BG2909" s="11"/>
      <c r="BH2909" s="11"/>
      <c r="BI2909" s="11"/>
      <c r="BJ2909" s="11"/>
      <c r="BK2909" s="44"/>
    </row>
    <row r="2910" spans="1:63" ht="12" customHeight="1" x14ac:dyDescent="0.15">
      <c r="A2910" s="1" t="s">
        <v>4512</v>
      </c>
      <c r="B2910" s="68">
        <v>23</v>
      </c>
      <c r="C2910" s="1" t="s">
        <v>20</v>
      </c>
      <c r="D2910" s="1" t="s">
        <v>85</v>
      </c>
      <c r="E2910" s="1" t="s">
        <v>4513</v>
      </c>
      <c r="F2910" s="69">
        <v>42038</v>
      </c>
      <c r="G2910" s="1" t="s">
        <v>4514</v>
      </c>
      <c r="H2910" s="1" t="s">
        <v>709</v>
      </c>
      <c r="I2910" s="1" t="s">
        <v>431</v>
      </c>
      <c r="J2910" s="4" t="s">
        <v>4515</v>
      </c>
      <c r="K2910" s="1" t="s">
        <v>709</v>
      </c>
      <c r="L2910" s="1" t="s">
        <v>4516</v>
      </c>
      <c r="M2910" s="1" t="s">
        <v>27</v>
      </c>
      <c r="N2910" s="1" t="s">
        <v>4517</v>
      </c>
      <c r="O2910" s="1" t="s">
        <v>1010</v>
      </c>
      <c r="P2910" s="1" t="s">
        <v>401</v>
      </c>
      <c r="Q2910" s="63" t="s">
        <v>4513</v>
      </c>
      <c r="R2910" s="1" t="s">
        <v>100</v>
      </c>
      <c r="S2910" s="13" t="s">
        <v>28</v>
      </c>
      <c r="T2910" s="68" t="s">
        <v>27756</v>
      </c>
      <c r="U2910" s="68" t="s">
        <v>29438</v>
      </c>
      <c r="V2910" s="68" t="s">
        <v>29440</v>
      </c>
      <c r="W2910" s="68" t="s">
        <v>100</v>
      </c>
      <c r="X2910" s="68">
        <v>117</v>
      </c>
      <c r="AW2910" s="11"/>
      <c r="AX2910" s="44"/>
      <c r="AY2910" s="44"/>
      <c r="BC2910" s="11"/>
      <c r="BD2910" s="11"/>
      <c r="BE2910" s="11"/>
      <c r="BF2910" s="11"/>
      <c r="BG2910" s="11"/>
      <c r="BH2910" s="11"/>
      <c r="BI2910" s="11"/>
      <c r="BJ2910" s="11"/>
      <c r="BK2910" s="44"/>
    </row>
    <row r="2911" spans="1:63" ht="12" customHeight="1" x14ac:dyDescent="0.15">
      <c r="A2911" s="1" t="s">
        <v>4496</v>
      </c>
      <c r="B2911" s="68">
        <v>29</v>
      </c>
      <c r="C2911" s="1" t="s">
        <v>20</v>
      </c>
      <c r="D2911" s="1" t="s">
        <v>85</v>
      </c>
      <c r="E2911" s="1" t="s">
        <v>4497</v>
      </c>
      <c r="F2911" s="69">
        <v>42038</v>
      </c>
      <c r="G2911" s="1" t="s">
        <v>4498</v>
      </c>
      <c r="H2911" s="1" t="s">
        <v>878</v>
      </c>
      <c r="I2911" s="1" t="s">
        <v>45</v>
      </c>
      <c r="J2911" s="4" t="s">
        <v>4499</v>
      </c>
      <c r="K2911" s="1" t="s">
        <v>4500</v>
      </c>
      <c r="L2911" s="1" t="s">
        <v>4501</v>
      </c>
      <c r="M2911" s="1" t="s">
        <v>27</v>
      </c>
      <c r="N2911" s="1" t="s">
        <v>4502</v>
      </c>
      <c r="O2911" s="1" t="s">
        <v>1010</v>
      </c>
      <c r="P2911" s="1" t="s">
        <v>401</v>
      </c>
      <c r="Q2911" s="63" t="s">
        <v>4503</v>
      </c>
      <c r="R2911" s="68" t="s">
        <v>555</v>
      </c>
      <c r="S2911" s="13" t="s">
        <v>28</v>
      </c>
      <c r="T2911" s="68" t="s">
        <v>29493</v>
      </c>
      <c r="U2911" s="68" t="s">
        <v>29436</v>
      </c>
      <c r="V2911" s="68" t="s">
        <v>29439</v>
      </c>
      <c r="W2911" s="68" t="s">
        <v>100</v>
      </c>
      <c r="X2911" s="68">
        <v>119</v>
      </c>
      <c r="AW2911" s="44"/>
      <c r="AX2911" s="11"/>
      <c r="AY2911" s="11"/>
      <c r="BA2911" s="44"/>
      <c r="BB2911" s="11"/>
      <c r="BC2911" s="11"/>
      <c r="BD2911" s="11"/>
      <c r="BE2911" s="11"/>
      <c r="BF2911" s="11"/>
      <c r="BG2911" s="11"/>
      <c r="BH2911" s="11"/>
      <c r="BI2911" s="11"/>
      <c r="BJ2911" s="11"/>
      <c r="BK2911" s="44"/>
    </row>
    <row r="2912" spans="1:63" ht="12" customHeight="1" x14ac:dyDescent="0.15">
      <c r="A2912" s="1" t="s">
        <v>4525</v>
      </c>
      <c r="B2912" s="68">
        <v>45</v>
      </c>
      <c r="C2912" s="1" t="s">
        <v>20</v>
      </c>
      <c r="D2912" s="1" t="s">
        <v>37</v>
      </c>
      <c r="F2912" s="69">
        <v>42038</v>
      </c>
      <c r="G2912" s="1" t="s">
        <v>4526</v>
      </c>
      <c r="H2912" s="1" t="s">
        <v>938</v>
      </c>
      <c r="I2912" s="1" t="s">
        <v>173</v>
      </c>
      <c r="J2912" s="4" t="s">
        <v>4527</v>
      </c>
      <c r="K2912" s="1" t="s">
        <v>4528</v>
      </c>
      <c r="L2912" s="1" t="s">
        <v>4529</v>
      </c>
      <c r="M2912" s="1" t="s">
        <v>27</v>
      </c>
      <c r="N2912" s="1" t="s">
        <v>4530</v>
      </c>
      <c r="O2912" s="1" t="s">
        <v>1010</v>
      </c>
      <c r="P2912" s="1" t="s">
        <v>401</v>
      </c>
      <c r="Q2912" s="63" t="s">
        <v>4531</v>
      </c>
      <c r="R2912" s="68" t="s">
        <v>555</v>
      </c>
      <c r="S2912" s="13" t="s">
        <v>28</v>
      </c>
      <c r="T2912" s="68" t="s">
        <v>27756</v>
      </c>
      <c r="U2912" s="68" t="s">
        <v>29438</v>
      </c>
      <c r="V2912" s="68" t="s">
        <v>29439</v>
      </c>
      <c r="W2912" s="68" t="s">
        <v>100</v>
      </c>
      <c r="X2912" s="68">
        <v>120</v>
      </c>
      <c r="BA2912" s="44"/>
      <c r="BB2912" s="11"/>
      <c r="BK2912" s="44"/>
    </row>
    <row r="2913" spans="1:63" ht="12" customHeight="1" x14ac:dyDescent="0.15">
      <c r="A2913" s="1" t="s">
        <v>4518</v>
      </c>
      <c r="B2913" s="1">
        <v>35</v>
      </c>
      <c r="C2913" s="1" t="s">
        <v>20</v>
      </c>
      <c r="D2913" s="1" t="s">
        <v>48</v>
      </c>
      <c r="F2913" s="72">
        <v>42038</v>
      </c>
      <c r="G2913" s="1" t="s">
        <v>4519</v>
      </c>
      <c r="H2913" s="1" t="s">
        <v>4520</v>
      </c>
      <c r="I2913" s="1" t="s">
        <v>73</v>
      </c>
      <c r="J2913" s="4" t="s">
        <v>4521</v>
      </c>
      <c r="K2913" s="1" t="s">
        <v>683</v>
      </c>
      <c r="L2913" s="1" t="s">
        <v>4522</v>
      </c>
      <c r="M2913" s="1" t="s">
        <v>391</v>
      </c>
      <c r="N2913" s="1" t="s">
        <v>4523</v>
      </c>
      <c r="O2913" s="1" t="s">
        <v>1010</v>
      </c>
      <c r="P2913" s="1" t="s">
        <v>401</v>
      </c>
      <c r="Q2913" s="63" t="s">
        <v>4524</v>
      </c>
      <c r="R2913" s="1" t="s">
        <v>555</v>
      </c>
      <c r="S2913" s="13" t="s">
        <v>18</v>
      </c>
      <c r="AU2913" s="44"/>
      <c r="AV2913" s="44"/>
      <c r="AW2913" s="11"/>
      <c r="BA2913" s="11"/>
      <c r="BB2913" s="11"/>
    </row>
    <row r="2914" spans="1:63" ht="12" customHeight="1" x14ac:dyDescent="0.15">
      <c r="A2914" s="1" t="s">
        <v>4532</v>
      </c>
      <c r="B2914" s="68">
        <v>59</v>
      </c>
      <c r="C2914" s="1" t="s">
        <v>20</v>
      </c>
      <c r="D2914" s="1" t="s">
        <v>37</v>
      </c>
      <c r="E2914" s="1" t="s">
        <v>4533</v>
      </c>
      <c r="F2914" s="69">
        <v>42037</v>
      </c>
      <c r="G2914" s="1" t="s">
        <v>4534</v>
      </c>
      <c r="H2914" s="1" t="s">
        <v>4535</v>
      </c>
      <c r="I2914" s="1" t="s">
        <v>404</v>
      </c>
      <c r="J2914" s="4" t="s">
        <v>4536</v>
      </c>
      <c r="K2914" s="1" t="s">
        <v>4537</v>
      </c>
      <c r="L2914" s="1" t="s">
        <v>4538</v>
      </c>
      <c r="M2914" s="1" t="s">
        <v>27</v>
      </c>
      <c r="N2914" s="1" t="s">
        <v>4539</v>
      </c>
      <c r="O2914" s="1" t="s">
        <v>1787</v>
      </c>
      <c r="P2914" s="1" t="s">
        <v>20489</v>
      </c>
      <c r="Q2914" s="63" t="s">
        <v>4540</v>
      </c>
      <c r="R2914" s="11" t="s">
        <v>964</v>
      </c>
      <c r="S2914" s="13" t="s">
        <v>18</v>
      </c>
      <c r="T2914" s="68" t="s">
        <v>28345</v>
      </c>
      <c r="U2914" s="68" t="s">
        <v>29436</v>
      </c>
      <c r="V2914" s="68" t="s">
        <v>29440</v>
      </c>
      <c r="W2914" s="68" t="s">
        <v>100</v>
      </c>
      <c r="X2914" s="68">
        <v>114</v>
      </c>
      <c r="BA2914" s="44"/>
      <c r="BB2914" s="44"/>
    </row>
    <row r="2915" spans="1:63" ht="12" customHeight="1" x14ac:dyDescent="0.2">
      <c r="A2915" s="1" t="s">
        <v>4541</v>
      </c>
      <c r="B2915" s="68">
        <v>17</v>
      </c>
      <c r="C2915" s="1" t="s">
        <v>20</v>
      </c>
      <c r="D2915" s="1" t="s">
        <v>37</v>
      </c>
      <c r="E2915" s="1" t="s">
        <v>4542</v>
      </c>
      <c r="F2915" s="69">
        <v>42037</v>
      </c>
      <c r="G2915" s="1" t="s">
        <v>4543</v>
      </c>
      <c r="H2915" s="1" t="s">
        <v>4544</v>
      </c>
      <c r="I2915" s="1" t="s">
        <v>57</v>
      </c>
      <c r="J2915" s="4" t="s">
        <v>4545</v>
      </c>
      <c r="K2915" s="1" t="s">
        <v>2811</v>
      </c>
      <c r="L2915" s="1" t="s">
        <v>4546</v>
      </c>
      <c r="M2915" s="1" t="s">
        <v>27</v>
      </c>
      <c r="N2915" s="1" t="s">
        <v>4547</v>
      </c>
      <c r="O2915" s="1" t="s">
        <v>550</v>
      </c>
      <c r="P2915" s="1" t="s">
        <v>401</v>
      </c>
      <c r="Q2915" s="63" t="s">
        <v>4548</v>
      </c>
      <c r="R2915" s="1" t="s">
        <v>100</v>
      </c>
      <c r="S2915" s="13" t="s">
        <v>28</v>
      </c>
      <c r="T2915" s="68" t="s">
        <v>27756</v>
      </c>
      <c r="U2915" s="68" t="s">
        <v>29438</v>
      </c>
      <c r="V2915" s="68" t="s">
        <v>29439</v>
      </c>
      <c r="W2915" s="68" t="s">
        <v>100</v>
      </c>
      <c r="X2915" s="68">
        <v>528</v>
      </c>
      <c r="AW2915" s="70"/>
      <c r="BK2915" s="44"/>
    </row>
    <row r="2916" spans="1:63" ht="12" customHeight="1" x14ac:dyDescent="0.15">
      <c r="A2916" s="1" t="s">
        <v>4549</v>
      </c>
      <c r="B2916" s="68">
        <v>42</v>
      </c>
      <c r="C2916" s="1" t="s">
        <v>20</v>
      </c>
      <c r="D2916" s="1" t="s">
        <v>37</v>
      </c>
      <c r="E2916" s="1" t="s">
        <v>4550</v>
      </c>
      <c r="F2916" s="69">
        <v>42037</v>
      </c>
      <c r="G2916" s="1" t="s">
        <v>4551</v>
      </c>
      <c r="H2916" s="1" t="s">
        <v>4552</v>
      </c>
      <c r="I2916" s="1" t="s">
        <v>45</v>
      </c>
      <c r="J2916" s="4" t="s">
        <v>4553</v>
      </c>
      <c r="K2916" s="1" t="s">
        <v>309</v>
      </c>
      <c r="L2916" s="1" t="s">
        <v>4554</v>
      </c>
      <c r="M2916" s="1" t="s">
        <v>27</v>
      </c>
      <c r="N2916" s="1" t="s">
        <v>4555</v>
      </c>
      <c r="O2916" s="1" t="s">
        <v>1010</v>
      </c>
      <c r="P2916" s="1" t="s">
        <v>401</v>
      </c>
      <c r="Q2916" s="63" t="s">
        <v>4556</v>
      </c>
      <c r="R2916" s="68" t="s">
        <v>555</v>
      </c>
      <c r="S2916" s="13" t="s">
        <v>28</v>
      </c>
      <c r="T2916" s="68" t="s">
        <v>27756</v>
      </c>
      <c r="U2916" s="68" t="s">
        <v>29438</v>
      </c>
      <c r="V2916" s="68" t="s">
        <v>29439</v>
      </c>
      <c r="W2916" s="68" t="s">
        <v>100</v>
      </c>
      <c r="X2916" s="68">
        <v>115</v>
      </c>
      <c r="BA2916" s="44"/>
      <c r="BB2916" s="11"/>
      <c r="BK2916" s="44"/>
    </row>
    <row r="2917" spans="1:63" ht="12" customHeight="1" x14ac:dyDescent="0.2">
      <c r="A2917" s="66" t="s">
        <v>30675</v>
      </c>
      <c r="B2917" s="66">
        <v>27</v>
      </c>
      <c r="C2917" s="66" t="s">
        <v>20</v>
      </c>
      <c r="D2917" s="66" t="s">
        <v>30</v>
      </c>
      <c r="E2917" s="66"/>
      <c r="F2917" s="69">
        <v>42036</v>
      </c>
      <c r="G2917" s="66" t="s">
        <v>30676</v>
      </c>
      <c r="H2917" s="66" t="s">
        <v>30677</v>
      </c>
      <c r="I2917" s="66" t="s">
        <v>315</v>
      </c>
      <c r="J2917" s="66">
        <v>42003</v>
      </c>
      <c r="K2917" s="66" t="s">
        <v>30678</v>
      </c>
      <c r="L2917" s="66" t="s">
        <v>30679</v>
      </c>
      <c r="M2917" s="66" t="s">
        <v>379</v>
      </c>
      <c r="N2917" s="66" t="s">
        <v>30680</v>
      </c>
      <c r="O2917" s="66" t="s">
        <v>1010</v>
      </c>
      <c r="P2917" s="66" t="s">
        <v>30375</v>
      </c>
      <c r="Q2917" s="76" t="s">
        <v>30681</v>
      </c>
      <c r="R2917" s="66" t="s">
        <v>100</v>
      </c>
      <c r="S2917" s="66" t="s">
        <v>379</v>
      </c>
      <c r="T2917" s="77"/>
      <c r="U2917" s="77"/>
      <c r="V2917" s="77"/>
      <c r="W2917" s="77"/>
      <c r="X2917" s="77"/>
      <c r="Y2917" s="66"/>
      <c r="Z2917" s="66"/>
      <c r="AA2917" s="66"/>
      <c r="AB2917" s="66"/>
      <c r="AC2917" s="66"/>
      <c r="AD2917" s="66"/>
      <c r="AE2917" s="66"/>
      <c r="AF2917" s="66"/>
      <c r="AG2917" s="66"/>
      <c r="AH2917" s="66"/>
      <c r="AI2917" s="66"/>
      <c r="AJ2917" s="66"/>
      <c r="AK2917" s="66"/>
      <c r="AL2917" s="66"/>
      <c r="AM2917" s="66"/>
      <c r="AN2917" s="66"/>
      <c r="AO2917" s="66"/>
      <c r="AP2917" s="66"/>
      <c r="AQ2917" s="66"/>
      <c r="AR2917" s="66"/>
      <c r="AS2917" s="66"/>
      <c r="AT2917" s="66"/>
      <c r="AU2917" s="66"/>
      <c r="AV2917" s="78"/>
      <c r="AW2917" s="78"/>
      <c r="AX2917" s="78"/>
      <c r="AY2917" s="78"/>
      <c r="AZ2917" s="78"/>
      <c r="BA2917" s="78"/>
      <c r="BB2917" s="78"/>
      <c r="BC2917" s="78"/>
      <c r="BD2917" s="78"/>
      <c r="BE2917" s="78"/>
      <c r="BF2917" s="78"/>
      <c r="BG2917" s="78"/>
      <c r="BH2917" s="78"/>
      <c r="BI2917" s="78"/>
      <c r="BJ2917" s="78"/>
    </row>
    <row r="2918" spans="1:63" ht="12" customHeight="1" x14ac:dyDescent="0.15">
      <c r="A2918" s="1" t="s">
        <v>4557</v>
      </c>
      <c r="B2918" s="68">
        <v>31</v>
      </c>
      <c r="C2918" s="1" t="s">
        <v>20</v>
      </c>
      <c r="D2918" s="1" t="s">
        <v>48</v>
      </c>
      <c r="F2918" s="69">
        <v>42035</v>
      </c>
      <c r="G2918" s="1" t="s">
        <v>4558</v>
      </c>
      <c r="H2918" s="1" t="s">
        <v>4559</v>
      </c>
      <c r="I2918" s="1" t="s">
        <v>73</v>
      </c>
      <c r="J2918" s="4" t="s">
        <v>4560</v>
      </c>
      <c r="K2918" s="1" t="s">
        <v>558</v>
      </c>
      <c r="L2918" s="1" t="s">
        <v>724</v>
      </c>
      <c r="M2918" s="1" t="s">
        <v>27</v>
      </c>
      <c r="N2918" s="1" t="s">
        <v>4561</v>
      </c>
      <c r="O2918" s="1" t="s">
        <v>1010</v>
      </c>
      <c r="P2918" s="1" t="s">
        <v>401</v>
      </c>
      <c r="Q2918" s="63" t="s">
        <v>4562</v>
      </c>
      <c r="R2918" s="1" t="s">
        <v>100</v>
      </c>
      <c r="S2918" s="13" t="s">
        <v>28</v>
      </c>
      <c r="T2918" s="68" t="s">
        <v>27756</v>
      </c>
      <c r="U2918" s="68" t="s">
        <v>29438</v>
      </c>
      <c r="V2918" s="68" t="s">
        <v>29439</v>
      </c>
      <c r="W2918" s="68" t="s">
        <v>100</v>
      </c>
      <c r="X2918" s="68">
        <v>338</v>
      </c>
      <c r="AW2918" s="11"/>
      <c r="BK2918" s="44"/>
    </row>
    <row r="2919" spans="1:63" ht="12" customHeight="1" x14ac:dyDescent="0.2">
      <c r="A2919" s="1" t="s">
        <v>4563</v>
      </c>
      <c r="B2919" s="68">
        <v>54</v>
      </c>
      <c r="C2919" s="1" t="s">
        <v>20</v>
      </c>
      <c r="D2919" s="1" t="s">
        <v>85</v>
      </c>
      <c r="E2919" s="1" t="s">
        <v>4564</v>
      </c>
      <c r="F2919" s="69">
        <v>42035</v>
      </c>
      <c r="G2919" s="1" t="s">
        <v>4565</v>
      </c>
      <c r="H2919" s="1" t="s">
        <v>4566</v>
      </c>
      <c r="I2919" s="1" t="s">
        <v>52</v>
      </c>
      <c r="J2919" s="4" t="s">
        <v>4567</v>
      </c>
      <c r="K2919" s="1" t="s">
        <v>1592</v>
      </c>
      <c r="L2919" s="1" t="s">
        <v>231</v>
      </c>
      <c r="M2919" s="68" t="s">
        <v>5411</v>
      </c>
      <c r="N2919" s="1" t="s">
        <v>4568</v>
      </c>
      <c r="O2919" s="1" t="s">
        <v>1010</v>
      </c>
      <c r="P2919" s="1" t="s">
        <v>401</v>
      </c>
      <c r="Q2919" s="63" t="s">
        <v>4569</v>
      </c>
      <c r="R2919" s="68" t="s">
        <v>555</v>
      </c>
      <c r="S2919" s="13" t="s">
        <v>28</v>
      </c>
      <c r="T2919" s="68" t="s">
        <v>29493</v>
      </c>
      <c r="U2919" s="68" t="s">
        <v>29436</v>
      </c>
      <c r="V2919" s="68" t="s">
        <v>29439</v>
      </c>
      <c r="W2919" s="68" t="s">
        <v>100</v>
      </c>
      <c r="X2919" s="68">
        <v>339</v>
      </c>
      <c r="AX2919" s="44"/>
      <c r="AY2919" s="44"/>
      <c r="BA2919" s="70"/>
      <c r="BB2919" s="70"/>
      <c r="BC2919" s="11"/>
      <c r="BD2919" s="11"/>
      <c r="BE2919" s="11"/>
      <c r="BF2919" s="11"/>
      <c r="BG2919" s="11"/>
      <c r="BH2919" s="11"/>
      <c r="BI2919" s="11"/>
      <c r="BJ2919" s="11"/>
    </row>
    <row r="2920" spans="1:63" ht="12" customHeight="1" x14ac:dyDescent="0.15">
      <c r="A2920" s="1" t="s">
        <v>4570</v>
      </c>
      <c r="B2920" s="68">
        <v>48</v>
      </c>
      <c r="C2920" s="1" t="s">
        <v>20</v>
      </c>
      <c r="D2920" s="1" t="s">
        <v>37</v>
      </c>
      <c r="E2920" s="1" t="s">
        <v>4571</v>
      </c>
      <c r="F2920" s="69">
        <v>42034</v>
      </c>
      <c r="G2920" s="1" t="s">
        <v>4572</v>
      </c>
      <c r="H2920" s="1" t="s">
        <v>4573</v>
      </c>
      <c r="I2920" s="1" t="s">
        <v>854</v>
      </c>
      <c r="J2920" s="4" t="s">
        <v>4574</v>
      </c>
      <c r="K2920" s="1" t="s">
        <v>4575</v>
      </c>
      <c r="L2920" s="1" t="s">
        <v>4576</v>
      </c>
      <c r="M2920" s="1" t="s">
        <v>27</v>
      </c>
      <c r="N2920" s="1" t="s">
        <v>4577</v>
      </c>
      <c r="O2920" s="1" t="s">
        <v>1010</v>
      </c>
      <c r="P2920" s="1" t="s">
        <v>401</v>
      </c>
      <c r="Q2920" s="63" t="s">
        <v>4578</v>
      </c>
      <c r="R2920" s="1" t="s">
        <v>100</v>
      </c>
      <c r="S2920" s="13" t="s">
        <v>28</v>
      </c>
      <c r="T2920" s="68" t="s">
        <v>27756</v>
      </c>
      <c r="U2920" s="68" t="s">
        <v>29438</v>
      </c>
      <c r="V2920" s="68" t="s">
        <v>29440</v>
      </c>
      <c r="W2920" s="68" t="s">
        <v>100</v>
      </c>
      <c r="X2920" s="68">
        <v>113</v>
      </c>
      <c r="BK2920" s="44"/>
    </row>
    <row r="2921" spans="1:63" ht="12" customHeight="1" x14ac:dyDescent="0.15">
      <c r="A2921" s="1" t="s">
        <v>4579</v>
      </c>
      <c r="B2921" s="68">
        <v>42</v>
      </c>
      <c r="C2921" s="1" t="s">
        <v>20</v>
      </c>
      <c r="D2921" s="1" t="s">
        <v>37</v>
      </c>
      <c r="E2921" s="1" t="s">
        <v>4580</v>
      </c>
      <c r="F2921" s="69">
        <v>42033</v>
      </c>
      <c r="G2921" s="1" t="s">
        <v>4581</v>
      </c>
      <c r="H2921" s="1" t="s">
        <v>4582</v>
      </c>
      <c r="I2921" s="1" t="s">
        <v>395</v>
      </c>
      <c r="J2921" s="4" t="s">
        <v>4583</v>
      </c>
      <c r="K2921" s="1" t="s">
        <v>566</v>
      </c>
      <c r="L2921" s="1" t="s">
        <v>4584</v>
      </c>
      <c r="M2921" s="1" t="s">
        <v>27</v>
      </c>
      <c r="N2921" s="1" t="s">
        <v>4585</v>
      </c>
      <c r="O2921" s="1" t="s">
        <v>550</v>
      </c>
      <c r="P2921" s="1" t="s">
        <v>401</v>
      </c>
      <c r="Q2921" s="63" t="str">
        <f>HYPERLINK("http://newsok.com/new-details-released-in-stillwater-homicide-officer-shooting/article/5389230","http://newsok.com/new-details-released-in-stillwater-homicide-officer-shooting/article/5389230")</f>
        <v>http://newsok.com/new-details-released-in-stillwater-homicide-officer-shooting/article/5389230</v>
      </c>
      <c r="R2921" s="1" t="s">
        <v>100</v>
      </c>
      <c r="S2921" s="13" t="s">
        <v>18</v>
      </c>
      <c r="T2921" s="68" t="s">
        <v>28345</v>
      </c>
      <c r="U2921" s="68" t="s">
        <v>29436</v>
      </c>
      <c r="V2921" s="68" t="s">
        <v>29440</v>
      </c>
      <c r="W2921" s="68" t="s">
        <v>100</v>
      </c>
      <c r="X2921" s="68">
        <v>342</v>
      </c>
    </row>
    <row r="2922" spans="1:63" ht="12" customHeight="1" x14ac:dyDescent="0.15">
      <c r="A2922" s="1" t="s">
        <v>4436</v>
      </c>
      <c r="B2922" s="68">
        <v>31</v>
      </c>
      <c r="C2922" s="1" t="s">
        <v>20</v>
      </c>
      <c r="D2922" s="1" t="s">
        <v>37</v>
      </c>
      <c r="E2922" s="1" t="s">
        <v>4437</v>
      </c>
      <c r="F2922" s="69">
        <v>42033</v>
      </c>
      <c r="G2922" s="1" t="s">
        <v>4438</v>
      </c>
      <c r="H2922" s="1" t="s">
        <v>4439</v>
      </c>
      <c r="I2922" s="1" t="s">
        <v>57</v>
      </c>
      <c r="J2922" s="4">
        <v>49548</v>
      </c>
      <c r="K2922" s="1" t="s">
        <v>2534</v>
      </c>
      <c r="L2922" s="1" t="s">
        <v>4440</v>
      </c>
      <c r="M2922" s="1" t="s">
        <v>27</v>
      </c>
      <c r="N2922" s="1" t="s">
        <v>4441</v>
      </c>
      <c r="P2922" s="1" t="s">
        <v>401</v>
      </c>
      <c r="Q2922" s="63" t="str">
        <f>HYPERLINK("http://woodtv.com/2015/02/07/suspect-in-officer-shooting-to-be-taken-off-life-support/","http://woodtv.com/2015/02/07/suspect-in-officer-shooting-to-be-taken-off-life-support/")</f>
        <v>http://woodtv.com/2015/02/07/suspect-in-officer-shooting-to-be-taken-off-life-support/</v>
      </c>
      <c r="R2922" s="68" t="s">
        <v>555</v>
      </c>
      <c r="S2922" s="13" t="s">
        <v>28</v>
      </c>
      <c r="T2922" s="68" t="s">
        <v>27756</v>
      </c>
      <c r="U2922" s="68" t="s">
        <v>29438</v>
      </c>
      <c r="V2922" s="68" t="s">
        <v>29439</v>
      </c>
      <c r="W2922" s="68" t="s">
        <v>100</v>
      </c>
      <c r="X2922" s="68">
        <v>112</v>
      </c>
      <c r="AW2922" s="11"/>
      <c r="BA2922" s="44"/>
      <c r="BB2922" s="44"/>
      <c r="BK2922" s="44"/>
    </row>
    <row r="2923" spans="1:63" ht="12" customHeight="1" x14ac:dyDescent="0.15">
      <c r="A2923" s="1" t="s">
        <v>4592</v>
      </c>
      <c r="B2923" s="1">
        <v>33</v>
      </c>
      <c r="C2923" s="1" t="s">
        <v>20</v>
      </c>
      <c r="D2923" s="1" t="s">
        <v>139</v>
      </c>
      <c r="E2923" s="1" t="s">
        <v>4593</v>
      </c>
      <c r="F2923" s="72">
        <v>42032</v>
      </c>
      <c r="G2923" s="1" t="s">
        <v>4594</v>
      </c>
      <c r="H2923" s="1" t="s">
        <v>4417</v>
      </c>
      <c r="I2923" s="1" t="s">
        <v>330</v>
      </c>
      <c r="J2923" s="4">
        <v>99501</v>
      </c>
      <c r="K2923" s="1" t="s">
        <v>4417</v>
      </c>
      <c r="L2923" s="1" t="s">
        <v>4595</v>
      </c>
      <c r="M2923" s="1" t="s">
        <v>2291</v>
      </c>
      <c r="N2923" s="1" t="s">
        <v>4596</v>
      </c>
      <c r="P2923" s="1" t="s">
        <v>401</v>
      </c>
      <c r="Q2923" s="63" t="str">
        <f>HYPERLINK("http://alaska-native-news.com/inmate-dies-intake-anchorage-correctional-complex-15705","http://alaska-native-news.com/inmate-dies-intake-anchorage-correctional-complex-15705")</f>
        <v>http://alaska-native-news.com/inmate-dies-intake-anchorage-correctional-complex-15705</v>
      </c>
      <c r="R2923" s="1" t="s">
        <v>29</v>
      </c>
      <c r="S2923" s="13" t="s">
        <v>18</v>
      </c>
    </row>
    <row r="2924" spans="1:63" ht="12" customHeight="1" x14ac:dyDescent="0.2">
      <c r="A2924" s="1" t="s">
        <v>4617</v>
      </c>
      <c r="B2924" s="68">
        <v>35</v>
      </c>
      <c r="C2924" s="1" t="s">
        <v>20</v>
      </c>
      <c r="D2924" s="1" t="s">
        <v>942</v>
      </c>
      <c r="F2924" s="69">
        <v>42032</v>
      </c>
      <c r="G2924" s="1" t="s">
        <v>4618</v>
      </c>
      <c r="H2924" s="1" t="s">
        <v>1760</v>
      </c>
      <c r="I2924" s="1" t="s">
        <v>45</v>
      </c>
      <c r="J2924" s="4" t="s">
        <v>4619</v>
      </c>
      <c r="K2924" s="1" t="s">
        <v>1762</v>
      </c>
      <c r="L2924" s="1" t="s">
        <v>1763</v>
      </c>
      <c r="M2924" s="68" t="s">
        <v>5411</v>
      </c>
      <c r="N2924" s="1" t="s">
        <v>4620</v>
      </c>
      <c r="O2924" s="1" t="s">
        <v>1010</v>
      </c>
      <c r="P2924" s="1" t="s">
        <v>401</v>
      </c>
      <c r="Q2924" s="63" t="s">
        <v>4621</v>
      </c>
      <c r="R2924" s="68" t="s">
        <v>555</v>
      </c>
      <c r="S2924" s="13" t="s">
        <v>28</v>
      </c>
      <c r="T2924" s="68" t="s">
        <v>29460</v>
      </c>
      <c r="U2924" s="68" t="s">
        <v>29438</v>
      </c>
      <c r="V2924" s="68" t="s">
        <v>29439</v>
      </c>
      <c r="W2924" s="68" t="s">
        <v>100</v>
      </c>
      <c r="X2924" s="68">
        <v>346</v>
      </c>
      <c r="AW2924" s="44"/>
      <c r="BA2924" s="70"/>
      <c r="BB2924" s="70"/>
    </row>
    <row r="2925" spans="1:63" ht="12" customHeight="1" x14ac:dyDescent="0.15">
      <c r="A2925" s="1" t="s">
        <v>21105</v>
      </c>
      <c r="B2925" s="68">
        <v>26</v>
      </c>
      <c r="C2925" s="1" t="s">
        <v>20</v>
      </c>
      <c r="D2925" s="1" t="s">
        <v>37</v>
      </c>
      <c r="F2925" s="69">
        <v>42032</v>
      </c>
      <c r="G2925" s="1" t="s">
        <v>4597</v>
      </c>
      <c r="H2925" s="1" t="s">
        <v>4598</v>
      </c>
      <c r="I2925" s="1" t="s">
        <v>73</v>
      </c>
      <c r="J2925" s="4">
        <v>77471</v>
      </c>
      <c r="K2925" s="1" t="s">
        <v>1386</v>
      </c>
      <c r="L2925" s="1" t="s">
        <v>4599</v>
      </c>
      <c r="M2925" s="1" t="s">
        <v>27</v>
      </c>
      <c r="N2925" s="1" t="s">
        <v>21106</v>
      </c>
      <c r="O2925" s="1" t="s">
        <v>401</v>
      </c>
      <c r="P2925" s="1" t="s">
        <v>401</v>
      </c>
      <c r="Q2925" s="63" t="s">
        <v>4600</v>
      </c>
      <c r="R2925" s="1" t="s">
        <v>29</v>
      </c>
      <c r="S2925" s="13" t="s">
        <v>28</v>
      </c>
      <c r="T2925" s="68" t="s">
        <v>27756</v>
      </c>
      <c r="U2925" s="68" t="s">
        <v>29438</v>
      </c>
      <c r="V2925" s="68" t="s">
        <v>29439</v>
      </c>
      <c r="W2925" s="68" t="s">
        <v>100</v>
      </c>
      <c r="X2925" s="68">
        <v>347</v>
      </c>
      <c r="AW2925" s="44"/>
      <c r="BK2925" s="44"/>
    </row>
    <row r="2926" spans="1:63" ht="12" customHeight="1" x14ac:dyDescent="0.15">
      <c r="A2926" s="1" t="s">
        <v>4601</v>
      </c>
      <c r="B2926" s="68">
        <v>45</v>
      </c>
      <c r="C2926" s="1" t="s">
        <v>20</v>
      </c>
      <c r="D2926" s="1" t="s">
        <v>37</v>
      </c>
      <c r="F2926" s="69">
        <v>42032</v>
      </c>
      <c r="H2926" s="1" t="s">
        <v>4602</v>
      </c>
      <c r="I2926" s="1" t="s">
        <v>73</v>
      </c>
      <c r="J2926" s="4">
        <v>76270</v>
      </c>
      <c r="K2926" s="1" t="s">
        <v>4397</v>
      </c>
      <c r="L2926" s="1" t="s">
        <v>281</v>
      </c>
      <c r="M2926" s="1" t="s">
        <v>27</v>
      </c>
      <c r="N2926" s="1" t="s">
        <v>4603</v>
      </c>
      <c r="P2926" s="1" t="s">
        <v>401</v>
      </c>
      <c r="Q2926" s="63" t="s">
        <v>4604</v>
      </c>
      <c r="R2926" s="1" t="s">
        <v>29</v>
      </c>
      <c r="S2926" s="13" t="s">
        <v>28</v>
      </c>
      <c r="T2926" s="68" t="s">
        <v>27756</v>
      </c>
      <c r="U2926" s="68" t="s">
        <v>29438</v>
      </c>
      <c r="V2926" s="68" t="s">
        <v>29439</v>
      </c>
      <c r="W2926" s="68" t="s">
        <v>100</v>
      </c>
      <c r="X2926" s="68">
        <v>345</v>
      </c>
      <c r="BK2926" s="44"/>
    </row>
    <row r="2927" spans="1:63" ht="12" customHeight="1" x14ac:dyDescent="0.15">
      <c r="A2927" s="1" t="s">
        <v>4605</v>
      </c>
      <c r="B2927" s="68">
        <v>33</v>
      </c>
      <c r="C2927" s="1" t="s">
        <v>20</v>
      </c>
      <c r="D2927" s="1" t="s">
        <v>85</v>
      </c>
      <c r="E2927" s="1" t="s">
        <v>4606</v>
      </c>
      <c r="F2927" s="69">
        <v>42031</v>
      </c>
      <c r="G2927" s="1" t="s">
        <v>4607</v>
      </c>
      <c r="H2927" s="1" t="s">
        <v>1287</v>
      </c>
      <c r="I2927" s="1" t="s">
        <v>69</v>
      </c>
      <c r="J2927" s="4" t="s">
        <v>4608</v>
      </c>
      <c r="K2927" s="1" t="s">
        <v>1288</v>
      </c>
      <c r="L2927" s="1" t="s">
        <v>12562</v>
      </c>
      <c r="M2927" s="1" t="s">
        <v>27</v>
      </c>
      <c r="N2927" s="1" t="s">
        <v>4609</v>
      </c>
      <c r="O2927" s="1" t="s">
        <v>400</v>
      </c>
      <c r="P2927" s="1" t="s">
        <v>401</v>
      </c>
      <c r="Q2927" s="63" t="s">
        <v>4610</v>
      </c>
      <c r="R2927" s="1" t="s">
        <v>100</v>
      </c>
      <c r="S2927" s="13" t="s">
        <v>28</v>
      </c>
      <c r="T2927" s="68" t="s">
        <v>27756</v>
      </c>
      <c r="U2927" s="68" t="s">
        <v>29438</v>
      </c>
      <c r="V2927" s="68" t="s">
        <v>29439</v>
      </c>
      <c r="W2927" s="68" t="s">
        <v>100</v>
      </c>
      <c r="X2927" s="68">
        <v>350</v>
      </c>
      <c r="AW2927" s="11"/>
      <c r="AX2927" s="11"/>
      <c r="AY2927" s="11"/>
      <c r="BC2927" s="11"/>
      <c r="BD2927" s="11"/>
      <c r="BE2927" s="11"/>
      <c r="BF2927" s="11"/>
      <c r="BG2927" s="11"/>
      <c r="BH2927" s="11"/>
      <c r="BI2927" s="11"/>
      <c r="BJ2927" s="11"/>
      <c r="BK2927" s="44"/>
    </row>
    <row r="2928" spans="1:63" ht="12" customHeight="1" x14ac:dyDescent="0.15">
      <c r="A2928" s="1" t="s">
        <v>4655</v>
      </c>
      <c r="B2928" s="68">
        <v>29</v>
      </c>
      <c r="C2928" s="1" t="s">
        <v>20</v>
      </c>
      <c r="D2928" s="1" t="s">
        <v>37</v>
      </c>
      <c r="F2928" s="69">
        <v>42031</v>
      </c>
      <c r="G2928" s="1" t="s">
        <v>4656</v>
      </c>
      <c r="H2928" s="1" t="s">
        <v>4657</v>
      </c>
      <c r="I2928" s="1" t="s">
        <v>123</v>
      </c>
      <c r="J2928" s="4" t="s">
        <v>4658</v>
      </c>
      <c r="K2928" s="1" t="s">
        <v>4659</v>
      </c>
      <c r="L2928" s="1" t="s">
        <v>4660</v>
      </c>
      <c r="M2928" s="1" t="s">
        <v>27</v>
      </c>
      <c r="N2928" s="1" t="s">
        <v>4661</v>
      </c>
      <c r="O2928" s="1" t="s">
        <v>1010</v>
      </c>
      <c r="P2928" s="1" t="s">
        <v>401</v>
      </c>
      <c r="Q2928" s="63" t="s">
        <v>4662</v>
      </c>
      <c r="R2928" s="1" t="s">
        <v>100</v>
      </c>
      <c r="S2928" s="13" t="s">
        <v>28</v>
      </c>
      <c r="T2928" s="68" t="s">
        <v>27756</v>
      </c>
      <c r="U2928" s="68" t="s">
        <v>29438</v>
      </c>
      <c r="V2928" s="68" t="s">
        <v>29439</v>
      </c>
      <c r="W2928" s="68" t="s">
        <v>100</v>
      </c>
      <c r="X2928" s="68">
        <v>349</v>
      </c>
      <c r="AW2928" s="44"/>
      <c r="BK2928" s="44"/>
    </row>
    <row r="2929" spans="1:63" ht="12" customHeight="1" x14ac:dyDescent="0.15">
      <c r="A2929" s="1" t="s">
        <v>4611</v>
      </c>
      <c r="B2929" s="68">
        <v>26</v>
      </c>
      <c r="C2929" s="1" t="s">
        <v>20</v>
      </c>
      <c r="D2929" s="1" t="s">
        <v>48</v>
      </c>
      <c r="E2929" s="1" t="s">
        <v>4612</v>
      </c>
      <c r="F2929" s="69">
        <v>42031</v>
      </c>
      <c r="G2929" s="1" t="s">
        <v>4613</v>
      </c>
      <c r="H2929" s="1" t="s">
        <v>632</v>
      </c>
      <c r="I2929" s="1" t="s">
        <v>123</v>
      </c>
      <c r="J2929" s="4" t="s">
        <v>4614</v>
      </c>
      <c r="K2929" s="1" t="s">
        <v>633</v>
      </c>
      <c r="L2929" s="1" t="s">
        <v>634</v>
      </c>
      <c r="M2929" s="1" t="s">
        <v>27</v>
      </c>
      <c r="N2929" s="1" t="s">
        <v>4615</v>
      </c>
      <c r="O2929" s="1" t="s">
        <v>400</v>
      </c>
      <c r="P2929" s="1" t="s">
        <v>401</v>
      </c>
      <c r="Q2929" s="63" t="s">
        <v>4616</v>
      </c>
      <c r="R2929" s="1" t="s">
        <v>100</v>
      </c>
      <c r="S2929" s="13" t="s">
        <v>379</v>
      </c>
      <c r="T2929" s="68" t="s">
        <v>379</v>
      </c>
      <c r="U2929" s="68" t="s">
        <v>29436</v>
      </c>
      <c r="V2929" s="68" t="s">
        <v>29439</v>
      </c>
      <c r="W2929" s="68" t="s">
        <v>100</v>
      </c>
      <c r="X2929" s="68">
        <v>348</v>
      </c>
      <c r="AW2929" s="44"/>
      <c r="BK2929" s="44"/>
    </row>
    <row r="2930" spans="1:63" ht="12" customHeight="1" x14ac:dyDescent="0.15">
      <c r="A2930" s="1" t="s">
        <v>4622</v>
      </c>
      <c r="B2930" s="68">
        <v>39</v>
      </c>
      <c r="C2930" s="1" t="s">
        <v>114</v>
      </c>
      <c r="D2930" s="1" t="s">
        <v>37</v>
      </c>
      <c r="E2930" s="1" t="s">
        <v>4623</v>
      </c>
      <c r="F2930" s="69">
        <v>42031</v>
      </c>
      <c r="G2930" s="1" t="s">
        <v>4624</v>
      </c>
      <c r="H2930" s="1" t="s">
        <v>1627</v>
      </c>
      <c r="I2930" s="1" t="s">
        <v>463</v>
      </c>
      <c r="J2930" s="4" t="s">
        <v>4625</v>
      </c>
      <c r="K2930" s="1" t="s">
        <v>938</v>
      </c>
      <c r="L2930" s="1" t="s">
        <v>2253</v>
      </c>
      <c r="M2930" s="1" t="s">
        <v>27</v>
      </c>
      <c r="N2930" s="1" t="s">
        <v>4626</v>
      </c>
      <c r="O2930" s="1" t="s">
        <v>1010</v>
      </c>
      <c r="P2930" s="1" t="s">
        <v>401</v>
      </c>
      <c r="Q2930" s="63" t="s">
        <v>4627</v>
      </c>
      <c r="R2930" s="68" t="s">
        <v>555</v>
      </c>
      <c r="S2930" s="13" t="s">
        <v>28</v>
      </c>
      <c r="T2930" s="68" t="s">
        <v>29493</v>
      </c>
      <c r="U2930" s="68" t="s">
        <v>29438</v>
      </c>
      <c r="V2930" s="68" t="s">
        <v>29439</v>
      </c>
      <c r="W2930" s="68" t="s">
        <v>100</v>
      </c>
      <c r="X2930" s="68">
        <v>111</v>
      </c>
      <c r="AW2930" s="44"/>
      <c r="BA2930" s="44"/>
      <c r="BB2930" s="11"/>
      <c r="BK2930" s="44"/>
    </row>
    <row r="2931" spans="1:63" ht="12" customHeight="1" x14ac:dyDescent="0.15">
      <c r="A2931" s="1" t="s">
        <v>4647</v>
      </c>
      <c r="B2931" s="68">
        <v>24</v>
      </c>
      <c r="C2931" s="1" t="s">
        <v>20</v>
      </c>
      <c r="D2931" s="1" t="s">
        <v>48</v>
      </c>
      <c r="E2931" s="1" t="s">
        <v>4648</v>
      </c>
      <c r="F2931" s="69">
        <v>42030</v>
      </c>
      <c r="G2931" s="1" t="s">
        <v>4649</v>
      </c>
      <c r="H2931" s="1" t="s">
        <v>4650</v>
      </c>
      <c r="I2931" s="1" t="s">
        <v>73</v>
      </c>
      <c r="J2931" s="4" t="s">
        <v>4651</v>
      </c>
      <c r="K2931" s="1" t="s">
        <v>1272</v>
      </c>
      <c r="L2931" s="1" t="s">
        <v>4652</v>
      </c>
      <c r="M2931" s="1" t="s">
        <v>27</v>
      </c>
      <c r="N2931" s="1" t="s">
        <v>4653</v>
      </c>
      <c r="O2931" s="1" t="s">
        <v>1010</v>
      </c>
      <c r="P2931" s="1" t="s">
        <v>401</v>
      </c>
      <c r="Q2931" s="63" t="s">
        <v>4654</v>
      </c>
      <c r="R2931" s="1" t="s">
        <v>100</v>
      </c>
      <c r="S2931" s="13" t="s">
        <v>18</v>
      </c>
      <c r="T2931" s="68" t="s">
        <v>28345</v>
      </c>
      <c r="U2931" s="68" t="s">
        <v>29436</v>
      </c>
      <c r="V2931" s="68" t="s">
        <v>29437</v>
      </c>
      <c r="W2931" s="68" t="s">
        <v>100</v>
      </c>
      <c r="X2931" s="68">
        <v>352</v>
      </c>
      <c r="AW2931" s="11"/>
    </row>
    <row r="2932" spans="1:63" ht="12" customHeight="1" x14ac:dyDescent="0.15">
      <c r="A2932" s="1" t="s">
        <v>4663</v>
      </c>
      <c r="B2932" s="1">
        <v>35</v>
      </c>
      <c r="C2932" s="1" t="s">
        <v>114</v>
      </c>
      <c r="D2932" s="1" t="s">
        <v>30</v>
      </c>
      <c r="F2932" s="72">
        <v>42030</v>
      </c>
      <c r="G2932" s="1" t="s">
        <v>4664</v>
      </c>
      <c r="H2932" s="1" t="s">
        <v>2651</v>
      </c>
      <c r="I2932" s="1" t="s">
        <v>117</v>
      </c>
      <c r="J2932" s="4" t="s">
        <v>4665</v>
      </c>
      <c r="K2932" s="1" t="s">
        <v>420</v>
      </c>
      <c r="L2932" s="1" t="s">
        <v>4666</v>
      </c>
      <c r="M2932" s="1" t="s">
        <v>379</v>
      </c>
      <c r="N2932" s="1" t="s">
        <v>4667</v>
      </c>
      <c r="O2932" s="1" t="s">
        <v>1010</v>
      </c>
      <c r="P2932" s="1" t="s">
        <v>401</v>
      </c>
      <c r="Q2932" s="63" t="s">
        <v>4668</v>
      </c>
      <c r="R2932" s="1" t="s">
        <v>100</v>
      </c>
      <c r="S2932" s="66" t="s">
        <v>379</v>
      </c>
      <c r="T2932" s="66" t="s">
        <v>30738</v>
      </c>
    </row>
    <row r="2933" spans="1:63" ht="12" customHeight="1" x14ac:dyDescent="0.2">
      <c r="A2933" s="1" t="s">
        <v>4635</v>
      </c>
      <c r="B2933" s="68">
        <v>17</v>
      </c>
      <c r="C2933" s="1" t="s">
        <v>114</v>
      </c>
      <c r="D2933" s="1" t="s">
        <v>48</v>
      </c>
      <c r="E2933" s="1" t="s">
        <v>4636</v>
      </c>
      <c r="F2933" s="69">
        <v>42030</v>
      </c>
      <c r="G2933" s="1" t="s">
        <v>4637</v>
      </c>
      <c r="H2933" s="1" t="s">
        <v>1298</v>
      </c>
      <c r="I2933" s="1" t="s">
        <v>209</v>
      </c>
      <c r="J2933" s="4">
        <v>80207</v>
      </c>
      <c r="K2933" s="1" t="s">
        <v>4638</v>
      </c>
      <c r="L2933" s="1" t="s">
        <v>1299</v>
      </c>
      <c r="M2933" s="1" t="s">
        <v>27</v>
      </c>
      <c r="N2933" s="1" t="s">
        <v>4639</v>
      </c>
      <c r="O2933" s="1" t="s">
        <v>400</v>
      </c>
      <c r="P2933" s="1" t="s">
        <v>401</v>
      </c>
      <c r="Q2933" s="63" t="s">
        <v>4640</v>
      </c>
      <c r="R2933" s="1" t="s">
        <v>29</v>
      </c>
      <c r="S2933" s="68" t="s">
        <v>379</v>
      </c>
      <c r="T2933" s="68" t="s">
        <v>379</v>
      </c>
      <c r="U2933" s="68" t="s">
        <v>29436</v>
      </c>
      <c r="V2933" s="68" t="s">
        <v>29439</v>
      </c>
      <c r="W2933" s="68" t="s">
        <v>100</v>
      </c>
      <c r="X2933" s="68">
        <v>20</v>
      </c>
      <c r="AW2933" s="70"/>
      <c r="BK2933" s="44"/>
    </row>
    <row r="2934" spans="1:63" ht="12" customHeight="1" x14ac:dyDescent="0.15">
      <c r="A2934" s="1" t="s">
        <v>4641</v>
      </c>
      <c r="B2934" s="68">
        <v>34</v>
      </c>
      <c r="C2934" s="1" t="s">
        <v>20</v>
      </c>
      <c r="D2934" s="1" t="s">
        <v>48</v>
      </c>
      <c r="F2934" s="69">
        <v>42030</v>
      </c>
      <c r="G2934" s="1" t="s">
        <v>4642</v>
      </c>
      <c r="H2934" s="1" t="s">
        <v>4643</v>
      </c>
      <c r="I2934" s="1" t="s">
        <v>45</v>
      </c>
      <c r="J2934" s="4" t="s">
        <v>4644</v>
      </c>
      <c r="K2934" s="1" t="s">
        <v>680</v>
      </c>
      <c r="L2934" s="1" t="s">
        <v>747</v>
      </c>
      <c r="M2934" s="1" t="s">
        <v>27</v>
      </c>
      <c r="N2934" s="1" t="s">
        <v>4645</v>
      </c>
      <c r="O2934" s="1" t="s">
        <v>550</v>
      </c>
      <c r="P2934" s="1" t="s">
        <v>401</v>
      </c>
      <c r="Q2934" s="63" t="s">
        <v>4646</v>
      </c>
      <c r="R2934" s="68" t="s">
        <v>555</v>
      </c>
      <c r="S2934" s="13" t="s">
        <v>28</v>
      </c>
      <c r="T2934" s="68" t="s">
        <v>29493</v>
      </c>
      <c r="U2934" s="68" t="s">
        <v>29436</v>
      </c>
      <c r="V2934" s="68" t="s">
        <v>29439</v>
      </c>
      <c r="W2934" s="68" t="s">
        <v>100</v>
      </c>
      <c r="X2934" s="68">
        <v>353</v>
      </c>
      <c r="AW2934" s="11"/>
      <c r="BA2934" s="44"/>
      <c r="BB2934" s="44"/>
    </row>
    <row r="2935" spans="1:63" ht="12" customHeight="1" x14ac:dyDescent="0.2">
      <c r="A2935" s="1" t="s">
        <v>4669</v>
      </c>
      <c r="B2935" s="68">
        <v>68</v>
      </c>
      <c r="C2935" s="1" t="s">
        <v>20</v>
      </c>
      <c r="D2935" s="1" t="s">
        <v>37</v>
      </c>
      <c r="E2935" s="1" t="s">
        <v>4670</v>
      </c>
      <c r="F2935" s="69">
        <v>42030</v>
      </c>
      <c r="G2935" s="1" t="s">
        <v>4671</v>
      </c>
      <c r="H2935" s="1" t="s">
        <v>4672</v>
      </c>
      <c r="I2935" s="1" t="s">
        <v>133</v>
      </c>
      <c r="J2935" s="4" t="s">
        <v>4673</v>
      </c>
      <c r="K2935" s="1" t="s">
        <v>1072</v>
      </c>
      <c r="L2935" s="1" t="s">
        <v>4674</v>
      </c>
      <c r="M2935" s="1" t="s">
        <v>27</v>
      </c>
      <c r="N2935" s="1" t="s">
        <v>4675</v>
      </c>
      <c r="O2935" s="1" t="s">
        <v>550</v>
      </c>
      <c r="P2935" s="1" t="s">
        <v>401</v>
      </c>
      <c r="Q2935" s="63" t="s">
        <v>4676</v>
      </c>
      <c r="R2935" s="68" t="s">
        <v>555</v>
      </c>
      <c r="S2935" s="13" t="s">
        <v>28</v>
      </c>
      <c r="T2935" s="68" t="s">
        <v>27756</v>
      </c>
      <c r="U2935" s="68" t="s">
        <v>29438</v>
      </c>
      <c r="V2935" s="68" t="s">
        <v>29439</v>
      </c>
      <c r="W2935" s="68" t="s">
        <v>100</v>
      </c>
      <c r="X2935" s="68">
        <v>324</v>
      </c>
      <c r="BA2935" s="70"/>
      <c r="BB2935" s="44"/>
    </row>
    <row r="2936" spans="1:63" ht="12" customHeight="1" x14ac:dyDescent="0.15">
      <c r="A2936" s="1" t="s">
        <v>4628</v>
      </c>
      <c r="B2936" s="1">
        <v>57</v>
      </c>
      <c r="C2936" s="1" t="s">
        <v>20</v>
      </c>
      <c r="D2936" s="1" t="s">
        <v>85</v>
      </c>
      <c r="F2936" s="72">
        <v>42030</v>
      </c>
      <c r="G2936" s="1" t="s">
        <v>4629</v>
      </c>
      <c r="H2936" s="1" t="s">
        <v>4630</v>
      </c>
      <c r="I2936" s="1" t="s">
        <v>45</v>
      </c>
      <c r="J2936" s="4">
        <v>94066</v>
      </c>
      <c r="K2936" s="1" t="s">
        <v>4631</v>
      </c>
      <c r="L2936" s="1" t="s">
        <v>4632</v>
      </c>
      <c r="M2936" s="1" t="s">
        <v>29</v>
      </c>
      <c r="N2936" s="1" t="s">
        <v>4633</v>
      </c>
      <c r="P2936" s="1" t="s">
        <v>401</v>
      </c>
      <c r="Q2936" s="63" t="s">
        <v>4634</v>
      </c>
      <c r="R2936" s="1" t="s">
        <v>29</v>
      </c>
      <c r="S2936" s="13" t="s">
        <v>18</v>
      </c>
      <c r="AU2936" s="44"/>
      <c r="AV2936" s="44"/>
      <c r="AW2936" s="44"/>
      <c r="AX2936" s="44"/>
      <c r="AY2936" s="44"/>
      <c r="BC2936" s="11"/>
      <c r="BD2936" s="11"/>
      <c r="BE2936" s="11"/>
      <c r="BF2936" s="11"/>
      <c r="BG2936" s="11"/>
      <c r="BH2936" s="11"/>
      <c r="BI2936" s="11"/>
      <c r="BJ2936" s="11"/>
    </row>
    <row r="2937" spans="1:63" ht="12" customHeight="1" x14ac:dyDescent="0.15">
      <c r="A2937" s="1" t="s">
        <v>4677</v>
      </c>
      <c r="B2937" s="68">
        <v>26</v>
      </c>
      <c r="C2937" s="1" t="s">
        <v>20</v>
      </c>
      <c r="D2937" s="1" t="s">
        <v>48</v>
      </c>
      <c r="E2937" s="1" t="s">
        <v>4678</v>
      </c>
      <c r="F2937" s="69">
        <v>42029</v>
      </c>
      <c r="G2937" s="1" t="s">
        <v>4679</v>
      </c>
      <c r="H2937" s="1" t="s">
        <v>4680</v>
      </c>
      <c r="I2937" s="1" t="s">
        <v>209</v>
      </c>
      <c r="J2937" s="4" t="s">
        <v>4681</v>
      </c>
      <c r="K2937" s="1" t="s">
        <v>4680</v>
      </c>
      <c r="L2937" s="1" t="s">
        <v>4682</v>
      </c>
      <c r="M2937" s="1" t="s">
        <v>27</v>
      </c>
      <c r="N2937" s="1" t="s">
        <v>4683</v>
      </c>
      <c r="O2937" s="1" t="s">
        <v>4684</v>
      </c>
      <c r="P2937" s="1" t="s">
        <v>401</v>
      </c>
      <c r="Q2937" s="63" t="s">
        <v>4685</v>
      </c>
      <c r="R2937" s="1" t="s">
        <v>100</v>
      </c>
      <c r="S2937" s="13" t="s">
        <v>28</v>
      </c>
      <c r="T2937" s="68" t="s">
        <v>27756</v>
      </c>
      <c r="U2937" s="68" t="s">
        <v>29438</v>
      </c>
      <c r="V2937" s="68" t="s">
        <v>29437</v>
      </c>
      <c r="W2937" s="68" t="s">
        <v>100</v>
      </c>
      <c r="X2937" s="68">
        <v>108</v>
      </c>
      <c r="AW2937" s="44"/>
    </row>
    <row r="2938" spans="1:63" ht="12" customHeight="1" x14ac:dyDescent="0.15">
      <c r="A2938" s="1" t="s">
        <v>4686</v>
      </c>
      <c r="B2938" s="68">
        <v>59</v>
      </c>
      <c r="C2938" s="1" t="s">
        <v>20</v>
      </c>
      <c r="D2938" s="1" t="s">
        <v>30</v>
      </c>
      <c r="F2938" s="69">
        <v>42029</v>
      </c>
      <c r="G2938" s="1" t="s">
        <v>4687</v>
      </c>
      <c r="H2938" s="1" t="s">
        <v>4688</v>
      </c>
      <c r="I2938" s="1" t="s">
        <v>81</v>
      </c>
      <c r="J2938" s="4" t="s">
        <v>4689</v>
      </c>
      <c r="K2938" s="1" t="s">
        <v>1505</v>
      </c>
      <c r="L2938" s="1" t="s">
        <v>4690</v>
      </c>
      <c r="M2938" s="1" t="s">
        <v>27</v>
      </c>
      <c r="N2938" s="1" t="s">
        <v>4691</v>
      </c>
      <c r="O2938" s="1" t="s">
        <v>1010</v>
      </c>
      <c r="P2938" s="1" t="s">
        <v>401</v>
      </c>
      <c r="Q2938" s="63" t="s">
        <v>4692</v>
      </c>
      <c r="R2938" s="1" t="s">
        <v>100</v>
      </c>
      <c r="S2938" s="13" t="s">
        <v>28</v>
      </c>
      <c r="T2938" s="68" t="s">
        <v>27756</v>
      </c>
      <c r="U2938" s="68" t="s">
        <v>29438</v>
      </c>
      <c r="V2938" s="68" t="s">
        <v>29439</v>
      </c>
      <c r="W2938" s="68" t="s">
        <v>100</v>
      </c>
      <c r="X2938" s="68">
        <v>110</v>
      </c>
    </row>
    <row r="2939" spans="1:63" ht="12" customHeight="1" x14ac:dyDescent="0.15">
      <c r="A2939" s="1" t="s">
        <v>4700</v>
      </c>
      <c r="B2939" s="68">
        <v>45</v>
      </c>
      <c r="C2939" s="1" t="s">
        <v>20</v>
      </c>
      <c r="D2939" s="1" t="s">
        <v>37</v>
      </c>
      <c r="F2939" s="69">
        <v>42028</v>
      </c>
      <c r="G2939" s="1" t="s">
        <v>4701</v>
      </c>
      <c r="H2939" s="1" t="s">
        <v>4702</v>
      </c>
      <c r="I2939" s="1" t="s">
        <v>790</v>
      </c>
      <c r="J2939" s="4" t="s">
        <v>4703</v>
      </c>
      <c r="K2939" s="1" t="s">
        <v>2160</v>
      </c>
      <c r="L2939" s="1" t="s">
        <v>4704</v>
      </c>
      <c r="M2939" s="1" t="s">
        <v>27</v>
      </c>
      <c r="N2939" s="1" t="s">
        <v>4705</v>
      </c>
      <c r="O2939" s="1" t="s">
        <v>1010</v>
      </c>
      <c r="P2939" s="1" t="s">
        <v>401</v>
      </c>
      <c r="Q2939" s="63" t="s">
        <v>4706</v>
      </c>
      <c r="R2939" s="1" t="s">
        <v>100</v>
      </c>
      <c r="S2939" s="13" t="s">
        <v>28</v>
      </c>
      <c r="T2939" s="68" t="s">
        <v>27756</v>
      </c>
      <c r="U2939" s="68" t="s">
        <v>29438</v>
      </c>
      <c r="V2939" s="68" t="s">
        <v>29439</v>
      </c>
      <c r="W2939" s="68" t="s">
        <v>100</v>
      </c>
      <c r="X2939" s="68">
        <v>105</v>
      </c>
    </row>
    <row r="2940" spans="1:63" ht="12" customHeight="1" x14ac:dyDescent="0.2">
      <c r="A2940" s="1" t="s">
        <v>4693</v>
      </c>
      <c r="B2940" s="68">
        <v>26</v>
      </c>
      <c r="C2940" s="1" t="s">
        <v>20</v>
      </c>
      <c r="D2940" s="1" t="s">
        <v>85</v>
      </c>
      <c r="E2940" s="1" t="s">
        <v>4694</v>
      </c>
      <c r="F2940" s="69">
        <v>42028</v>
      </c>
      <c r="G2940" s="1" t="s">
        <v>4695</v>
      </c>
      <c r="H2940" s="1" t="s">
        <v>1592</v>
      </c>
      <c r="I2940" s="1" t="s">
        <v>52</v>
      </c>
      <c r="J2940" s="4" t="s">
        <v>4696</v>
      </c>
      <c r="K2940" s="1" t="s">
        <v>4697</v>
      </c>
      <c r="L2940" s="1" t="s">
        <v>2770</v>
      </c>
      <c r="M2940" s="1" t="s">
        <v>27</v>
      </c>
      <c r="N2940" s="1" t="s">
        <v>4698</v>
      </c>
      <c r="O2940" s="1" t="s">
        <v>1010</v>
      </c>
      <c r="P2940" s="1" t="s">
        <v>401</v>
      </c>
      <c r="Q2940" s="63" t="s">
        <v>4699</v>
      </c>
      <c r="R2940" s="68" t="s">
        <v>555</v>
      </c>
      <c r="S2940" s="13" t="s">
        <v>28</v>
      </c>
      <c r="T2940" s="68" t="s">
        <v>29493</v>
      </c>
      <c r="U2940" s="68" t="s">
        <v>29436</v>
      </c>
      <c r="V2940" s="68" t="s">
        <v>29439</v>
      </c>
      <c r="W2940" s="68" t="s">
        <v>100</v>
      </c>
      <c r="X2940" s="68">
        <v>107</v>
      </c>
      <c r="AW2940" s="44"/>
      <c r="AX2940" s="11"/>
      <c r="AY2940" s="11"/>
      <c r="BA2940" s="70"/>
      <c r="BB2940" s="44"/>
      <c r="BC2940" s="11"/>
      <c r="BD2940" s="11"/>
      <c r="BE2940" s="11"/>
      <c r="BF2940" s="11"/>
      <c r="BG2940" s="11"/>
      <c r="BH2940" s="11"/>
      <c r="BI2940" s="11"/>
      <c r="BJ2940" s="11"/>
    </row>
    <row r="2941" spans="1:63" ht="12" customHeight="1" x14ac:dyDescent="0.15">
      <c r="A2941" s="1" t="s">
        <v>4586</v>
      </c>
      <c r="B2941" s="68">
        <v>40</v>
      </c>
      <c r="C2941" s="1" t="s">
        <v>20</v>
      </c>
      <c r="D2941" s="1" t="s">
        <v>37</v>
      </c>
      <c r="E2941" s="1" t="s">
        <v>4587</v>
      </c>
      <c r="F2941" s="69">
        <v>42028</v>
      </c>
      <c r="G2941" s="1" t="s">
        <v>4588</v>
      </c>
      <c r="H2941" s="1" t="s">
        <v>926</v>
      </c>
      <c r="I2941" s="1" t="s">
        <v>73</v>
      </c>
      <c r="J2941" s="4" t="s">
        <v>4589</v>
      </c>
      <c r="K2941" s="1" t="s">
        <v>74</v>
      </c>
      <c r="L2941" s="1" t="s">
        <v>927</v>
      </c>
      <c r="M2941" s="1" t="s">
        <v>27</v>
      </c>
      <c r="N2941" s="1" t="s">
        <v>4590</v>
      </c>
      <c r="O2941" s="1" t="s">
        <v>1010</v>
      </c>
      <c r="P2941" s="1" t="s">
        <v>401</v>
      </c>
      <c r="Q2941" s="63" t="s">
        <v>4591</v>
      </c>
      <c r="R2941" s="1" t="s">
        <v>555</v>
      </c>
      <c r="S2941" s="13" t="s">
        <v>28</v>
      </c>
      <c r="T2941" s="68" t="s">
        <v>27756</v>
      </c>
      <c r="U2941" s="68" t="s">
        <v>29438</v>
      </c>
      <c r="V2941" s="68" t="s">
        <v>29439</v>
      </c>
      <c r="W2941" s="68" t="s">
        <v>100</v>
      </c>
      <c r="X2941" s="68">
        <v>341</v>
      </c>
    </row>
    <row r="2942" spans="1:63" ht="12" customHeight="1" x14ac:dyDescent="0.15">
      <c r="A2942" s="1" t="s">
        <v>4715</v>
      </c>
      <c r="B2942" s="68">
        <v>29</v>
      </c>
      <c r="C2942" s="1" t="s">
        <v>20</v>
      </c>
      <c r="D2942" s="1" t="s">
        <v>85</v>
      </c>
      <c r="F2942" s="69">
        <v>42027</v>
      </c>
      <c r="G2942" s="1" t="s">
        <v>4716</v>
      </c>
      <c r="H2942" s="1" t="s">
        <v>4717</v>
      </c>
      <c r="I2942" s="1" t="s">
        <v>62</v>
      </c>
      <c r="J2942" s="4" t="s">
        <v>4718</v>
      </c>
      <c r="K2942" s="1" t="s">
        <v>1123</v>
      </c>
      <c r="L2942" s="1" t="s">
        <v>4719</v>
      </c>
      <c r="M2942" s="1" t="s">
        <v>27</v>
      </c>
      <c r="N2942" s="1" t="s">
        <v>4720</v>
      </c>
      <c r="O2942" s="1" t="s">
        <v>1010</v>
      </c>
      <c r="P2942" s="1" t="s">
        <v>401</v>
      </c>
      <c r="Q2942" s="63" t="s">
        <v>4721</v>
      </c>
      <c r="R2942" s="1" t="s">
        <v>100</v>
      </c>
      <c r="S2942" s="13" t="s">
        <v>379</v>
      </c>
      <c r="T2942" s="68" t="s">
        <v>379</v>
      </c>
      <c r="U2942" s="68" t="s">
        <v>29436</v>
      </c>
      <c r="V2942" s="68" t="s">
        <v>29439</v>
      </c>
      <c r="W2942" s="68" t="s">
        <v>100</v>
      </c>
      <c r="X2942" s="68">
        <v>101</v>
      </c>
      <c r="AW2942" s="44"/>
      <c r="AX2942" s="11"/>
      <c r="AY2942" s="11"/>
      <c r="BC2942" s="11"/>
      <c r="BD2942" s="11"/>
      <c r="BE2942" s="11"/>
      <c r="BF2942" s="11"/>
      <c r="BG2942" s="11"/>
      <c r="BH2942" s="11"/>
      <c r="BI2942" s="11"/>
      <c r="BJ2942" s="11"/>
      <c r="BK2942" s="44"/>
    </row>
    <row r="2943" spans="1:63" ht="12" customHeight="1" x14ac:dyDescent="0.15">
      <c r="A2943" s="1" t="s">
        <v>4707</v>
      </c>
      <c r="B2943" s="68">
        <v>56</v>
      </c>
      <c r="C2943" s="1" t="s">
        <v>20</v>
      </c>
      <c r="D2943" s="1" t="s">
        <v>48</v>
      </c>
      <c r="F2943" s="69">
        <v>42027</v>
      </c>
      <c r="G2943" s="1" t="s">
        <v>4708</v>
      </c>
      <c r="H2943" s="1" t="s">
        <v>4709</v>
      </c>
      <c r="I2943" s="1" t="s">
        <v>73</v>
      </c>
      <c r="J2943" s="4" t="s">
        <v>4710</v>
      </c>
      <c r="K2943" s="1" t="s">
        <v>4711</v>
      </c>
      <c r="L2943" s="1" t="s">
        <v>4712</v>
      </c>
      <c r="M2943" s="1" t="s">
        <v>27</v>
      </c>
      <c r="N2943" s="1" t="s">
        <v>4713</v>
      </c>
      <c r="O2943" s="1" t="s">
        <v>400</v>
      </c>
      <c r="P2943" s="1" t="s">
        <v>401</v>
      </c>
      <c r="Q2943" s="63" t="s">
        <v>4714</v>
      </c>
      <c r="R2943" s="1" t="s">
        <v>29</v>
      </c>
      <c r="S2943" s="13" t="s">
        <v>28</v>
      </c>
      <c r="T2943" s="68" t="s">
        <v>29493</v>
      </c>
      <c r="U2943" s="68" t="s">
        <v>29436</v>
      </c>
      <c r="V2943" s="68" t="s">
        <v>29439</v>
      </c>
      <c r="W2943" s="68" t="s">
        <v>100</v>
      </c>
      <c r="X2943" s="68">
        <v>102</v>
      </c>
    </row>
    <row r="2944" spans="1:63" ht="12" customHeight="1" x14ac:dyDescent="0.15">
      <c r="A2944" s="1" t="s">
        <v>4722</v>
      </c>
      <c r="B2944" s="68">
        <v>61</v>
      </c>
      <c r="C2944" s="1" t="s">
        <v>20</v>
      </c>
      <c r="D2944" s="1" t="s">
        <v>37</v>
      </c>
      <c r="E2944" s="1" t="s">
        <v>4723</v>
      </c>
      <c r="F2944" s="69">
        <v>42027</v>
      </c>
      <c r="G2944" s="1" t="s">
        <v>4724</v>
      </c>
      <c r="H2944" s="1" t="s">
        <v>1313</v>
      </c>
      <c r="I2944" s="1" t="s">
        <v>73</v>
      </c>
      <c r="J2944" s="4" t="s">
        <v>4725</v>
      </c>
      <c r="K2944" s="1" t="s">
        <v>1314</v>
      </c>
      <c r="L2944" s="1" t="s">
        <v>1315</v>
      </c>
      <c r="M2944" s="1" t="s">
        <v>27</v>
      </c>
      <c r="N2944" s="1" t="s">
        <v>4726</v>
      </c>
      <c r="O2944" s="1" t="s">
        <v>400</v>
      </c>
      <c r="P2944" s="1" t="s">
        <v>401</v>
      </c>
      <c r="Q2944" s="63" t="str">
        <f>HYPERLINK("http://www.statesman.com/news/news/local/officer-involved-shooting-being-investigated/njtpW/","http://www.statesman.com/news/news/local/officer-involved-shooting-being-investigated/njtpW/")</f>
        <v>http://www.statesman.com/news/news/local/officer-involved-shooting-being-investigated/njtpW/</v>
      </c>
      <c r="R2944" s="68" t="s">
        <v>555</v>
      </c>
      <c r="S2944" s="13" t="s">
        <v>28</v>
      </c>
      <c r="T2944" s="68" t="s">
        <v>27756</v>
      </c>
      <c r="U2944" s="68" t="s">
        <v>29438</v>
      </c>
      <c r="V2944" s="68" t="s">
        <v>29439</v>
      </c>
      <c r="W2944" s="68" t="s">
        <v>100</v>
      </c>
      <c r="X2944" s="68">
        <v>336</v>
      </c>
      <c r="BA2944" s="44"/>
      <c r="BB2944" s="44"/>
      <c r="BK2944" s="44"/>
    </row>
    <row r="2945" spans="1:63" ht="12" customHeight="1" x14ac:dyDescent="0.15">
      <c r="A2945" s="1" t="s">
        <v>4727</v>
      </c>
      <c r="B2945" s="68">
        <v>25</v>
      </c>
      <c r="C2945" s="1" t="s">
        <v>20</v>
      </c>
      <c r="D2945" s="1" t="s">
        <v>85</v>
      </c>
      <c r="E2945" s="1" t="s">
        <v>20287</v>
      </c>
      <c r="F2945" s="69">
        <v>42026</v>
      </c>
      <c r="G2945" s="1" t="s">
        <v>4728</v>
      </c>
      <c r="H2945" s="1" t="s">
        <v>4729</v>
      </c>
      <c r="I2945" s="1" t="s">
        <v>73</v>
      </c>
      <c r="J2945" s="4" t="s">
        <v>4730</v>
      </c>
      <c r="K2945" s="1" t="s">
        <v>4731</v>
      </c>
      <c r="L2945" s="1" t="s">
        <v>4732</v>
      </c>
      <c r="M2945" s="1" t="s">
        <v>27</v>
      </c>
      <c r="N2945" s="1" t="s">
        <v>4733</v>
      </c>
      <c r="O2945" s="1" t="s">
        <v>1010</v>
      </c>
      <c r="P2945" s="1" t="s">
        <v>401</v>
      </c>
      <c r="Q2945" s="63" t="s">
        <v>4734</v>
      </c>
      <c r="R2945" s="1" t="s">
        <v>100</v>
      </c>
      <c r="S2945" s="13" t="s">
        <v>18</v>
      </c>
      <c r="T2945" s="68" t="s">
        <v>29612</v>
      </c>
      <c r="U2945" s="68" t="s">
        <v>29438</v>
      </c>
      <c r="V2945" s="68" t="s">
        <v>29437</v>
      </c>
      <c r="W2945" s="68" t="s">
        <v>100</v>
      </c>
      <c r="X2945" s="68">
        <v>99</v>
      </c>
      <c r="AW2945" s="44"/>
      <c r="AX2945" s="44"/>
      <c r="AY2945" s="44"/>
      <c r="BC2945" s="11"/>
      <c r="BD2945" s="11"/>
      <c r="BE2945" s="11"/>
      <c r="BF2945" s="11"/>
      <c r="BG2945" s="11"/>
      <c r="BH2945" s="11"/>
      <c r="BI2945" s="11"/>
      <c r="BJ2945" s="11"/>
    </row>
    <row r="2946" spans="1:63" ht="12" customHeight="1" x14ac:dyDescent="0.2">
      <c r="A2946" s="1" t="s">
        <v>4735</v>
      </c>
      <c r="B2946" s="1">
        <v>17</v>
      </c>
      <c r="C2946" s="1" t="s">
        <v>114</v>
      </c>
      <c r="D2946" s="1" t="s">
        <v>37</v>
      </c>
      <c r="E2946" s="1" t="s">
        <v>4736</v>
      </c>
      <c r="F2946" s="72">
        <v>42026</v>
      </c>
      <c r="G2946" s="1" t="s">
        <v>4737</v>
      </c>
      <c r="H2946" s="1" t="s">
        <v>593</v>
      </c>
      <c r="I2946" s="1" t="s">
        <v>73</v>
      </c>
      <c r="J2946" s="4" t="s">
        <v>4738</v>
      </c>
      <c r="K2946" s="1" t="s">
        <v>594</v>
      </c>
      <c r="L2946" s="1" t="s">
        <v>595</v>
      </c>
      <c r="M2946" s="1" t="s">
        <v>5411</v>
      </c>
      <c r="N2946" s="1" t="s">
        <v>4739</v>
      </c>
      <c r="O2946" s="1" t="s">
        <v>1010</v>
      </c>
      <c r="P2946" s="1" t="s">
        <v>401</v>
      </c>
      <c r="Q2946" s="63" t="s">
        <v>4740</v>
      </c>
      <c r="R2946" s="1" t="s">
        <v>100</v>
      </c>
      <c r="S2946" s="13" t="s">
        <v>28</v>
      </c>
      <c r="T2946" s="66" t="s">
        <v>29493</v>
      </c>
      <c r="U2946" s="66" t="s">
        <v>29436</v>
      </c>
      <c r="V2946" s="66" t="s">
        <v>29439</v>
      </c>
      <c r="W2946" s="66" t="s">
        <v>100</v>
      </c>
      <c r="X2946" s="66">
        <v>100</v>
      </c>
      <c r="AW2946" s="70"/>
      <c r="AX2946" s="44"/>
      <c r="AY2946" s="44"/>
      <c r="AZ2946" s="44"/>
    </row>
    <row r="2947" spans="1:63" ht="12" customHeight="1" x14ac:dyDescent="0.2">
      <c r="A2947" s="1" t="s">
        <v>4741</v>
      </c>
      <c r="B2947" s="68">
        <v>19</v>
      </c>
      <c r="C2947" s="1" t="s">
        <v>20</v>
      </c>
      <c r="D2947" s="1" t="s">
        <v>85</v>
      </c>
      <c r="E2947" s="1" t="s">
        <v>4742</v>
      </c>
      <c r="F2947" s="69">
        <v>42025</v>
      </c>
      <c r="G2947" s="1" t="s">
        <v>4743</v>
      </c>
      <c r="H2947" s="1" t="s">
        <v>709</v>
      </c>
      <c r="I2947" s="1" t="s">
        <v>431</v>
      </c>
      <c r="J2947" s="4" t="s">
        <v>4744</v>
      </c>
      <c r="K2947" s="1" t="s">
        <v>709</v>
      </c>
      <c r="L2947" s="1" t="s">
        <v>4516</v>
      </c>
      <c r="M2947" s="1" t="s">
        <v>27</v>
      </c>
      <c r="N2947" s="1" t="s">
        <v>4745</v>
      </c>
      <c r="O2947" s="1" t="s">
        <v>400</v>
      </c>
      <c r="P2947" s="1" t="s">
        <v>401</v>
      </c>
      <c r="Q2947" s="63" t="s">
        <v>4746</v>
      </c>
      <c r="R2947" s="1" t="s">
        <v>100</v>
      </c>
      <c r="S2947" s="13" t="s">
        <v>28</v>
      </c>
      <c r="T2947" s="68" t="s">
        <v>27756</v>
      </c>
      <c r="U2947" s="68" t="s">
        <v>29438</v>
      </c>
      <c r="V2947" s="68" t="s">
        <v>29439</v>
      </c>
      <c r="W2947" s="68" t="s">
        <v>100</v>
      </c>
      <c r="X2947" s="68">
        <v>90</v>
      </c>
      <c r="AW2947" s="70"/>
      <c r="AX2947" s="70"/>
      <c r="AY2947" s="70"/>
      <c r="BC2947" s="11"/>
      <c r="BD2947" s="11"/>
      <c r="BE2947" s="11"/>
      <c r="BF2947" s="11"/>
      <c r="BG2947" s="11"/>
      <c r="BH2947" s="11"/>
      <c r="BI2947" s="11"/>
      <c r="BJ2947" s="11"/>
    </row>
    <row r="2948" spans="1:63" ht="12" customHeight="1" x14ac:dyDescent="0.15">
      <c r="A2948" s="1" t="s">
        <v>4747</v>
      </c>
      <c r="B2948" s="68">
        <v>36</v>
      </c>
      <c r="C2948" s="1" t="s">
        <v>20</v>
      </c>
      <c r="D2948" s="1" t="s">
        <v>48</v>
      </c>
      <c r="E2948" s="1" t="s">
        <v>4748</v>
      </c>
      <c r="F2948" s="69">
        <v>42025</v>
      </c>
      <c r="G2948" s="1" t="s">
        <v>4749</v>
      </c>
      <c r="H2948" s="1" t="s">
        <v>4750</v>
      </c>
      <c r="I2948" s="1" t="s">
        <v>73</v>
      </c>
      <c r="J2948" s="4" t="s">
        <v>4751</v>
      </c>
      <c r="K2948" s="1" t="s">
        <v>4752</v>
      </c>
      <c r="L2948" s="1" t="s">
        <v>4732</v>
      </c>
      <c r="M2948" s="1" t="s">
        <v>27</v>
      </c>
      <c r="N2948" s="1" t="s">
        <v>4753</v>
      </c>
      <c r="O2948" s="1" t="s">
        <v>1010</v>
      </c>
      <c r="P2948" s="1" t="s">
        <v>401</v>
      </c>
      <c r="Q2948" s="63" t="s">
        <v>4754</v>
      </c>
      <c r="R2948" s="1" t="s">
        <v>100</v>
      </c>
      <c r="S2948" s="13" t="s">
        <v>28</v>
      </c>
      <c r="T2948" s="68" t="s">
        <v>27756</v>
      </c>
      <c r="U2948" s="68" t="s">
        <v>29438</v>
      </c>
      <c r="V2948" s="68" t="s">
        <v>29440</v>
      </c>
      <c r="W2948" s="68" t="s">
        <v>100</v>
      </c>
      <c r="X2948" s="68">
        <v>88</v>
      </c>
      <c r="AW2948" s="44"/>
    </row>
    <row r="2949" spans="1:63" ht="12" customHeight="1" x14ac:dyDescent="0.15">
      <c r="A2949" s="1" t="s">
        <v>4772</v>
      </c>
      <c r="B2949" s="68">
        <v>36</v>
      </c>
      <c r="C2949" s="1" t="s">
        <v>20</v>
      </c>
      <c r="D2949" s="1" t="s">
        <v>37</v>
      </c>
      <c r="E2949" s="1" t="s">
        <v>4773</v>
      </c>
      <c r="F2949" s="69">
        <v>42025</v>
      </c>
      <c r="G2949" s="1" t="s">
        <v>4774</v>
      </c>
      <c r="H2949" s="1" t="s">
        <v>782</v>
      </c>
      <c r="I2949" s="1" t="s">
        <v>45</v>
      </c>
      <c r="J2949" s="4" t="s">
        <v>2828</v>
      </c>
      <c r="K2949" s="1" t="s">
        <v>783</v>
      </c>
      <c r="L2949" s="1" t="s">
        <v>4775</v>
      </c>
      <c r="M2949" s="1" t="s">
        <v>27</v>
      </c>
      <c r="N2949" s="1" t="s">
        <v>4776</v>
      </c>
      <c r="O2949" s="1" t="s">
        <v>1010</v>
      </c>
      <c r="P2949" s="1" t="s">
        <v>401</v>
      </c>
      <c r="Q2949" s="63" t="s">
        <v>4777</v>
      </c>
      <c r="R2949" s="1" t="s">
        <v>100</v>
      </c>
      <c r="S2949" s="13" t="s">
        <v>28</v>
      </c>
      <c r="T2949" s="68" t="s">
        <v>27756</v>
      </c>
      <c r="U2949" s="68" t="s">
        <v>29438</v>
      </c>
      <c r="V2949" s="68" t="s">
        <v>29439</v>
      </c>
      <c r="W2949" s="68" t="s">
        <v>100</v>
      </c>
      <c r="X2949" s="68">
        <v>86</v>
      </c>
      <c r="AW2949" s="44"/>
    </row>
    <row r="2950" spans="1:63" ht="12" customHeight="1" x14ac:dyDescent="0.15">
      <c r="A2950" s="1" t="s">
        <v>4763</v>
      </c>
      <c r="B2950" s="1">
        <v>45</v>
      </c>
      <c r="C2950" s="1" t="s">
        <v>20</v>
      </c>
      <c r="D2950" s="1" t="s">
        <v>37</v>
      </c>
      <c r="E2950" s="1" t="s">
        <v>4764</v>
      </c>
      <c r="F2950" s="72">
        <v>42025</v>
      </c>
      <c r="G2950" s="1" t="s">
        <v>4765</v>
      </c>
      <c r="H2950" s="1" t="s">
        <v>4766</v>
      </c>
      <c r="I2950" s="1" t="s">
        <v>669</v>
      </c>
      <c r="J2950" s="4" t="s">
        <v>4767</v>
      </c>
      <c r="K2950" s="1" t="s">
        <v>4768</v>
      </c>
      <c r="L2950" s="1" t="s">
        <v>4769</v>
      </c>
      <c r="M2950" s="1" t="s">
        <v>27</v>
      </c>
      <c r="N2950" s="1" t="s">
        <v>4770</v>
      </c>
      <c r="O2950" s="1" t="s">
        <v>400</v>
      </c>
      <c r="P2950" s="1" t="s">
        <v>401</v>
      </c>
      <c r="Q2950" s="63" t="s">
        <v>4771</v>
      </c>
      <c r="R2950" s="1" t="s">
        <v>100</v>
      </c>
      <c r="S2950" s="13" t="s">
        <v>28</v>
      </c>
      <c r="T2950" s="68"/>
      <c r="U2950" s="68"/>
      <c r="V2950" s="68"/>
      <c r="W2950" s="68"/>
      <c r="X2950" s="68"/>
    </row>
    <row r="2951" spans="1:63" ht="12" customHeight="1" x14ac:dyDescent="0.15">
      <c r="A2951" s="1" t="s">
        <v>4755</v>
      </c>
      <c r="B2951" s="68">
        <v>54</v>
      </c>
      <c r="C2951" s="1" t="s">
        <v>20</v>
      </c>
      <c r="D2951" s="1" t="s">
        <v>37</v>
      </c>
      <c r="F2951" s="69">
        <v>42025</v>
      </c>
      <c r="G2951" s="1" t="s">
        <v>4756</v>
      </c>
      <c r="H2951" s="1" t="s">
        <v>4757</v>
      </c>
      <c r="I2951" s="1" t="s">
        <v>506</v>
      </c>
      <c r="J2951" s="4" t="s">
        <v>4758</v>
      </c>
      <c r="K2951" s="1" t="s">
        <v>4759</v>
      </c>
      <c r="L2951" s="1" t="s">
        <v>4760</v>
      </c>
      <c r="M2951" s="1" t="s">
        <v>27</v>
      </c>
      <c r="N2951" s="1" t="s">
        <v>4761</v>
      </c>
      <c r="O2951" s="1" t="s">
        <v>400</v>
      </c>
      <c r="P2951" s="1" t="s">
        <v>401</v>
      </c>
      <c r="Q2951" s="63" t="s">
        <v>4762</v>
      </c>
      <c r="R2951" s="68" t="s">
        <v>555</v>
      </c>
      <c r="S2951" s="13" t="s">
        <v>28</v>
      </c>
      <c r="T2951" s="68" t="s">
        <v>27756</v>
      </c>
      <c r="U2951" s="68" t="s">
        <v>29438</v>
      </c>
      <c r="V2951" s="68" t="s">
        <v>29439</v>
      </c>
      <c r="W2951" s="68" t="s">
        <v>100</v>
      </c>
      <c r="X2951" s="68">
        <v>98</v>
      </c>
      <c r="BA2951" s="44"/>
      <c r="BB2951" s="44"/>
    </row>
    <row r="2952" spans="1:63" ht="12" customHeight="1" x14ac:dyDescent="0.15">
      <c r="A2952" s="1" t="s">
        <v>4874</v>
      </c>
      <c r="B2952" s="68">
        <v>42</v>
      </c>
      <c r="C2952" s="1" t="s">
        <v>20</v>
      </c>
      <c r="D2952" s="1" t="s">
        <v>85</v>
      </c>
      <c r="E2952" s="1" t="s">
        <v>4875</v>
      </c>
      <c r="F2952" s="69">
        <v>42024</v>
      </c>
      <c r="G2952" s="1" t="s">
        <v>4876</v>
      </c>
      <c r="H2952" s="1" t="s">
        <v>687</v>
      </c>
      <c r="I2952" s="1" t="s">
        <v>123</v>
      </c>
      <c r="J2952" s="4" t="s">
        <v>4877</v>
      </c>
      <c r="K2952" s="1" t="s">
        <v>633</v>
      </c>
      <c r="L2952" s="1" t="s">
        <v>4878</v>
      </c>
      <c r="M2952" s="1" t="s">
        <v>27</v>
      </c>
      <c r="N2952" s="1" t="s">
        <v>4879</v>
      </c>
      <c r="O2952" s="1" t="s">
        <v>400</v>
      </c>
      <c r="P2952" s="1" t="s">
        <v>401</v>
      </c>
      <c r="Q2952" s="63" t="s">
        <v>4880</v>
      </c>
      <c r="R2952" s="1" t="s">
        <v>29</v>
      </c>
      <c r="S2952" s="13" t="s">
        <v>379</v>
      </c>
      <c r="T2952" s="68" t="s">
        <v>379</v>
      </c>
      <c r="U2952" s="68" t="s">
        <v>29436</v>
      </c>
      <c r="V2952" s="68" t="s">
        <v>29437</v>
      </c>
      <c r="W2952" s="68" t="s">
        <v>100</v>
      </c>
      <c r="X2952" s="68">
        <v>85</v>
      </c>
      <c r="AX2952" s="44"/>
      <c r="AY2952" s="44"/>
      <c r="BC2952" s="11"/>
      <c r="BD2952" s="11"/>
      <c r="BE2952" s="11"/>
      <c r="BF2952" s="11"/>
      <c r="BG2952" s="11"/>
      <c r="BH2952" s="11"/>
      <c r="BI2952" s="11"/>
      <c r="BJ2952" s="11"/>
      <c r="BK2952" s="44"/>
    </row>
    <row r="2953" spans="1:63" ht="12" customHeight="1" x14ac:dyDescent="0.15">
      <c r="A2953" s="1" t="s">
        <v>4778</v>
      </c>
      <c r="B2953" s="68">
        <v>49</v>
      </c>
      <c r="C2953" s="1" t="s">
        <v>20</v>
      </c>
      <c r="D2953" s="1" t="s">
        <v>37</v>
      </c>
      <c r="E2953" s="1" t="s">
        <v>4779</v>
      </c>
      <c r="F2953" s="69">
        <v>42023</v>
      </c>
      <c r="G2953" s="1" t="s">
        <v>4780</v>
      </c>
      <c r="H2953" s="1" t="s">
        <v>4781</v>
      </c>
      <c r="I2953" s="1" t="s">
        <v>46</v>
      </c>
      <c r="J2953" s="4" t="s">
        <v>4782</v>
      </c>
      <c r="K2953" s="1" t="s">
        <v>3317</v>
      </c>
      <c r="L2953" s="1" t="s">
        <v>4783</v>
      </c>
      <c r="M2953" s="1" t="s">
        <v>27</v>
      </c>
      <c r="N2953" s="1" t="s">
        <v>4784</v>
      </c>
      <c r="O2953" s="1" t="s">
        <v>400</v>
      </c>
      <c r="P2953" s="1" t="s">
        <v>401</v>
      </c>
      <c r="Q2953" s="63" t="s">
        <v>4785</v>
      </c>
      <c r="R2953" s="1" t="s">
        <v>29</v>
      </c>
      <c r="S2953" s="13" t="s">
        <v>28</v>
      </c>
      <c r="T2953" s="68" t="s">
        <v>29493</v>
      </c>
      <c r="U2953" s="68" t="s">
        <v>29438</v>
      </c>
      <c r="V2953" s="68" t="s">
        <v>29439</v>
      </c>
      <c r="W2953" s="68" t="s">
        <v>100</v>
      </c>
      <c r="X2953" s="68">
        <v>84</v>
      </c>
    </row>
    <row r="2954" spans="1:63" ht="12" customHeight="1" x14ac:dyDescent="0.15">
      <c r="A2954" s="1" t="s">
        <v>4795</v>
      </c>
      <c r="B2954" s="68">
        <v>32</v>
      </c>
      <c r="C2954" s="1" t="s">
        <v>20</v>
      </c>
      <c r="D2954" s="1" t="s">
        <v>37</v>
      </c>
      <c r="E2954" s="1" t="s">
        <v>4796</v>
      </c>
      <c r="F2954" s="69">
        <v>42022</v>
      </c>
      <c r="G2954" s="1" t="s">
        <v>4797</v>
      </c>
      <c r="H2954" s="1" t="s">
        <v>633</v>
      </c>
      <c r="I2954" s="1" t="s">
        <v>123</v>
      </c>
      <c r="J2954" s="4" t="s">
        <v>4798</v>
      </c>
      <c r="K2954" s="1" t="s">
        <v>633</v>
      </c>
      <c r="L2954" s="1" t="s">
        <v>4799</v>
      </c>
      <c r="M2954" s="1" t="s">
        <v>27</v>
      </c>
      <c r="N2954" s="1" t="s">
        <v>4800</v>
      </c>
      <c r="O2954" s="1" t="s">
        <v>400</v>
      </c>
      <c r="P2954" s="1" t="s">
        <v>401</v>
      </c>
      <c r="Q2954" s="63" t="s">
        <v>4801</v>
      </c>
      <c r="R2954" s="68" t="s">
        <v>555</v>
      </c>
      <c r="S2954" s="13" t="s">
        <v>28</v>
      </c>
      <c r="T2954" s="68" t="s">
        <v>27756</v>
      </c>
      <c r="U2954" s="68" t="s">
        <v>29438</v>
      </c>
      <c r="V2954" s="68" t="s">
        <v>29439</v>
      </c>
      <c r="W2954" s="68" t="s">
        <v>100</v>
      </c>
      <c r="X2954" s="68">
        <v>80</v>
      </c>
      <c r="AW2954" s="11"/>
      <c r="BA2954" s="44"/>
      <c r="BB2954" s="11"/>
    </row>
    <row r="2955" spans="1:63" ht="12" customHeight="1" x14ac:dyDescent="0.2">
      <c r="A2955" s="1" t="s">
        <v>4786</v>
      </c>
      <c r="B2955" s="68">
        <v>67</v>
      </c>
      <c r="C2955" s="1" t="s">
        <v>20</v>
      </c>
      <c r="D2955" s="1" t="s">
        <v>37</v>
      </c>
      <c r="E2955" s="1" t="s">
        <v>4787</v>
      </c>
      <c r="F2955" s="69">
        <v>42022</v>
      </c>
      <c r="G2955" s="1" t="s">
        <v>4788</v>
      </c>
      <c r="H2955" s="1" t="s">
        <v>4789</v>
      </c>
      <c r="I2955" s="1" t="s">
        <v>315</v>
      </c>
      <c r="J2955" s="4" t="s">
        <v>4790</v>
      </c>
      <c r="K2955" s="1" t="s">
        <v>4791</v>
      </c>
      <c r="L2955" s="1" t="s">
        <v>4792</v>
      </c>
      <c r="M2955" s="68" t="s">
        <v>5411</v>
      </c>
      <c r="N2955" s="1" t="s">
        <v>4793</v>
      </c>
      <c r="O2955" s="1" t="s">
        <v>400</v>
      </c>
      <c r="P2955" s="1" t="s">
        <v>401</v>
      </c>
      <c r="Q2955" s="63" t="s">
        <v>4794</v>
      </c>
      <c r="R2955" s="68" t="s">
        <v>555</v>
      </c>
      <c r="S2955" s="13" t="s">
        <v>28</v>
      </c>
      <c r="T2955" s="68" t="s">
        <v>27756</v>
      </c>
      <c r="U2955" s="68" t="s">
        <v>29438</v>
      </c>
      <c r="V2955" s="68" t="s">
        <v>29439</v>
      </c>
      <c r="W2955" s="68" t="s">
        <v>100</v>
      </c>
      <c r="X2955" s="68">
        <v>83</v>
      </c>
      <c r="BA2955" s="70"/>
      <c r="BB2955" s="70"/>
    </row>
    <row r="2956" spans="1:63" ht="12" customHeight="1" x14ac:dyDescent="0.15">
      <c r="A2956" s="1" t="s">
        <v>4808</v>
      </c>
      <c r="B2956" s="68">
        <v>21</v>
      </c>
      <c r="C2956" s="1" t="s">
        <v>20</v>
      </c>
      <c r="D2956" s="1" t="s">
        <v>85</v>
      </c>
      <c r="E2956" s="1" t="s">
        <v>4809</v>
      </c>
      <c r="F2956" s="69">
        <v>42021</v>
      </c>
      <c r="G2956" s="1" t="s">
        <v>4810</v>
      </c>
      <c r="H2956" s="1" t="s">
        <v>3091</v>
      </c>
      <c r="I2956" s="1" t="s">
        <v>395</v>
      </c>
      <c r="J2956" s="4" t="s">
        <v>4811</v>
      </c>
      <c r="K2956" s="1" t="s">
        <v>3091</v>
      </c>
      <c r="L2956" s="1" t="s">
        <v>4812</v>
      </c>
      <c r="M2956" s="1" t="s">
        <v>27</v>
      </c>
      <c r="N2956" s="1" t="s">
        <v>4813</v>
      </c>
      <c r="O2956" s="1" t="s">
        <v>550</v>
      </c>
      <c r="P2956" s="1" t="s">
        <v>401</v>
      </c>
      <c r="Q2956" s="63" t="s">
        <v>4814</v>
      </c>
      <c r="R2956" s="1" t="s">
        <v>100</v>
      </c>
      <c r="S2956" s="13" t="s">
        <v>28</v>
      </c>
      <c r="T2956" s="68" t="s">
        <v>27756</v>
      </c>
      <c r="U2956" s="68" t="s">
        <v>29438</v>
      </c>
      <c r="V2956" s="68" t="s">
        <v>29440</v>
      </c>
      <c r="W2956" s="68" t="s">
        <v>555</v>
      </c>
      <c r="X2956" s="68">
        <v>74</v>
      </c>
      <c r="AW2956" s="44"/>
      <c r="AX2956" s="44"/>
      <c r="AY2956" s="44"/>
      <c r="BC2956" s="11"/>
      <c r="BD2956" s="11"/>
      <c r="BE2956" s="11"/>
      <c r="BF2956" s="11"/>
      <c r="BG2956" s="11"/>
      <c r="BH2956" s="11"/>
      <c r="BI2956" s="11"/>
      <c r="BJ2956" s="11"/>
    </row>
    <row r="2957" spans="1:63" ht="12" customHeight="1" x14ac:dyDescent="0.15">
      <c r="A2957" s="1" t="s">
        <v>4802</v>
      </c>
      <c r="B2957" s="68">
        <v>27</v>
      </c>
      <c r="C2957" s="1" t="s">
        <v>20</v>
      </c>
      <c r="D2957" s="1" t="s">
        <v>85</v>
      </c>
      <c r="E2957" s="1" t="s">
        <v>4803</v>
      </c>
      <c r="F2957" s="69">
        <v>42021</v>
      </c>
      <c r="G2957" s="1" t="s">
        <v>4804</v>
      </c>
      <c r="H2957" s="1" t="s">
        <v>926</v>
      </c>
      <c r="I2957" s="1" t="s">
        <v>73</v>
      </c>
      <c r="J2957" s="4" t="s">
        <v>4805</v>
      </c>
      <c r="K2957" s="1" t="s">
        <v>74</v>
      </c>
      <c r="L2957" s="1" t="s">
        <v>927</v>
      </c>
      <c r="M2957" s="1" t="s">
        <v>27</v>
      </c>
      <c r="N2957" s="1" t="s">
        <v>4806</v>
      </c>
      <c r="O2957" s="1" t="s">
        <v>1010</v>
      </c>
      <c r="P2957" s="1" t="s">
        <v>401</v>
      </c>
      <c r="Q2957" s="63" t="s">
        <v>4807</v>
      </c>
      <c r="R2957" s="1" t="s">
        <v>100</v>
      </c>
      <c r="S2957" s="13" t="s">
        <v>28</v>
      </c>
      <c r="T2957" s="68" t="s">
        <v>29493</v>
      </c>
      <c r="U2957" s="68" t="s">
        <v>29438</v>
      </c>
      <c r="V2957" s="68" t="s">
        <v>29439</v>
      </c>
      <c r="W2957" s="68" t="s">
        <v>100</v>
      </c>
      <c r="X2957" s="68">
        <v>78</v>
      </c>
      <c r="AW2957" s="44"/>
      <c r="AX2957" s="44"/>
      <c r="AY2957" s="44"/>
      <c r="BC2957" s="11"/>
      <c r="BD2957" s="11"/>
      <c r="BE2957" s="11"/>
      <c r="BF2957" s="11"/>
      <c r="BG2957" s="11"/>
      <c r="BH2957" s="11"/>
      <c r="BI2957" s="11"/>
      <c r="BJ2957" s="11"/>
    </row>
    <row r="2958" spans="1:63" ht="12" customHeight="1" x14ac:dyDescent="0.15">
      <c r="A2958" s="1" t="s">
        <v>4815</v>
      </c>
      <c r="B2958" s="68">
        <v>24</v>
      </c>
      <c r="C2958" s="1" t="s">
        <v>20</v>
      </c>
      <c r="D2958" s="1" t="s">
        <v>48</v>
      </c>
      <c r="E2958" s="1" t="s">
        <v>4816</v>
      </c>
      <c r="F2958" s="69">
        <v>42021</v>
      </c>
      <c r="G2958" s="1" t="s">
        <v>4817</v>
      </c>
      <c r="H2958" s="1" t="s">
        <v>98</v>
      </c>
      <c r="I2958" s="1" t="s">
        <v>45</v>
      </c>
      <c r="J2958" s="4" t="s">
        <v>4818</v>
      </c>
      <c r="K2958" s="1" t="s">
        <v>98</v>
      </c>
      <c r="L2958" s="1" t="s">
        <v>99</v>
      </c>
      <c r="M2958" s="1" t="s">
        <v>27</v>
      </c>
      <c r="N2958" s="1" t="s">
        <v>4819</v>
      </c>
      <c r="O2958" s="1" t="s">
        <v>1010</v>
      </c>
      <c r="P2958" s="1" t="s">
        <v>401</v>
      </c>
      <c r="Q2958" s="63" t="s">
        <v>4820</v>
      </c>
      <c r="R2958" s="1" t="s">
        <v>29</v>
      </c>
      <c r="S2958" s="13" t="s">
        <v>28</v>
      </c>
      <c r="T2958" s="68" t="s">
        <v>27756</v>
      </c>
      <c r="U2958" s="68" t="s">
        <v>29438</v>
      </c>
      <c r="V2958" s="68" t="s">
        <v>29439</v>
      </c>
      <c r="W2958" s="68" t="s">
        <v>100</v>
      </c>
      <c r="X2958" s="68">
        <v>75</v>
      </c>
      <c r="AW2958" s="11"/>
    </row>
    <row r="2959" spans="1:63" ht="12" customHeight="1" x14ac:dyDescent="0.2">
      <c r="A2959" s="1" t="s">
        <v>4821</v>
      </c>
      <c r="B2959" s="1">
        <v>57</v>
      </c>
      <c r="C2959" s="1" t="s">
        <v>20</v>
      </c>
      <c r="D2959" s="1" t="s">
        <v>21</v>
      </c>
      <c r="E2959" s="1" t="s">
        <v>4822</v>
      </c>
      <c r="F2959" s="72">
        <v>42020</v>
      </c>
      <c r="G2959" s="1" t="s">
        <v>4823</v>
      </c>
      <c r="H2959" s="1" t="s">
        <v>4824</v>
      </c>
      <c r="I2959" s="1" t="s">
        <v>133</v>
      </c>
      <c r="J2959" s="4" t="s">
        <v>4825</v>
      </c>
      <c r="K2959" s="1" t="s">
        <v>1072</v>
      </c>
      <c r="L2959" s="1" t="s">
        <v>4826</v>
      </c>
      <c r="M2959" s="1" t="s">
        <v>391</v>
      </c>
      <c r="N2959" s="1" t="s">
        <v>4827</v>
      </c>
      <c r="O2959" s="1" t="s">
        <v>1010</v>
      </c>
      <c r="P2959" s="1" t="s">
        <v>401</v>
      </c>
      <c r="Q2959" s="63" t="s">
        <v>4828</v>
      </c>
      <c r="R2959" s="1" t="s">
        <v>100</v>
      </c>
      <c r="S2959" s="13" t="s">
        <v>28</v>
      </c>
      <c r="AU2959" s="11"/>
      <c r="AV2959" s="11"/>
      <c r="AW2959" s="11"/>
      <c r="AX2959" s="70"/>
      <c r="AY2959" s="70"/>
      <c r="BC2959" s="70"/>
      <c r="BD2959" s="70"/>
      <c r="BE2959" s="70"/>
      <c r="BF2959" s="70"/>
      <c r="BG2959" s="70"/>
      <c r="BH2959" s="70"/>
      <c r="BI2959" s="70"/>
      <c r="BJ2959" s="70"/>
    </row>
    <row r="2960" spans="1:63" ht="12" customHeight="1" x14ac:dyDescent="0.15">
      <c r="A2960" s="1" t="s">
        <v>4829</v>
      </c>
      <c r="B2960" s="1">
        <v>23</v>
      </c>
      <c r="C2960" s="1" t="s">
        <v>20</v>
      </c>
      <c r="D2960" s="1" t="s">
        <v>85</v>
      </c>
      <c r="E2960" s="1" t="s">
        <v>4830</v>
      </c>
      <c r="F2960" s="72">
        <v>42020</v>
      </c>
      <c r="G2960" s="1" t="s">
        <v>4831</v>
      </c>
      <c r="H2960" s="1" t="s">
        <v>2487</v>
      </c>
      <c r="I2960" s="1" t="s">
        <v>395</v>
      </c>
      <c r="J2960" s="4" t="s">
        <v>4832</v>
      </c>
      <c r="K2960" s="1" t="s">
        <v>2487</v>
      </c>
      <c r="L2960" s="1" t="s">
        <v>4833</v>
      </c>
      <c r="M2960" s="1" t="s">
        <v>27</v>
      </c>
      <c r="N2960" s="1" t="s">
        <v>4834</v>
      </c>
      <c r="O2960" s="1" t="s">
        <v>400</v>
      </c>
      <c r="P2960" s="1" t="s">
        <v>401</v>
      </c>
      <c r="Q2960" s="63" t="str">
        <f>HYPERLINK("http://kfor.com/2015/01/17/update-on-off-duty-officer-shooting-at-garth-brooks-concert-in-tulsa/","http://kfor.com/2015/01/17/update-on-off-duty-officer-shooting-at-garth-brooks-concert-in-tulsa/")</f>
        <v>http://kfor.com/2015/01/17/update-on-off-duty-officer-shooting-at-garth-brooks-concert-in-tulsa/</v>
      </c>
      <c r="R2960" s="1" t="s">
        <v>100</v>
      </c>
      <c r="S2960" s="13" t="s">
        <v>28</v>
      </c>
      <c r="T2960" s="68"/>
      <c r="U2960" s="68"/>
      <c r="V2960" s="68"/>
      <c r="W2960" s="68"/>
      <c r="X2960" s="68"/>
      <c r="AX2960" s="44"/>
      <c r="AY2960" s="44"/>
      <c r="BC2960" s="11"/>
      <c r="BD2960" s="11"/>
      <c r="BE2960" s="11"/>
      <c r="BF2960" s="11"/>
      <c r="BG2960" s="11"/>
      <c r="BH2960" s="11"/>
      <c r="BI2960" s="11"/>
      <c r="BJ2960" s="11"/>
    </row>
    <row r="2961" spans="1:63" ht="12" customHeight="1" x14ac:dyDescent="0.2">
      <c r="A2961" s="1" t="s">
        <v>4838</v>
      </c>
      <c r="B2961" s="68">
        <v>48</v>
      </c>
      <c r="C2961" s="1" t="s">
        <v>20</v>
      </c>
      <c r="D2961" s="44" t="s">
        <v>30</v>
      </c>
      <c r="F2961" s="69">
        <v>42020</v>
      </c>
      <c r="G2961" s="1" t="s">
        <v>4839</v>
      </c>
      <c r="H2961" s="1" t="s">
        <v>1141</v>
      </c>
      <c r="I2961" s="1" t="s">
        <v>45</v>
      </c>
      <c r="J2961" s="4" t="s">
        <v>4840</v>
      </c>
      <c r="K2961" s="1" t="s">
        <v>602</v>
      </c>
      <c r="L2961" s="1" t="s">
        <v>1142</v>
      </c>
      <c r="M2961" s="68" t="s">
        <v>5411</v>
      </c>
      <c r="N2961" s="1" t="s">
        <v>4841</v>
      </c>
      <c r="O2961" s="1" t="s">
        <v>400</v>
      </c>
      <c r="P2961" s="1" t="s">
        <v>401</v>
      </c>
      <c r="Q2961" s="63" t="s">
        <v>4842</v>
      </c>
      <c r="R2961" s="1" t="s">
        <v>100</v>
      </c>
      <c r="S2961" s="13" t="s">
        <v>28</v>
      </c>
      <c r="T2961" s="68" t="s">
        <v>29493</v>
      </c>
      <c r="U2961" s="68" t="s">
        <v>29436</v>
      </c>
      <c r="V2961" s="68" t="s">
        <v>29439</v>
      </c>
      <c r="W2961" s="68" t="s">
        <v>100</v>
      </c>
      <c r="X2961" s="68">
        <v>68</v>
      </c>
      <c r="BB2961" s="70"/>
    </row>
    <row r="2962" spans="1:63" ht="12" customHeight="1" x14ac:dyDescent="0.15">
      <c r="A2962" s="1" t="s">
        <v>4848</v>
      </c>
      <c r="B2962" s="1">
        <v>37</v>
      </c>
      <c r="C2962" s="1" t="s">
        <v>114</v>
      </c>
      <c r="D2962" s="1" t="s">
        <v>37</v>
      </c>
      <c r="F2962" s="72">
        <v>42020</v>
      </c>
      <c r="G2962" s="1" t="s">
        <v>4849</v>
      </c>
      <c r="H2962" s="1" t="s">
        <v>4850</v>
      </c>
      <c r="I2962" s="1" t="s">
        <v>81</v>
      </c>
      <c r="J2962" s="4" t="s">
        <v>4851</v>
      </c>
      <c r="K2962" s="1" t="s">
        <v>528</v>
      </c>
      <c r="L2962" s="1" t="s">
        <v>4852</v>
      </c>
      <c r="M2962" s="1" t="s">
        <v>27</v>
      </c>
      <c r="N2962" s="1" t="s">
        <v>4853</v>
      </c>
      <c r="O2962" s="1" t="s">
        <v>25470</v>
      </c>
      <c r="P2962" s="1" t="s">
        <v>401</v>
      </c>
      <c r="Q2962" s="63" t="s">
        <v>4854</v>
      </c>
      <c r="R2962" s="1" t="s">
        <v>100</v>
      </c>
      <c r="S2962" s="13" t="s">
        <v>18</v>
      </c>
      <c r="T2962" s="68"/>
      <c r="U2962" s="68"/>
      <c r="V2962" s="68"/>
      <c r="W2962" s="68"/>
      <c r="X2962" s="68"/>
    </row>
    <row r="2963" spans="1:63" ht="12" customHeight="1" x14ac:dyDescent="0.15">
      <c r="A2963" s="1" t="s">
        <v>3252</v>
      </c>
      <c r="B2963" s="1" t="s">
        <v>29</v>
      </c>
      <c r="C2963" s="1" t="s">
        <v>20</v>
      </c>
      <c r="D2963" s="1" t="s">
        <v>85</v>
      </c>
      <c r="F2963" s="72">
        <v>42020</v>
      </c>
      <c r="G2963" s="1" t="s">
        <v>4835</v>
      </c>
      <c r="H2963" s="1" t="s">
        <v>723</v>
      </c>
      <c r="I2963" s="1" t="s">
        <v>73</v>
      </c>
      <c r="J2963" s="4">
        <v>77089</v>
      </c>
      <c r="K2963" s="1" t="s">
        <v>558</v>
      </c>
      <c r="L2963" s="1" t="s">
        <v>724</v>
      </c>
      <c r="M2963" s="1" t="s">
        <v>27</v>
      </c>
      <c r="N2963" s="1" t="s">
        <v>4836</v>
      </c>
      <c r="P2963" s="1" t="s">
        <v>401</v>
      </c>
      <c r="Q2963" s="63" t="s">
        <v>4837</v>
      </c>
      <c r="R2963" s="1" t="s">
        <v>29</v>
      </c>
      <c r="S2963" s="13" t="s">
        <v>28</v>
      </c>
      <c r="T2963" s="68"/>
      <c r="U2963" s="68"/>
      <c r="V2963" s="68"/>
      <c r="W2963" s="68"/>
      <c r="X2963" s="68"/>
      <c r="AX2963" s="44"/>
      <c r="AY2963" s="44"/>
      <c r="BC2963" s="11"/>
      <c r="BD2963" s="11"/>
      <c r="BE2963" s="11"/>
      <c r="BF2963" s="11"/>
      <c r="BG2963" s="11"/>
      <c r="BH2963" s="11"/>
      <c r="BI2963" s="11"/>
      <c r="BJ2963" s="11"/>
    </row>
    <row r="2964" spans="1:63" ht="12" customHeight="1" x14ac:dyDescent="0.15">
      <c r="A2964" s="68" t="s">
        <v>29435</v>
      </c>
      <c r="B2964" s="68">
        <v>41</v>
      </c>
      <c r="C2964" s="1" t="s">
        <v>20</v>
      </c>
      <c r="D2964" s="1" t="s">
        <v>37</v>
      </c>
      <c r="F2964" s="69">
        <v>42020</v>
      </c>
      <c r="G2964" s="1" t="s">
        <v>4843</v>
      </c>
      <c r="H2964" s="1" t="s">
        <v>4844</v>
      </c>
      <c r="I2964" s="1" t="s">
        <v>73</v>
      </c>
      <c r="J2964" s="4">
        <v>75147</v>
      </c>
      <c r="K2964" s="1" t="s">
        <v>4845</v>
      </c>
      <c r="L2964" s="1" t="s">
        <v>281</v>
      </c>
      <c r="M2964" s="1" t="s">
        <v>27</v>
      </c>
      <c r="N2964" s="1" t="s">
        <v>4846</v>
      </c>
      <c r="P2964" s="1" t="s">
        <v>401</v>
      </c>
      <c r="Q2964" s="63" t="s">
        <v>4847</v>
      </c>
      <c r="R2964" s="1" t="s">
        <v>29</v>
      </c>
      <c r="S2964" s="2" t="s">
        <v>28</v>
      </c>
      <c r="T2964" s="68" t="s">
        <v>27756</v>
      </c>
      <c r="U2964" s="68" t="s">
        <v>29438</v>
      </c>
      <c r="V2964" s="68" t="s">
        <v>29437</v>
      </c>
      <c r="W2964" s="68" t="s">
        <v>100</v>
      </c>
      <c r="X2964" s="68">
        <v>67</v>
      </c>
    </row>
    <row r="2965" spans="1:63" ht="12" customHeight="1" x14ac:dyDescent="0.15">
      <c r="A2965" s="1" t="s">
        <v>4855</v>
      </c>
      <c r="B2965" s="68">
        <v>39</v>
      </c>
      <c r="C2965" s="1" t="s">
        <v>20</v>
      </c>
      <c r="D2965" s="1" t="s">
        <v>85</v>
      </c>
      <c r="E2965" s="1" t="s">
        <v>4856</v>
      </c>
      <c r="F2965" s="69">
        <v>42019</v>
      </c>
      <c r="G2965" s="1" t="s">
        <v>4857</v>
      </c>
      <c r="H2965" s="1" t="s">
        <v>3823</v>
      </c>
      <c r="I2965" s="1" t="s">
        <v>209</v>
      </c>
      <c r="J2965" s="4" t="s">
        <v>3824</v>
      </c>
      <c r="K2965" s="1" t="s">
        <v>3825</v>
      </c>
      <c r="L2965" s="1" t="s">
        <v>3826</v>
      </c>
      <c r="M2965" s="1" t="s">
        <v>27</v>
      </c>
      <c r="N2965" s="1" t="s">
        <v>4858</v>
      </c>
      <c r="O2965" s="1" t="s">
        <v>4684</v>
      </c>
      <c r="P2965" s="1" t="s">
        <v>401</v>
      </c>
      <c r="Q2965" s="63" t="s">
        <v>4859</v>
      </c>
      <c r="R2965" s="1" t="s">
        <v>100</v>
      </c>
      <c r="S2965" s="13" t="s">
        <v>28</v>
      </c>
      <c r="T2965" s="68" t="s">
        <v>27756</v>
      </c>
      <c r="U2965" s="68" t="s">
        <v>29438</v>
      </c>
      <c r="V2965" s="68" t="s">
        <v>29439</v>
      </c>
      <c r="W2965" s="68" t="s">
        <v>100</v>
      </c>
      <c r="X2965" s="68">
        <v>57</v>
      </c>
      <c r="AW2965" s="44"/>
      <c r="AX2965" s="44"/>
      <c r="AY2965" s="44"/>
      <c r="BC2965" s="11"/>
      <c r="BD2965" s="11"/>
      <c r="BE2965" s="11"/>
      <c r="BF2965" s="11"/>
      <c r="BG2965" s="11"/>
      <c r="BH2965" s="11"/>
      <c r="BI2965" s="11"/>
      <c r="BJ2965" s="11"/>
    </row>
    <row r="2966" spans="1:63" ht="12" customHeight="1" x14ac:dyDescent="0.15">
      <c r="A2966" s="1" t="s">
        <v>4868</v>
      </c>
      <c r="B2966" s="68">
        <v>27</v>
      </c>
      <c r="C2966" s="1" t="s">
        <v>20</v>
      </c>
      <c r="D2966" s="1" t="s">
        <v>85</v>
      </c>
      <c r="E2966" s="1" t="s">
        <v>4869</v>
      </c>
      <c r="F2966" s="69">
        <v>42019</v>
      </c>
      <c r="G2966" s="1" t="s">
        <v>4870</v>
      </c>
      <c r="H2966" s="1" t="s">
        <v>216</v>
      </c>
      <c r="I2966" s="1" t="s">
        <v>217</v>
      </c>
      <c r="J2966" s="4" t="s">
        <v>4871</v>
      </c>
      <c r="K2966" s="1" t="s">
        <v>420</v>
      </c>
      <c r="L2966" s="1" t="s">
        <v>218</v>
      </c>
      <c r="M2966" s="1" t="s">
        <v>27</v>
      </c>
      <c r="N2966" s="1" t="s">
        <v>4872</v>
      </c>
      <c r="O2966" s="1" t="s">
        <v>1010</v>
      </c>
      <c r="P2966" s="1" t="s">
        <v>401</v>
      </c>
      <c r="Q2966" s="63" t="s">
        <v>4873</v>
      </c>
      <c r="R2966" s="1" t="s">
        <v>100</v>
      </c>
      <c r="S2966" s="13" t="s">
        <v>28</v>
      </c>
      <c r="T2966" s="68" t="s">
        <v>27756</v>
      </c>
      <c r="U2966" s="68" t="s">
        <v>29438</v>
      </c>
      <c r="V2966" s="68" t="s">
        <v>29440</v>
      </c>
      <c r="W2966" s="68" t="s">
        <v>100</v>
      </c>
      <c r="X2966" s="68">
        <v>56</v>
      </c>
      <c r="AW2966" s="44"/>
      <c r="AX2966" s="11"/>
      <c r="AY2966" s="11"/>
      <c r="BC2966" s="11"/>
      <c r="BD2966" s="11"/>
      <c r="BE2966" s="11"/>
      <c r="BF2966" s="11"/>
      <c r="BG2966" s="11"/>
      <c r="BH2966" s="11"/>
      <c r="BI2966" s="11"/>
      <c r="BJ2966" s="11"/>
    </row>
    <row r="2967" spans="1:63" ht="12" customHeight="1" x14ac:dyDescent="0.15">
      <c r="A2967" s="1" t="s">
        <v>4895</v>
      </c>
      <c r="B2967" s="68">
        <v>33</v>
      </c>
      <c r="C2967" s="1" t="s">
        <v>20</v>
      </c>
      <c r="D2967" s="1" t="s">
        <v>37</v>
      </c>
      <c r="E2967" s="1" t="s">
        <v>4896</v>
      </c>
      <c r="F2967" s="69">
        <v>42019</v>
      </c>
      <c r="G2967" s="1" t="s">
        <v>4897</v>
      </c>
      <c r="H2967" s="1" t="s">
        <v>4898</v>
      </c>
      <c r="I2967" s="1" t="s">
        <v>25</v>
      </c>
      <c r="J2967" s="4" t="s">
        <v>4899</v>
      </c>
      <c r="K2967" s="1" t="s">
        <v>4900</v>
      </c>
      <c r="L2967" s="1" t="s">
        <v>14810</v>
      </c>
      <c r="M2967" s="1" t="s">
        <v>27</v>
      </c>
      <c r="N2967" s="1" t="s">
        <v>4901</v>
      </c>
      <c r="O2967" s="1" t="s">
        <v>1010</v>
      </c>
      <c r="P2967" s="1" t="s">
        <v>401</v>
      </c>
      <c r="Q2967" s="63" t="str">
        <f>HYPERLINK("http://theadvocate.com/news/11346884-123/evangeline-parish-man-shot-killed","http://theadvocate.com/news/11346884-123/evangeline-parish-man-shot-killed")</f>
        <v>http://theadvocate.com/news/11346884-123/evangeline-parish-man-shot-killed</v>
      </c>
      <c r="R2967" s="1" t="s">
        <v>100</v>
      </c>
      <c r="S2967" s="13" t="s">
        <v>28</v>
      </c>
      <c r="T2967" s="68" t="s">
        <v>27756</v>
      </c>
      <c r="U2967" s="68" t="s">
        <v>29438</v>
      </c>
      <c r="V2967" s="68" t="s">
        <v>29439</v>
      </c>
      <c r="W2967" s="68" t="s">
        <v>100</v>
      </c>
      <c r="X2967" s="68">
        <v>64</v>
      </c>
      <c r="AW2967" s="11"/>
    </row>
    <row r="2968" spans="1:63" ht="12" customHeight="1" x14ac:dyDescent="0.15">
      <c r="A2968" s="1" t="s">
        <v>4902</v>
      </c>
      <c r="B2968" s="1">
        <v>69</v>
      </c>
      <c r="C2968" s="1" t="s">
        <v>20</v>
      </c>
      <c r="D2968" s="1" t="s">
        <v>37</v>
      </c>
      <c r="E2968" s="1" t="s">
        <v>4903</v>
      </c>
      <c r="F2968" s="72">
        <v>42019</v>
      </c>
      <c r="G2968" s="1" t="s">
        <v>4904</v>
      </c>
      <c r="H2968" s="1" t="s">
        <v>4905</v>
      </c>
      <c r="I2968" s="1" t="s">
        <v>315</v>
      </c>
      <c r="J2968" s="4" t="s">
        <v>4906</v>
      </c>
      <c r="K2968" s="1" t="s">
        <v>2316</v>
      </c>
      <c r="L2968" s="1" t="s">
        <v>4907</v>
      </c>
      <c r="M2968" s="1" t="s">
        <v>379</v>
      </c>
      <c r="N2968" s="1" t="s">
        <v>4908</v>
      </c>
      <c r="O2968" s="1" t="s">
        <v>1010</v>
      </c>
      <c r="P2968" s="1" t="s">
        <v>401</v>
      </c>
      <c r="Q2968" s="63" t="s">
        <v>4909</v>
      </c>
      <c r="R2968" s="1" t="s">
        <v>100</v>
      </c>
      <c r="S2968" s="13" t="s">
        <v>18</v>
      </c>
    </row>
    <row r="2969" spans="1:63" ht="12" customHeight="1" x14ac:dyDescent="0.15">
      <c r="A2969" s="1" t="s">
        <v>4860</v>
      </c>
      <c r="B2969" s="1">
        <v>34</v>
      </c>
      <c r="C2969" s="1" t="s">
        <v>20</v>
      </c>
      <c r="D2969" s="1" t="s">
        <v>85</v>
      </c>
      <c r="E2969" s="1" t="s">
        <v>4861</v>
      </c>
      <c r="F2969" s="72">
        <v>42019</v>
      </c>
      <c r="G2969" s="1" t="s">
        <v>4862</v>
      </c>
      <c r="H2969" s="1" t="s">
        <v>4863</v>
      </c>
      <c r="I2969" s="1" t="s">
        <v>244</v>
      </c>
      <c r="J2969" s="4" t="s">
        <v>4864</v>
      </c>
      <c r="K2969" s="1" t="s">
        <v>4863</v>
      </c>
      <c r="L2969" s="1" t="s">
        <v>4865</v>
      </c>
      <c r="M2969" s="1" t="s">
        <v>27</v>
      </c>
      <c r="N2969" s="1" t="s">
        <v>4866</v>
      </c>
      <c r="O2969" s="1" t="s">
        <v>1010</v>
      </c>
      <c r="P2969" s="1" t="s">
        <v>401</v>
      </c>
      <c r="Q2969" s="63" t="s">
        <v>4867</v>
      </c>
      <c r="R2969" s="1" t="s">
        <v>555</v>
      </c>
      <c r="S2969" s="13" t="s">
        <v>28</v>
      </c>
      <c r="T2969" s="66" t="s">
        <v>27756</v>
      </c>
      <c r="U2969" s="66" t="s">
        <v>29438</v>
      </c>
      <c r="V2969" s="66" t="s">
        <v>29439</v>
      </c>
      <c r="W2969" s="66" t="s">
        <v>100</v>
      </c>
      <c r="X2969" s="66">
        <v>51</v>
      </c>
      <c r="AX2969" s="44"/>
      <c r="AY2969" s="44"/>
      <c r="BC2969" s="11"/>
      <c r="BD2969" s="11"/>
      <c r="BE2969" s="11"/>
      <c r="BF2969" s="11"/>
      <c r="BG2969" s="11"/>
      <c r="BH2969" s="11"/>
      <c r="BI2969" s="11"/>
      <c r="BJ2969" s="11"/>
    </row>
    <row r="2970" spans="1:63" ht="12" customHeight="1" x14ac:dyDescent="0.2">
      <c r="A2970" s="1" t="s">
        <v>4881</v>
      </c>
      <c r="B2970" s="68">
        <v>36</v>
      </c>
      <c r="C2970" s="1" t="s">
        <v>20</v>
      </c>
      <c r="D2970" s="1" t="s">
        <v>48</v>
      </c>
      <c r="F2970" s="69">
        <v>42019</v>
      </c>
      <c r="G2970" s="1" t="s">
        <v>4882</v>
      </c>
      <c r="H2970" s="1" t="s">
        <v>4883</v>
      </c>
      <c r="I2970" s="1" t="s">
        <v>45</v>
      </c>
      <c r="J2970" s="4" t="s">
        <v>4884</v>
      </c>
      <c r="K2970" s="1" t="s">
        <v>3423</v>
      </c>
      <c r="L2970" s="1" t="s">
        <v>4885</v>
      </c>
      <c r="M2970" s="1" t="s">
        <v>27</v>
      </c>
      <c r="N2970" s="1" t="s">
        <v>4886</v>
      </c>
      <c r="O2970" s="1" t="s">
        <v>1010</v>
      </c>
      <c r="P2970" s="1" t="s">
        <v>401</v>
      </c>
      <c r="Q2970" s="63" t="s">
        <v>4887</v>
      </c>
      <c r="R2970" s="68" t="s">
        <v>555</v>
      </c>
      <c r="S2970" s="13" t="s">
        <v>28</v>
      </c>
      <c r="T2970" s="68" t="s">
        <v>29493</v>
      </c>
      <c r="U2970" s="68" t="s">
        <v>29436</v>
      </c>
      <c r="V2970" s="68" t="s">
        <v>29439</v>
      </c>
      <c r="W2970" s="68" t="s">
        <v>100</v>
      </c>
      <c r="X2970" s="68">
        <v>63</v>
      </c>
      <c r="AW2970" s="44"/>
      <c r="BA2970" s="70"/>
      <c r="BB2970" s="70"/>
    </row>
    <row r="2971" spans="1:63" ht="12" customHeight="1" x14ac:dyDescent="0.15">
      <c r="A2971" s="1" t="s">
        <v>4888</v>
      </c>
      <c r="B2971" s="68">
        <v>24</v>
      </c>
      <c r="C2971" s="1" t="s">
        <v>20</v>
      </c>
      <c r="D2971" s="1" t="s">
        <v>37</v>
      </c>
      <c r="E2971" s="1" t="s">
        <v>20288</v>
      </c>
      <c r="F2971" s="69">
        <v>42019</v>
      </c>
      <c r="G2971" s="1" t="s">
        <v>4889</v>
      </c>
      <c r="H2971" s="1" t="s">
        <v>4890</v>
      </c>
      <c r="I2971" s="1" t="s">
        <v>133</v>
      </c>
      <c r="J2971" s="4" t="s">
        <v>4891</v>
      </c>
      <c r="K2971" s="1" t="s">
        <v>1072</v>
      </c>
      <c r="L2971" s="1" t="s">
        <v>4892</v>
      </c>
      <c r="M2971" s="1" t="s">
        <v>27</v>
      </c>
      <c r="N2971" s="1" t="s">
        <v>4893</v>
      </c>
      <c r="O2971" s="1" t="s">
        <v>400</v>
      </c>
      <c r="P2971" s="1" t="s">
        <v>401</v>
      </c>
      <c r="Q2971" s="63" t="s">
        <v>4894</v>
      </c>
      <c r="R2971" s="68" t="s">
        <v>555</v>
      </c>
      <c r="S2971" s="13" t="s">
        <v>28</v>
      </c>
      <c r="T2971" s="68" t="s">
        <v>27756</v>
      </c>
      <c r="U2971" s="68" t="s">
        <v>29438</v>
      </c>
      <c r="V2971" s="68" t="s">
        <v>29439</v>
      </c>
      <c r="W2971" s="68" t="s">
        <v>100</v>
      </c>
      <c r="X2971" s="68">
        <v>60</v>
      </c>
      <c r="AW2971" s="11"/>
      <c r="BA2971" s="44"/>
      <c r="BB2971" s="44"/>
    </row>
    <row r="2972" spans="1:63" ht="12" customHeight="1" x14ac:dyDescent="0.15">
      <c r="A2972" s="1" t="s">
        <v>4933</v>
      </c>
      <c r="B2972" s="68">
        <v>29</v>
      </c>
      <c r="C2972" s="1" t="s">
        <v>20</v>
      </c>
      <c r="D2972" s="1" t="s">
        <v>37</v>
      </c>
      <c r="E2972" s="1" t="s">
        <v>4934</v>
      </c>
      <c r="F2972" s="69">
        <v>42018</v>
      </c>
      <c r="G2972" s="1" t="s">
        <v>4935</v>
      </c>
      <c r="H2972" s="1" t="s">
        <v>4936</v>
      </c>
      <c r="I2972" s="1" t="s">
        <v>431</v>
      </c>
      <c r="J2972" s="4" t="s">
        <v>4937</v>
      </c>
      <c r="K2972" s="1" t="s">
        <v>1288</v>
      </c>
      <c r="L2972" s="1" t="s">
        <v>4938</v>
      </c>
      <c r="M2972" s="1" t="s">
        <v>27</v>
      </c>
      <c r="N2972" s="1" t="s">
        <v>4939</v>
      </c>
      <c r="O2972" s="1" t="s">
        <v>1010</v>
      </c>
      <c r="P2972" s="1" t="s">
        <v>401</v>
      </c>
      <c r="Q2972" s="63" t="s">
        <v>4940</v>
      </c>
      <c r="R2972" s="1" t="s">
        <v>100</v>
      </c>
      <c r="S2972" s="13" t="s">
        <v>379</v>
      </c>
      <c r="T2972" s="68" t="s">
        <v>379</v>
      </c>
      <c r="U2972" s="68" t="s">
        <v>29438</v>
      </c>
      <c r="V2972" s="68" t="s">
        <v>29439</v>
      </c>
      <c r="W2972" s="68" t="s">
        <v>100</v>
      </c>
      <c r="X2972" s="68">
        <v>50</v>
      </c>
      <c r="AW2972" s="44"/>
      <c r="BK2972" s="44"/>
    </row>
    <row r="2973" spans="1:63" ht="12" customHeight="1" x14ac:dyDescent="0.15">
      <c r="A2973" s="1" t="s">
        <v>4941</v>
      </c>
      <c r="B2973" s="1">
        <v>87</v>
      </c>
      <c r="C2973" s="1" t="s">
        <v>20</v>
      </c>
      <c r="D2973" s="1" t="s">
        <v>37</v>
      </c>
      <c r="E2973" s="1" t="s">
        <v>4942</v>
      </c>
      <c r="F2973" s="72">
        <v>42018</v>
      </c>
      <c r="G2973" s="1" t="s">
        <v>4943</v>
      </c>
      <c r="H2973" s="1" t="s">
        <v>4944</v>
      </c>
      <c r="I2973" s="1" t="s">
        <v>423</v>
      </c>
      <c r="J2973" s="4" t="s">
        <v>4945</v>
      </c>
      <c r="K2973" s="1" t="s">
        <v>4946</v>
      </c>
      <c r="L2973" s="1" t="s">
        <v>22920</v>
      </c>
      <c r="M2973" s="1" t="s">
        <v>379</v>
      </c>
      <c r="N2973" s="1" t="s">
        <v>4947</v>
      </c>
      <c r="O2973" s="1" t="s">
        <v>400</v>
      </c>
      <c r="P2973" s="1" t="s">
        <v>401</v>
      </c>
      <c r="Q2973" s="63" t="s">
        <v>4948</v>
      </c>
      <c r="R2973" s="1" t="s">
        <v>100</v>
      </c>
      <c r="S2973" s="66" t="s">
        <v>379</v>
      </c>
      <c r="T2973" s="66" t="s">
        <v>30738</v>
      </c>
    </row>
    <row r="2974" spans="1:63" ht="12" customHeight="1" x14ac:dyDescent="0.15">
      <c r="A2974" s="1" t="s">
        <v>4917</v>
      </c>
      <c r="B2974" s="68">
        <v>75</v>
      </c>
      <c r="C2974" s="1" t="s">
        <v>20</v>
      </c>
      <c r="D2974" s="1" t="s">
        <v>37</v>
      </c>
      <c r="F2974" s="69">
        <v>42018</v>
      </c>
      <c r="G2974" s="1" t="s">
        <v>4918</v>
      </c>
      <c r="H2974" s="1" t="s">
        <v>4919</v>
      </c>
      <c r="I2974" s="1" t="s">
        <v>81</v>
      </c>
      <c r="J2974" s="4" t="s">
        <v>4920</v>
      </c>
      <c r="K2974" s="1" t="s">
        <v>42</v>
      </c>
      <c r="L2974" s="1" t="s">
        <v>4921</v>
      </c>
      <c r="M2974" s="1" t="s">
        <v>27</v>
      </c>
      <c r="N2974" s="1" t="s">
        <v>4922</v>
      </c>
      <c r="O2974" s="1" t="s">
        <v>400</v>
      </c>
      <c r="P2974" s="1" t="s">
        <v>401</v>
      </c>
      <c r="Q2974" s="63" t="s">
        <v>4923</v>
      </c>
      <c r="R2974" s="1" t="s">
        <v>29</v>
      </c>
      <c r="S2974" s="13" t="s">
        <v>28</v>
      </c>
      <c r="T2974" s="68" t="s">
        <v>29493</v>
      </c>
      <c r="U2974" s="68" t="s">
        <v>29438</v>
      </c>
      <c r="V2974" s="68" t="s">
        <v>29439</v>
      </c>
      <c r="W2974" s="68" t="s">
        <v>100</v>
      </c>
      <c r="X2974" s="68">
        <v>52</v>
      </c>
    </row>
    <row r="2975" spans="1:63" ht="12" customHeight="1" x14ac:dyDescent="0.15">
      <c r="A2975" s="1" t="s">
        <v>4924</v>
      </c>
      <c r="B2975" s="68">
        <v>68</v>
      </c>
      <c r="C2975" s="1" t="s">
        <v>20</v>
      </c>
      <c r="D2975" s="1" t="s">
        <v>37</v>
      </c>
      <c r="E2975" s="1" t="s">
        <v>4925</v>
      </c>
      <c r="F2975" s="69">
        <v>42018</v>
      </c>
      <c r="G2975" s="1" t="s">
        <v>4926</v>
      </c>
      <c r="H2975" s="1" t="s">
        <v>4927</v>
      </c>
      <c r="I2975" s="1" t="s">
        <v>73</v>
      </c>
      <c r="J2975" s="4" t="s">
        <v>4928</v>
      </c>
      <c r="K2975" s="1" t="s">
        <v>4929</v>
      </c>
      <c r="L2975" s="1" t="s">
        <v>4930</v>
      </c>
      <c r="M2975" s="1" t="s">
        <v>27</v>
      </c>
      <c r="N2975" s="1" t="s">
        <v>4931</v>
      </c>
      <c r="O2975" s="1" t="s">
        <v>1010</v>
      </c>
      <c r="P2975" s="1" t="s">
        <v>401</v>
      </c>
      <c r="Q2975" s="63" t="s">
        <v>4932</v>
      </c>
      <c r="R2975" s="1" t="s">
        <v>29</v>
      </c>
      <c r="S2975" s="13" t="s">
        <v>28</v>
      </c>
      <c r="T2975" s="68" t="s">
        <v>27756</v>
      </c>
      <c r="U2975" s="68" t="s">
        <v>29438</v>
      </c>
      <c r="V2975" s="68" t="s">
        <v>29439</v>
      </c>
      <c r="W2975" s="68" t="s">
        <v>100</v>
      </c>
      <c r="X2975" s="68">
        <v>54</v>
      </c>
    </row>
    <row r="2976" spans="1:63" ht="12" customHeight="1" x14ac:dyDescent="0.15">
      <c r="A2976" s="1" t="s">
        <v>4949</v>
      </c>
      <c r="B2976" s="68">
        <v>34</v>
      </c>
      <c r="C2976" s="1" t="s">
        <v>20</v>
      </c>
      <c r="D2976" s="1" t="s">
        <v>37</v>
      </c>
      <c r="E2976" s="1" t="s">
        <v>4950</v>
      </c>
      <c r="F2976" s="69">
        <v>42018</v>
      </c>
      <c r="G2976" s="1" t="s">
        <v>4951</v>
      </c>
      <c r="H2976" s="1" t="s">
        <v>4952</v>
      </c>
      <c r="I2976" s="1" t="s">
        <v>240</v>
      </c>
      <c r="J2976" s="4" t="s">
        <v>4953</v>
      </c>
      <c r="K2976" s="1" t="s">
        <v>611</v>
      </c>
      <c r="L2976" s="1" t="s">
        <v>4954</v>
      </c>
      <c r="M2976" s="1" t="s">
        <v>27</v>
      </c>
      <c r="N2976" s="1" t="s">
        <v>4955</v>
      </c>
      <c r="O2976" s="1" t="s">
        <v>1010</v>
      </c>
      <c r="P2976" s="1" t="s">
        <v>401</v>
      </c>
      <c r="Q2976" s="63" t="s">
        <v>4956</v>
      </c>
      <c r="R2976" s="1" t="s">
        <v>29</v>
      </c>
      <c r="S2976" s="13" t="s">
        <v>28</v>
      </c>
      <c r="T2976" s="68" t="s">
        <v>29493</v>
      </c>
      <c r="U2976" s="68" t="s">
        <v>29438</v>
      </c>
      <c r="V2976" s="68" t="s">
        <v>29439</v>
      </c>
      <c r="W2976" s="68" t="s">
        <v>555</v>
      </c>
      <c r="X2976" s="68">
        <v>55</v>
      </c>
      <c r="AW2976" s="11"/>
    </row>
    <row r="2977" spans="1:63" ht="12" customHeight="1" x14ac:dyDescent="0.15">
      <c r="A2977" s="1" t="s">
        <v>4910</v>
      </c>
      <c r="B2977" s="68">
        <v>24</v>
      </c>
      <c r="C2977" s="1" t="s">
        <v>20</v>
      </c>
      <c r="D2977" s="1" t="s">
        <v>85</v>
      </c>
      <c r="E2977" s="1" t="s">
        <v>4911</v>
      </c>
      <c r="F2977" s="69">
        <v>42018</v>
      </c>
      <c r="G2977" s="1" t="s">
        <v>4912</v>
      </c>
      <c r="H2977" s="1" t="s">
        <v>3592</v>
      </c>
      <c r="I2977" s="1" t="s">
        <v>133</v>
      </c>
      <c r="J2977" s="4" t="s">
        <v>4913</v>
      </c>
      <c r="K2977" s="1" t="s">
        <v>3594</v>
      </c>
      <c r="L2977" s="1" t="s">
        <v>4914</v>
      </c>
      <c r="M2977" s="1" t="s">
        <v>27</v>
      </c>
      <c r="N2977" s="1" t="s">
        <v>4915</v>
      </c>
      <c r="O2977" s="1" t="s">
        <v>400</v>
      </c>
      <c r="P2977" s="1" t="s">
        <v>401</v>
      </c>
      <c r="Q2977" s="63" t="s">
        <v>4916</v>
      </c>
      <c r="R2977" s="1" t="s">
        <v>29</v>
      </c>
      <c r="S2977" s="13" t="s">
        <v>379</v>
      </c>
      <c r="T2977" s="68" t="s">
        <v>379</v>
      </c>
      <c r="U2977" s="68" t="s">
        <v>29438</v>
      </c>
      <c r="V2977" s="68" t="s">
        <v>29439</v>
      </c>
      <c r="W2977" s="68" t="s">
        <v>100</v>
      </c>
      <c r="X2977" s="68">
        <v>49</v>
      </c>
      <c r="AW2977" s="11"/>
      <c r="AX2977" s="44"/>
      <c r="AY2977" s="44"/>
      <c r="BC2977" s="11"/>
      <c r="BD2977" s="11"/>
      <c r="BE2977" s="11"/>
      <c r="BF2977" s="11"/>
      <c r="BG2977" s="11"/>
      <c r="BH2977" s="11"/>
      <c r="BI2977" s="11"/>
      <c r="BJ2977" s="11"/>
      <c r="BK2977" s="44"/>
    </row>
    <row r="2978" spans="1:63" ht="12" customHeight="1" x14ac:dyDescent="0.15">
      <c r="A2978" s="1" t="s">
        <v>4957</v>
      </c>
      <c r="B2978" s="68">
        <v>34</v>
      </c>
      <c r="C2978" s="1" t="s">
        <v>20</v>
      </c>
      <c r="D2978" s="1" t="s">
        <v>37</v>
      </c>
      <c r="E2978" s="1" t="s">
        <v>4958</v>
      </c>
      <c r="F2978" s="69">
        <v>42017</v>
      </c>
      <c r="G2978" s="1" t="s">
        <v>4959</v>
      </c>
      <c r="H2978" s="1" t="s">
        <v>922</v>
      </c>
      <c r="I2978" s="1" t="s">
        <v>195</v>
      </c>
      <c r="J2978" s="4" t="s">
        <v>4960</v>
      </c>
      <c r="K2978" s="1" t="s">
        <v>467</v>
      </c>
      <c r="L2978" s="1" t="s">
        <v>4961</v>
      </c>
      <c r="M2978" s="1" t="s">
        <v>27</v>
      </c>
      <c r="N2978" s="1" t="s">
        <v>4962</v>
      </c>
      <c r="O2978" s="1" t="s">
        <v>1010</v>
      </c>
      <c r="P2978" s="1" t="s">
        <v>401</v>
      </c>
      <c r="Q2978" s="63" t="s">
        <v>4963</v>
      </c>
      <c r="R2978" s="1" t="s">
        <v>100</v>
      </c>
      <c r="S2978" s="13" t="s">
        <v>28</v>
      </c>
      <c r="T2978" s="68" t="s">
        <v>27756</v>
      </c>
      <c r="U2978" s="68" t="s">
        <v>29438</v>
      </c>
      <c r="V2978" s="68" t="s">
        <v>29440</v>
      </c>
      <c r="W2978" s="68" t="s">
        <v>555</v>
      </c>
      <c r="X2978" s="68">
        <v>46</v>
      </c>
      <c r="AW2978" s="11"/>
    </row>
    <row r="2979" spans="1:63" ht="12" customHeight="1" x14ac:dyDescent="0.15">
      <c r="A2979" s="1" t="s">
        <v>4964</v>
      </c>
      <c r="B2979" s="68">
        <v>43</v>
      </c>
      <c r="C2979" s="1" t="s">
        <v>20</v>
      </c>
      <c r="D2979" s="1" t="s">
        <v>37</v>
      </c>
      <c r="E2979" s="1" t="s">
        <v>4965</v>
      </c>
      <c r="F2979" s="69">
        <v>42017</v>
      </c>
      <c r="G2979" s="1" t="s">
        <v>4966</v>
      </c>
      <c r="H2979" s="1" t="s">
        <v>4967</v>
      </c>
      <c r="I2979" s="1" t="s">
        <v>73</v>
      </c>
      <c r="J2979" s="4" t="s">
        <v>4968</v>
      </c>
      <c r="K2979" s="1" t="s">
        <v>4969</v>
      </c>
      <c r="L2979" s="1" t="s">
        <v>4970</v>
      </c>
      <c r="M2979" s="1" t="s">
        <v>27</v>
      </c>
      <c r="N2979" s="1" t="s">
        <v>4971</v>
      </c>
      <c r="O2979" s="1" t="s">
        <v>400</v>
      </c>
      <c r="P2979" s="1" t="s">
        <v>401</v>
      </c>
      <c r="Q2979" s="63" t="s">
        <v>4972</v>
      </c>
      <c r="R2979" s="68" t="s">
        <v>555</v>
      </c>
      <c r="S2979" s="13" t="s">
        <v>28</v>
      </c>
      <c r="T2979" s="68" t="s">
        <v>29493</v>
      </c>
      <c r="U2979" s="68" t="s">
        <v>29436</v>
      </c>
      <c r="V2979" s="68" t="s">
        <v>29439</v>
      </c>
      <c r="W2979" s="68" t="s">
        <v>100</v>
      </c>
      <c r="X2979" s="68">
        <v>48</v>
      </c>
      <c r="BA2979" s="44"/>
      <c r="BB2979" s="44"/>
    </row>
    <row r="2980" spans="1:63" ht="12" customHeight="1" x14ac:dyDescent="0.15">
      <c r="A2980" s="1" t="s">
        <v>4978</v>
      </c>
      <c r="B2980" s="68">
        <v>23</v>
      </c>
      <c r="C2980" s="1" t="s">
        <v>20</v>
      </c>
      <c r="D2980" s="1" t="s">
        <v>48</v>
      </c>
      <c r="F2980" s="69">
        <v>42015</v>
      </c>
      <c r="G2980" s="1" t="s">
        <v>4979</v>
      </c>
      <c r="H2980" s="1" t="s">
        <v>3697</v>
      </c>
      <c r="I2980" s="1" t="s">
        <v>45</v>
      </c>
      <c r="J2980" s="4" t="s">
        <v>3698</v>
      </c>
      <c r="K2980" s="1" t="s">
        <v>98</v>
      </c>
      <c r="L2980" s="11" t="s">
        <v>414</v>
      </c>
      <c r="M2980" s="1" t="s">
        <v>27</v>
      </c>
      <c r="N2980" s="1" t="s">
        <v>4980</v>
      </c>
      <c r="O2980" s="1" t="s">
        <v>400</v>
      </c>
      <c r="P2980" s="1" t="s">
        <v>401</v>
      </c>
      <c r="Q2980" s="63" t="s">
        <v>4981</v>
      </c>
      <c r="R2980" s="1" t="s">
        <v>100</v>
      </c>
      <c r="S2980" s="13" t="s">
        <v>28</v>
      </c>
      <c r="T2980" s="68" t="s">
        <v>27756</v>
      </c>
      <c r="U2980" s="68" t="s">
        <v>29438</v>
      </c>
      <c r="V2980" s="68" t="s">
        <v>29439</v>
      </c>
      <c r="W2980" s="68" t="s">
        <v>100</v>
      </c>
      <c r="X2980" s="68">
        <v>43</v>
      </c>
      <c r="AW2980" s="11"/>
    </row>
    <row r="2981" spans="1:63" ht="12" customHeight="1" x14ac:dyDescent="0.2">
      <c r="A2981" s="1" t="s">
        <v>4973</v>
      </c>
      <c r="B2981" s="68">
        <v>29</v>
      </c>
      <c r="C2981" s="1" t="s">
        <v>20</v>
      </c>
      <c r="D2981" s="1" t="s">
        <v>48</v>
      </c>
      <c r="F2981" s="69">
        <v>42015</v>
      </c>
      <c r="G2981" s="1" t="s">
        <v>4974</v>
      </c>
      <c r="H2981" s="1" t="s">
        <v>268</v>
      </c>
      <c r="I2981" s="1" t="s">
        <v>269</v>
      </c>
      <c r="J2981" s="4" t="s">
        <v>4975</v>
      </c>
      <c r="K2981" s="1" t="s">
        <v>570</v>
      </c>
      <c r="L2981" s="1" t="s">
        <v>270</v>
      </c>
      <c r="M2981" s="68" t="s">
        <v>5411</v>
      </c>
      <c r="N2981" s="1" t="s">
        <v>4976</v>
      </c>
      <c r="O2981" s="1" t="s">
        <v>400</v>
      </c>
      <c r="P2981" s="1" t="s">
        <v>401</v>
      </c>
      <c r="Q2981" s="63" t="s">
        <v>4977</v>
      </c>
      <c r="R2981" s="1" t="s">
        <v>100</v>
      </c>
      <c r="S2981" s="13" t="s">
        <v>28</v>
      </c>
      <c r="T2981" s="68" t="s">
        <v>27756</v>
      </c>
      <c r="U2981" s="68" t="s">
        <v>29438</v>
      </c>
      <c r="V2981" s="68" t="s">
        <v>29440</v>
      </c>
      <c r="W2981" s="68" t="s">
        <v>100</v>
      </c>
      <c r="X2981" s="68">
        <v>45</v>
      </c>
      <c r="AW2981" s="44"/>
      <c r="BB2981" s="70"/>
    </row>
    <row r="2982" spans="1:63" ht="12" customHeight="1" x14ac:dyDescent="0.2">
      <c r="A2982" s="1" t="s">
        <v>4982</v>
      </c>
      <c r="B2982" s="68">
        <v>39</v>
      </c>
      <c r="C2982" s="1" t="s">
        <v>20</v>
      </c>
      <c r="D2982" s="1" t="s">
        <v>37</v>
      </c>
      <c r="E2982" s="1" t="s">
        <v>4983</v>
      </c>
      <c r="F2982" s="69">
        <v>42015</v>
      </c>
      <c r="G2982" s="1" t="s">
        <v>4984</v>
      </c>
      <c r="H2982" s="1" t="s">
        <v>4985</v>
      </c>
      <c r="I2982" s="1" t="s">
        <v>44</v>
      </c>
      <c r="J2982" s="4" t="s">
        <v>4986</v>
      </c>
      <c r="K2982" s="1" t="s">
        <v>938</v>
      </c>
      <c r="L2982" s="1" t="s">
        <v>4987</v>
      </c>
      <c r="M2982" s="1" t="s">
        <v>27</v>
      </c>
      <c r="N2982" s="1" t="s">
        <v>4988</v>
      </c>
      <c r="O2982" s="1" t="s">
        <v>1010</v>
      </c>
      <c r="P2982" s="1" t="s">
        <v>401</v>
      </c>
      <c r="Q2982" s="63" t="s">
        <v>4989</v>
      </c>
      <c r="R2982" s="68" t="s">
        <v>555</v>
      </c>
      <c r="S2982" s="13" t="s">
        <v>28</v>
      </c>
      <c r="T2982" s="68" t="s">
        <v>27756</v>
      </c>
      <c r="U2982" s="68" t="s">
        <v>29438</v>
      </c>
      <c r="V2982" s="68" t="s">
        <v>29439</v>
      </c>
      <c r="W2982" s="68" t="s">
        <v>100</v>
      </c>
      <c r="X2982" s="68">
        <v>42</v>
      </c>
      <c r="AW2982" s="44"/>
      <c r="BA2982" s="70"/>
      <c r="BB2982" s="44"/>
    </row>
    <row r="2983" spans="1:63" ht="12" customHeight="1" x14ac:dyDescent="0.15">
      <c r="A2983" s="1" t="s">
        <v>4990</v>
      </c>
      <c r="B2983" s="68">
        <v>71</v>
      </c>
      <c r="C2983" s="1" t="s">
        <v>20</v>
      </c>
      <c r="D2983" s="1" t="s">
        <v>37</v>
      </c>
      <c r="F2983" s="69">
        <v>42013</v>
      </c>
      <c r="G2983" s="1" t="s">
        <v>4991</v>
      </c>
      <c r="H2983" s="1" t="s">
        <v>4992</v>
      </c>
      <c r="I2983" s="1" t="s">
        <v>978</v>
      </c>
      <c r="J2983" s="4" t="s">
        <v>4993</v>
      </c>
      <c r="K2983" s="1" t="s">
        <v>2260</v>
      </c>
      <c r="L2983" s="1" t="s">
        <v>4994</v>
      </c>
      <c r="M2983" s="1" t="s">
        <v>27</v>
      </c>
      <c r="N2983" s="1" t="s">
        <v>4995</v>
      </c>
      <c r="O2983" s="1" t="s">
        <v>550</v>
      </c>
      <c r="P2983" s="1" t="s">
        <v>401</v>
      </c>
      <c r="Q2983" s="63" t="s">
        <v>4996</v>
      </c>
      <c r="R2983" s="1" t="s">
        <v>100</v>
      </c>
      <c r="S2983" s="13" t="s">
        <v>28</v>
      </c>
      <c r="T2983" s="68" t="s">
        <v>27756</v>
      </c>
      <c r="U2983" s="68" t="s">
        <v>29438</v>
      </c>
      <c r="V2983" s="68" t="s">
        <v>29439</v>
      </c>
      <c r="W2983" s="68" t="s">
        <v>100</v>
      </c>
      <c r="X2983" s="68">
        <v>38</v>
      </c>
    </row>
    <row r="2984" spans="1:63" ht="12" customHeight="1" x14ac:dyDescent="0.15">
      <c r="A2984" s="1" t="s">
        <v>5006</v>
      </c>
      <c r="B2984" s="68">
        <v>36</v>
      </c>
      <c r="C2984" s="1" t="s">
        <v>20</v>
      </c>
      <c r="D2984" s="1" t="s">
        <v>85</v>
      </c>
      <c r="E2984" s="1" t="s">
        <v>5007</v>
      </c>
      <c r="F2984" s="69">
        <v>42012</v>
      </c>
      <c r="G2984" s="1" t="s">
        <v>5008</v>
      </c>
      <c r="H2984" s="1" t="s">
        <v>5009</v>
      </c>
      <c r="I2984" s="1" t="s">
        <v>978</v>
      </c>
      <c r="J2984" s="4" t="s">
        <v>5010</v>
      </c>
      <c r="K2984" s="1" t="s">
        <v>670</v>
      </c>
      <c r="L2984" s="1" t="s">
        <v>5011</v>
      </c>
      <c r="M2984" s="1" t="s">
        <v>27</v>
      </c>
      <c r="N2984" s="1" t="s">
        <v>5012</v>
      </c>
      <c r="O2984" s="1" t="s">
        <v>400</v>
      </c>
      <c r="P2984" s="1" t="s">
        <v>401</v>
      </c>
      <c r="Q2984" s="9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2984" s="1" t="s">
        <v>100</v>
      </c>
      <c r="S2984" s="11" t="s">
        <v>18</v>
      </c>
      <c r="T2984" s="68" t="s">
        <v>28345</v>
      </c>
      <c r="U2984" s="68" t="s">
        <v>29438</v>
      </c>
      <c r="V2984" s="68" t="s">
        <v>29439</v>
      </c>
      <c r="W2984" s="68" t="s">
        <v>100</v>
      </c>
      <c r="X2984" s="68">
        <v>36</v>
      </c>
      <c r="AW2984" s="44"/>
      <c r="AX2984" s="44"/>
      <c r="AY2984" s="44"/>
      <c r="BC2984" s="11"/>
      <c r="BD2984" s="11"/>
      <c r="BE2984" s="11"/>
      <c r="BF2984" s="11"/>
      <c r="BG2984" s="11"/>
      <c r="BH2984" s="11"/>
      <c r="BI2984" s="11"/>
      <c r="BJ2984" s="11"/>
    </row>
    <row r="2985" spans="1:63" ht="12" customHeight="1" x14ac:dyDescent="0.15">
      <c r="A2985" s="1" t="s">
        <v>5019</v>
      </c>
      <c r="B2985" s="68">
        <v>28</v>
      </c>
      <c r="C2985" s="1" t="s">
        <v>20</v>
      </c>
      <c r="D2985" s="1" t="s">
        <v>37</v>
      </c>
      <c r="E2985" s="1" t="s">
        <v>5020</v>
      </c>
      <c r="F2985" s="69">
        <v>42012</v>
      </c>
      <c r="G2985" s="1" t="s">
        <v>5021</v>
      </c>
      <c r="H2985" s="1" t="s">
        <v>5022</v>
      </c>
      <c r="I2985" s="1" t="s">
        <v>854</v>
      </c>
      <c r="J2985" s="4" t="s">
        <v>5023</v>
      </c>
      <c r="K2985" s="1" t="s">
        <v>4575</v>
      </c>
      <c r="L2985" s="1" t="s">
        <v>5024</v>
      </c>
      <c r="M2985" s="1" t="s">
        <v>27</v>
      </c>
      <c r="N2985" s="1" t="s">
        <v>5025</v>
      </c>
      <c r="O2985" s="1" t="s">
        <v>400</v>
      </c>
      <c r="P2985" s="1" t="s">
        <v>401</v>
      </c>
      <c r="Q2985" s="63" t="s">
        <v>5026</v>
      </c>
      <c r="R2985" s="1" t="s">
        <v>100</v>
      </c>
      <c r="S2985" s="13" t="s">
        <v>379</v>
      </c>
      <c r="T2985" s="68" t="s">
        <v>379</v>
      </c>
      <c r="U2985" s="68" t="s">
        <v>29441</v>
      </c>
      <c r="V2985" s="68" t="s">
        <v>29439</v>
      </c>
      <c r="W2985" s="68" t="s">
        <v>100</v>
      </c>
      <c r="X2985" s="68">
        <v>29</v>
      </c>
      <c r="AW2985" s="44"/>
      <c r="BK2985" s="44"/>
    </row>
    <row r="2986" spans="1:63" ht="12" customHeight="1" x14ac:dyDescent="0.15">
      <c r="A2986" s="1" t="s">
        <v>5013</v>
      </c>
      <c r="B2986" s="68">
        <v>42</v>
      </c>
      <c r="C2986" s="1" t="s">
        <v>20</v>
      </c>
      <c r="D2986" s="1" t="s">
        <v>37</v>
      </c>
      <c r="E2986" s="1" t="s">
        <v>5014</v>
      </c>
      <c r="F2986" s="69">
        <v>42012</v>
      </c>
      <c r="G2986" s="1" t="s">
        <v>5015</v>
      </c>
      <c r="H2986" s="1" t="s">
        <v>239</v>
      </c>
      <c r="I2986" s="1" t="s">
        <v>240</v>
      </c>
      <c r="J2986" s="4" t="s">
        <v>5016</v>
      </c>
      <c r="K2986" s="1" t="s">
        <v>611</v>
      </c>
      <c r="L2986" s="1" t="s">
        <v>241</v>
      </c>
      <c r="M2986" s="1" t="s">
        <v>27</v>
      </c>
      <c r="N2986" s="1" t="s">
        <v>5017</v>
      </c>
      <c r="O2986" s="1" t="s">
        <v>400</v>
      </c>
      <c r="P2986" s="1" t="s">
        <v>401</v>
      </c>
      <c r="Q2986" s="63" t="s">
        <v>5018</v>
      </c>
      <c r="R2986" s="1" t="s">
        <v>29</v>
      </c>
      <c r="S2986" s="1" t="s">
        <v>35</v>
      </c>
      <c r="T2986" s="68" t="s">
        <v>29470</v>
      </c>
      <c r="U2986" s="68" t="s">
        <v>29438</v>
      </c>
      <c r="V2986" s="68" t="s">
        <v>29439</v>
      </c>
      <c r="W2986" s="68" t="s">
        <v>555</v>
      </c>
      <c r="X2986" s="68">
        <v>32</v>
      </c>
    </row>
    <row r="2987" spans="1:63" ht="12" customHeight="1" x14ac:dyDescent="0.15">
      <c r="A2987" s="1" t="s">
        <v>4997</v>
      </c>
      <c r="B2987" s="68">
        <v>49</v>
      </c>
      <c r="C2987" s="1" t="s">
        <v>20</v>
      </c>
      <c r="D2987" s="1" t="s">
        <v>37</v>
      </c>
      <c r="E2987" s="1" t="s">
        <v>4998</v>
      </c>
      <c r="F2987" s="69">
        <v>42012</v>
      </c>
      <c r="G2987" s="1" t="s">
        <v>4999</v>
      </c>
      <c r="H2987" s="1" t="s">
        <v>5000</v>
      </c>
      <c r="I2987" s="1" t="s">
        <v>240</v>
      </c>
      <c r="J2987" s="4" t="s">
        <v>5001</v>
      </c>
      <c r="K2987" s="1" t="s">
        <v>5002</v>
      </c>
      <c r="L2987" s="1" t="s">
        <v>5003</v>
      </c>
      <c r="M2987" s="1" t="s">
        <v>27</v>
      </c>
      <c r="N2987" s="1" t="s">
        <v>5004</v>
      </c>
      <c r="O2987" s="1" t="s">
        <v>1010</v>
      </c>
      <c r="P2987" s="1" t="s">
        <v>401</v>
      </c>
      <c r="Q2987" s="63" t="s">
        <v>5005</v>
      </c>
      <c r="R2987" s="1" t="s">
        <v>555</v>
      </c>
      <c r="S2987" s="13" t="s">
        <v>28</v>
      </c>
      <c r="T2987" s="68" t="s">
        <v>27756</v>
      </c>
      <c r="U2987" s="68" t="s">
        <v>29438</v>
      </c>
      <c r="V2987" s="68" t="s">
        <v>29439</v>
      </c>
      <c r="W2987" s="68" t="s">
        <v>555</v>
      </c>
      <c r="X2987" s="68">
        <v>37</v>
      </c>
    </row>
    <row r="2988" spans="1:63" s="11" customFormat="1" ht="12" customHeight="1" x14ac:dyDescent="0.15">
      <c r="A2988" s="1" t="s">
        <v>5041</v>
      </c>
      <c r="B2988" s="68">
        <v>37</v>
      </c>
      <c r="C2988" s="1" t="s">
        <v>20</v>
      </c>
      <c r="D2988" s="1" t="s">
        <v>85</v>
      </c>
      <c r="E2988" s="1"/>
      <c r="F2988" s="69">
        <v>42011</v>
      </c>
      <c r="G2988" s="1" t="s">
        <v>5042</v>
      </c>
      <c r="H2988" s="1" t="s">
        <v>1039</v>
      </c>
      <c r="I2988" s="1" t="s">
        <v>25</v>
      </c>
      <c r="J2988" s="4" t="s">
        <v>5043</v>
      </c>
      <c r="K2988" s="1" t="s">
        <v>2579</v>
      </c>
      <c r="L2988" s="1" t="s">
        <v>1041</v>
      </c>
      <c r="M2988" s="1" t="s">
        <v>27</v>
      </c>
      <c r="N2988" s="1" t="s">
        <v>5044</v>
      </c>
      <c r="O2988" s="1" t="s">
        <v>550</v>
      </c>
      <c r="P2988" s="1" t="s">
        <v>401</v>
      </c>
      <c r="Q2988" s="63" t="s">
        <v>5045</v>
      </c>
      <c r="R2988" s="1" t="s">
        <v>100</v>
      </c>
      <c r="S2988" s="13" t="s">
        <v>28</v>
      </c>
      <c r="T2988" s="68" t="s">
        <v>27756</v>
      </c>
      <c r="U2988" s="68" t="s">
        <v>29438</v>
      </c>
      <c r="V2988" s="68" t="s">
        <v>29440</v>
      </c>
      <c r="W2988" s="68" t="s">
        <v>555</v>
      </c>
      <c r="X2988" s="68">
        <v>27</v>
      </c>
      <c r="Y2988" s="1"/>
      <c r="Z2988" s="1"/>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X2988" s="44"/>
      <c r="AY2988" s="44"/>
      <c r="AZ2988" s="1"/>
      <c r="BA2988" s="1"/>
      <c r="BB2988" s="1"/>
      <c r="BK2988" s="1"/>
    </row>
    <row r="2989" spans="1:63" ht="12" customHeight="1" x14ac:dyDescent="0.15">
      <c r="A2989" s="1" t="s">
        <v>5033</v>
      </c>
      <c r="B2989" s="68">
        <v>31</v>
      </c>
      <c r="C2989" s="1" t="s">
        <v>20</v>
      </c>
      <c r="D2989" s="1" t="s">
        <v>85</v>
      </c>
      <c r="E2989" s="1" t="s">
        <v>5034</v>
      </c>
      <c r="F2989" s="69">
        <v>42011</v>
      </c>
      <c r="G2989" s="1" t="s">
        <v>5035</v>
      </c>
      <c r="H2989" s="1" t="s">
        <v>5036</v>
      </c>
      <c r="I2989" s="1" t="s">
        <v>73</v>
      </c>
      <c r="J2989" s="4" t="s">
        <v>5037</v>
      </c>
      <c r="K2989" s="1" t="s">
        <v>4929</v>
      </c>
      <c r="L2989" s="1" t="s">
        <v>5038</v>
      </c>
      <c r="M2989" s="1" t="s">
        <v>27</v>
      </c>
      <c r="N2989" s="1" t="s">
        <v>5039</v>
      </c>
      <c r="O2989" s="1" t="s">
        <v>550</v>
      </c>
      <c r="P2989" s="1" t="s">
        <v>401</v>
      </c>
      <c r="Q2989" s="63" t="s">
        <v>5040</v>
      </c>
      <c r="R2989" s="1" t="s">
        <v>100</v>
      </c>
      <c r="S2989" s="13" t="s">
        <v>28</v>
      </c>
      <c r="T2989" s="68" t="s">
        <v>27756</v>
      </c>
      <c r="U2989" s="68" t="s">
        <v>29438</v>
      </c>
      <c r="V2989" s="68" t="s">
        <v>29439</v>
      </c>
      <c r="W2989" s="68" t="s">
        <v>100</v>
      </c>
      <c r="X2989" s="68">
        <v>21</v>
      </c>
      <c r="AW2989" s="11"/>
      <c r="AX2989" s="11"/>
      <c r="AY2989" s="11"/>
      <c r="BC2989" s="11"/>
      <c r="BD2989" s="11"/>
      <c r="BE2989" s="11"/>
      <c r="BF2989" s="11"/>
      <c r="BG2989" s="11"/>
      <c r="BH2989" s="11"/>
      <c r="BI2989" s="11"/>
      <c r="BJ2989" s="11"/>
    </row>
    <row r="2990" spans="1:63" ht="12" customHeight="1" x14ac:dyDescent="0.15">
      <c r="A2990" s="1" t="s">
        <v>5052</v>
      </c>
      <c r="B2990" s="68">
        <v>30</v>
      </c>
      <c r="C2990" s="1" t="s">
        <v>20</v>
      </c>
      <c r="D2990" s="1" t="s">
        <v>37</v>
      </c>
      <c r="E2990" s="1" t="s">
        <v>5053</v>
      </c>
      <c r="F2990" s="69">
        <v>42011</v>
      </c>
      <c r="G2990" s="1" t="s">
        <v>5054</v>
      </c>
      <c r="H2990" s="1" t="s">
        <v>1862</v>
      </c>
      <c r="I2990" s="1" t="s">
        <v>370</v>
      </c>
      <c r="J2990" s="4" t="s">
        <v>5055</v>
      </c>
      <c r="K2990" s="1" t="s">
        <v>1864</v>
      </c>
      <c r="L2990" s="1" t="s">
        <v>1865</v>
      </c>
      <c r="M2990" s="1" t="s">
        <v>27</v>
      </c>
      <c r="N2990" s="1" t="s">
        <v>5056</v>
      </c>
      <c r="O2990" s="1" t="s">
        <v>400</v>
      </c>
      <c r="P2990" s="1" t="s">
        <v>401</v>
      </c>
      <c r="Q2990" s="63" t="s">
        <v>5057</v>
      </c>
      <c r="R2990" s="1" t="s">
        <v>100</v>
      </c>
      <c r="S2990" s="13" t="s">
        <v>28</v>
      </c>
      <c r="T2990" s="68" t="s">
        <v>27756</v>
      </c>
      <c r="U2990" s="68" t="s">
        <v>29438</v>
      </c>
      <c r="V2990" s="68" t="s">
        <v>29437</v>
      </c>
      <c r="W2990" s="68" t="s">
        <v>100</v>
      </c>
      <c r="X2990" s="68">
        <v>25</v>
      </c>
      <c r="AW2990" s="11"/>
    </row>
    <row r="2991" spans="1:63" ht="12" customHeight="1" x14ac:dyDescent="0.15">
      <c r="A2991" s="1" t="s">
        <v>5046</v>
      </c>
      <c r="B2991" s="1">
        <v>42</v>
      </c>
      <c r="C2991" s="1" t="s">
        <v>20</v>
      </c>
      <c r="D2991" s="1" t="s">
        <v>85</v>
      </c>
      <c r="E2991" s="1" t="s">
        <v>5047</v>
      </c>
      <c r="F2991" s="72">
        <v>42011</v>
      </c>
      <c r="G2991" s="1" t="s">
        <v>5048</v>
      </c>
      <c r="H2991" s="1" t="s">
        <v>3317</v>
      </c>
      <c r="I2991" s="1" t="s">
        <v>463</v>
      </c>
      <c r="J2991" s="4" t="s">
        <v>5049</v>
      </c>
      <c r="K2991" s="1" t="s">
        <v>2160</v>
      </c>
      <c r="L2991" s="1" t="s">
        <v>5050</v>
      </c>
      <c r="M2991" s="1" t="s">
        <v>391</v>
      </c>
      <c r="N2991" s="1" t="s">
        <v>5051</v>
      </c>
      <c r="O2991" s="1" t="s">
        <v>400</v>
      </c>
      <c r="P2991" s="1" t="s">
        <v>401</v>
      </c>
      <c r="Q2991" s="6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2991" s="1" t="s">
        <v>29</v>
      </c>
      <c r="S2991" s="13" t="s">
        <v>18</v>
      </c>
      <c r="AU2991" s="11"/>
      <c r="AV2991" s="11"/>
      <c r="AW2991" s="11"/>
      <c r="AX2991" s="44"/>
      <c r="AY2991" s="44"/>
      <c r="BC2991" s="11"/>
      <c r="BD2991" s="11"/>
      <c r="BE2991" s="11"/>
      <c r="BF2991" s="11"/>
      <c r="BG2991" s="11"/>
      <c r="BH2991" s="11"/>
      <c r="BI2991" s="11"/>
      <c r="BJ2991" s="11"/>
    </row>
    <row r="2992" spans="1:63" ht="12" customHeight="1" x14ac:dyDescent="0.15">
      <c r="A2992" s="1" t="s">
        <v>5058</v>
      </c>
      <c r="B2992" s="1">
        <v>31</v>
      </c>
      <c r="C2992" s="1" t="s">
        <v>20</v>
      </c>
      <c r="D2992" s="1" t="s">
        <v>37</v>
      </c>
      <c r="E2992" s="1" t="s">
        <v>5059</v>
      </c>
      <c r="F2992" s="72">
        <v>42011</v>
      </c>
      <c r="G2992" s="1" t="s">
        <v>5060</v>
      </c>
      <c r="H2992" s="1" t="s">
        <v>5061</v>
      </c>
      <c r="I2992" s="1" t="s">
        <v>44</v>
      </c>
      <c r="J2992" s="4" t="s">
        <v>5062</v>
      </c>
      <c r="K2992" s="1" t="s">
        <v>88</v>
      </c>
      <c r="L2992" s="1" t="s">
        <v>5063</v>
      </c>
      <c r="M2992" s="1" t="s">
        <v>27</v>
      </c>
      <c r="N2992" s="1" t="s">
        <v>5064</v>
      </c>
      <c r="O2992" s="1" t="s">
        <v>400</v>
      </c>
      <c r="P2992" s="1" t="s">
        <v>401</v>
      </c>
      <c r="Q2992" s="63" t="s">
        <v>5065</v>
      </c>
      <c r="R2992" s="1" t="s">
        <v>29</v>
      </c>
      <c r="S2992" s="13" t="s">
        <v>379</v>
      </c>
      <c r="T2992" s="68"/>
      <c r="U2992" s="68"/>
      <c r="V2992" s="68"/>
      <c r="W2992" s="68"/>
      <c r="X2992" s="68"/>
      <c r="BK2992" s="44"/>
    </row>
    <row r="2993" spans="1:63" ht="12" customHeight="1" x14ac:dyDescent="0.15">
      <c r="A2993" s="1" t="s">
        <v>5027</v>
      </c>
      <c r="B2993" s="68">
        <v>41</v>
      </c>
      <c r="C2993" s="1" t="s">
        <v>20</v>
      </c>
      <c r="D2993" s="1" t="s">
        <v>85</v>
      </c>
      <c r="E2993" s="1" t="s">
        <v>5028</v>
      </c>
      <c r="F2993" s="69">
        <v>42011</v>
      </c>
      <c r="G2993" s="1" t="s">
        <v>5029</v>
      </c>
      <c r="H2993" s="1" t="s">
        <v>1287</v>
      </c>
      <c r="I2993" s="1" t="s">
        <v>69</v>
      </c>
      <c r="J2993" s="4" t="s">
        <v>5030</v>
      </c>
      <c r="K2993" s="1" t="s">
        <v>1288</v>
      </c>
      <c r="L2993" s="1" t="s">
        <v>12562</v>
      </c>
      <c r="M2993" s="1" t="s">
        <v>27</v>
      </c>
      <c r="N2993" s="1" t="s">
        <v>5031</v>
      </c>
      <c r="O2993" s="1" t="s">
        <v>550</v>
      </c>
      <c r="P2993" s="1" t="s">
        <v>401</v>
      </c>
      <c r="Q2993" s="63" t="s">
        <v>5032</v>
      </c>
      <c r="R2993" s="68" t="s">
        <v>555</v>
      </c>
      <c r="S2993" s="13" t="s">
        <v>28</v>
      </c>
      <c r="T2993" s="68" t="s">
        <v>29493</v>
      </c>
      <c r="U2993" s="68" t="s">
        <v>29436</v>
      </c>
      <c r="V2993" s="68" t="s">
        <v>29439</v>
      </c>
      <c r="W2993" s="68" t="s">
        <v>100</v>
      </c>
      <c r="X2993" s="68">
        <v>22</v>
      </c>
      <c r="AX2993" s="44"/>
      <c r="AY2993" s="44"/>
      <c r="BA2993" s="44"/>
      <c r="BB2993" s="11"/>
      <c r="BC2993" s="11"/>
      <c r="BD2993" s="11"/>
      <c r="BE2993" s="11"/>
      <c r="BF2993" s="11"/>
      <c r="BG2993" s="11"/>
      <c r="BH2993" s="11"/>
      <c r="BI2993" s="11"/>
      <c r="BJ2993" s="11"/>
    </row>
    <row r="2994" spans="1:63" ht="12" customHeight="1" x14ac:dyDescent="0.15">
      <c r="A2994" s="1" t="s">
        <v>5066</v>
      </c>
      <c r="B2994" s="1">
        <v>26</v>
      </c>
      <c r="C2994" s="1" t="s">
        <v>20</v>
      </c>
      <c r="D2994" s="1" t="s">
        <v>85</v>
      </c>
      <c r="F2994" s="72">
        <v>42010</v>
      </c>
      <c r="G2994" s="1" t="s">
        <v>5067</v>
      </c>
      <c r="H2994" s="1" t="s">
        <v>98</v>
      </c>
      <c r="I2994" s="1" t="s">
        <v>45</v>
      </c>
      <c r="J2994" s="4" t="s">
        <v>5068</v>
      </c>
      <c r="K2994" s="1" t="s">
        <v>98</v>
      </c>
      <c r="L2994" s="11" t="s">
        <v>414</v>
      </c>
      <c r="M2994" s="1" t="s">
        <v>391</v>
      </c>
      <c r="N2994" s="1" t="s">
        <v>5069</v>
      </c>
      <c r="O2994" s="1" t="s">
        <v>400</v>
      </c>
      <c r="P2994" s="1" t="s">
        <v>401</v>
      </c>
      <c r="Q2994" s="63" t="str">
        <f>HYPERLINK("http://www.latimes.com/local/lanow/la-me-ln-taser-death-20150107-story.html","http://www.latimes.com/local/lanow/la-me-ln-taser-death-20150107-story.html")</f>
        <v>http://www.latimes.com/local/lanow/la-me-ln-taser-death-20150107-story.html</v>
      </c>
      <c r="R2994" s="11" t="s">
        <v>964</v>
      </c>
      <c r="S2994" s="13" t="s">
        <v>18</v>
      </c>
      <c r="AU2994" s="11"/>
      <c r="AV2994" s="11"/>
      <c r="AW2994" s="11"/>
      <c r="AX2994" s="44"/>
      <c r="AY2994" s="44"/>
      <c r="BC2994" s="11"/>
      <c r="BD2994" s="11"/>
      <c r="BE2994" s="11"/>
      <c r="BF2994" s="11"/>
      <c r="BG2994" s="11"/>
      <c r="BH2994" s="11"/>
      <c r="BI2994" s="11"/>
      <c r="BJ2994" s="11"/>
    </row>
    <row r="2995" spans="1:63" ht="12" customHeight="1" x14ac:dyDescent="0.15">
      <c r="A2995" s="1" t="s">
        <v>5082</v>
      </c>
      <c r="B2995" s="68">
        <v>35</v>
      </c>
      <c r="C2995" s="1" t="s">
        <v>20</v>
      </c>
      <c r="D2995" s="1" t="s">
        <v>37</v>
      </c>
      <c r="E2995" s="1" t="s">
        <v>5083</v>
      </c>
      <c r="F2995" s="69">
        <v>42010</v>
      </c>
      <c r="G2995" s="1" t="s">
        <v>5084</v>
      </c>
      <c r="H2995" s="1" t="s">
        <v>5085</v>
      </c>
      <c r="I2995" s="1" t="s">
        <v>363</v>
      </c>
      <c r="J2995" s="4" t="s">
        <v>5086</v>
      </c>
      <c r="K2995" s="1" t="s">
        <v>5087</v>
      </c>
      <c r="L2995" s="1" t="s">
        <v>5088</v>
      </c>
      <c r="M2995" s="1" t="s">
        <v>27</v>
      </c>
      <c r="N2995" s="1" t="s">
        <v>5089</v>
      </c>
      <c r="O2995" s="1" t="s">
        <v>550</v>
      </c>
      <c r="P2995" s="1" t="s">
        <v>401</v>
      </c>
      <c r="Q2995" s="63" t="s">
        <v>5090</v>
      </c>
      <c r="R2995" s="11" t="s">
        <v>964</v>
      </c>
      <c r="S2995" s="13" t="s">
        <v>28</v>
      </c>
      <c r="T2995" s="68" t="s">
        <v>27756</v>
      </c>
      <c r="U2995" s="68" t="s">
        <v>29438</v>
      </c>
      <c r="V2995" s="68" t="s">
        <v>29439</v>
      </c>
      <c r="W2995" s="68" t="s">
        <v>100</v>
      </c>
      <c r="X2995" s="68">
        <v>15</v>
      </c>
      <c r="AW2995" s="44"/>
      <c r="BA2995" s="44"/>
      <c r="BB2995" s="44"/>
    </row>
    <row r="2996" spans="1:63" ht="12" customHeight="1" x14ac:dyDescent="0.2">
      <c r="A2996" s="1" t="s">
        <v>5076</v>
      </c>
      <c r="B2996" s="68">
        <v>25</v>
      </c>
      <c r="C2996" s="1" t="s">
        <v>20</v>
      </c>
      <c r="D2996" s="1" t="s">
        <v>37</v>
      </c>
      <c r="E2996" s="1" t="s">
        <v>5077</v>
      </c>
      <c r="F2996" s="69">
        <v>42010</v>
      </c>
      <c r="G2996" s="1" t="s">
        <v>5078</v>
      </c>
      <c r="H2996" s="1" t="s">
        <v>1760</v>
      </c>
      <c r="I2996" s="1" t="s">
        <v>45</v>
      </c>
      <c r="J2996" s="4" t="s">
        <v>5079</v>
      </c>
      <c r="K2996" s="1" t="s">
        <v>1762</v>
      </c>
      <c r="L2996" s="1" t="s">
        <v>1763</v>
      </c>
      <c r="M2996" s="68" t="s">
        <v>5411</v>
      </c>
      <c r="N2996" s="1" t="s">
        <v>5080</v>
      </c>
      <c r="O2996" s="1" t="s">
        <v>1010</v>
      </c>
      <c r="P2996" s="1" t="s">
        <v>401</v>
      </c>
      <c r="Q2996" s="63" t="s">
        <v>5081</v>
      </c>
      <c r="R2996" s="11" t="s">
        <v>964</v>
      </c>
      <c r="S2996" s="13" t="s">
        <v>28</v>
      </c>
      <c r="T2996" s="68" t="s">
        <v>29493</v>
      </c>
      <c r="U2996" s="68" t="s">
        <v>29438</v>
      </c>
      <c r="V2996" s="68" t="s">
        <v>29439</v>
      </c>
      <c r="W2996" s="68" t="s">
        <v>100</v>
      </c>
      <c r="X2996" s="68">
        <v>19</v>
      </c>
      <c r="AW2996" s="44"/>
      <c r="BA2996" s="44"/>
      <c r="BB2996" s="70"/>
    </row>
    <row r="2997" spans="1:63" ht="12" customHeight="1" x14ac:dyDescent="0.15">
      <c r="A2997" s="1" t="s">
        <v>5070</v>
      </c>
      <c r="B2997" s="68">
        <v>47</v>
      </c>
      <c r="C2997" s="1" t="s">
        <v>20</v>
      </c>
      <c r="D2997" s="1" t="s">
        <v>85</v>
      </c>
      <c r="E2997" s="1" t="s">
        <v>5071</v>
      </c>
      <c r="F2997" s="69">
        <v>42010</v>
      </c>
      <c r="G2997" s="1" t="s">
        <v>5072</v>
      </c>
      <c r="H2997" s="1" t="s">
        <v>387</v>
      </c>
      <c r="I2997" s="1" t="s">
        <v>404</v>
      </c>
      <c r="J2997" s="4" t="s">
        <v>5073</v>
      </c>
      <c r="K2997" s="1" t="s">
        <v>1635</v>
      </c>
      <c r="L2997" s="1" t="s">
        <v>5634</v>
      </c>
      <c r="M2997" s="1" t="s">
        <v>27</v>
      </c>
      <c r="N2997" s="1" t="s">
        <v>5074</v>
      </c>
      <c r="O2997" s="1" t="s">
        <v>1010</v>
      </c>
      <c r="P2997" s="1" t="s">
        <v>401</v>
      </c>
      <c r="Q2997" s="63" t="s">
        <v>5075</v>
      </c>
      <c r="R2997" s="1" t="s">
        <v>100</v>
      </c>
      <c r="S2997" s="13" t="s">
        <v>18</v>
      </c>
      <c r="T2997" s="68" t="s">
        <v>29612</v>
      </c>
      <c r="U2997" s="68" t="s">
        <v>29438</v>
      </c>
      <c r="V2997" s="68" t="s">
        <v>29439</v>
      </c>
      <c r="W2997" s="68" t="s">
        <v>100</v>
      </c>
      <c r="X2997" s="68">
        <v>17</v>
      </c>
      <c r="AX2997" s="44"/>
      <c r="AY2997" s="44"/>
      <c r="BC2997" s="11"/>
      <c r="BD2997" s="11"/>
      <c r="BE2997" s="11"/>
      <c r="BF2997" s="11"/>
      <c r="BG2997" s="11"/>
      <c r="BH2997" s="11"/>
      <c r="BI2997" s="11"/>
      <c r="BJ2997" s="11"/>
    </row>
    <row r="2998" spans="1:63" ht="12" customHeight="1" x14ac:dyDescent="0.15">
      <c r="A2998" s="1" t="s">
        <v>5091</v>
      </c>
      <c r="B2998" s="68">
        <v>34</v>
      </c>
      <c r="C2998" s="1" t="s">
        <v>114</v>
      </c>
      <c r="D2998" s="1" t="s">
        <v>37</v>
      </c>
      <c r="E2998" s="1" t="s">
        <v>5092</v>
      </c>
      <c r="F2998" s="69">
        <v>42010</v>
      </c>
      <c r="G2998" s="1" t="s">
        <v>5093</v>
      </c>
      <c r="H2998" s="1" t="s">
        <v>5094</v>
      </c>
      <c r="I2998" s="1" t="s">
        <v>370</v>
      </c>
      <c r="J2998" s="4" t="s">
        <v>5095</v>
      </c>
      <c r="K2998" s="1" t="s">
        <v>1862</v>
      </c>
      <c r="L2998" s="1" t="s">
        <v>5096</v>
      </c>
      <c r="M2998" s="1" t="s">
        <v>27</v>
      </c>
      <c r="N2998" s="1" t="s">
        <v>5097</v>
      </c>
      <c r="O2998" s="1" t="s">
        <v>1010</v>
      </c>
      <c r="P2998" s="1" t="s">
        <v>401</v>
      </c>
      <c r="Q2998" s="6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2998" s="1" t="s">
        <v>29</v>
      </c>
      <c r="S2998" s="11" t="s">
        <v>18</v>
      </c>
      <c r="T2998" s="68" t="s">
        <v>28345</v>
      </c>
      <c r="U2998" s="68" t="s">
        <v>29436</v>
      </c>
      <c r="V2998" s="68" t="s">
        <v>29439</v>
      </c>
      <c r="W2998" s="68" t="s">
        <v>555</v>
      </c>
      <c r="X2998" s="68">
        <v>16</v>
      </c>
      <c r="AW2998" s="11"/>
    </row>
    <row r="2999" spans="1:63" ht="12" customHeight="1" x14ac:dyDescent="0.2">
      <c r="A2999" s="11" t="s">
        <v>22938</v>
      </c>
      <c r="B2999" s="11">
        <v>39</v>
      </c>
      <c r="C2999" s="11" t="s">
        <v>20</v>
      </c>
      <c r="D2999" s="11" t="s">
        <v>85</v>
      </c>
      <c r="E2999" s="11" t="s">
        <v>22959</v>
      </c>
      <c r="F2999" s="72">
        <v>42009</v>
      </c>
      <c r="G2999" s="11" t="s">
        <v>22955</v>
      </c>
      <c r="H2999" s="11" t="s">
        <v>1633</v>
      </c>
      <c r="I2999" s="11" t="s">
        <v>404</v>
      </c>
      <c r="J2999" s="10">
        <v>15219</v>
      </c>
      <c r="K2999" s="18" t="s">
        <v>1635</v>
      </c>
      <c r="L2999" s="11" t="s">
        <v>22956</v>
      </c>
      <c r="M2999" s="11" t="s">
        <v>22940</v>
      </c>
      <c r="N2999" s="11" t="s">
        <v>22957</v>
      </c>
      <c r="O2999" s="11" t="s">
        <v>400</v>
      </c>
      <c r="P2999" s="11" t="s">
        <v>401</v>
      </c>
      <c r="Q2999" s="11" t="s">
        <v>22958</v>
      </c>
      <c r="R2999" s="11" t="s">
        <v>100</v>
      </c>
      <c r="S2999" s="11" t="s">
        <v>18</v>
      </c>
      <c r="T2999" s="11"/>
      <c r="U2999" s="11"/>
      <c r="V2999" s="11"/>
      <c r="W2999" s="11"/>
      <c r="X2999" s="11"/>
      <c r="Y2999" s="11"/>
      <c r="Z2999" s="11"/>
      <c r="AA2999" s="11"/>
      <c r="AB2999" s="11"/>
      <c r="AC2999" s="11"/>
      <c r="AD2999" s="11"/>
      <c r="AE2999" s="11"/>
      <c r="AF2999" s="11"/>
      <c r="AG2999" s="11"/>
      <c r="AH2999" s="11"/>
      <c r="AI2999" s="11"/>
      <c r="AJ2999" s="11"/>
      <c r="AK2999" s="11"/>
      <c r="AT2999" s="70"/>
      <c r="AU2999" s="70"/>
      <c r="AW2999" s="44"/>
      <c r="AX2999" s="44"/>
      <c r="BB2999" s="11"/>
      <c r="BC2999" s="11"/>
      <c r="BD2999" s="11"/>
      <c r="BE2999" s="11"/>
      <c r="BF2999" s="11"/>
      <c r="BG2999" s="11"/>
      <c r="BH2999" s="11"/>
      <c r="BI2999" s="11"/>
      <c r="BK2999" s="78"/>
    </row>
    <row r="3000" spans="1:63" ht="12" customHeight="1" x14ac:dyDescent="0.15">
      <c r="A3000" s="1" t="s">
        <v>5102</v>
      </c>
      <c r="B3000" s="68">
        <v>22</v>
      </c>
      <c r="C3000" s="1" t="s">
        <v>20</v>
      </c>
      <c r="D3000" s="1" t="s">
        <v>48</v>
      </c>
      <c r="E3000" s="1" t="s">
        <v>5103</v>
      </c>
      <c r="F3000" s="69">
        <v>42009</v>
      </c>
      <c r="G3000" s="1" t="s">
        <v>5104</v>
      </c>
      <c r="H3000" s="1" t="s">
        <v>5105</v>
      </c>
      <c r="I3000" s="1" t="s">
        <v>123</v>
      </c>
      <c r="J3000" s="4" t="s">
        <v>5106</v>
      </c>
      <c r="K3000" s="1" t="s">
        <v>633</v>
      </c>
      <c r="L3000" s="1" t="s">
        <v>5107</v>
      </c>
      <c r="M3000" s="1" t="s">
        <v>27</v>
      </c>
      <c r="N3000" s="1" t="s">
        <v>5108</v>
      </c>
      <c r="O3000" s="1" t="s">
        <v>1010</v>
      </c>
      <c r="P3000" s="1" t="s">
        <v>401</v>
      </c>
      <c r="Q3000" s="63" t="s">
        <v>5109</v>
      </c>
      <c r="R3000" s="1" t="s">
        <v>100</v>
      </c>
      <c r="S3000" s="13" t="s">
        <v>28</v>
      </c>
      <c r="T3000" s="68" t="s">
        <v>27756</v>
      </c>
      <c r="U3000" s="68" t="s">
        <v>29438</v>
      </c>
      <c r="V3000" s="68" t="s">
        <v>29437</v>
      </c>
      <c r="W3000" s="68" t="s">
        <v>100</v>
      </c>
      <c r="X3000" s="68">
        <v>13</v>
      </c>
      <c r="AW3000" s="44"/>
    </row>
    <row r="3001" spans="1:63" ht="12" customHeight="1" x14ac:dyDescent="0.15">
      <c r="A3001" s="1" t="s">
        <v>5110</v>
      </c>
      <c r="B3001" s="68">
        <v>39</v>
      </c>
      <c r="C3001" s="1" t="s">
        <v>20</v>
      </c>
      <c r="D3001" s="1" t="s">
        <v>48</v>
      </c>
      <c r="E3001" s="1" t="s">
        <v>5111</v>
      </c>
      <c r="F3001" s="69">
        <v>42008</v>
      </c>
      <c r="G3001" s="1" t="s">
        <v>5112</v>
      </c>
      <c r="H3001" s="1" t="s">
        <v>5113</v>
      </c>
      <c r="I3001" s="1" t="s">
        <v>209</v>
      </c>
      <c r="J3001" s="4" t="s">
        <v>5114</v>
      </c>
      <c r="K3001" s="1" t="s">
        <v>1705</v>
      </c>
      <c r="L3001" s="1" t="s">
        <v>5115</v>
      </c>
      <c r="M3001" s="1" t="s">
        <v>27</v>
      </c>
      <c r="N3001" s="1" t="s">
        <v>5116</v>
      </c>
      <c r="O3001" s="1" t="s">
        <v>550</v>
      </c>
      <c r="P3001" s="1" t="s">
        <v>401</v>
      </c>
      <c r="Q3001" s="63" t="s">
        <v>5117</v>
      </c>
      <c r="R3001" s="1" t="s">
        <v>100</v>
      </c>
      <c r="S3001" s="13" t="s">
        <v>28</v>
      </c>
      <c r="T3001" s="68" t="s">
        <v>29492</v>
      </c>
      <c r="U3001" s="68" t="s">
        <v>29438</v>
      </c>
      <c r="V3001" s="68" t="s">
        <v>29439</v>
      </c>
      <c r="W3001" s="68" t="s">
        <v>100</v>
      </c>
      <c r="X3001" s="68">
        <v>9</v>
      </c>
      <c r="AW3001" s="44"/>
    </row>
    <row r="3002" spans="1:63" ht="12" customHeight="1" x14ac:dyDescent="0.2">
      <c r="A3002" s="1" t="s">
        <v>5118</v>
      </c>
      <c r="B3002" s="68">
        <v>18</v>
      </c>
      <c r="C3002" s="1" t="s">
        <v>20</v>
      </c>
      <c r="D3002" s="1" t="s">
        <v>37</v>
      </c>
      <c r="E3002" s="1" t="s">
        <v>5119</v>
      </c>
      <c r="F3002" s="69">
        <v>42008</v>
      </c>
      <c r="G3002" s="1" t="s">
        <v>5120</v>
      </c>
      <c r="H3002" s="1" t="s">
        <v>5121</v>
      </c>
      <c r="I3002" s="1" t="s">
        <v>395</v>
      </c>
      <c r="J3002" s="4" t="s">
        <v>5122</v>
      </c>
      <c r="K3002" s="1" t="s">
        <v>990</v>
      </c>
      <c r="L3002" s="1" t="s">
        <v>2045</v>
      </c>
      <c r="M3002" s="1" t="s">
        <v>27</v>
      </c>
      <c r="N3002" s="1" t="s">
        <v>5123</v>
      </c>
      <c r="O3002" s="1" t="s">
        <v>1010</v>
      </c>
      <c r="P3002" s="1" t="s">
        <v>401</v>
      </c>
      <c r="Q3002" s="63" t="s">
        <v>5124</v>
      </c>
      <c r="R3002" s="1" t="s">
        <v>100</v>
      </c>
      <c r="S3002" s="13" t="s">
        <v>28</v>
      </c>
      <c r="T3002" s="68" t="s">
        <v>27756</v>
      </c>
      <c r="U3002" s="68" t="s">
        <v>29438</v>
      </c>
      <c r="V3002" s="68" t="s">
        <v>29439</v>
      </c>
      <c r="W3002" s="68" t="s">
        <v>100</v>
      </c>
      <c r="X3002" s="68">
        <v>11</v>
      </c>
      <c r="AW3002" s="70"/>
    </row>
    <row r="3003" spans="1:63" ht="12" customHeight="1" x14ac:dyDescent="0.15">
      <c r="A3003" s="1" t="s">
        <v>5129</v>
      </c>
      <c r="B3003" s="1">
        <v>19</v>
      </c>
      <c r="C3003" s="1" t="s">
        <v>20</v>
      </c>
      <c r="D3003" s="1" t="s">
        <v>37</v>
      </c>
      <c r="E3003" s="1" t="s">
        <v>5130</v>
      </c>
      <c r="F3003" s="72">
        <v>42008</v>
      </c>
      <c r="G3003" s="1" t="s">
        <v>5131</v>
      </c>
      <c r="H3003" s="1" t="s">
        <v>5132</v>
      </c>
      <c r="I3003" s="1" t="s">
        <v>870</v>
      </c>
      <c r="J3003" s="4" t="s">
        <v>5133</v>
      </c>
      <c r="K3003" s="1" t="s">
        <v>5134</v>
      </c>
      <c r="L3003" s="1" t="s">
        <v>5135</v>
      </c>
      <c r="M3003" s="1" t="s">
        <v>379</v>
      </c>
      <c r="N3003" s="1" t="s">
        <v>5136</v>
      </c>
      <c r="O3003" s="1" t="s">
        <v>1010</v>
      </c>
      <c r="P3003" s="1" t="s">
        <v>401</v>
      </c>
      <c r="Q3003" s="63" t="s">
        <v>5137</v>
      </c>
      <c r="R3003" s="1" t="s">
        <v>100</v>
      </c>
      <c r="S3003" s="13" t="s">
        <v>18</v>
      </c>
    </row>
    <row r="3004" spans="1:63" ht="12" customHeight="1" x14ac:dyDescent="0.15">
      <c r="A3004" s="1" t="s">
        <v>5125</v>
      </c>
      <c r="B3004" s="68">
        <v>32</v>
      </c>
      <c r="C3004" s="1" t="s">
        <v>20</v>
      </c>
      <c r="D3004" s="1" t="s">
        <v>37</v>
      </c>
      <c r="F3004" s="69">
        <v>42008</v>
      </c>
      <c r="G3004" s="1" t="s">
        <v>5126</v>
      </c>
      <c r="H3004" s="1" t="s">
        <v>945</v>
      </c>
      <c r="I3004" s="1" t="s">
        <v>45</v>
      </c>
      <c r="J3004" s="4" t="s">
        <v>4009</v>
      </c>
      <c r="K3004" s="1" t="s">
        <v>945</v>
      </c>
      <c r="L3004" s="1" t="s">
        <v>946</v>
      </c>
      <c r="M3004" s="1" t="s">
        <v>27</v>
      </c>
      <c r="N3004" s="1" t="s">
        <v>5127</v>
      </c>
      <c r="O3004" s="1" t="s">
        <v>4684</v>
      </c>
      <c r="P3004" s="1" t="s">
        <v>401</v>
      </c>
      <c r="Q3004" s="63" t="s">
        <v>5128</v>
      </c>
      <c r="R3004" s="68" t="s">
        <v>555</v>
      </c>
      <c r="S3004" s="13" t="s">
        <v>18</v>
      </c>
      <c r="T3004" s="68" t="s">
        <v>29612</v>
      </c>
      <c r="U3004" s="68" t="s">
        <v>29438</v>
      </c>
      <c r="V3004" s="68" t="s">
        <v>29439</v>
      </c>
      <c r="W3004" s="68" t="s">
        <v>100</v>
      </c>
      <c r="X3004" s="68">
        <v>8</v>
      </c>
      <c r="AW3004" s="11"/>
      <c r="BA3004" s="44"/>
      <c r="BB3004" s="11"/>
    </row>
    <row r="3005" spans="1:63" ht="12" customHeight="1" x14ac:dyDescent="0.2">
      <c r="A3005" s="1" t="s">
        <v>5138</v>
      </c>
      <c r="B3005" s="68">
        <v>23</v>
      </c>
      <c r="C3005" s="1" t="s">
        <v>20</v>
      </c>
      <c r="D3005" s="1" t="s">
        <v>48</v>
      </c>
      <c r="E3005" s="1" t="s">
        <v>5139</v>
      </c>
      <c r="F3005" s="69">
        <v>42007</v>
      </c>
      <c r="G3005" s="1" t="s">
        <v>5140</v>
      </c>
      <c r="H3005" s="1" t="s">
        <v>683</v>
      </c>
      <c r="I3005" s="1" t="s">
        <v>363</v>
      </c>
      <c r="J3005" s="4" t="s">
        <v>5141</v>
      </c>
      <c r="K3005" s="1" t="s">
        <v>684</v>
      </c>
      <c r="L3005" s="1" t="s">
        <v>685</v>
      </c>
      <c r="M3005" s="68" t="s">
        <v>5411</v>
      </c>
      <c r="N3005" s="1" t="s">
        <v>5142</v>
      </c>
      <c r="O3005" s="1" t="s">
        <v>1010</v>
      </c>
      <c r="P3005" s="1" t="s">
        <v>401</v>
      </c>
      <c r="Q3005" s="63" t="s">
        <v>5143</v>
      </c>
      <c r="R3005" s="1" t="s">
        <v>100</v>
      </c>
      <c r="S3005" s="11" t="s">
        <v>18</v>
      </c>
      <c r="T3005" s="68" t="s">
        <v>28345</v>
      </c>
      <c r="U3005" s="68" t="s">
        <v>29436</v>
      </c>
      <c r="V3005" s="68" t="s">
        <v>29439</v>
      </c>
      <c r="W3005" s="68" t="s">
        <v>100</v>
      </c>
      <c r="X3005" s="68">
        <v>5</v>
      </c>
      <c r="AW3005" s="11"/>
      <c r="BB3005" s="70"/>
    </row>
    <row r="3006" spans="1:63" ht="12" customHeight="1" x14ac:dyDescent="0.15">
      <c r="A3006" s="1" t="s">
        <v>5151</v>
      </c>
      <c r="B3006" s="68">
        <v>47</v>
      </c>
      <c r="C3006" s="1" t="s">
        <v>20</v>
      </c>
      <c r="D3006" s="1" t="s">
        <v>37</v>
      </c>
      <c r="F3006" s="69">
        <v>42006</v>
      </c>
      <c r="G3006" s="1" t="s">
        <v>5152</v>
      </c>
      <c r="H3006" s="1" t="s">
        <v>116</v>
      </c>
      <c r="I3006" s="1" t="s">
        <v>117</v>
      </c>
      <c r="J3006" s="4" t="s">
        <v>5153</v>
      </c>
      <c r="K3006" s="1" t="s">
        <v>118</v>
      </c>
      <c r="L3006" s="1" t="s">
        <v>119</v>
      </c>
      <c r="M3006" s="1" t="s">
        <v>27</v>
      </c>
      <c r="N3006" s="1" t="s">
        <v>5154</v>
      </c>
      <c r="O3006" s="1" t="s">
        <v>1010</v>
      </c>
      <c r="P3006" s="1" t="s">
        <v>401</v>
      </c>
      <c r="Q3006" s="63" t="s">
        <v>5155</v>
      </c>
      <c r="R3006" s="11" t="s">
        <v>964</v>
      </c>
      <c r="S3006" s="13" t="s">
        <v>28</v>
      </c>
      <c r="T3006" s="68" t="s">
        <v>27756</v>
      </c>
      <c r="U3006" s="68" t="s">
        <v>29438</v>
      </c>
      <c r="V3006" s="68" t="s">
        <v>29439</v>
      </c>
      <c r="W3006" s="68" t="s">
        <v>100</v>
      </c>
      <c r="X3006" s="68">
        <v>4</v>
      </c>
      <c r="BA3006" s="44"/>
      <c r="BB3006" s="44"/>
    </row>
    <row r="3007" spans="1:63" ht="12" customHeight="1" x14ac:dyDescent="0.2">
      <c r="A3007" s="1" t="s">
        <v>5144</v>
      </c>
      <c r="B3007" s="68">
        <v>53</v>
      </c>
      <c r="C3007" s="1" t="s">
        <v>20</v>
      </c>
      <c r="D3007" s="1" t="s">
        <v>21</v>
      </c>
      <c r="E3007" s="1" t="s">
        <v>5145</v>
      </c>
      <c r="F3007" s="69">
        <v>42006</v>
      </c>
      <c r="G3007" s="1" t="s">
        <v>5146</v>
      </c>
      <c r="H3007" s="1" t="s">
        <v>5147</v>
      </c>
      <c r="I3007" s="1" t="s">
        <v>303</v>
      </c>
      <c r="J3007" s="4" t="s">
        <v>5148</v>
      </c>
      <c r="K3007" s="1" t="s">
        <v>698</v>
      </c>
      <c r="L3007" s="1" t="s">
        <v>699</v>
      </c>
      <c r="M3007" s="1" t="s">
        <v>27</v>
      </c>
      <c r="N3007" s="1" t="s">
        <v>5149</v>
      </c>
      <c r="O3007" s="1" t="s">
        <v>1010</v>
      </c>
      <c r="P3007" s="1" t="s">
        <v>401</v>
      </c>
      <c r="Q3007" s="63" t="s">
        <v>5150</v>
      </c>
      <c r="R3007" s="68" t="s">
        <v>555</v>
      </c>
      <c r="S3007" s="13" t="s">
        <v>28</v>
      </c>
      <c r="T3007" s="68" t="s">
        <v>27756</v>
      </c>
      <c r="U3007" s="68" t="s">
        <v>29438</v>
      </c>
      <c r="V3007" s="68" t="s">
        <v>29439</v>
      </c>
      <c r="W3007" s="68" t="s">
        <v>100</v>
      </c>
      <c r="X3007" s="68">
        <v>3</v>
      </c>
      <c r="AX3007" s="70"/>
      <c r="AY3007" s="70"/>
      <c r="BA3007" s="44"/>
      <c r="BB3007" s="44"/>
      <c r="BC3007" s="70"/>
      <c r="BD3007" s="70"/>
      <c r="BE3007" s="70"/>
      <c r="BF3007" s="70"/>
      <c r="BG3007" s="70"/>
      <c r="BH3007" s="70"/>
      <c r="BI3007" s="70"/>
      <c r="BJ3007" s="70"/>
    </row>
    <row r="3008" spans="1:63" ht="12" customHeight="1" x14ac:dyDescent="0.15">
      <c r="A3008" s="1" t="s">
        <v>5163</v>
      </c>
      <c r="B3008" s="1">
        <v>18</v>
      </c>
      <c r="C3008" s="1" t="s">
        <v>20</v>
      </c>
      <c r="D3008" s="1" t="s">
        <v>48</v>
      </c>
      <c r="E3008" s="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3008" s="72">
        <v>42005</v>
      </c>
      <c r="G3008" s="1" t="s">
        <v>5164</v>
      </c>
      <c r="H3008" s="1" t="s">
        <v>5165</v>
      </c>
      <c r="I3008" s="1" t="s">
        <v>62</v>
      </c>
      <c r="J3008" s="4" t="s">
        <v>5166</v>
      </c>
      <c r="K3008" s="1" t="s">
        <v>1104</v>
      </c>
      <c r="L3008" s="1" t="s">
        <v>5167</v>
      </c>
      <c r="M3008" s="1" t="s">
        <v>391</v>
      </c>
      <c r="N3008" s="1" t="s">
        <v>5168</v>
      </c>
      <c r="O3008" s="1" t="s">
        <v>1010</v>
      </c>
      <c r="P3008" s="1" t="s">
        <v>401</v>
      </c>
      <c r="Q3008" s="63" t="str">
        <f>HYPERLINK("http://www.miamiherald.com/news/local/community/florida-keys/article5621958.html","http://www.miamiherald.com/news/local/community/florida-keys/article5621958.html")</f>
        <v>http://www.miamiherald.com/news/local/community/florida-keys/article5621958.html</v>
      </c>
      <c r="R3008" s="11" t="s">
        <v>964</v>
      </c>
      <c r="S3008" s="13" t="s">
        <v>18</v>
      </c>
      <c r="AU3008" s="11"/>
      <c r="AV3008" s="11"/>
    </row>
    <row r="3009" spans="1:63" ht="12" customHeight="1" x14ac:dyDescent="0.15">
      <c r="A3009" s="1" t="s">
        <v>5169</v>
      </c>
      <c r="B3009" s="1">
        <v>22</v>
      </c>
      <c r="C3009" s="1" t="s">
        <v>20</v>
      </c>
      <c r="D3009" s="1" t="s">
        <v>37</v>
      </c>
      <c r="E3009" s="1" t="s">
        <v>5170</v>
      </c>
      <c r="F3009" s="72">
        <v>42005</v>
      </c>
      <c r="G3009" s="1" t="s">
        <v>5171</v>
      </c>
      <c r="H3009" s="1" t="s">
        <v>3736</v>
      </c>
      <c r="I3009" s="1" t="s">
        <v>46</v>
      </c>
      <c r="J3009" s="4" t="s">
        <v>5172</v>
      </c>
      <c r="K3009" s="1" t="s">
        <v>5173</v>
      </c>
      <c r="L3009" s="1" t="s">
        <v>5174</v>
      </c>
      <c r="M3009" s="1" t="s">
        <v>379</v>
      </c>
      <c r="N3009" s="1" t="s">
        <v>5175</v>
      </c>
      <c r="O3009" s="1" t="s">
        <v>400</v>
      </c>
      <c r="P3009" s="1" t="s">
        <v>401</v>
      </c>
      <c r="Q3009" s="63" t="s">
        <v>5176</v>
      </c>
      <c r="R3009" s="11" t="s">
        <v>964</v>
      </c>
      <c r="S3009" s="13" t="s">
        <v>18</v>
      </c>
    </row>
    <row r="3010" spans="1:63" ht="12" customHeight="1" x14ac:dyDescent="0.15">
      <c r="A3010" s="1" t="s">
        <v>20972</v>
      </c>
      <c r="B3010" s="1">
        <v>22</v>
      </c>
      <c r="C3010" s="1" t="s">
        <v>20</v>
      </c>
      <c r="D3010" s="1" t="s">
        <v>85</v>
      </c>
      <c r="E3010" s="1" t="s">
        <v>5156</v>
      </c>
      <c r="F3010" s="72">
        <v>42005</v>
      </c>
      <c r="G3010" s="1" t="s">
        <v>5157</v>
      </c>
      <c r="H3010" s="1" t="s">
        <v>5158</v>
      </c>
      <c r="I3010" s="1" t="s">
        <v>173</v>
      </c>
      <c r="J3010" s="4" t="s">
        <v>5159</v>
      </c>
      <c r="K3010" s="1" t="s">
        <v>3736</v>
      </c>
      <c r="L3010" s="1" t="s">
        <v>5160</v>
      </c>
      <c r="M3010" s="1" t="s">
        <v>29</v>
      </c>
      <c r="N3010" s="1" t="s">
        <v>5161</v>
      </c>
      <c r="O3010" s="1" t="s">
        <v>31005</v>
      </c>
      <c r="P3010" s="1" t="s">
        <v>21205</v>
      </c>
      <c r="Q3010" s="63" t="s">
        <v>5162</v>
      </c>
      <c r="R3010" s="1" t="s">
        <v>555</v>
      </c>
      <c r="S3010" s="13" t="s">
        <v>18</v>
      </c>
      <c r="AU3010" s="44"/>
      <c r="AV3010" s="44"/>
      <c r="AW3010" s="44"/>
      <c r="AX3010" s="44"/>
      <c r="AY3010" s="44"/>
      <c r="BA3010" s="11"/>
      <c r="BB3010" s="11"/>
      <c r="BC3010" s="11"/>
      <c r="BD3010" s="11"/>
      <c r="BE3010" s="11"/>
      <c r="BF3010" s="11"/>
      <c r="BG3010" s="11"/>
      <c r="BH3010" s="11"/>
      <c r="BI3010" s="11"/>
      <c r="BJ3010" s="11"/>
    </row>
    <row r="3011" spans="1:63" ht="12" customHeight="1" x14ac:dyDescent="0.15">
      <c r="A3011" s="1" t="s">
        <v>5183</v>
      </c>
      <c r="B3011" s="1">
        <v>34</v>
      </c>
      <c r="C3011" s="1" t="s">
        <v>20</v>
      </c>
      <c r="D3011" s="1" t="s">
        <v>48</v>
      </c>
      <c r="F3011" s="72">
        <v>42004</v>
      </c>
      <c r="G3011" s="1" t="s">
        <v>5184</v>
      </c>
      <c r="H3011" s="1" t="s">
        <v>5185</v>
      </c>
      <c r="I3011" s="1" t="s">
        <v>395</v>
      </c>
      <c r="J3011" s="4">
        <v>73072</v>
      </c>
      <c r="K3011" s="1" t="s">
        <v>984</v>
      </c>
      <c r="L3011" s="1" t="s">
        <v>5186</v>
      </c>
      <c r="M3011" s="1" t="s">
        <v>27</v>
      </c>
      <c r="N3011" s="1" t="s">
        <v>5187</v>
      </c>
      <c r="O3011" s="1" t="s">
        <v>550</v>
      </c>
      <c r="P3011" s="1" t="s">
        <v>401</v>
      </c>
      <c r="Q3011" s="63" t="s">
        <v>5188</v>
      </c>
      <c r="R3011" s="11" t="s">
        <v>964</v>
      </c>
      <c r="S3011" s="13" t="s">
        <v>28</v>
      </c>
    </row>
    <row r="3012" spans="1:63" ht="12" customHeight="1" x14ac:dyDescent="0.15">
      <c r="A3012" s="1" t="s">
        <v>5193</v>
      </c>
      <c r="B3012" s="1">
        <v>20</v>
      </c>
      <c r="C3012" s="1" t="s">
        <v>20</v>
      </c>
      <c r="D3012" s="1" t="s">
        <v>37</v>
      </c>
      <c r="F3012" s="72">
        <v>42004</v>
      </c>
      <c r="G3012" s="1" t="s">
        <v>5194</v>
      </c>
      <c r="H3012" s="1" t="s">
        <v>5195</v>
      </c>
      <c r="I3012" s="1" t="s">
        <v>854</v>
      </c>
      <c r="J3012" s="4">
        <v>59808</v>
      </c>
      <c r="K3012" s="1" t="s">
        <v>5195</v>
      </c>
      <c r="L3012" s="1" t="s">
        <v>5196</v>
      </c>
      <c r="M3012" s="1" t="s">
        <v>27</v>
      </c>
      <c r="N3012" s="1" t="s">
        <v>5197</v>
      </c>
      <c r="O3012" s="1" t="s">
        <v>550</v>
      </c>
      <c r="P3012" s="1" t="s">
        <v>401</v>
      </c>
      <c r="Q3012" s="63" t="s">
        <v>5198</v>
      </c>
      <c r="R3012" s="11" t="s">
        <v>964</v>
      </c>
      <c r="S3012" s="13" t="s">
        <v>18</v>
      </c>
    </row>
    <row r="3013" spans="1:63" ht="12" customHeight="1" x14ac:dyDescent="0.15">
      <c r="A3013" s="1" t="s">
        <v>5179</v>
      </c>
      <c r="B3013" s="1">
        <v>28</v>
      </c>
      <c r="C3013" s="1" t="s">
        <v>20</v>
      </c>
      <c r="D3013" s="1" t="s">
        <v>85</v>
      </c>
      <c r="E3013" s="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3013" s="72">
        <v>42004</v>
      </c>
      <c r="G3013" s="1" t="s">
        <v>5180</v>
      </c>
      <c r="H3013" s="1" t="s">
        <v>213</v>
      </c>
      <c r="I3013" s="1" t="s">
        <v>62</v>
      </c>
      <c r="J3013" s="4">
        <v>33150</v>
      </c>
      <c r="K3013" s="1" t="s">
        <v>1123</v>
      </c>
      <c r="L3013" s="1" t="s">
        <v>5181</v>
      </c>
      <c r="M3013" s="1" t="s">
        <v>27</v>
      </c>
      <c r="N3013" s="1" t="s">
        <v>5182</v>
      </c>
      <c r="P3013" s="1" t="s">
        <v>401</v>
      </c>
      <c r="Q3013" s="63" t="str">
        <f>HYPERLINK("http://www.local10.com/news/1-dead-in-new-years-eve-policeinvolved-shooting-in-miami/30477214","http://www.local10.com/news/1-dead-in-new-years-eve-policeinvolved-shooting-in-miami/30477214")</f>
        <v>http://www.local10.com/news/1-dead-in-new-years-eve-policeinvolved-shooting-in-miami/30477214</v>
      </c>
      <c r="R3013" s="1" t="s">
        <v>100</v>
      </c>
      <c r="S3013" s="13" t="s">
        <v>28</v>
      </c>
      <c r="AX3013" s="44"/>
      <c r="AY3013" s="44"/>
      <c r="BC3013" s="11"/>
      <c r="BD3013" s="11"/>
      <c r="BE3013" s="11"/>
      <c r="BF3013" s="11"/>
      <c r="BG3013" s="11"/>
      <c r="BH3013" s="11"/>
      <c r="BI3013" s="11"/>
      <c r="BJ3013" s="11"/>
    </row>
    <row r="3014" spans="1:63" ht="12" customHeight="1" x14ac:dyDescent="0.15">
      <c r="A3014" s="1" t="s">
        <v>5177</v>
      </c>
      <c r="B3014" s="1">
        <v>44</v>
      </c>
      <c r="C3014" s="1" t="s">
        <v>20</v>
      </c>
      <c r="D3014" s="1" t="s">
        <v>85</v>
      </c>
      <c r="E3014" s="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3014" s="72">
        <v>42004</v>
      </c>
      <c r="H3014" s="1" t="s">
        <v>1034</v>
      </c>
      <c r="I3014" s="1" t="s">
        <v>173</v>
      </c>
      <c r="J3014" s="4">
        <v>30030</v>
      </c>
      <c r="K3014" s="1" t="s">
        <v>861</v>
      </c>
      <c r="L3014" s="1" t="s">
        <v>862</v>
      </c>
      <c r="M3014" s="1" t="s">
        <v>27</v>
      </c>
      <c r="N3014" s="1" t="s">
        <v>5178</v>
      </c>
      <c r="P3014" s="1" t="s">
        <v>401</v>
      </c>
      <c r="Q3014" s="6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3014" s="1" t="s">
        <v>100</v>
      </c>
      <c r="S3014" s="13" t="s">
        <v>28</v>
      </c>
      <c r="AX3014" s="44"/>
      <c r="AY3014" s="44"/>
      <c r="BC3014" s="11"/>
      <c r="BD3014" s="11"/>
      <c r="BE3014" s="11"/>
      <c r="BF3014" s="11"/>
      <c r="BG3014" s="11"/>
      <c r="BH3014" s="11"/>
      <c r="BI3014" s="11"/>
      <c r="BJ3014" s="11"/>
    </row>
    <row r="3015" spans="1:63" ht="12" customHeight="1" x14ac:dyDescent="0.15">
      <c r="A3015" s="1" t="s">
        <v>5203</v>
      </c>
      <c r="B3015" s="1">
        <v>79</v>
      </c>
      <c r="C3015" s="1" t="s">
        <v>114</v>
      </c>
      <c r="D3015" s="1" t="s">
        <v>37</v>
      </c>
      <c r="F3015" s="72">
        <v>42004</v>
      </c>
      <c r="H3015" s="1" t="s">
        <v>1094</v>
      </c>
      <c r="I3015" s="1" t="s">
        <v>395</v>
      </c>
      <c r="K3015" s="1" t="s">
        <v>1095</v>
      </c>
      <c r="L3015" s="1" t="s">
        <v>1096</v>
      </c>
      <c r="M3015" s="1" t="s">
        <v>379</v>
      </c>
      <c r="N3015" s="1" t="s">
        <v>5204</v>
      </c>
      <c r="O3015" s="1" t="s">
        <v>1787</v>
      </c>
      <c r="P3015" s="1" t="s">
        <v>1159</v>
      </c>
      <c r="Q3015" s="63" t="s">
        <v>5205</v>
      </c>
      <c r="R3015" s="1" t="s">
        <v>100</v>
      </c>
      <c r="S3015" s="66" t="s">
        <v>379</v>
      </c>
      <c r="T3015" s="66" t="s">
        <v>30738</v>
      </c>
    </row>
    <row r="3016" spans="1:63" ht="12" customHeight="1" x14ac:dyDescent="0.15">
      <c r="A3016" s="1" t="s">
        <v>5189</v>
      </c>
      <c r="B3016" s="1">
        <v>34</v>
      </c>
      <c r="C3016" s="1" t="s">
        <v>114</v>
      </c>
      <c r="D3016" s="1" t="s">
        <v>48</v>
      </c>
      <c r="F3016" s="72">
        <v>42004</v>
      </c>
      <c r="G3016" s="1" t="s">
        <v>5190</v>
      </c>
      <c r="H3016" s="1" t="s">
        <v>5191</v>
      </c>
      <c r="I3016" s="1" t="s">
        <v>45</v>
      </c>
      <c r="J3016" s="4">
        <v>90220</v>
      </c>
      <c r="K3016" s="1" t="s">
        <v>98</v>
      </c>
      <c r="L3016" s="11" t="s">
        <v>414</v>
      </c>
      <c r="M3016" s="1" t="s">
        <v>27</v>
      </c>
      <c r="N3016" s="1" t="s">
        <v>5192</v>
      </c>
      <c r="P3016" s="1" t="s">
        <v>401</v>
      </c>
      <c r="Q3016" s="6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3016" s="1" t="s">
        <v>29</v>
      </c>
      <c r="S3016" s="13" t="s">
        <v>28</v>
      </c>
    </row>
    <row r="3017" spans="1:63" ht="12" customHeight="1" x14ac:dyDescent="0.15">
      <c r="A3017" s="1" t="s">
        <v>5199</v>
      </c>
      <c r="B3017" s="1">
        <v>48</v>
      </c>
      <c r="C3017" s="1" t="s">
        <v>20</v>
      </c>
      <c r="D3017" s="1" t="s">
        <v>37</v>
      </c>
      <c r="F3017" s="72">
        <v>42004</v>
      </c>
      <c r="H3017" s="1" t="s">
        <v>5200</v>
      </c>
      <c r="I3017" s="1" t="s">
        <v>315</v>
      </c>
      <c r="J3017" s="4">
        <v>41164</v>
      </c>
      <c r="K3017" s="1" t="s">
        <v>817</v>
      </c>
      <c r="L3017" s="1" t="s">
        <v>3367</v>
      </c>
      <c r="M3017" s="1" t="s">
        <v>27</v>
      </c>
      <c r="N3017" s="1" t="s">
        <v>5201</v>
      </c>
      <c r="P3017" s="1" t="s">
        <v>401</v>
      </c>
      <c r="Q3017" s="63" t="s">
        <v>5202</v>
      </c>
      <c r="R3017" s="1" t="s">
        <v>29</v>
      </c>
      <c r="S3017" s="13" t="s">
        <v>28</v>
      </c>
    </row>
    <row r="3018" spans="1:63" ht="12" customHeight="1" x14ac:dyDescent="0.15">
      <c r="A3018" s="1" t="s">
        <v>5206</v>
      </c>
      <c r="B3018" s="1">
        <v>36</v>
      </c>
      <c r="C3018" s="1" t="s">
        <v>20</v>
      </c>
      <c r="D3018" s="1" t="s">
        <v>85</v>
      </c>
      <c r="E3018" s="1" t="s">
        <v>5207</v>
      </c>
      <c r="F3018" s="72">
        <v>42003</v>
      </c>
      <c r="G3018" s="1" t="s">
        <v>5208</v>
      </c>
      <c r="H3018" s="1" t="s">
        <v>5209</v>
      </c>
      <c r="I3018" s="1" t="s">
        <v>81</v>
      </c>
      <c r="J3018" s="4" t="s">
        <v>5210</v>
      </c>
      <c r="K3018" s="1" t="s">
        <v>3152</v>
      </c>
      <c r="L3018" s="1" t="s">
        <v>5211</v>
      </c>
      <c r="M3018" s="1" t="s">
        <v>27</v>
      </c>
      <c r="N3018" s="1" t="s">
        <v>5212</v>
      </c>
      <c r="O3018" s="1" t="s">
        <v>400</v>
      </c>
      <c r="P3018" s="1" t="s">
        <v>401</v>
      </c>
      <c r="Q3018" s="63" t="s">
        <v>5213</v>
      </c>
      <c r="R3018" s="1" t="s">
        <v>100</v>
      </c>
      <c r="S3018" s="13" t="s">
        <v>18</v>
      </c>
      <c r="AX3018" s="44"/>
      <c r="AY3018" s="44"/>
      <c r="BC3018" s="11"/>
      <c r="BD3018" s="11"/>
      <c r="BE3018" s="11"/>
      <c r="BF3018" s="11"/>
      <c r="BG3018" s="11"/>
      <c r="BH3018" s="11"/>
      <c r="BI3018" s="11"/>
      <c r="BJ3018" s="11"/>
    </row>
    <row r="3019" spans="1:63" ht="12" customHeight="1" x14ac:dyDescent="0.15">
      <c r="A3019" s="1" t="s">
        <v>5218</v>
      </c>
      <c r="B3019" s="1">
        <v>30</v>
      </c>
      <c r="C3019" s="1" t="s">
        <v>20</v>
      </c>
      <c r="D3019" s="1" t="s">
        <v>37</v>
      </c>
      <c r="E3019" s="1" t="s">
        <v>5219</v>
      </c>
      <c r="F3019" s="72">
        <v>42003</v>
      </c>
      <c r="G3019" s="1" t="s">
        <v>5220</v>
      </c>
      <c r="H3019" s="1" t="s">
        <v>5221</v>
      </c>
      <c r="I3019" s="1" t="s">
        <v>94</v>
      </c>
      <c r="J3019" s="4" t="s">
        <v>5222</v>
      </c>
      <c r="K3019" s="1" t="s">
        <v>723</v>
      </c>
      <c r="L3019" s="1" t="s">
        <v>5223</v>
      </c>
      <c r="M3019" s="1" t="s">
        <v>27</v>
      </c>
      <c r="N3019" s="1" t="s">
        <v>5224</v>
      </c>
      <c r="O3019" s="1" t="s">
        <v>400</v>
      </c>
      <c r="P3019" s="1" t="s">
        <v>401</v>
      </c>
      <c r="Q3019" s="63" t="s">
        <v>5225</v>
      </c>
      <c r="R3019" s="1" t="s">
        <v>100</v>
      </c>
      <c r="S3019" s="13" t="s">
        <v>18</v>
      </c>
    </row>
    <row r="3020" spans="1:63" ht="12" customHeight="1" x14ac:dyDescent="0.15">
      <c r="A3020" s="1" t="s">
        <v>5226</v>
      </c>
      <c r="B3020" s="1">
        <v>48</v>
      </c>
      <c r="C3020" s="1" t="s">
        <v>20</v>
      </c>
      <c r="D3020" s="1" t="s">
        <v>37</v>
      </c>
      <c r="E3020" s="1" t="s">
        <v>5227</v>
      </c>
      <c r="F3020" s="72">
        <v>42003</v>
      </c>
      <c r="G3020" s="1" t="s">
        <v>5228</v>
      </c>
      <c r="H3020" s="1" t="s">
        <v>5229</v>
      </c>
      <c r="I3020" s="1" t="s">
        <v>62</v>
      </c>
      <c r="J3020" s="4">
        <v>32086</v>
      </c>
      <c r="K3020" s="1" t="s">
        <v>2397</v>
      </c>
      <c r="L3020" s="1" t="s">
        <v>5230</v>
      </c>
      <c r="M3020" s="1" t="s">
        <v>27</v>
      </c>
      <c r="N3020" s="1" t="s">
        <v>5231</v>
      </c>
      <c r="P3020" s="1" t="s">
        <v>401</v>
      </c>
      <c r="Q3020" s="6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3020" s="1" t="s">
        <v>29</v>
      </c>
      <c r="S3020" s="13" t="s">
        <v>28</v>
      </c>
    </row>
    <row r="3021" spans="1:63" ht="12" customHeight="1" x14ac:dyDescent="0.15">
      <c r="A3021" s="1" t="s">
        <v>5214</v>
      </c>
      <c r="B3021" s="1">
        <v>52</v>
      </c>
      <c r="C3021" s="1" t="s">
        <v>20</v>
      </c>
      <c r="D3021" s="1" t="s">
        <v>37</v>
      </c>
      <c r="F3021" s="72">
        <v>42003</v>
      </c>
      <c r="H3021" s="1" t="s">
        <v>5215</v>
      </c>
      <c r="I3021" s="1" t="s">
        <v>404</v>
      </c>
      <c r="J3021" s="4">
        <v>19041</v>
      </c>
      <c r="K3021" s="1" t="s">
        <v>906</v>
      </c>
      <c r="L3021" s="1" t="s">
        <v>5216</v>
      </c>
      <c r="M3021" s="1" t="s">
        <v>27</v>
      </c>
      <c r="N3021" s="1" t="s">
        <v>5217</v>
      </c>
      <c r="O3021" s="1" t="s">
        <v>400</v>
      </c>
      <c r="P3021" s="1" t="s">
        <v>401</v>
      </c>
      <c r="Q3021" s="63" t="str">
        <f>HYPERLINK("http://6abc.com/news/sources-suspect-shot-killed-by-police-in-drexel-hill/455767/","http://6abc.com/news/sources-suspect-shot-killed-by-police-in-drexel-hill/455767/")</f>
        <v>http://6abc.com/news/sources-suspect-shot-killed-by-police-in-drexel-hill/455767/</v>
      </c>
      <c r="R3021" s="1" t="s">
        <v>29</v>
      </c>
      <c r="S3021" s="13" t="s">
        <v>379</v>
      </c>
      <c r="BK3021" s="44"/>
    </row>
    <row r="3022" spans="1:63" ht="12" customHeight="1" x14ac:dyDescent="0.15">
      <c r="A3022" s="1" t="s">
        <v>5238</v>
      </c>
      <c r="B3022" s="1" t="s">
        <v>29</v>
      </c>
      <c r="C3022" s="1" t="s">
        <v>20</v>
      </c>
      <c r="D3022" s="1" t="s">
        <v>37</v>
      </c>
      <c r="F3022" s="72">
        <v>42002</v>
      </c>
      <c r="H3022" s="1" t="s">
        <v>5239</v>
      </c>
      <c r="I3022" s="1" t="s">
        <v>94</v>
      </c>
      <c r="J3022" s="4">
        <v>36773</v>
      </c>
      <c r="K3022" s="1" t="s">
        <v>285</v>
      </c>
      <c r="L3022" s="1" t="s">
        <v>5240</v>
      </c>
      <c r="M3022" s="1" t="s">
        <v>27</v>
      </c>
      <c r="N3022" s="1" t="s">
        <v>5241</v>
      </c>
      <c r="P3022" s="1" t="s">
        <v>401</v>
      </c>
      <c r="Q3022" s="63" t="s">
        <v>5242</v>
      </c>
      <c r="R3022" s="1" t="s">
        <v>29</v>
      </c>
      <c r="S3022" s="13" t="s">
        <v>28</v>
      </c>
      <c r="AM3022" s="11"/>
      <c r="AN3022" s="11"/>
      <c r="AO3022" s="11"/>
      <c r="AP3022" s="11"/>
      <c r="AQ3022" s="11"/>
      <c r="AR3022" s="11"/>
      <c r="AS3022" s="11"/>
      <c r="AT3022" s="11"/>
    </row>
    <row r="3023" spans="1:63" ht="12" customHeight="1" x14ac:dyDescent="0.15">
      <c r="A3023" s="1" t="s">
        <v>5232</v>
      </c>
      <c r="B3023" s="1">
        <v>28</v>
      </c>
      <c r="C3023" s="1" t="s">
        <v>20</v>
      </c>
      <c r="D3023" s="1" t="s">
        <v>37</v>
      </c>
      <c r="F3023" s="72">
        <v>42002</v>
      </c>
      <c r="G3023" s="1" t="s">
        <v>5233</v>
      </c>
      <c r="H3023" s="1" t="s">
        <v>5234</v>
      </c>
      <c r="I3023" s="1" t="s">
        <v>45</v>
      </c>
      <c r="J3023" s="4">
        <v>95969</v>
      </c>
      <c r="K3023" s="1" t="s">
        <v>5235</v>
      </c>
      <c r="L3023" s="1" t="s">
        <v>5236</v>
      </c>
      <c r="M3023" s="1" t="s">
        <v>27</v>
      </c>
      <c r="N3023" s="1" t="s">
        <v>5237</v>
      </c>
      <c r="O3023" s="1" t="s">
        <v>550</v>
      </c>
      <c r="P3023" s="1" t="s">
        <v>401</v>
      </c>
      <c r="Q3023" s="63" t="str">
        <f>HYPERLINK("http://www.chicoer.com/general-news/20141229/man-shot-killed-by-sheriffs-deputy-in-paradise","http://www.chicoer.com/general-news/20141229/man-shot-killed-by-sheriffs-deputy-in-paradise")</f>
        <v>http://www.chicoer.com/general-news/20141229/man-shot-killed-by-sheriffs-deputy-in-paradise</v>
      </c>
      <c r="R3023" s="1" t="s">
        <v>29</v>
      </c>
      <c r="S3023" s="13" t="s">
        <v>28</v>
      </c>
    </row>
    <row r="3024" spans="1:63" ht="12" customHeight="1" x14ac:dyDescent="0.15">
      <c r="A3024" s="1" t="s">
        <v>5252</v>
      </c>
      <c r="B3024" s="1">
        <v>28</v>
      </c>
      <c r="C3024" s="1" t="s">
        <v>20</v>
      </c>
      <c r="D3024" s="1" t="s">
        <v>37</v>
      </c>
      <c r="E3024" s="1" t="s">
        <v>5253</v>
      </c>
      <c r="F3024" s="72">
        <v>42001</v>
      </c>
      <c r="G3024" s="1" t="s">
        <v>5254</v>
      </c>
      <c r="H3024" s="1" t="s">
        <v>5255</v>
      </c>
      <c r="I3024" s="1" t="s">
        <v>240</v>
      </c>
      <c r="J3024" s="4" t="s">
        <v>5256</v>
      </c>
      <c r="K3024" s="1" t="s">
        <v>5257</v>
      </c>
      <c r="L3024" s="1" t="s">
        <v>5258</v>
      </c>
      <c r="M3024" s="1" t="s">
        <v>27</v>
      </c>
      <c r="N3024" s="1" t="s">
        <v>5259</v>
      </c>
      <c r="O3024" s="1" t="s">
        <v>400</v>
      </c>
      <c r="P3024" s="1" t="s">
        <v>401</v>
      </c>
      <c r="Q3024" s="63" t="s">
        <v>5260</v>
      </c>
      <c r="R3024" s="1" t="s">
        <v>100</v>
      </c>
      <c r="S3024" s="13" t="s">
        <v>28</v>
      </c>
    </row>
    <row r="3025" spans="1:62" ht="12" customHeight="1" x14ac:dyDescent="0.15">
      <c r="A3025" s="1" t="s">
        <v>5243</v>
      </c>
      <c r="B3025" s="1">
        <v>28</v>
      </c>
      <c r="C3025" s="1" t="s">
        <v>20</v>
      </c>
      <c r="D3025" s="1" t="s">
        <v>85</v>
      </c>
      <c r="E3025" s="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3025" s="72">
        <v>42001</v>
      </c>
      <c r="G3025" s="1" t="s">
        <v>5244</v>
      </c>
      <c r="H3025" s="1" t="s">
        <v>651</v>
      </c>
      <c r="I3025" s="1" t="s">
        <v>62</v>
      </c>
      <c r="J3025" s="4">
        <v>32277</v>
      </c>
      <c r="K3025" s="1" t="s">
        <v>652</v>
      </c>
      <c r="L3025" s="11" t="s">
        <v>653</v>
      </c>
      <c r="M3025" s="1" t="s">
        <v>27</v>
      </c>
      <c r="N3025" s="1" t="s">
        <v>20983</v>
      </c>
      <c r="O3025" s="1" t="s">
        <v>1010</v>
      </c>
      <c r="P3025" s="1" t="s">
        <v>401</v>
      </c>
      <c r="Q3025" s="63" t="str">
        <f>HYPERLINK("http://www.actionnewsjax.com/news/news/local/swat-called-out-fort-caroline-area/njbtC/","http://www.actionnewsjax.com/news/news/local/swat-called-out-fort-caroline-area/njbtC/")</f>
        <v>http://www.actionnewsjax.com/news/news/local/swat-called-out-fort-caroline-area/njbtC/</v>
      </c>
      <c r="R3025" s="1" t="s">
        <v>100</v>
      </c>
      <c r="S3025" s="13" t="s">
        <v>18</v>
      </c>
      <c r="T3025" s="64"/>
      <c r="AX3025" s="11"/>
      <c r="AY3025" s="11"/>
      <c r="BC3025" s="11"/>
      <c r="BD3025" s="11"/>
      <c r="BE3025" s="11"/>
      <c r="BF3025" s="11"/>
      <c r="BG3025" s="11"/>
      <c r="BH3025" s="11"/>
      <c r="BI3025" s="11"/>
      <c r="BJ3025" s="11"/>
    </row>
    <row r="3026" spans="1:62" ht="12" customHeight="1" x14ac:dyDescent="0.15">
      <c r="A3026" s="1" t="s">
        <v>5261</v>
      </c>
      <c r="B3026" s="1">
        <v>10</v>
      </c>
      <c r="C3026" s="1" t="s">
        <v>20</v>
      </c>
      <c r="D3026" s="1" t="s">
        <v>37</v>
      </c>
      <c r="F3026" s="72">
        <v>42001</v>
      </c>
      <c r="G3026" s="1" t="s">
        <v>5262</v>
      </c>
      <c r="H3026" s="1" t="s">
        <v>1288</v>
      </c>
      <c r="I3026" s="1" t="s">
        <v>81</v>
      </c>
      <c r="J3026" s="4">
        <v>8873</v>
      </c>
      <c r="K3026" s="1" t="s">
        <v>2190</v>
      </c>
      <c r="L3026" s="1" t="s">
        <v>5263</v>
      </c>
      <c r="M3026" s="1" t="s">
        <v>379</v>
      </c>
      <c r="N3026" s="1" t="s">
        <v>5264</v>
      </c>
      <c r="P3026" s="1" t="s">
        <v>401</v>
      </c>
      <c r="Q3026" s="63" t="s">
        <v>5265</v>
      </c>
      <c r="R3026" s="1" t="s">
        <v>100</v>
      </c>
      <c r="S3026" s="13" t="s">
        <v>18</v>
      </c>
    </row>
    <row r="3027" spans="1:62" ht="12" customHeight="1" x14ac:dyDescent="0.15">
      <c r="A3027" s="1" t="s">
        <v>5245</v>
      </c>
      <c r="B3027" s="1">
        <v>51</v>
      </c>
      <c r="C3027" s="1" t="s">
        <v>20</v>
      </c>
      <c r="D3027" s="1" t="s">
        <v>30</v>
      </c>
      <c r="F3027" s="72">
        <v>42001</v>
      </c>
      <c r="G3027" s="1" t="s">
        <v>5246</v>
      </c>
      <c r="H3027" s="1" t="s">
        <v>5247</v>
      </c>
      <c r="I3027" s="1" t="s">
        <v>123</v>
      </c>
      <c r="J3027" s="4" t="s">
        <v>5248</v>
      </c>
      <c r="K3027" s="1" t="s">
        <v>179</v>
      </c>
      <c r="L3027" s="1" t="s">
        <v>5249</v>
      </c>
      <c r="M3027" s="1" t="s">
        <v>27</v>
      </c>
      <c r="N3027" s="1" t="s">
        <v>5250</v>
      </c>
      <c r="O3027" s="1" t="s">
        <v>550</v>
      </c>
      <c r="P3027" s="1" t="s">
        <v>401</v>
      </c>
      <c r="Q3027" s="63" t="s">
        <v>5251</v>
      </c>
      <c r="R3027" s="1" t="s">
        <v>555</v>
      </c>
      <c r="S3027" s="13" t="s">
        <v>28</v>
      </c>
      <c r="BA3027" s="11"/>
      <c r="BB3027" s="11"/>
    </row>
    <row r="3028" spans="1:62" ht="12" customHeight="1" x14ac:dyDescent="0.15">
      <c r="A3028" s="1" t="s">
        <v>5266</v>
      </c>
      <c r="B3028" s="1">
        <v>54</v>
      </c>
      <c r="C3028" s="1" t="s">
        <v>20</v>
      </c>
      <c r="D3028" s="1" t="s">
        <v>37</v>
      </c>
      <c r="F3028" s="72">
        <v>42001</v>
      </c>
      <c r="G3028" s="1" t="s">
        <v>5267</v>
      </c>
      <c r="H3028" s="1" t="s">
        <v>3352</v>
      </c>
      <c r="I3028" s="1" t="s">
        <v>423</v>
      </c>
      <c r="J3028" s="4">
        <v>11751</v>
      </c>
      <c r="K3028" s="1" t="s">
        <v>1699</v>
      </c>
      <c r="L3028" s="1" t="s">
        <v>3354</v>
      </c>
      <c r="M3028" s="1" t="s">
        <v>379</v>
      </c>
      <c r="N3028" s="1" t="s">
        <v>5268</v>
      </c>
      <c r="P3028" s="1" t="s">
        <v>401</v>
      </c>
      <c r="Q3028" s="63" t="s">
        <v>5269</v>
      </c>
      <c r="R3028" s="1" t="s">
        <v>29</v>
      </c>
      <c r="S3028" s="13" t="s">
        <v>18</v>
      </c>
    </row>
    <row r="3029" spans="1:62" ht="12" customHeight="1" x14ac:dyDescent="0.15">
      <c r="A3029" s="1" t="s">
        <v>5270</v>
      </c>
      <c r="B3029" s="1">
        <v>51</v>
      </c>
      <c r="C3029" s="1" t="s">
        <v>20</v>
      </c>
      <c r="D3029" s="1" t="s">
        <v>37</v>
      </c>
      <c r="F3029" s="72">
        <v>42000</v>
      </c>
      <c r="G3029" s="1" t="s">
        <v>5271</v>
      </c>
      <c r="H3029" s="1" t="s">
        <v>5272</v>
      </c>
      <c r="I3029" s="1" t="s">
        <v>94</v>
      </c>
      <c r="J3029" s="4">
        <v>35083</v>
      </c>
      <c r="K3029" s="1" t="s">
        <v>5273</v>
      </c>
      <c r="L3029" s="1" t="s">
        <v>5274</v>
      </c>
      <c r="M3029" s="1" t="s">
        <v>27</v>
      </c>
      <c r="N3029" s="1" t="s">
        <v>5275</v>
      </c>
      <c r="O3029" s="1" t="s">
        <v>550</v>
      </c>
      <c r="P3029" s="1" t="s">
        <v>401</v>
      </c>
      <c r="Q3029" s="63" t="str">
        <f>HYPERLINK("http://www.al.com/news/birmingham/index.ssf/2014/12/51-year-old_man_shot_to_death.html","http://www.al.com/news/birmingham/index.ssf/2014/12/51-year-old_man_shot_to_death.html")</f>
        <v>http://www.al.com/news/birmingham/index.ssf/2014/12/51-year-old_man_shot_to_death.html</v>
      </c>
      <c r="R3029" s="1" t="s">
        <v>29</v>
      </c>
      <c r="S3029" s="13" t="s">
        <v>28</v>
      </c>
    </row>
    <row r="3030" spans="1:62" ht="12" customHeight="1" x14ac:dyDescent="0.15">
      <c r="A3030" s="1" t="s">
        <v>5276</v>
      </c>
      <c r="B3030" s="1">
        <v>23</v>
      </c>
      <c r="C3030" s="1" t="s">
        <v>20</v>
      </c>
      <c r="D3030" s="1" t="s">
        <v>85</v>
      </c>
      <c r="E3030" s="1" t="str">
        <f>HYPERLINK("http://www.wesh.com/image/view/-/30418970/medRes/2/-/maxh/220/maxw/220/-/o2mpgg/-/Quinten-Jamal-Smith-jpg.jpg","http://www.wesh.com/image/view/-/30418970/medRes/2/-/maxh/220/maxw/220/-/o2mpgg/-/Quinten-Jamal-Smith-jpg.jpg")</f>
        <v>http://www.wesh.com/image/view/-/30418970/medRes/2/-/maxh/220/maxw/220/-/o2mpgg/-/Quinten-Jamal-Smith-jpg.jpg</v>
      </c>
      <c r="F3030" s="72">
        <v>41999</v>
      </c>
      <c r="G3030" s="1" t="s">
        <v>5277</v>
      </c>
      <c r="H3030" s="1" t="s">
        <v>1767</v>
      </c>
      <c r="I3030" s="1" t="s">
        <v>62</v>
      </c>
      <c r="J3030" s="4">
        <v>32922</v>
      </c>
      <c r="K3030" s="1" t="s">
        <v>1769</v>
      </c>
      <c r="L3030" s="1" t="s">
        <v>3765</v>
      </c>
      <c r="M3030" s="1" t="s">
        <v>27</v>
      </c>
      <c r="N3030" s="1" t="s">
        <v>5278</v>
      </c>
      <c r="P3030" s="1" t="s">
        <v>401</v>
      </c>
      <c r="Q3030" s="63" t="str">
        <f>HYPERLINK("http://www.wesh.com/news/sheriff-brevard-deputy-fatally-shoots-armed-wanted-man/30415088","http://www.wesh.com/news/sheriff-brevard-deputy-fatally-shoots-armed-wanted-man/30415088")</f>
        <v>http://www.wesh.com/news/sheriff-brevard-deputy-fatally-shoots-armed-wanted-man/30415088</v>
      </c>
      <c r="R3030" s="1" t="s">
        <v>100</v>
      </c>
      <c r="S3030" s="13" t="s">
        <v>28</v>
      </c>
      <c r="AX3030" s="44"/>
      <c r="AY3030" s="44"/>
      <c r="BC3030" s="11"/>
      <c r="BD3030" s="11"/>
      <c r="BE3030" s="11"/>
      <c r="BF3030" s="11"/>
      <c r="BG3030" s="11"/>
      <c r="BH3030" s="11"/>
      <c r="BI3030" s="11"/>
      <c r="BJ3030" s="11"/>
    </row>
    <row r="3031" spans="1:62" ht="12" customHeight="1" x14ac:dyDescent="0.15">
      <c r="A3031" s="1" t="s">
        <v>5279</v>
      </c>
      <c r="B3031" s="1">
        <v>20</v>
      </c>
      <c r="C3031" s="1" t="s">
        <v>20</v>
      </c>
      <c r="D3031" s="1" t="s">
        <v>85</v>
      </c>
      <c r="E3031" s="1" t="str">
        <f>HYPERLINK("http://ww3.hdnux.com/photos/33/73/31/7321166/3/622x350.jpg","http://ww3.hdnux.com/photos/33/73/31/7321166/3/622x350.jpg")</f>
        <v>http://ww3.hdnux.com/photos/33/73/31/7321166/3/622x350.jpg</v>
      </c>
      <c r="F3031" s="72">
        <v>41999</v>
      </c>
      <c r="G3031" s="1" t="s">
        <v>5280</v>
      </c>
      <c r="H3031" s="1" t="s">
        <v>5281</v>
      </c>
      <c r="I3031" s="1" t="s">
        <v>73</v>
      </c>
      <c r="J3031" s="4">
        <v>77591</v>
      </c>
      <c r="K3031" s="1" t="s">
        <v>5282</v>
      </c>
      <c r="L3031" s="1" t="s">
        <v>5283</v>
      </c>
      <c r="M3031" s="1" t="s">
        <v>27</v>
      </c>
      <c r="N3031" s="1" t="s">
        <v>5284</v>
      </c>
      <c r="P3031" s="1" t="s">
        <v>401</v>
      </c>
      <c r="Q3031" s="6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3031" s="1" t="s">
        <v>29</v>
      </c>
      <c r="S3031" s="13" t="s">
        <v>28</v>
      </c>
      <c r="AX3031" s="44"/>
      <c r="AY3031" s="44"/>
      <c r="BC3031" s="11"/>
      <c r="BD3031" s="11"/>
      <c r="BE3031" s="11"/>
      <c r="BF3031" s="11"/>
      <c r="BG3031" s="11"/>
      <c r="BH3031" s="11"/>
      <c r="BI3031" s="11"/>
      <c r="BJ3031" s="11"/>
    </row>
    <row r="3032" spans="1:62" ht="12" customHeight="1" x14ac:dyDescent="0.15">
      <c r="A3032" s="1" t="s">
        <v>5285</v>
      </c>
      <c r="B3032" s="1">
        <v>43</v>
      </c>
      <c r="C3032" s="1" t="s">
        <v>20</v>
      </c>
      <c r="D3032" s="1" t="s">
        <v>37</v>
      </c>
      <c r="E3032" s="1" t="s">
        <v>5286</v>
      </c>
      <c r="F3032" s="72">
        <v>41999</v>
      </c>
      <c r="G3032" s="1" t="s">
        <v>5287</v>
      </c>
      <c r="H3032" s="1" t="s">
        <v>5288</v>
      </c>
      <c r="I3032" s="1" t="s">
        <v>69</v>
      </c>
      <c r="J3032" s="4">
        <v>44146</v>
      </c>
      <c r="K3032" s="1" t="s">
        <v>105</v>
      </c>
      <c r="L3032" s="1" t="s">
        <v>5289</v>
      </c>
      <c r="M3032" s="1" t="s">
        <v>27</v>
      </c>
      <c r="N3032" s="1" t="s">
        <v>5290</v>
      </c>
      <c r="P3032" s="1" t="s">
        <v>401</v>
      </c>
      <c r="Q3032" s="6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3032" s="1" t="s">
        <v>29</v>
      </c>
      <c r="S3032" s="13" t="s">
        <v>28</v>
      </c>
    </row>
    <row r="3033" spans="1:62" ht="12" customHeight="1" x14ac:dyDescent="0.15">
      <c r="A3033" s="1" t="s">
        <v>5291</v>
      </c>
      <c r="B3033" s="1">
        <v>25</v>
      </c>
      <c r="C3033" s="1" t="s">
        <v>20</v>
      </c>
      <c r="D3033" s="1" t="s">
        <v>85</v>
      </c>
      <c r="E3033" s="1" t="s">
        <v>5292</v>
      </c>
      <c r="F3033" s="72">
        <v>41998</v>
      </c>
      <c r="G3033" s="1" t="s">
        <v>5293</v>
      </c>
      <c r="H3033" s="1" t="s">
        <v>87</v>
      </c>
      <c r="I3033" s="1" t="s">
        <v>44</v>
      </c>
      <c r="J3033" s="4" t="s">
        <v>5294</v>
      </c>
      <c r="K3033" s="1" t="s">
        <v>88</v>
      </c>
      <c r="L3033" s="1" t="s">
        <v>89</v>
      </c>
      <c r="M3033" s="1" t="s">
        <v>27</v>
      </c>
      <c r="N3033" s="1" t="s">
        <v>5295</v>
      </c>
      <c r="O3033" s="1" t="s">
        <v>1010</v>
      </c>
      <c r="P3033" s="1" t="s">
        <v>401</v>
      </c>
      <c r="Q3033" s="63" t="s">
        <v>5296</v>
      </c>
      <c r="R3033" s="1" t="s">
        <v>555</v>
      </c>
      <c r="S3033" s="13" t="s">
        <v>28</v>
      </c>
      <c r="AX3033" s="44"/>
      <c r="AY3033" s="44"/>
      <c r="BC3033" s="11"/>
      <c r="BD3033" s="11"/>
      <c r="BE3033" s="11"/>
      <c r="BF3033" s="11"/>
      <c r="BG3033" s="11"/>
      <c r="BH3033" s="11"/>
      <c r="BI3033" s="11"/>
      <c r="BJ3033" s="11"/>
    </row>
    <row r="3034" spans="1:62" ht="12" customHeight="1" x14ac:dyDescent="0.15">
      <c r="A3034" s="1" t="s">
        <v>5297</v>
      </c>
      <c r="B3034" s="1" t="s">
        <v>29</v>
      </c>
      <c r="C3034" s="1" t="s">
        <v>20</v>
      </c>
      <c r="D3034" s="1" t="s">
        <v>48</v>
      </c>
      <c r="F3034" s="72">
        <v>41998</v>
      </c>
      <c r="G3034" s="1" t="s">
        <v>5298</v>
      </c>
      <c r="H3034" s="1" t="s">
        <v>5299</v>
      </c>
      <c r="I3034" s="1" t="s">
        <v>45</v>
      </c>
      <c r="J3034" s="4">
        <v>92236</v>
      </c>
      <c r="K3034" s="1" t="s">
        <v>783</v>
      </c>
      <c r="L3034" s="1" t="s">
        <v>784</v>
      </c>
      <c r="M3034" s="1" t="s">
        <v>27</v>
      </c>
      <c r="N3034" s="1" t="s">
        <v>5300</v>
      </c>
      <c r="P3034" s="1" t="s">
        <v>401</v>
      </c>
      <c r="Q3034" s="63" t="s">
        <v>5301</v>
      </c>
      <c r="R3034" s="1" t="s">
        <v>29</v>
      </c>
      <c r="S3034" s="13" t="s">
        <v>18</v>
      </c>
    </row>
    <row r="3035" spans="1:62" ht="12" customHeight="1" x14ac:dyDescent="0.15">
      <c r="A3035" s="1" t="s">
        <v>5302</v>
      </c>
      <c r="B3035" s="1">
        <v>40</v>
      </c>
      <c r="C3035" s="1" t="s">
        <v>20</v>
      </c>
      <c r="D3035" s="1" t="s">
        <v>48</v>
      </c>
      <c r="F3035" s="72">
        <v>41998</v>
      </c>
      <c r="G3035" s="1" t="s">
        <v>5303</v>
      </c>
      <c r="H3035" s="1" t="s">
        <v>156</v>
      </c>
      <c r="I3035" s="1" t="s">
        <v>45</v>
      </c>
      <c r="J3035" s="4">
        <v>92173</v>
      </c>
      <c r="K3035" s="1" t="s">
        <v>156</v>
      </c>
      <c r="L3035" s="1" t="s">
        <v>4732</v>
      </c>
      <c r="M3035" s="1" t="s">
        <v>391</v>
      </c>
      <c r="N3035" s="1" t="s">
        <v>5304</v>
      </c>
      <c r="P3035" s="1" t="s">
        <v>401</v>
      </c>
      <c r="Q3035" s="63" t="s">
        <v>5305</v>
      </c>
      <c r="R3035" s="1" t="s">
        <v>29</v>
      </c>
      <c r="S3035" s="13" t="s">
        <v>18</v>
      </c>
      <c r="AU3035" s="11"/>
      <c r="AV3035" s="11"/>
      <c r="AW3035" s="11"/>
    </row>
    <row r="3036" spans="1:62" ht="12" customHeight="1" x14ac:dyDescent="0.15">
      <c r="A3036" s="1" t="s">
        <v>5306</v>
      </c>
      <c r="B3036" s="1">
        <v>33</v>
      </c>
      <c r="C3036" s="1" t="s">
        <v>20</v>
      </c>
      <c r="D3036" s="1" t="s">
        <v>85</v>
      </c>
      <c r="F3036" s="72">
        <v>41997</v>
      </c>
      <c r="G3036" s="1" t="s">
        <v>5307</v>
      </c>
      <c r="H3036" s="1" t="s">
        <v>118</v>
      </c>
      <c r="I3036" s="1" t="s">
        <v>3664</v>
      </c>
      <c r="J3036" s="4">
        <v>20018</v>
      </c>
      <c r="K3036" s="1" t="s">
        <v>3666</v>
      </c>
      <c r="L3036" s="1" t="s">
        <v>19405</v>
      </c>
      <c r="M3036" s="1" t="s">
        <v>27</v>
      </c>
      <c r="N3036" s="1" t="s">
        <v>5308</v>
      </c>
      <c r="P3036" s="1" t="s">
        <v>401</v>
      </c>
      <c r="Q3036" s="63" t="s">
        <v>5309</v>
      </c>
      <c r="R3036" s="1" t="s">
        <v>100</v>
      </c>
      <c r="S3036" s="13" t="s">
        <v>28</v>
      </c>
      <c r="AX3036" s="44"/>
      <c r="AY3036" s="44"/>
      <c r="BC3036" s="11"/>
      <c r="BD3036" s="11"/>
      <c r="BE3036" s="11"/>
      <c r="BF3036" s="11"/>
      <c r="BG3036" s="11"/>
      <c r="BH3036" s="11"/>
      <c r="BI3036" s="11"/>
      <c r="BJ3036" s="11"/>
    </row>
    <row r="3037" spans="1:62" ht="12" customHeight="1" x14ac:dyDescent="0.15">
      <c r="A3037" s="1" t="s">
        <v>5098</v>
      </c>
      <c r="B3037" s="1">
        <v>47</v>
      </c>
      <c r="C3037" s="1" t="s">
        <v>20</v>
      </c>
      <c r="D3037" s="1" t="s">
        <v>37</v>
      </c>
      <c r="E3037" s="1" t="s">
        <v>5321</v>
      </c>
      <c r="F3037" s="72">
        <v>41997</v>
      </c>
      <c r="G3037" s="1" t="s">
        <v>5322</v>
      </c>
      <c r="H3037" s="1" t="s">
        <v>5099</v>
      </c>
      <c r="I3037" s="1" t="s">
        <v>173</v>
      </c>
      <c r="J3037" s="4" t="s">
        <v>5323</v>
      </c>
      <c r="K3037" s="1" t="s">
        <v>5100</v>
      </c>
      <c r="L3037" s="1" t="s">
        <v>5324</v>
      </c>
      <c r="M3037" s="1" t="s">
        <v>27</v>
      </c>
      <c r="N3037" s="1" t="s">
        <v>5325</v>
      </c>
      <c r="O3037" s="1" t="s">
        <v>1010</v>
      </c>
      <c r="P3037" s="1" t="s">
        <v>401</v>
      </c>
      <c r="Q3037" s="6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3037" s="1" t="s">
        <v>100</v>
      </c>
      <c r="S3037" s="13" t="s">
        <v>28</v>
      </c>
    </row>
    <row r="3038" spans="1:62" ht="12" customHeight="1" x14ac:dyDescent="0.15">
      <c r="A3038" s="1" t="s">
        <v>5310</v>
      </c>
      <c r="B3038" s="1">
        <v>55</v>
      </c>
      <c r="C3038" s="1" t="s">
        <v>20</v>
      </c>
      <c r="D3038" s="1" t="s">
        <v>30</v>
      </c>
      <c r="F3038" s="72">
        <v>41997</v>
      </c>
      <c r="G3038" s="1" t="s">
        <v>5311</v>
      </c>
      <c r="H3038" s="1" t="s">
        <v>5312</v>
      </c>
      <c r="I3038" s="1" t="s">
        <v>117</v>
      </c>
      <c r="J3038" s="4">
        <v>97467</v>
      </c>
      <c r="K3038" s="1" t="s">
        <v>938</v>
      </c>
      <c r="L3038" s="1" t="s">
        <v>5313</v>
      </c>
      <c r="M3038" s="1" t="s">
        <v>27</v>
      </c>
      <c r="N3038" s="1" t="s">
        <v>5314</v>
      </c>
      <c r="O3038" s="1" t="s">
        <v>550</v>
      </c>
      <c r="P3038" s="1" t="s">
        <v>401</v>
      </c>
      <c r="Q3038" s="63" t="str">
        <f>HYPERLINK("http://www.oregonlive.com/portland/index.ssf/2014/12/man_dies_after_officer-involve.html","http://www.oregonlive.com/portland/index.ssf/2014/12/man_dies_after_officer-involve.html")</f>
        <v>http://www.oregonlive.com/portland/index.ssf/2014/12/man_dies_after_officer-involve.html</v>
      </c>
      <c r="R3038" s="1" t="s">
        <v>29</v>
      </c>
      <c r="S3038" s="13" t="s">
        <v>28</v>
      </c>
    </row>
    <row r="3039" spans="1:62" ht="12" customHeight="1" x14ac:dyDescent="0.15">
      <c r="A3039" s="1" t="s">
        <v>5315</v>
      </c>
      <c r="B3039" s="1">
        <v>21</v>
      </c>
      <c r="C3039" s="1" t="s">
        <v>20</v>
      </c>
      <c r="D3039" s="1" t="s">
        <v>37</v>
      </c>
      <c r="F3039" s="72">
        <v>41997</v>
      </c>
      <c r="G3039" s="1" t="s">
        <v>5316</v>
      </c>
      <c r="H3039" s="1" t="s">
        <v>5317</v>
      </c>
      <c r="I3039" s="1" t="s">
        <v>62</v>
      </c>
      <c r="J3039" s="4">
        <v>33483</v>
      </c>
      <c r="K3039" s="1" t="s">
        <v>5318</v>
      </c>
      <c r="L3039" s="1" t="s">
        <v>63</v>
      </c>
      <c r="M3039" s="1" t="s">
        <v>27</v>
      </c>
      <c r="N3039" s="1" t="s">
        <v>5319</v>
      </c>
      <c r="P3039" s="1" t="s">
        <v>401</v>
      </c>
      <c r="Q3039" s="63" t="s">
        <v>5320</v>
      </c>
      <c r="R3039" s="1" t="s">
        <v>29</v>
      </c>
      <c r="S3039" s="13" t="s">
        <v>35</v>
      </c>
    </row>
    <row r="3040" spans="1:62" ht="12" customHeight="1" x14ac:dyDescent="0.15">
      <c r="A3040" s="1" t="s">
        <v>5326</v>
      </c>
      <c r="B3040" s="1">
        <v>18</v>
      </c>
      <c r="C3040" s="1" t="s">
        <v>20</v>
      </c>
      <c r="D3040" s="1" t="s">
        <v>85</v>
      </c>
      <c r="E3040" s="1" t="s">
        <v>5327</v>
      </c>
      <c r="F3040" s="72">
        <v>41996</v>
      </c>
      <c r="G3040" s="1" t="s">
        <v>5328</v>
      </c>
      <c r="H3040" s="1" t="s">
        <v>5329</v>
      </c>
      <c r="I3040" s="1" t="s">
        <v>431</v>
      </c>
      <c r="J3040" s="4">
        <v>63134</v>
      </c>
      <c r="K3040" s="1" t="s">
        <v>709</v>
      </c>
      <c r="L3040" s="1" t="s">
        <v>5330</v>
      </c>
      <c r="M3040" s="1" t="s">
        <v>27</v>
      </c>
      <c r="N3040" s="1" t="s">
        <v>5331</v>
      </c>
      <c r="O3040" s="1" t="s">
        <v>1010</v>
      </c>
      <c r="P3040" s="1" t="s">
        <v>401</v>
      </c>
      <c r="Q3040" s="63" t="str">
        <f>HYPERLINK("http://www.huffingtonpost.com/2014/12/24/antonio-martin-police-shooting_n_6376210.html","http://www.huffingtonpost.com/2014/12/24/antonio-martin-police-shooting_n_6376210.html")</f>
        <v>http://www.huffingtonpost.com/2014/12/24/antonio-martin-police-shooting_n_6376210.html</v>
      </c>
      <c r="R3040" s="1" t="s">
        <v>100</v>
      </c>
      <c r="S3040" s="13" t="s">
        <v>28</v>
      </c>
      <c r="AX3040" s="44"/>
      <c r="AY3040" s="44"/>
      <c r="BC3040" s="11"/>
      <c r="BD3040" s="11"/>
      <c r="BE3040" s="11"/>
      <c r="BF3040" s="11"/>
      <c r="BG3040" s="11"/>
      <c r="BH3040" s="11"/>
      <c r="BI3040" s="11"/>
      <c r="BJ3040" s="11"/>
    </row>
    <row r="3041" spans="1:62" ht="12" customHeight="1" x14ac:dyDescent="0.15">
      <c r="A3041" s="1" t="s">
        <v>5332</v>
      </c>
      <c r="B3041" s="1">
        <v>61</v>
      </c>
      <c r="C3041" s="1" t="s">
        <v>20</v>
      </c>
      <c r="D3041" s="1" t="s">
        <v>30</v>
      </c>
      <c r="F3041" s="72">
        <v>41996</v>
      </c>
      <c r="G3041" s="1" t="s">
        <v>5333</v>
      </c>
      <c r="H3041" s="1" t="s">
        <v>4020</v>
      </c>
      <c r="I3041" s="1" t="s">
        <v>62</v>
      </c>
      <c r="J3041" s="4">
        <v>33805</v>
      </c>
      <c r="K3041" s="1" t="s">
        <v>1864</v>
      </c>
      <c r="L3041" s="1" t="s">
        <v>4022</v>
      </c>
      <c r="M3041" s="1" t="s">
        <v>27</v>
      </c>
      <c r="N3041" s="1" t="s">
        <v>5334</v>
      </c>
      <c r="P3041" s="1" t="s">
        <v>401</v>
      </c>
      <c r="Q3041" s="63" t="s">
        <v>5335</v>
      </c>
      <c r="R3041" s="1" t="s">
        <v>555</v>
      </c>
      <c r="S3041" s="13" t="s">
        <v>28</v>
      </c>
      <c r="BA3041" s="11"/>
      <c r="BB3041" s="11"/>
    </row>
    <row r="3042" spans="1:62" ht="12" customHeight="1" x14ac:dyDescent="0.15">
      <c r="A3042" s="1" t="s">
        <v>5350</v>
      </c>
      <c r="B3042" s="1">
        <v>27</v>
      </c>
      <c r="C3042" s="1" t="s">
        <v>20</v>
      </c>
      <c r="D3042" s="1" t="s">
        <v>37</v>
      </c>
      <c r="E3042" s="1" t="s">
        <v>5351</v>
      </c>
      <c r="F3042" s="72">
        <v>41995</v>
      </c>
      <c r="G3042" s="1" t="s">
        <v>5352</v>
      </c>
      <c r="H3042" s="1" t="s">
        <v>5353</v>
      </c>
      <c r="I3042" s="1" t="s">
        <v>315</v>
      </c>
      <c r="J3042" s="4" t="s">
        <v>5354</v>
      </c>
      <c r="K3042" s="1" t="s">
        <v>866</v>
      </c>
      <c r="L3042" s="1" t="s">
        <v>5355</v>
      </c>
      <c r="M3042" s="1" t="s">
        <v>27</v>
      </c>
      <c r="N3042" s="1" t="s">
        <v>5356</v>
      </c>
      <c r="O3042" s="1" t="s">
        <v>1010</v>
      </c>
      <c r="P3042" s="1" t="s">
        <v>401</v>
      </c>
      <c r="Q3042" s="63" t="s">
        <v>5357</v>
      </c>
      <c r="R3042" s="1" t="s">
        <v>100</v>
      </c>
      <c r="S3042" s="13" t="s">
        <v>28</v>
      </c>
    </row>
    <row r="3043" spans="1:62" ht="12" customHeight="1" x14ac:dyDescent="0.15">
      <c r="A3043" s="1" t="s">
        <v>5341</v>
      </c>
      <c r="B3043" s="1">
        <v>20</v>
      </c>
      <c r="C3043" s="1" t="s">
        <v>20</v>
      </c>
      <c r="D3043" s="1" t="s">
        <v>37</v>
      </c>
      <c r="F3043" s="72">
        <v>41995</v>
      </c>
      <c r="G3043" s="1" t="s">
        <v>5342</v>
      </c>
      <c r="H3043" s="1" t="s">
        <v>1034</v>
      </c>
      <c r="I3043" s="1" t="s">
        <v>173</v>
      </c>
      <c r="J3043" s="4">
        <v>30034</v>
      </c>
      <c r="K3043" s="1" t="s">
        <v>861</v>
      </c>
      <c r="L3043" s="1" t="s">
        <v>862</v>
      </c>
      <c r="M3043" s="1" t="s">
        <v>27</v>
      </c>
      <c r="N3043" s="1" t="s">
        <v>5343</v>
      </c>
      <c r="P3043" s="1" t="s">
        <v>401</v>
      </c>
      <c r="Q3043" s="63" t="s">
        <v>5344</v>
      </c>
      <c r="R3043" s="1" t="s">
        <v>29</v>
      </c>
      <c r="S3043" s="13" t="s">
        <v>28</v>
      </c>
    </row>
    <row r="3044" spans="1:62" ht="12" customHeight="1" x14ac:dyDescent="0.15">
      <c r="A3044" s="1" t="s">
        <v>5336</v>
      </c>
      <c r="B3044" s="1">
        <v>29</v>
      </c>
      <c r="C3044" s="1" t="s">
        <v>20</v>
      </c>
      <c r="D3044" s="1" t="s">
        <v>48</v>
      </c>
      <c r="F3044" s="72">
        <v>41995</v>
      </c>
      <c r="G3044" s="1" t="s">
        <v>5337</v>
      </c>
      <c r="H3044" s="1" t="s">
        <v>971</v>
      </c>
      <c r="I3044" s="1" t="s">
        <v>195</v>
      </c>
      <c r="J3044" s="4">
        <v>88001</v>
      </c>
      <c r="K3044" s="1" t="s">
        <v>972</v>
      </c>
      <c r="L3044" s="1" t="s">
        <v>5338</v>
      </c>
      <c r="M3044" s="1" t="s">
        <v>27</v>
      </c>
      <c r="N3044" s="1" t="s">
        <v>5339</v>
      </c>
      <c r="O3044" s="1" t="s">
        <v>550</v>
      </c>
      <c r="P3044" s="1" t="s">
        <v>401</v>
      </c>
      <c r="Q3044" s="63" t="s">
        <v>5340</v>
      </c>
      <c r="R3044" s="1" t="s">
        <v>29</v>
      </c>
      <c r="S3044" s="13" t="s">
        <v>35</v>
      </c>
    </row>
    <row r="3045" spans="1:62" ht="12" customHeight="1" x14ac:dyDescent="0.15">
      <c r="A3045" s="1" t="s">
        <v>5345</v>
      </c>
      <c r="B3045" s="1">
        <v>62</v>
      </c>
      <c r="C3045" s="1" t="s">
        <v>20</v>
      </c>
      <c r="D3045" s="1" t="s">
        <v>37</v>
      </c>
      <c r="F3045" s="72">
        <v>41995</v>
      </c>
      <c r="G3045" s="1" t="s">
        <v>5346</v>
      </c>
      <c r="H3045" s="1" t="s">
        <v>5347</v>
      </c>
      <c r="I3045" s="1" t="s">
        <v>133</v>
      </c>
      <c r="J3045" s="4">
        <v>56531</v>
      </c>
      <c r="K3045" s="1" t="s">
        <v>397</v>
      </c>
      <c r="L3045" s="1" t="s">
        <v>5348</v>
      </c>
      <c r="M3045" s="1" t="s">
        <v>379</v>
      </c>
      <c r="N3045" s="1" t="s">
        <v>5349</v>
      </c>
      <c r="O3045" s="1" t="s">
        <v>400</v>
      </c>
      <c r="P3045" s="1" t="s">
        <v>401</v>
      </c>
      <c r="Q3045" s="63" t="str">
        <f>HYPERLINK("http://www.valleynewslive.com/home/headlines/Man-Dead-in-Otter-Tail-Police-Chase-286635971.html","http://www.valleynewslive.com/home/headlines/Man-Dead-in-Otter-Tail-Police-Chase-286635971.html")</f>
        <v>http://www.valleynewslive.com/home/headlines/Man-Dead-in-Otter-Tail-Police-Chase-286635971.html</v>
      </c>
      <c r="R3045" s="1" t="s">
        <v>29</v>
      </c>
      <c r="S3045" s="13" t="s">
        <v>379</v>
      </c>
    </row>
    <row r="3046" spans="1:62" ht="12" customHeight="1" x14ac:dyDescent="0.15">
      <c r="A3046" s="1" t="s">
        <v>5374</v>
      </c>
      <c r="B3046" s="1">
        <v>39</v>
      </c>
      <c r="C3046" s="1" t="s">
        <v>20</v>
      </c>
      <c r="D3046" s="1" t="s">
        <v>37</v>
      </c>
      <c r="E3046" s="1" t="s">
        <v>5375</v>
      </c>
      <c r="F3046" s="72">
        <v>41994</v>
      </c>
      <c r="G3046" s="1" t="s">
        <v>5376</v>
      </c>
      <c r="H3046" s="1" t="s">
        <v>5377</v>
      </c>
      <c r="I3046" s="1" t="s">
        <v>62</v>
      </c>
      <c r="J3046" s="4" t="s">
        <v>5378</v>
      </c>
      <c r="K3046" s="1" t="s">
        <v>3891</v>
      </c>
      <c r="L3046" s="1" t="s">
        <v>5379</v>
      </c>
      <c r="M3046" s="1" t="s">
        <v>379</v>
      </c>
      <c r="N3046" s="1" t="s">
        <v>5380</v>
      </c>
      <c r="O3046" s="1" t="s">
        <v>400</v>
      </c>
      <c r="P3046" s="1" t="s">
        <v>401</v>
      </c>
      <c r="Q3046" s="63" t="s">
        <v>5381</v>
      </c>
      <c r="R3046" s="1" t="s">
        <v>100</v>
      </c>
      <c r="S3046" s="66" t="s">
        <v>379</v>
      </c>
      <c r="T3046" s="66" t="s">
        <v>30738</v>
      </c>
    </row>
    <row r="3047" spans="1:62" ht="12" customHeight="1" x14ac:dyDescent="0.15">
      <c r="A3047" s="1" t="s">
        <v>5370</v>
      </c>
      <c r="B3047" s="1">
        <v>53</v>
      </c>
      <c r="C3047" s="1" t="s">
        <v>20</v>
      </c>
      <c r="D3047" s="1" t="s">
        <v>37</v>
      </c>
      <c r="F3047" s="72">
        <v>41994</v>
      </c>
      <c r="G3047" s="1" t="s">
        <v>5371</v>
      </c>
      <c r="H3047" s="1" t="s">
        <v>5372</v>
      </c>
      <c r="I3047" s="1" t="s">
        <v>45</v>
      </c>
      <c r="J3047" s="4">
        <v>95603</v>
      </c>
      <c r="K3047" s="1" t="s">
        <v>1066</v>
      </c>
      <c r="L3047" s="1" t="s">
        <v>1067</v>
      </c>
      <c r="M3047" s="1" t="s">
        <v>27</v>
      </c>
      <c r="N3047" s="1" t="s">
        <v>5373</v>
      </c>
      <c r="P3047" s="1" t="s">
        <v>401</v>
      </c>
      <c r="Q3047" s="63" t="str">
        <f>HYPERLINK("http://www.sacbee.com/news/local/crime/article4774815.html","http://www.sacbee.com/news/local/crime/article4774815.html")</f>
        <v>http://www.sacbee.com/news/local/crime/article4774815.html</v>
      </c>
      <c r="R3047" s="1" t="s">
        <v>29</v>
      </c>
      <c r="S3047" s="13" t="s">
        <v>28</v>
      </c>
    </row>
    <row r="3048" spans="1:62" ht="12" customHeight="1" x14ac:dyDescent="0.15">
      <c r="A3048" s="1" t="s">
        <v>5364</v>
      </c>
      <c r="B3048" s="1">
        <v>52</v>
      </c>
      <c r="C3048" s="1" t="s">
        <v>20</v>
      </c>
      <c r="D3048" s="1" t="s">
        <v>37</v>
      </c>
      <c r="E3048" s="1" t="s">
        <v>5365</v>
      </c>
      <c r="F3048" s="72">
        <v>41994</v>
      </c>
      <c r="G3048" s="1" t="s">
        <v>5366</v>
      </c>
      <c r="H3048" s="1" t="s">
        <v>5367</v>
      </c>
      <c r="I3048" s="1" t="s">
        <v>225</v>
      </c>
      <c r="J3048" s="4">
        <v>19904</v>
      </c>
      <c r="K3048" s="1" t="s">
        <v>2534</v>
      </c>
      <c r="L3048" s="1" t="s">
        <v>5368</v>
      </c>
      <c r="M3048" s="1" t="s">
        <v>27</v>
      </c>
      <c r="N3048" s="1" t="s">
        <v>5369</v>
      </c>
      <c r="P3048" s="1" t="s">
        <v>401</v>
      </c>
      <c r="Q3048" s="63" t="str">
        <f>HYPERLINK("http://www.doverpost.com/article/20141221/NEWS/141229971/13421/NEWS","http://www.doverpost.com/article/20141221/NEWS/141229971/13421/NEWS")</f>
        <v>http://www.doverpost.com/article/20141221/NEWS/141229971/13421/NEWS</v>
      </c>
      <c r="R3048" s="1" t="s">
        <v>29</v>
      </c>
      <c r="S3048" s="13" t="s">
        <v>18</v>
      </c>
    </row>
    <row r="3049" spans="1:62" ht="12" customHeight="1" x14ac:dyDescent="0.15">
      <c r="A3049" s="1" t="s">
        <v>5358</v>
      </c>
      <c r="B3049" s="1">
        <v>28</v>
      </c>
      <c r="C3049" s="1" t="s">
        <v>20</v>
      </c>
      <c r="D3049" s="1" t="s">
        <v>37</v>
      </c>
      <c r="F3049" s="72">
        <v>41994</v>
      </c>
      <c r="H3049" s="1" t="s">
        <v>5359</v>
      </c>
      <c r="I3049" s="1" t="s">
        <v>854</v>
      </c>
      <c r="J3049" s="4">
        <v>59722</v>
      </c>
      <c r="K3049" s="1" t="s">
        <v>5360</v>
      </c>
      <c r="L3049" s="1" t="s">
        <v>5361</v>
      </c>
      <c r="M3049" s="1" t="s">
        <v>27</v>
      </c>
      <c r="N3049" s="1" t="s">
        <v>5362</v>
      </c>
      <c r="P3049" s="1" t="s">
        <v>401</v>
      </c>
      <c r="Q3049" s="63" t="s">
        <v>5363</v>
      </c>
      <c r="R3049" s="1" t="s">
        <v>29</v>
      </c>
      <c r="S3049" s="13" t="s">
        <v>35</v>
      </c>
    </row>
    <row r="3050" spans="1:62" ht="12" customHeight="1" x14ac:dyDescent="0.15">
      <c r="A3050" s="1" t="s">
        <v>5382</v>
      </c>
      <c r="B3050" s="1">
        <v>30</v>
      </c>
      <c r="C3050" s="1" t="s">
        <v>20</v>
      </c>
      <c r="D3050" s="1" t="s">
        <v>139</v>
      </c>
      <c r="E3050" s="1" t="s">
        <v>5383</v>
      </c>
      <c r="F3050" s="72">
        <v>41993</v>
      </c>
      <c r="G3050" s="1" t="s">
        <v>5384</v>
      </c>
      <c r="H3050" s="1" t="s">
        <v>142</v>
      </c>
      <c r="I3050" s="1" t="s">
        <v>143</v>
      </c>
      <c r="J3050" s="4" t="s">
        <v>5385</v>
      </c>
      <c r="K3050" s="1" t="s">
        <v>144</v>
      </c>
      <c r="L3050" s="1" t="s">
        <v>5386</v>
      </c>
      <c r="M3050" s="1" t="s">
        <v>27</v>
      </c>
      <c r="N3050" s="1" t="s">
        <v>5387</v>
      </c>
      <c r="O3050" s="1" t="s">
        <v>400</v>
      </c>
      <c r="P3050" s="1" t="s">
        <v>401</v>
      </c>
      <c r="Q3050" s="63" t="s">
        <v>5388</v>
      </c>
      <c r="R3050" s="1" t="s">
        <v>100</v>
      </c>
      <c r="S3050" s="13" t="s">
        <v>28</v>
      </c>
    </row>
    <row r="3051" spans="1:62" ht="12" customHeight="1" x14ac:dyDescent="0.15">
      <c r="A3051" s="1" t="s">
        <v>5395</v>
      </c>
      <c r="B3051" s="1">
        <v>41</v>
      </c>
      <c r="C3051" s="1" t="s">
        <v>20</v>
      </c>
      <c r="D3051" s="1" t="s">
        <v>37</v>
      </c>
      <c r="E3051" s="1" t="s">
        <v>5396</v>
      </c>
      <c r="F3051" s="72">
        <v>41992</v>
      </c>
      <c r="G3051" s="1" t="s">
        <v>5397</v>
      </c>
      <c r="H3051" s="1" t="s">
        <v>5398</v>
      </c>
      <c r="I3051" s="1" t="s">
        <v>62</v>
      </c>
      <c r="J3051" s="4" t="s">
        <v>5399</v>
      </c>
      <c r="K3051" s="1" t="s">
        <v>4353</v>
      </c>
      <c r="L3051" s="1" t="s">
        <v>5400</v>
      </c>
      <c r="M3051" s="1" t="s">
        <v>27</v>
      </c>
      <c r="N3051" s="1" t="s">
        <v>5401</v>
      </c>
      <c r="O3051" s="1" t="s">
        <v>1010</v>
      </c>
      <c r="P3051" s="1" t="s">
        <v>401</v>
      </c>
      <c r="Q3051" s="63" t="s">
        <v>5402</v>
      </c>
      <c r="R3051" s="1" t="s">
        <v>100</v>
      </c>
      <c r="S3051" s="13" t="s">
        <v>28</v>
      </c>
    </row>
    <row r="3052" spans="1:62" ht="12" customHeight="1" x14ac:dyDescent="0.15">
      <c r="A3052" s="1" t="s">
        <v>5389</v>
      </c>
      <c r="B3052" s="1">
        <v>28</v>
      </c>
      <c r="C3052" s="1" t="s">
        <v>20</v>
      </c>
      <c r="D3052" s="1" t="s">
        <v>85</v>
      </c>
      <c r="E3052" s="1" t="s">
        <v>5390</v>
      </c>
      <c r="F3052" s="72">
        <v>41992</v>
      </c>
      <c r="G3052" s="1" t="s">
        <v>5391</v>
      </c>
      <c r="H3052" s="1" t="s">
        <v>709</v>
      </c>
      <c r="I3052" s="1" t="s">
        <v>431</v>
      </c>
      <c r="J3052" s="4" t="s">
        <v>5392</v>
      </c>
      <c r="K3052" s="1" t="s">
        <v>709</v>
      </c>
      <c r="L3052" s="1" t="s">
        <v>4516</v>
      </c>
      <c r="M3052" s="1" t="s">
        <v>27</v>
      </c>
      <c r="N3052" s="1" t="s">
        <v>5393</v>
      </c>
      <c r="O3052" s="1" t="s">
        <v>1010</v>
      </c>
      <c r="P3052" s="1" t="s">
        <v>401</v>
      </c>
      <c r="Q3052" s="63" t="s">
        <v>5394</v>
      </c>
      <c r="R3052" s="1" t="s">
        <v>100</v>
      </c>
      <c r="S3052" s="13" t="s">
        <v>35</v>
      </c>
      <c r="AX3052" s="44"/>
      <c r="AY3052" s="44"/>
      <c r="BC3052" s="11"/>
      <c r="BD3052" s="11"/>
      <c r="BE3052" s="11"/>
      <c r="BF3052" s="11"/>
      <c r="BG3052" s="11"/>
      <c r="BH3052" s="11"/>
      <c r="BI3052" s="11"/>
      <c r="BJ3052" s="11"/>
    </row>
    <row r="3053" spans="1:62" ht="12" customHeight="1" x14ac:dyDescent="0.15">
      <c r="A3053" s="1" t="s">
        <v>5403</v>
      </c>
      <c r="B3053" s="1">
        <v>35</v>
      </c>
      <c r="C3053" s="1" t="s">
        <v>20</v>
      </c>
      <c r="D3053" s="1" t="s">
        <v>37</v>
      </c>
      <c r="F3053" s="72">
        <v>41992</v>
      </c>
      <c r="G3053" s="1" t="s">
        <v>5404</v>
      </c>
      <c r="H3053" s="1" t="s">
        <v>632</v>
      </c>
      <c r="I3053" s="1" t="s">
        <v>123</v>
      </c>
      <c r="J3053" s="4">
        <v>85023</v>
      </c>
      <c r="K3053" s="1" t="s">
        <v>633</v>
      </c>
      <c r="L3053" s="1" t="s">
        <v>634</v>
      </c>
      <c r="M3053" s="1" t="s">
        <v>27</v>
      </c>
      <c r="N3053" s="1" t="s">
        <v>5405</v>
      </c>
      <c r="P3053" s="1" t="s">
        <v>401</v>
      </c>
      <c r="Q3053" s="63" t="str">
        <f>HYPERLINK("http://www.kpho.com/story/27660383/pd-phoenix-officer-involved-in-shooting","http://www.kpho.com/story/27660383/pd-phoenix-officer-involved-in-shooting")</f>
        <v>http://www.kpho.com/story/27660383/pd-phoenix-officer-involved-in-shooting</v>
      </c>
      <c r="R3053" s="1" t="s">
        <v>29</v>
      </c>
      <c r="S3053" s="13" t="s">
        <v>28</v>
      </c>
    </row>
    <row r="3054" spans="1:62" ht="12" customHeight="1" x14ac:dyDescent="0.2">
      <c r="A3054" s="1" t="s">
        <v>5406</v>
      </c>
      <c r="B3054" s="1">
        <v>17</v>
      </c>
      <c r="C3054" s="1" t="s">
        <v>20</v>
      </c>
      <c r="D3054" s="1" t="s">
        <v>139</v>
      </c>
      <c r="E3054" s="1" t="s">
        <v>5407</v>
      </c>
      <c r="F3054" s="72">
        <v>41991</v>
      </c>
      <c r="H3054" s="1" t="s">
        <v>5408</v>
      </c>
      <c r="I3054" s="1" t="s">
        <v>45</v>
      </c>
      <c r="J3054" s="4" t="s">
        <v>5409</v>
      </c>
      <c r="K3054" s="1" t="s">
        <v>5410</v>
      </c>
      <c r="L3054" s="1" t="s">
        <v>957</v>
      </c>
      <c r="M3054" s="1" t="s">
        <v>5411</v>
      </c>
      <c r="N3054" s="1" t="s">
        <v>5412</v>
      </c>
      <c r="O3054" s="1" t="s">
        <v>400</v>
      </c>
      <c r="P3054" s="1" t="s">
        <v>401</v>
      </c>
      <c r="Q3054" s="63" t="s">
        <v>5413</v>
      </c>
      <c r="R3054" s="1" t="s">
        <v>29</v>
      </c>
      <c r="S3054" s="13" t="s">
        <v>28</v>
      </c>
      <c r="AW3054" s="70"/>
    </row>
    <row r="3055" spans="1:62" ht="12" customHeight="1" x14ac:dyDescent="0.15">
      <c r="A3055" s="1" t="s">
        <v>5414</v>
      </c>
      <c r="B3055" s="1">
        <v>39</v>
      </c>
      <c r="C3055" s="1" t="s">
        <v>20</v>
      </c>
      <c r="D3055" s="1" t="s">
        <v>37</v>
      </c>
      <c r="E3055" s="1" t="s">
        <v>5415</v>
      </c>
      <c r="F3055" s="72">
        <v>41991</v>
      </c>
      <c r="H3055" s="1" t="s">
        <v>5416</v>
      </c>
      <c r="I3055" s="1" t="s">
        <v>217</v>
      </c>
      <c r="J3055" s="4">
        <v>46166</v>
      </c>
      <c r="K3055" s="1" t="s">
        <v>5417</v>
      </c>
      <c r="L3055" s="1" t="s">
        <v>5418</v>
      </c>
      <c r="M3055" s="1" t="s">
        <v>27</v>
      </c>
      <c r="N3055" s="1" t="s">
        <v>5419</v>
      </c>
      <c r="P3055" s="1" t="s">
        <v>401</v>
      </c>
      <c r="Q3055" s="6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3055" s="1" t="s">
        <v>29</v>
      </c>
      <c r="S3055" s="13" t="s">
        <v>28</v>
      </c>
    </row>
    <row r="3056" spans="1:62" ht="12" customHeight="1" x14ac:dyDescent="0.15">
      <c r="A3056" s="1" t="s">
        <v>5420</v>
      </c>
      <c r="B3056" s="1">
        <v>34</v>
      </c>
      <c r="C3056" s="1" t="s">
        <v>20</v>
      </c>
      <c r="D3056" s="1" t="s">
        <v>48</v>
      </c>
      <c r="E3056" s="1" t="s">
        <v>5421</v>
      </c>
      <c r="F3056" s="72">
        <v>41990</v>
      </c>
      <c r="G3056" s="1" t="s">
        <v>5422</v>
      </c>
      <c r="H3056" s="1" t="s">
        <v>922</v>
      </c>
      <c r="I3056" s="1" t="s">
        <v>195</v>
      </c>
      <c r="J3056" s="4" t="s">
        <v>5423</v>
      </c>
      <c r="K3056" s="1" t="s">
        <v>467</v>
      </c>
      <c r="L3056" s="1" t="s">
        <v>5424</v>
      </c>
      <c r="M3056" s="1" t="s">
        <v>27</v>
      </c>
      <c r="N3056" s="1" t="s">
        <v>5425</v>
      </c>
      <c r="O3056" s="1" t="s">
        <v>1010</v>
      </c>
      <c r="P3056" s="1" t="s">
        <v>401</v>
      </c>
      <c r="Q3056" s="63" t="s">
        <v>5426</v>
      </c>
      <c r="R3056" s="1" t="s">
        <v>100</v>
      </c>
      <c r="S3056" s="13" t="s">
        <v>28</v>
      </c>
    </row>
    <row r="3057" spans="1:62" ht="12" customHeight="1" x14ac:dyDescent="0.15">
      <c r="A3057" s="1" t="s">
        <v>5443</v>
      </c>
      <c r="B3057" s="1">
        <v>18</v>
      </c>
      <c r="C3057" s="1" t="s">
        <v>20</v>
      </c>
      <c r="D3057" s="1" t="s">
        <v>37</v>
      </c>
      <c r="E3057" s="1" t="str">
        <f>HYPERLINK("http://www.muellersfuneralhomes.com/obituaries/Johnathon-Jd-Mar/Print/Wall","http://www.muellersfuneralhomes.com/obituaries/Johnathon-Jd-Mar/Print/Wall")</f>
        <v>http://www.muellersfuneralhomes.com/obituaries/Johnathon-Jd-Mar/Print/Wall</v>
      </c>
      <c r="F3057" s="72">
        <v>41990</v>
      </c>
      <c r="G3057" s="1" t="s">
        <v>5444</v>
      </c>
      <c r="H3057" s="1" t="s">
        <v>5445</v>
      </c>
      <c r="I3057" s="1" t="s">
        <v>133</v>
      </c>
      <c r="J3057" s="4" t="s">
        <v>5446</v>
      </c>
      <c r="K3057" s="1" t="s">
        <v>3594</v>
      </c>
      <c r="L3057" s="1" t="s">
        <v>5447</v>
      </c>
      <c r="M3057" s="1" t="s">
        <v>27</v>
      </c>
      <c r="N3057" s="1" t="s">
        <v>5448</v>
      </c>
      <c r="O3057" s="1" t="s">
        <v>400</v>
      </c>
      <c r="P3057" s="1" t="s">
        <v>401</v>
      </c>
      <c r="Q3057" s="63" t="s">
        <v>5449</v>
      </c>
      <c r="R3057" s="1" t="s">
        <v>555</v>
      </c>
      <c r="S3057" s="13" t="s">
        <v>28</v>
      </c>
      <c r="BA3057" s="11"/>
      <c r="BB3057" s="11"/>
    </row>
    <row r="3058" spans="1:62" ht="12" customHeight="1" x14ac:dyDescent="0.15">
      <c r="A3058" s="1" t="s">
        <v>3252</v>
      </c>
      <c r="B3058" s="1" t="s">
        <v>29</v>
      </c>
      <c r="C3058" s="1" t="s">
        <v>20</v>
      </c>
      <c r="D3058" s="1" t="s">
        <v>30</v>
      </c>
      <c r="F3058" s="72">
        <v>41990</v>
      </c>
      <c r="G3058" s="1" t="s">
        <v>5431</v>
      </c>
      <c r="H3058" s="1" t="s">
        <v>882</v>
      </c>
      <c r="I3058" s="1" t="s">
        <v>303</v>
      </c>
      <c r="J3058" s="4">
        <v>98444</v>
      </c>
      <c r="K3058" s="1" t="s">
        <v>883</v>
      </c>
      <c r="L3058" s="1" t="s">
        <v>884</v>
      </c>
      <c r="M3058" s="1" t="s">
        <v>27</v>
      </c>
      <c r="N3058" s="1" t="s">
        <v>5432</v>
      </c>
      <c r="P3058" s="1" t="s">
        <v>401</v>
      </c>
      <c r="Q3058" s="63" t="str">
        <f>HYPERLINK("http://www.kirotv.com/news/news/deputy-involved-shooting-tacoma/njTnD/","http://www.kirotv.com/news/news/deputy-involved-shooting-tacoma/njTnD/")</f>
        <v>http://www.kirotv.com/news/news/deputy-involved-shooting-tacoma/njTnD/</v>
      </c>
      <c r="R3058" s="1" t="s">
        <v>29</v>
      </c>
      <c r="S3058" s="13" t="s">
        <v>28</v>
      </c>
    </row>
    <row r="3059" spans="1:62" ht="12" customHeight="1" x14ac:dyDescent="0.15">
      <c r="A3059" s="1" t="s">
        <v>5440</v>
      </c>
      <c r="B3059" s="1">
        <v>18</v>
      </c>
      <c r="C3059" s="1" t="s">
        <v>20</v>
      </c>
      <c r="D3059" s="1" t="s">
        <v>37</v>
      </c>
      <c r="F3059" s="72">
        <v>41990</v>
      </c>
      <c r="G3059" s="1" t="s">
        <v>5441</v>
      </c>
      <c r="H3059" s="1" t="s">
        <v>632</v>
      </c>
      <c r="I3059" s="1" t="s">
        <v>123</v>
      </c>
      <c r="J3059" s="4">
        <v>85054</v>
      </c>
      <c r="K3059" s="1" t="s">
        <v>633</v>
      </c>
      <c r="L3059" s="1" t="s">
        <v>634</v>
      </c>
      <c r="M3059" s="1" t="s">
        <v>27</v>
      </c>
      <c r="N3059" s="1" t="s">
        <v>5442</v>
      </c>
      <c r="O3059" s="1" t="s">
        <v>550</v>
      </c>
      <c r="P3059" s="1" t="s">
        <v>401</v>
      </c>
      <c r="Q3059" s="6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3059" s="1" t="s">
        <v>29</v>
      </c>
      <c r="S3059" s="13" t="s">
        <v>28</v>
      </c>
    </row>
    <row r="3060" spans="1:62" ht="12" customHeight="1" x14ac:dyDescent="0.15">
      <c r="A3060" s="1" t="s">
        <v>5450</v>
      </c>
      <c r="B3060" s="1">
        <v>48</v>
      </c>
      <c r="C3060" s="1" t="s">
        <v>20</v>
      </c>
      <c r="D3060" s="1" t="s">
        <v>37</v>
      </c>
      <c r="E3060" s="1" t="s">
        <v>5451</v>
      </c>
      <c r="F3060" s="72">
        <v>41990</v>
      </c>
      <c r="G3060" s="1" t="s">
        <v>5452</v>
      </c>
      <c r="H3060" s="1" t="s">
        <v>5453</v>
      </c>
      <c r="I3060" s="1" t="s">
        <v>45</v>
      </c>
      <c r="J3060" s="4">
        <v>92626</v>
      </c>
      <c r="K3060" s="1" t="s">
        <v>1061</v>
      </c>
      <c r="L3060" s="1" t="s">
        <v>5454</v>
      </c>
      <c r="M3060" s="1" t="s">
        <v>27</v>
      </c>
      <c r="N3060" s="1" t="s">
        <v>5455</v>
      </c>
      <c r="P3060" s="1" t="s">
        <v>401</v>
      </c>
      <c r="Q3060" s="63" t="str">
        <f>HYPERLINK("http://www.ocregister.com/articles/mesa-645510-costa-warrants.html","http://www.ocregister.com/articles/mesa-645510-costa-warrants.html")</f>
        <v>http://www.ocregister.com/articles/mesa-645510-costa-warrants.html</v>
      </c>
      <c r="R3060" s="1" t="s">
        <v>29</v>
      </c>
      <c r="S3060" s="13" t="s">
        <v>28</v>
      </c>
    </row>
    <row r="3061" spans="1:62" ht="12" customHeight="1" x14ac:dyDescent="0.15">
      <c r="A3061" s="1" t="s">
        <v>5456</v>
      </c>
      <c r="B3061" s="1">
        <v>25</v>
      </c>
      <c r="C3061" s="1" t="s">
        <v>20</v>
      </c>
      <c r="D3061" s="1" t="s">
        <v>37</v>
      </c>
      <c r="F3061" s="72">
        <v>41990</v>
      </c>
      <c r="G3061" s="1" t="s">
        <v>5457</v>
      </c>
      <c r="H3061" s="1" t="s">
        <v>5458</v>
      </c>
      <c r="I3061" s="1" t="s">
        <v>370</v>
      </c>
      <c r="J3061" s="4">
        <v>50158</v>
      </c>
      <c r="K3061" s="1" t="s">
        <v>659</v>
      </c>
      <c r="L3061" s="1" t="s">
        <v>5459</v>
      </c>
      <c r="M3061" s="1" t="s">
        <v>27</v>
      </c>
      <c r="N3061" s="1" t="s">
        <v>5460</v>
      </c>
      <c r="P3061" s="1" t="s">
        <v>401</v>
      </c>
      <c r="Q3061" s="63" t="str">
        <f>HYPERLINK("http://whotv.com/2014/12/17/marshalltown-police-critically-wound-armed-suspect-overnight/","http://whotv.com/2014/12/17/marshalltown-police-critically-wound-armed-suspect-overnight/")</f>
        <v>http://whotv.com/2014/12/17/marshalltown-police-critically-wound-armed-suspect-overnight/</v>
      </c>
      <c r="R3061" s="1" t="s">
        <v>29</v>
      </c>
      <c r="S3061" s="13" t="s">
        <v>28</v>
      </c>
    </row>
    <row r="3062" spans="1:62" ht="12" customHeight="1" x14ac:dyDescent="0.15">
      <c r="A3062" s="1" t="s">
        <v>5433</v>
      </c>
      <c r="B3062" s="1">
        <v>28</v>
      </c>
      <c r="C3062" s="1" t="s">
        <v>20</v>
      </c>
      <c r="D3062" s="1" t="s">
        <v>37</v>
      </c>
      <c r="E3062" s="1" t="s">
        <v>5434</v>
      </c>
      <c r="F3062" s="72">
        <v>41990</v>
      </c>
      <c r="G3062" s="1" t="s">
        <v>5435</v>
      </c>
      <c r="H3062" s="1" t="s">
        <v>5436</v>
      </c>
      <c r="I3062" s="1" t="s">
        <v>62</v>
      </c>
      <c r="J3062" s="4">
        <v>32506</v>
      </c>
      <c r="K3062" s="1" t="s">
        <v>5437</v>
      </c>
      <c r="L3062" s="1" t="s">
        <v>5438</v>
      </c>
      <c r="M3062" s="1" t="s">
        <v>391</v>
      </c>
      <c r="N3062" s="1" t="s">
        <v>5439</v>
      </c>
      <c r="P3062" s="1" t="s">
        <v>401</v>
      </c>
      <c r="Q3062" s="63" t="str">
        <f>HYPERLINK("http://www.pnj.com/story/news/crime/2014/12/17/man-dies-two-weeks-tased/20545199/","http://www.pnj.com/story/news/crime/2014/12/17/man-dies-two-weeks-tased/20545199/")</f>
        <v>http://www.pnj.com/story/news/crime/2014/12/17/man-dies-two-weeks-tased/20545199/</v>
      </c>
      <c r="R3062" s="1" t="s">
        <v>29</v>
      </c>
      <c r="S3062" s="13" t="s">
        <v>28</v>
      </c>
      <c r="AU3062" s="11"/>
      <c r="AV3062" s="11"/>
      <c r="AW3062" s="11"/>
    </row>
    <row r="3063" spans="1:62" ht="12" customHeight="1" x14ac:dyDescent="0.15">
      <c r="A3063" s="1" t="s">
        <v>5427</v>
      </c>
      <c r="B3063" s="1">
        <v>48</v>
      </c>
      <c r="C3063" s="1" t="s">
        <v>20</v>
      </c>
      <c r="D3063" s="1" t="s">
        <v>48</v>
      </c>
      <c r="F3063" s="72">
        <v>41990</v>
      </c>
      <c r="G3063" s="1" t="s">
        <v>5428</v>
      </c>
      <c r="H3063" s="1" t="s">
        <v>575</v>
      </c>
      <c r="I3063" s="1" t="s">
        <v>73</v>
      </c>
      <c r="J3063" s="4">
        <v>78228</v>
      </c>
      <c r="K3063" s="1" t="s">
        <v>576</v>
      </c>
      <c r="L3063" s="1" t="s">
        <v>577</v>
      </c>
      <c r="M3063" s="1" t="s">
        <v>27</v>
      </c>
      <c r="N3063" s="1" t="s">
        <v>5429</v>
      </c>
      <c r="P3063" s="1" t="s">
        <v>401</v>
      </c>
      <c r="Q3063" s="63" t="s">
        <v>5430</v>
      </c>
      <c r="R3063" s="1" t="s">
        <v>29</v>
      </c>
      <c r="S3063" s="13" t="s">
        <v>35</v>
      </c>
    </row>
    <row r="3064" spans="1:62" ht="12" customHeight="1" x14ac:dyDescent="0.15">
      <c r="A3064" s="1" t="s">
        <v>5461</v>
      </c>
      <c r="B3064" s="1">
        <v>20</v>
      </c>
      <c r="C3064" s="1" t="s">
        <v>20</v>
      </c>
      <c r="D3064" s="1" t="s">
        <v>30</v>
      </c>
      <c r="F3064" s="72">
        <v>41989</v>
      </c>
      <c r="G3064" s="1" t="s">
        <v>5462</v>
      </c>
      <c r="H3064" s="1" t="s">
        <v>945</v>
      </c>
      <c r="I3064" s="1" t="s">
        <v>45</v>
      </c>
      <c r="J3064" s="4" t="s">
        <v>5463</v>
      </c>
      <c r="K3064" s="1" t="s">
        <v>945</v>
      </c>
      <c r="L3064" s="1" t="s">
        <v>957</v>
      </c>
      <c r="M3064" s="1" t="s">
        <v>379</v>
      </c>
      <c r="N3064" s="1" t="s">
        <v>5464</v>
      </c>
      <c r="O3064" s="1" t="s">
        <v>1010</v>
      </c>
      <c r="P3064" s="1" t="s">
        <v>401</v>
      </c>
      <c r="Q3064" s="63" t="s">
        <v>5465</v>
      </c>
      <c r="R3064" s="1" t="s">
        <v>100</v>
      </c>
      <c r="S3064" s="13" t="s">
        <v>379</v>
      </c>
    </row>
    <row r="3065" spans="1:62" ht="12" customHeight="1" x14ac:dyDescent="0.15">
      <c r="A3065" s="1" t="s">
        <v>5466</v>
      </c>
      <c r="B3065" s="1">
        <v>26</v>
      </c>
      <c r="C3065" s="1" t="s">
        <v>20</v>
      </c>
      <c r="D3065" s="1" t="s">
        <v>85</v>
      </c>
      <c r="F3065" s="72">
        <v>41988</v>
      </c>
      <c r="G3065" s="1" t="s">
        <v>5467</v>
      </c>
      <c r="H3065" s="1" t="s">
        <v>1100</v>
      </c>
      <c r="I3065" s="1" t="s">
        <v>404</v>
      </c>
      <c r="J3065" s="4">
        <v>19135</v>
      </c>
      <c r="K3065" s="1" t="s">
        <v>1100</v>
      </c>
      <c r="L3065" s="1" t="s">
        <v>1101</v>
      </c>
      <c r="M3065" s="1" t="s">
        <v>27</v>
      </c>
      <c r="N3065" s="1" t="s">
        <v>5468</v>
      </c>
      <c r="P3065" s="1" t="s">
        <v>401</v>
      </c>
      <c r="Q3065" s="63" t="str">
        <f>HYPERLINK("http://www.nbcphiladelphia.com/news/local/Mayfair-Police-Shooting-285796911.html","http://www.nbcphiladelphia.com/news/local/Mayfair-Police-Shooting-285796911.html")</f>
        <v>http://www.nbcphiladelphia.com/news/local/Mayfair-Police-Shooting-285796911.html</v>
      </c>
      <c r="R3065" s="1" t="s">
        <v>100</v>
      </c>
      <c r="S3065" s="13" t="s">
        <v>28</v>
      </c>
      <c r="AX3065" s="44"/>
      <c r="AY3065" s="44"/>
      <c r="BC3065" s="11"/>
      <c r="BD3065" s="11"/>
      <c r="BE3065" s="11"/>
      <c r="BF3065" s="11"/>
      <c r="BG3065" s="11"/>
      <c r="BH3065" s="11"/>
      <c r="BI3065" s="11"/>
      <c r="BJ3065" s="11"/>
    </row>
    <row r="3066" spans="1:62" ht="12" customHeight="1" x14ac:dyDescent="0.15">
      <c r="A3066" s="1" t="s">
        <v>5469</v>
      </c>
      <c r="B3066" s="1">
        <v>16</v>
      </c>
      <c r="C3066" s="1" t="s">
        <v>20</v>
      </c>
      <c r="D3066" s="1" t="s">
        <v>85</v>
      </c>
      <c r="F3066" s="72">
        <v>41988</v>
      </c>
      <c r="G3066" s="1" t="s">
        <v>5470</v>
      </c>
      <c r="H3066" s="1" t="s">
        <v>2028</v>
      </c>
      <c r="I3066" s="1" t="s">
        <v>319</v>
      </c>
      <c r="J3066" s="4">
        <v>37217</v>
      </c>
      <c r="K3066" s="1" t="s">
        <v>879</v>
      </c>
      <c r="L3066" s="1" t="s">
        <v>880</v>
      </c>
      <c r="M3066" s="1" t="s">
        <v>27</v>
      </c>
      <c r="N3066" s="1" t="s">
        <v>5471</v>
      </c>
      <c r="P3066" s="1" t="s">
        <v>401</v>
      </c>
      <c r="Q3066" s="6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3066" s="1" t="s">
        <v>100</v>
      </c>
      <c r="S3066" s="13" t="s">
        <v>28</v>
      </c>
      <c r="AX3066" s="44"/>
      <c r="AY3066" s="44"/>
      <c r="BC3066" s="11"/>
      <c r="BD3066" s="11"/>
      <c r="BE3066" s="11"/>
      <c r="BF3066" s="11"/>
      <c r="BG3066" s="11"/>
      <c r="BH3066" s="11"/>
      <c r="BI3066" s="11"/>
      <c r="BJ3066" s="11"/>
    </row>
    <row r="3067" spans="1:62" ht="12" customHeight="1" x14ac:dyDescent="0.15">
      <c r="A3067" s="1" t="s">
        <v>5477</v>
      </c>
      <c r="B3067" s="1">
        <v>32</v>
      </c>
      <c r="C3067" s="1" t="s">
        <v>114</v>
      </c>
      <c r="D3067" s="1" t="s">
        <v>48</v>
      </c>
      <c r="E3067" s="1" t="str">
        <f>HYPERLINK("http://www.everythinglubbock.com/media/lib/197/b/e/9/be97488a-220f-42d4-a656-82afae53b037/Story.jpg","http://www.everythinglubbock.com/media/lib/197/b/e/9/be97488a-220f-42d4-a656-82afae53b037/Story.jpg")</f>
        <v>http://www.everythinglubbock.com/media/lib/197/b/e/9/be97488a-220f-42d4-a656-82afae53b037/Story.jpg</v>
      </c>
      <c r="F3067" s="72">
        <v>41988</v>
      </c>
      <c r="G3067" s="1" t="s">
        <v>5478</v>
      </c>
      <c r="H3067" s="1" t="s">
        <v>1941</v>
      </c>
      <c r="I3067" s="1" t="s">
        <v>73</v>
      </c>
      <c r="J3067" s="4">
        <v>79705</v>
      </c>
      <c r="K3067" s="1" t="s">
        <v>1941</v>
      </c>
      <c r="L3067" s="1" t="s">
        <v>1943</v>
      </c>
      <c r="M3067" s="1" t="s">
        <v>27</v>
      </c>
      <c r="N3067" s="1" t="s">
        <v>5479</v>
      </c>
      <c r="O3067" s="1" t="s">
        <v>400</v>
      </c>
      <c r="P3067" s="1" t="s">
        <v>401</v>
      </c>
      <c r="Q3067" s="63" t="str">
        <f>HYPERLINK("http://www.newswest9.com/story/27643563/midland-police-identify-officer-killed-in-murder-suicide","http://www.newswest9.com/story/27643563/midland-police-identify-officer-killed-in-murder-suicide")</f>
        <v>http://www.newswest9.com/story/27643563/midland-police-identify-officer-killed-in-murder-suicide</v>
      </c>
      <c r="R3067" s="1" t="s">
        <v>29</v>
      </c>
      <c r="S3067" s="13" t="s">
        <v>18</v>
      </c>
    </row>
    <row r="3068" spans="1:62" ht="12" customHeight="1" x14ac:dyDescent="0.15">
      <c r="A3068" s="1" t="s">
        <v>5472</v>
      </c>
      <c r="B3068" s="1">
        <v>35</v>
      </c>
      <c r="C3068" s="1" t="s">
        <v>20</v>
      </c>
      <c r="D3068" s="1" t="s">
        <v>85</v>
      </c>
      <c r="E3068" s="1" t="str">
        <f>HYPERLINK("http://www.arklatexhomepage.com/media/lib/186/8/4/d/84d8a85a-cc51-4371-b6d1-6a6fb81977f1/Story.jpg","http://www.arklatexhomepage.com/media/lib/186/8/4/d/84d8a85a-cc51-4371-b6d1-6a6fb81977f1/Story.jpg")</f>
        <v>http://www.arklatexhomepage.com/media/lib/186/8/4/d/84d8a85a-cc51-4371-b6d1-6a6fb81977f1/Story.jpg</v>
      </c>
      <c r="F3068" s="72">
        <v>41988</v>
      </c>
      <c r="G3068" s="1" t="s">
        <v>5473</v>
      </c>
      <c r="H3068" s="1" t="s">
        <v>1088</v>
      </c>
      <c r="I3068" s="1" t="s">
        <v>73</v>
      </c>
      <c r="J3068" s="4">
        <v>75501</v>
      </c>
      <c r="K3068" s="1" t="s">
        <v>5474</v>
      </c>
      <c r="L3068" s="1" t="s">
        <v>1090</v>
      </c>
      <c r="M3068" s="1" t="s">
        <v>27</v>
      </c>
      <c r="N3068" s="1" t="s">
        <v>5475</v>
      </c>
      <c r="O3068" s="1" t="s">
        <v>550</v>
      </c>
      <c r="P3068" s="1" t="s">
        <v>401</v>
      </c>
      <c r="Q3068" s="63" t="s">
        <v>5476</v>
      </c>
      <c r="R3068" s="1" t="s">
        <v>555</v>
      </c>
      <c r="S3068" s="13" t="s">
        <v>18</v>
      </c>
      <c r="AX3068" s="44"/>
      <c r="AY3068" s="44"/>
      <c r="BC3068" s="11"/>
      <c r="BD3068" s="11"/>
      <c r="BE3068" s="11"/>
      <c r="BF3068" s="11"/>
      <c r="BG3068" s="11"/>
      <c r="BH3068" s="11"/>
      <c r="BI3068" s="11"/>
      <c r="BJ3068" s="11"/>
    </row>
    <row r="3069" spans="1:62" ht="12" customHeight="1" x14ac:dyDescent="0.15">
      <c r="A3069" s="1" t="s">
        <v>5480</v>
      </c>
      <c r="B3069" s="1">
        <v>23</v>
      </c>
      <c r="C3069" s="1" t="s">
        <v>20</v>
      </c>
      <c r="D3069" s="1" t="s">
        <v>85</v>
      </c>
      <c r="F3069" s="72">
        <v>41987</v>
      </c>
      <c r="G3069" s="1" t="s">
        <v>5481</v>
      </c>
      <c r="H3069" s="1" t="s">
        <v>5482</v>
      </c>
      <c r="I3069" s="1" t="s">
        <v>669</v>
      </c>
      <c r="J3069" s="4">
        <v>39157</v>
      </c>
      <c r="K3069" s="1" t="s">
        <v>2160</v>
      </c>
      <c r="L3069" s="1" t="s">
        <v>5483</v>
      </c>
      <c r="M3069" s="1" t="s">
        <v>27</v>
      </c>
      <c r="N3069" s="1" t="s">
        <v>5484</v>
      </c>
      <c r="O3069" s="1" t="s">
        <v>550</v>
      </c>
      <c r="P3069" s="1" t="s">
        <v>401</v>
      </c>
      <c r="Q3069" s="6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3069" s="1" t="s">
        <v>100</v>
      </c>
      <c r="S3069" s="13" t="s">
        <v>28</v>
      </c>
      <c r="AX3069" s="44"/>
      <c r="AY3069" s="44"/>
      <c r="BC3069" s="11"/>
      <c r="BD3069" s="11"/>
      <c r="BE3069" s="11"/>
      <c r="BF3069" s="11"/>
      <c r="BG3069" s="11"/>
      <c r="BH3069" s="11"/>
      <c r="BI3069" s="11"/>
      <c r="BJ3069" s="11"/>
    </row>
    <row r="3070" spans="1:62" ht="12" customHeight="1" x14ac:dyDescent="0.15">
      <c r="A3070" s="1" t="s">
        <v>20275</v>
      </c>
      <c r="B3070" s="1">
        <v>25</v>
      </c>
      <c r="C3070" s="1" t="s">
        <v>114</v>
      </c>
      <c r="D3070" s="1" t="s">
        <v>85</v>
      </c>
      <c r="F3070" s="72">
        <v>41987</v>
      </c>
      <c r="G3070" s="1" t="s">
        <v>20276</v>
      </c>
      <c r="H3070" s="1" t="s">
        <v>444</v>
      </c>
      <c r="I3070" s="1" t="s">
        <v>57</v>
      </c>
      <c r="J3070" s="3" t="s">
        <v>20277</v>
      </c>
      <c r="K3070" s="2" t="s">
        <v>1128</v>
      </c>
      <c r="L3070" s="2" t="s">
        <v>2177</v>
      </c>
      <c r="M3070" s="2" t="s">
        <v>379</v>
      </c>
      <c r="N3070" s="2" t="s">
        <v>20278</v>
      </c>
      <c r="O3070" s="2" t="s">
        <v>1010</v>
      </c>
      <c r="P3070" s="1" t="s">
        <v>401</v>
      </c>
      <c r="Q3070" s="7" t="s">
        <v>20279</v>
      </c>
      <c r="R3070" s="2" t="s">
        <v>100</v>
      </c>
      <c r="S3070" s="66" t="s">
        <v>379</v>
      </c>
      <c r="T3070" s="66" t="s">
        <v>30738</v>
      </c>
      <c r="AX3070" s="44"/>
      <c r="AY3070" s="44"/>
      <c r="BC3070" s="11"/>
      <c r="BD3070" s="11"/>
      <c r="BE3070" s="11"/>
      <c r="BF3070" s="11"/>
      <c r="BG3070" s="11"/>
      <c r="BH3070" s="11"/>
      <c r="BI3070" s="11"/>
      <c r="BJ3070" s="11"/>
    </row>
    <row r="3071" spans="1:62" ht="12" customHeight="1" x14ac:dyDescent="0.15">
      <c r="A3071" s="1" t="s">
        <v>5485</v>
      </c>
      <c r="B3071" s="1">
        <v>51</v>
      </c>
      <c r="C3071" s="1" t="s">
        <v>20</v>
      </c>
      <c r="D3071" s="1" t="s">
        <v>48</v>
      </c>
      <c r="F3071" s="72">
        <v>41987</v>
      </c>
      <c r="G3071" s="1" t="s">
        <v>5486</v>
      </c>
      <c r="I3071" s="1" t="s">
        <v>62</v>
      </c>
      <c r="J3071" s="4">
        <v>32259</v>
      </c>
      <c r="K3071" s="1" t="s">
        <v>2397</v>
      </c>
      <c r="L3071" s="1" t="s">
        <v>5487</v>
      </c>
      <c r="M3071" s="1" t="s">
        <v>27</v>
      </c>
      <c r="N3071" s="1" t="s">
        <v>5488</v>
      </c>
      <c r="P3071" s="1" t="s">
        <v>401</v>
      </c>
      <c r="Q3071" s="63" t="s">
        <v>5489</v>
      </c>
      <c r="R3071" s="1" t="s">
        <v>29</v>
      </c>
      <c r="S3071" s="13" t="s">
        <v>35</v>
      </c>
    </row>
    <row r="3072" spans="1:62" ht="12" customHeight="1" x14ac:dyDescent="0.15">
      <c r="A3072" s="1" t="s">
        <v>5490</v>
      </c>
      <c r="B3072" s="1">
        <v>65</v>
      </c>
      <c r="C3072" s="1" t="s">
        <v>20</v>
      </c>
      <c r="D3072" s="1" t="s">
        <v>30</v>
      </c>
      <c r="F3072" s="72">
        <v>41987</v>
      </c>
      <c r="G3072" s="1" t="s">
        <v>5491</v>
      </c>
      <c r="H3072" s="1" t="s">
        <v>5492</v>
      </c>
      <c r="I3072" s="1" t="s">
        <v>45</v>
      </c>
      <c r="J3072" s="4">
        <v>92570</v>
      </c>
      <c r="K3072" s="1" t="s">
        <v>783</v>
      </c>
      <c r="L3072" s="1" t="s">
        <v>784</v>
      </c>
      <c r="M3072" s="1" t="s">
        <v>27</v>
      </c>
      <c r="N3072" s="1" t="s">
        <v>5493</v>
      </c>
      <c r="P3072" s="1" t="s">
        <v>401</v>
      </c>
      <c r="Q3072" s="63" t="s">
        <v>5494</v>
      </c>
      <c r="R3072" s="1" t="s">
        <v>29</v>
      </c>
      <c r="S3072" s="13" t="s">
        <v>35</v>
      </c>
    </row>
    <row r="3073" spans="1:62" ht="12" customHeight="1" x14ac:dyDescent="0.15">
      <c r="A3073" s="1" t="s">
        <v>20280</v>
      </c>
      <c r="B3073" s="1">
        <v>46</v>
      </c>
      <c r="C3073" s="1" t="s">
        <v>20</v>
      </c>
      <c r="D3073" s="1" t="s">
        <v>85</v>
      </c>
      <c r="F3073" s="72">
        <v>41986</v>
      </c>
      <c r="G3073" s="1" t="s">
        <v>20281</v>
      </c>
      <c r="H3073" s="1" t="s">
        <v>709</v>
      </c>
      <c r="I3073" s="1" t="s">
        <v>431</v>
      </c>
      <c r="J3073" s="3" t="s">
        <v>4744</v>
      </c>
      <c r="K3073" s="2" t="s">
        <v>20282</v>
      </c>
      <c r="L3073" s="2" t="s">
        <v>4516</v>
      </c>
      <c r="M3073" s="2" t="s">
        <v>379</v>
      </c>
      <c r="N3073" s="2" t="s">
        <v>21169</v>
      </c>
      <c r="O3073" s="2" t="s">
        <v>1010</v>
      </c>
      <c r="P3073" s="1" t="s">
        <v>401</v>
      </c>
      <c r="Q3073" s="7" t="s">
        <v>20283</v>
      </c>
      <c r="R3073" s="2" t="s">
        <v>100</v>
      </c>
      <c r="S3073" s="66" t="s">
        <v>379</v>
      </c>
      <c r="T3073" s="66" t="s">
        <v>30738</v>
      </c>
      <c r="AX3073" s="44"/>
      <c r="AY3073" s="44"/>
      <c r="BC3073" s="11"/>
      <c r="BD3073" s="11"/>
      <c r="BE3073" s="11"/>
      <c r="BF3073" s="11"/>
      <c r="BG3073" s="11"/>
      <c r="BH3073" s="11"/>
      <c r="BI3073" s="11"/>
      <c r="BJ3073" s="11"/>
    </row>
    <row r="3074" spans="1:62" ht="12" customHeight="1" x14ac:dyDescent="0.15">
      <c r="A3074" s="1" t="s">
        <v>5495</v>
      </c>
      <c r="B3074" s="1">
        <v>19</v>
      </c>
      <c r="C3074" s="1" t="s">
        <v>20</v>
      </c>
      <c r="D3074" s="1" t="s">
        <v>48</v>
      </c>
      <c r="F3074" s="72">
        <v>41986</v>
      </c>
      <c r="G3074" s="1" t="s">
        <v>5496</v>
      </c>
      <c r="H3074" s="1" t="s">
        <v>2788</v>
      </c>
      <c r="I3074" s="1" t="s">
        <v>363</v>
      </c>
      <c r="J3074" s="4">
        <v>66606</v>
      </c>
      <c r="K3074" s="1" t="s">
        <v>2790</v>
      </c>
      <c r="L3074" s="1" t="s">
        <v>2791</v>
      </c>
      <c r="M3074" s="1" t="s">
        <v>27</v>
      </c>
      <c r="N3074" s="1" t="s">
        <v>5497</v>
      </c>
      <c r="O3074" s="1" t="s">
        <v>550</v>
      </c>
      <c r="P3074" s="1" t="s">
        <v>401</v>
      </c>
      <c r="Q3074" s="63" t="s">
        <v>5498</v>
      </c>
      <c r="R3074" s="1" t="s">
        <v>29</v>
      </c>
      <c r="S3074" s="13" t="s">
        <v>28</v>
      </c>
    </row>
    <row r="3075" spans="1:62" ht="12" customHeight="1" x14ac:dyDescent="0.15">
      <c r="A3075" s="1" t="s">
        <v>5499</v>
      </c>
      <c r="B3075" s="1">
        <v>27</v>
      </c>
      <c r="C3075" s="1" t="s">
        <v>20</v>
      </c>
      <c r="D3075" s="1" t="s">
        <v>30</v>
      </c>
      <c r="F3075" s="72">
        <v>41986</v>
      </c>
      <c r="G3075" s="1" t="s">
        <v>5500</v>
      </c>
      <c r="H3075" s="1" t="s">
        <v>5501</v>
      </c>
      <c r="I3075" s="1" t="s">
        <v>319</v>
      </c>
      <c r="J3075" s="4">
        <v>37862</v>
      </c>
      <c r="K3075" s="1" t="s">
        <v>5502</v>
      </c>
      <c r="L3075" s="1" t="s">
        <v>5503</v>
      </c>
      <c r="M3075" s="1" t="s">
        <v>27</v>
      </c>
      <c r="N3075" s="1" t="s">
        <v>5504</v>
      </c>
      <c r="P3075" s="1" t="s">
        <v>401</v>
      </c>
      <c r="Q3075" s="6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3075" s="1" t="s">
        <v>29</v>
      </c>
      <c r="S3075" s="13" t="s">
        <v>28</v>
      </c>
    </row>
    <row r="3076" spans="1:62" ht="12" customHeight="1" x14ac:dyDescent="0.15">
      <c r="A3076" s="1" t="s">
        <v>5505</v>
      </c>
      <c r="B3076" s="1">
        <v>22</v>
      </c>
      <c r="C3076" s="1" t="s">
        <v>20</v>
      </c>
      <c r="D3076" s="1" t="s">
        <v>37</v>
      </c>
      <c r="F3076" s="72">
        <v>41986</v>
      </c>
      <c r="G3076" s="1" t="s">
        <v>5506</v>
      </c>
      <c r="H3076" s="1" t="s">
        <v>580</v>
      </c>
      <c r="I3076" s="1" t="s">
        <v>69</v>
      </c>
      <c r="J3076" s="4">
        <v>43050</v>
      </c>
      <c r="K3076" s="1" t="s">
        <v>2681</v>
      </c>
      <c r="L3076" s="1" t="s">
        <v>5507</v>
      </c>
      <c r="M3076" s="1" t="s">
        <v>27</v>
      </c>
      <c r="N3076" s="1" t="s">
        <v>5508</v>
      </c>
      <c r="P3076" s="1" t="s">
        <v>401</v>
      </c>
      <c r="Q3076" s="63" t="s">
        <v>5509</v>
      </c>
      <c r="R3076" s="1" t="s">
        <v>29</v>
      </c>
      <c r="S3076" s="13" t="s">
        <v>35</v>
      </c>
    </row>
    <row r="3077" spans="1:62" ht="12" customHeight="1" x14ac:dyDescent="0.15">
      <c r="A3077" s="1" t="s">
        <v>5510</v>
      </c>
      <c r="B3077" s="1">
        <v>22</v>
      </c>
      <c r="C3077" s="1" t="s">
        <v>20</v>
      </c>
      <c r="D3077" s="1" t="s">
        <v>85</v>
      </c>
      <c r="E3077" s="1" t="s">
        <v>5511</v>
      </c>
      <c r="F3077" s="72">
        <v>41985</v>
      </c>
      <c r="G3077" s="1" t="s">
        <v>5512</v>
      </c>
      <c r="H3077" s="1" t="s">
        <v>5513</v>
      </c>
      <c r="I3077" s="1" t="s">
        <v>431</v>
      </c>
      <c r="J3077" s="4" t="s">
        <v>5514</v>
      </c>
      <c r="K3077" s="1" t="s">
        <v>5515</v>
      </c>
      <c r="L3077" s="1" t="s">
        <v>5516</v>
      </c>
      <c r="M3077" s="1" t="s">
        <v>27</v>
      </c>
      <c r="N3077" s="1" t="s">
        <v>5517</v>
      </c>
      <c r="P3077" s="1" t="s">
        <v>401</v>
      </c>
      <c r="Q3077" s="63" t="s">
        <v>5518</v>
      </c>
      <c r="R3077" s="1" t="s">
        <v>100</v>
      </c>
      <c r="S3077" s="13" t="s">
        <v>28</v>
      </c>
      <c r="AX3077" s="44"/>
      <c r="AY3077" s="44"/>
      <c r="BC3077" s="11"/>
      <c r="BD3077" s="11"/>
      <c r="BE3077" s="11"/>
      <c r="BF3077" s="11"/>
      <c r="BG3077" s="11"/>
      <c r="BH3077" s="11"/>
      <c r="BI3077" s="11"/>
      <c r="BJ3077" s="11"/>
    </row>
    <row r="3078" spans="1:62" ht="12" customHeight="1" x14ac:dyDescent="0.15">
      <c r="A3078" s="1" t="s">
        <v>5525</v>
      </c>
      <c r="B3078" s="1">
        <v>27</v>
      </c>
      <c r="C3078" s="1" t="s">
        <v>20</v>
      </c>
      <c r="D3078" s="1" t="s">
        <v>37</v>
      </c>
      <c r="E3078" s="1" t="s">
        <v>5526</v>
      </c>
      <c r="F3078" s="72">
        <v>41984</v>
      </c>
      <c r="G3078" s="1" t="s">
        <v>5527</v>
      </c>
      <c r="H3078" s="1" t="s">
        <v>5528</v>
      </c>
      <c r="I3078" s="1" t="s">
        <v>62</v>
      </c>
      <c r="J3078" s="4" t="s">
        <v>5529</v>
      </c>
      <c r="K3078" s="1" t="s">
        <v>5318</v>
      </c>
      <c r="L3078" s="1" t="s">
        <v>5530</v>
      </c>
      <c r="M3078" s="1" t="s">
        <v>27</v>
      </c>
      <c r="N3078" s="1" t="s">
        <v>5531</v>
      </c>
      <c r="P3078" s="1" t="s">
        <v>401</v>
      </c>
      <c r="Q3078" s="63" t="s">
        <v>5532</v>
      </c>
      <c r="R3078" s="1" t="s">
        <v>100</v>
      </c>
      <c r="S3078" s="13" t="s">
        <v>28</v>
      </c>
    </row>
    <row r="3079" spans="1:62" ht="12" customHeight="1" x14ac:dyDescent="0.15">
      <c r="A3079" s="1" t="s">
        <v>5519</v>
      </c>
      <c r="B3079" s="1">
        <v>28</v>
      </c>
      <c r="C3079" s="1" t="s">
        <v>20</v>
      </c>
      <c r="D3079" s="1" t="s">
        <v>37</v>
      </c>
      <c r="E3079" s="1" t="s">
        <v>5520</v>
      </c>
      <c r="F3079" s="72">
        <v>41984</v>
      </c>
      <c r="G3079" s="1" t="s">
        <v>5521</v>
      </c>
      <c r="H3079" s="1" t="s">
        <v>5522</v>
      </c>
      <c r="I3079" s="1" t="s">
        <v>209</v>
      </c>
      <c r="J3079" s="4" t="s">
        <v>2894</v>
      </c>
      <c r="K3079" s="1" t="s">
        <v>1141</v>
      </c>
      <c r="L3079" s="1" t="s">
        <v>5523</v>
      </c>
      <c r="M3079" s="1" t="s">
        <v>27</v>
      </c>
      <c r="N3079" s="1" t="s">
        <v>5524</v>
      </c>
      <c r="P3079" s="1" t="s">
        <v>401</v>
      </c>
      <c r="Q3079" s="6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3079" s="1" t="s">
        <v>555</v>
      </c>
      <c r="S3079" s="13" t="s">
        <v>28</v>
      </c>
      <c r="BA3079" s="11"/>
      <c r="BB3079" s="11"/>
    </row>
    <row r="3080" spans="1:62" ht="12" customHeight="1" x14ac:dyDescent="0.15">
      <c r="A3080" s="1" t="s">
        <v>5540</v>
      </c>
      <c r="B3080" s="1">
        <v>38</v>
      </c>
      <c r="C3080" s="1" t="s">
        <v>20</v>
      </c>
      <c r="D3080" s="1" t="s">
        <v>30</v>
      </c>
      <c r="F3080" s="72">
        <v>41983</v>
      </c>
      <c r="G3080" s="1" t="s">
        <v>5541</v>
      </c>
      <c r="H3080" s="1" t="s">
        <v>5542</v>
      </c>
      <c r="I3080" s="1" t="s">
        <v>45</v>
      </c>
      <c r="J3080" s="4" t="s">
        <v>5543</v>
      </c>
      <c r="K3080" s="1" t="s">
        <v>783</v>
      </c>
      <c r="L3080" s="1" t="s">
        <v>4775</v>
      </c>
      <c r="M3080" s="1" t="s">
        <v>27</v>
      </c>
      <c r="N3080" s="1" t="s">
        <v>5544</v>
      </c>
      <c r="O3080" s="1" t="s">
        <v>400</v>
      </c>
      <c r="P3080" s="1" t="s">
        <v>401</v>
      </c>
      <c r="Q3080" s="63" t="s">
        <v>5545</v>
      </c>
      <c r="R3080" s="1" t="s">
        <v>100</v>
      </c>
      <c r="S3080" s="13" t="s">
        <v>28</v>
      </c>
    </row>
    <row r="3081" spans="1:62" ht="12" customHeight="1" x14ac:dyDescent="0.15">
      <c r="A3081" s="1" t="s">
        <v>5533</v>
      </c>
      <c r="B3081" s="1">
        <v>24</v>
      </c>
      <c r="C3081" s="1" t="s">
        <v>20</v>
      </c>
      <c r="D3081" s="1" t="s">
        <v>85</v>
      </c>
      <c r="E3081" s="1" t="s">
        <v>5534</v>
      </c>
      <c r="F3081" s="72">
        <v>41983</v>
      </c>
      <c r="G3081" s="1" t="s">
        <v>5535</v>
      </c>
      <c r="H3081" s="1" t="s">
        <v>5536</v>
      </c>
      <c r="I3081" s="1" t="s">
        <v>366</v>
      </c>
      <c r="J3081" s="4" t="s">
        <v>5537</v>
      </c>
      <c r="K3081" s="1" t="s">
        <v>5538</v>
      </c>
      <c r="L3081" s="1" t="s">
        <v>9194</v>
      </c>
      <c r="M3081" s="1" t="s">
        <v>27</v>
      </c>
      <c r="N3081" s="1" t="s">
        <v>5539</v>
      </c>
      <c r="P3081" s="1" t="s">
        <v>401</v>
      </c>
      <c r="Q3081" s="63" t="str">
        <f>HYPERLINK("http://wvtm.membercenter.worldnow.com/story/27598792/1-dead-in-sanford-officer-involved-shooting","http://wvtm.membercenter.worldnow.com/story/27598792/1-dead-in-sanford-officer-involved-shooting")</f>
        <v>http://wvtm.membercenter.worldnow.com/story/27598792/1-dead-in-sanford-officer-involved-shooting</v>
      </c>
      <c r="R3081" s="1" t="s">
        <v>100</v>
      </c>
      <c r="S3081" s="13" t="s">
        <v>35</v>
      </c>
      <c r="AX3081" s="44"/>
      <c r="AY3081" s="44"/>
      <c r="BC3081" s="11"/>
      <c r="BD3081" s="11"/>
      <c r="BE3081" s="11"/>
      <c r="BF3081" s="11"/>
      <c r="BG3081" s="11"/>
      <c r="BH3081" s="11"/>
      <c r="BI3081" s="11"/>
      <c r="BJ3081" s="11"/>
    </row>
    <row r="3082" spans="1:62" ht="12" customHeight="1" x14ac:dyDescent="0.15">
      <c r="A3082" s="1" t="s">
        <v>3252</v>
      </c>
      <c r="B3082" s="1" t="s">
        <v>29</v>
      </c>
      <c r="C3082" s="1" t="s">
        <v>20</v>
      </c>
      <c r="D3082" s="1" t="s">
        <v>30</v>
      </c>
      <c r="F3082" s="72">
        <v>41983</v>
      </c>
      <c r="G3082" s="1" t="s">
        <v>5541</v>
      </c>
      <c r="H3082" s="1" t="s">
        <v>5542</v>
      </c>
      <c r="I3082" s="1" t="s">
        <v>45</v>
      </c>
      <c r="J3082" s="4">
        <v>92595</v>
      </c>
      <c r="K3082" s="1" t="s">
        <v>783</v>
      </c>
      <c r="L3082" s="1" t="s">
        <v>784</v>
      </c>
      <c r="M3082" s="1" t="s">
        <v>27</v>
      </c>
      <c r="N3082" s="1" t="s">
        <v>5546</v>
      </c>
      <c r="P3082" s="1" t="s">
        <v>401</v>
      </c>
      <c r="Q3082" s="63" t="s">
        <v>5545</v>
      </c>
      <c r="R3082" s="1" t="s">
        <v>29</v>
      </c>
      <c r="S3082" s="13" t="s">
        <v>35</v>
      </c>
    </row>
    <row r="3083" spans="1:62" ht="12" customHeight="1" x14ac:dyDescent="0.15">
      <c r="A3083" s="1" t="s">
        <v>5559</v>
      </c>
      <c r="B3083" s="1">
        <v>84</v>
      </c>
      <c r="C3083" s="1" t="s">
        <v>20</v>
      </c>
      <c r="D3083" s="1" t="s">
        <v>37</v>
      </c>
      <c r="E3083" s="1" t="s">
        <v>5560</v>
      </c>
      <c r="F3083" s="72">
        <v>41982</v>
      </c>
      <c r="G3083" s="1" t="s">
        <v>5561</v>
      </c>
      <c r="H3083" s="1" t="s">
        <v>5555</v>
      </c>
      <c r="I3083" s="1" t="s">
        <v>217</v>
      </c>
      <c r="J3083" s="4" t="s">
        <v>5556</v>
      </c>
      <c r="K3083" s="1" t="s">
        <v>1256</v>
      </c>
      <c r="L3083" s="1" t="s">
        <v>5557</v>
      </c>
      <c r="M3083" s="1" t="s">
        <v>27</v>
      </c>
      <c r="N3083" s="1" t="s">
        <v>5562</v>
      </c>
      <c r="O3083" s="1" t="s">
        <v>550</v>
      </c>
      <c r="P3083" s="1" t="s">
        <v>401</v>
      </c>
      <c r="Q3083" s="63" t="s">
        <v>5563</v>
      </c>
      <c r="R3083" s="1" t="s">
        <v>100</v>
      </c>
      <c r="S3083" s="13" t="s">
        <v>28</v>
      </c>
    </row>
    <row r="3084" spans="1:62" ht="12" customHeight="1" x14ac:dyDescent="0.15">
      <c r="A3084" s="1" t="s">
        <v>5552</v>
      </c>
      <c r="B3084" s="1">
        <v>84</v>
      </c>
      <c r="C3084" s="1" t="s">
        <v>20</v>
      </c>
      <c r="D3084" s="1" t="s">
        <v>37</v>
      </c>
      <c r="E3084" s="1" t="s">
        <v>5553</v>
      </c>
      <c r="F3084" s="72">
        <v>41982</v>
      </c>
      <c r="G3084" s="1" t="s">
        <v>5554</v>
      </c>
      <c r="H3084" s="1" t="s">
        <v>5555</v>
      </c>
      <c r="I3084" s="1" t="s">
        <v>217</v>
      </c>
      <c r="J3084" s="4" t="s">
        <v>5556</v>
      </c>
      <c r="K3084" s="1" t="s">
        <v>1256</v>
      </c>
      <c r="L3084" s="1" t="s">
        <v>5557</v>
      </c>
      <c r="M3084" s="1" t="s">
        <v>27</v>
      </c>
      <c r="N3084" s="1" t="s">
        <v>5558</v>
      </c>
      <c r="O3084" s="1" t="s">
        <v>550</v>
      </c>
      <c r="P3084" s="1" t="s">
        <v>401</v>
      </c>
      <c r="Q3084" s="63" t="str">
        <f>HYPERLINK("http://abc7chicago.com/news/armed-man-84-fatally-shot-by-police-in-lake-station-ind/428887/","http://abc7chicago.com/news/armed-man-84-fatally-shot-by-police-in-lake-station-ind/428887/")</f>
        <v>http://abc7chicago.com/news/armed-man-84-fatally-shot-by-police-in-lake-station-ind/428887/</v>
      </c>
      <c r="R3084" s="1" t="s">
        <v>29</v>
      </c>
      <c r="S3084" s="13" t="s">
        <v>28</v>
      </c>
    </row>
    <row r="3085" spans="1:62" ht="12" customHeight="1" x14ac:dyDescent="0.15">
      <c r="A3085" s="1" t="s">
        <v>5547</v>
      </c>
      <c r="B3085" s="1">
        <v>49</v>
      </c>
      <c r="C3085" s="1" t="s">
        <v>20</v>
      </c>
      <c r="D3085" s="1" t="s">
        <v>85</v>
      </c>
      <c r="F3085" s="72">
        <v>41982</v>
      </c>
      <c r="G3085" s="1" t="s">
        <v>5548</v>
      </c>
      <c r="H3085" s="1" t="s">
        <v>754</v>
      </c>
      <c r="I3085" s="1" t="s">
        <v>423</v>
      </c>
      <c r="J3085" s="4" t="s">
        <v>5549</v>
      </c>
      <c r="K3085" s="1" t="s">
        <v>1712</v>
      </c>
      <c r="L3085" s="1" t="s">
        <v>582</v>
      </c>
      <c r="M3085" s="1" t="s">
        <v>27</v>
      </c>
      <c r="N3085" s="1" t="s">
        <v>5550</v>
      </c>
      <c r="O3085" s="1" t="s">
        <v>400</v>
      </c>
      <c r="P3085" s="1" t="s">
        <v>401</v>
      </c>
      <c r="Q3085" s="63" t="s">
        <v>5551</v>
      </c>
      <c r="R3085" s="1" t="s">
        <v>555</v>
      </c>
      <c r="S3085" s="13" t="s">
        <v>28</v>
      </c>
      <c r="AX3085" s="44"/>
      <c r="AY3085" s="44"/>
      <c r="BC3085" s="11"/>
      <c r="BD3085" s="11"/>
      <c r="BE3085" s="11"/>
      <c r="BF3085" s="11"/>
      <c r="BG3085" s="11"/>
      <c r="BH3085" s="11"/>
      <c r="BI3085" s="11"/>
      <c r="BJ3085" s="11"/>
    </row>
    <row r="3086" spans="1:62" ht="12" customHeight="1" x14ac:dyDescent="0.15">
      <c r="A3086" s="1" t="s">
        <v>5564</v>
      </c>
      <c r="B3086" s="1">
        <v>31</v>
      </c>
      <c r="C3086" s="1" t="s">
        <v>20</v>
      </c>
      <c r="D3086" s="1" t="s">
        <v>85</v>
      </c>
      <c r="F3086" s="72">
        <v>41981</v>
      </c>
      <c r="G3086" s="1" t="s">
        <v>5565</v>
      </c>
      <c r="H3086" s="1" t="s">
        <v>575</v>
      </c>
      <c r="I3086" s="1" t="s">
        <v>73</v>
      </c>
      <c r="J3086" s="4" t="s">
        <v>5566</v>
      </c>
      <c r="K3086" s="1" t="s">
        <v>576</v>
      </c>
      <c r="L3086" s="1" t="s">
        <v>585</v>
      </c>
      <c r="M3086" s="1" t="s">
        <v>27</v>
      </c>
      <c r="N3086" s="1" t="s">
        <v>5567</v>
      </c>
      <c r="P3086" s="1" t="s">
        <v>401</v>
      </c>
      <c r="Q3086" s="63" t="s">
        <v>5568</v>
      </c>
      <c r="R3086" s="1" t="s">
        <v>100</v>
      </c>
      <c r="S3086" s="13" t="s">
        <v>28</v>
      </c>
      <c r="AX3086" s="44"/>
      <c r="AY3086" s="44"/>
      <c r="BC3086" s="11"/>
      <c r="BD3086" s="11"/>
      <c r="BE3086" s="11"/>
      <c r="BF3086" s="11"/>
      <c r="BG3086" s="11"/>
      <c r="BH3086" s="11"/>
      <c r="BI3086" s="11"/>
      <c r="BJ3086" s="11"/>
    </row>
    <row r="3087" spans="1:62" ht="12" customHeight="1" x14ac:dyDescent="0.15">
      <c r="A3087" s="1" t="s">
        <v>5569</v>
      </c>
      <c r="B3087" s="1">
        <v>27</v>
      </c>
      <c r="C3087" s="1" t="s">
        <v>20</v>
      </c>
      <c r="D3087" s="1" t="s">
        <v>48</v>
      </c>
      <c r="E3087" s="1" t="s">
        <v>5570</v>
      </c>
      <c r="F3087" s="72">
        <v>41981</v>
      </c>
      <c r="G3087" s="1" t="s">
        <v>5571</v>
      </c>
      <c r="H3087" s="1" t="s">
        <v>5572</v>
      </c>
      <c r="I3087" s="1" t="s">
        <v>57</v>
      </c>
      <c r="J3087" s="4">
        <v>48917</v>
      </c>
      <c r="K3087" s="1" t="s">
        <v>5573</v>
      </c>
      <c r="L3087" s="1" t="s">
        <v>5574</v>
      </c>
      <c r="M3087" s="1" t="s">
        <v>27</v>
      </c>
      <c r="N3087" s="1" t="s">
        <v>5575</v>
      </c>
      <c r="P3087" s="1" t="s">
        <v>401</v>
      </c>
      <c r="Q3087" s="63" t="str">
        <f>HYPERLINK("http://www.lansingstatejournal.com/story/news/local/2014/12/08/shooting-lansing-township/20101031/","http://www.lansingstatejournal.com/story/news/local/2014/12/08/shooting-lansing-township/20101031/")</f>
        <v>http://www.lansingstatejournal.com/story/news/local/2014/12/08/shooting-lansing-township/20101031/</v>
      </c>
      <c r="R3087" s="1" t="s">
        <v>29</v>
      </c>
      <c r="S3087" s="13" t="s">
        <v>28</v>
      </c>
    </row>
    <row r="3088" spans="1:62" ht="12" customHeight="1" x14ac:dyDescent="0.15">
      <c r="A3088" s="1" t="s">
        <v>5576</v>
      </c>
      <c r="B3088" s="1">
        <v>39</v>
      </c>
      <c r="C3088" s="1" t="s">
        <v>20</v>
      </c>
      <c r="D3088" s="1" t="s">
        <v>85</v>
      </c>
      <c r="E3088" s="1" t="s">
        <v>5577</v>
      </c>
      <c r="F3088" s="72">
        <v>41980</v>
      </c>
      <c r="G3088" s="1" t="s">
        <v>5578</v>
      </c>
      <c r="H3088" s="1" t="s">
        <v>1094</v>
      </c>
      <c r="I3088" s="1" t="s">
        <v>395</v>
      </c>
      <c r="J3088" s="4" t="s">
        <v>5579</v>
      </c>
      <c r="K3088" s="1" t="s">
        <v>1095</v>
      </c>
      <c r="L3088" s="1" t="s">
        <v>1096</v>
      </c>
      <c r="M3088" s="1" t="s">
        <v>27</v>
      </c>
      <c r="N3088" s="1" t="s">
        <v>5580</v>
      </c>
      <c r="O3088" s="1" t="s">
        <v>400</v>
      </c>
      <c r="P3088" s="1" t="s">
        <v>401</v>
      </c>
      <c r="Q3088" s="63" t="s">
        <v>5581</v>
      </c>
      <c r="R3088" s="1" t="s">
        <v>100</v>
      </c>
      <c r="S3088" s="13" t="s">
        <v>28</v>
      </c>
      <c r="AX3088" s="44"/>
      <c r="AY3088" s="44"/>
      <c r="BC3088" s="11"/>
      <c r="BD3088" s="11"/>
      <c r="BE3088" s="11"/>
      <c r="BF3088" s="11"/>
      <c r="BG3088" s="11"/>
      <c r="BH3088" s="11"/>
      <c r="BI3088" s="11"/>
      <c r="BJ3088" s="11"/>
    </row>
    <row r="3089" spans="1:62" ht="12" customHeight="1" x14ac:dyDescent="0.15">
      <c r="A3089" s="1" t="s">
        <v>5591</v>
      </c>
      <c r="B3089" s="1">
        <v>27</v>
      </c>
      <c r="C3089" s="1" t="s">
        <v>114</v>
      </c>
      <c r="D3089" s="1" t="s">
        <v>48</v>
      </c>
      <c r="F3089" s="72">
        <v>41980</v>
      </c>
      <c r="G3089" s="1" t="s">
        <v>5592</v>
      </c>
      <c r="H3089" s="1" t="s">
        <v>601</v>
      </c>
      <c r="I3089" s="1" t="s">
        <v>45</v>
      </c>
      <c r="J3089" s="4" t="s">
        <v>5593</v>
      </c>
      <c r="K3089" s="1" t="s">
        <v>602</v>
      </c>
      <c r="L3089" s="1" t="s">
        <v>5594</v>
      </c>
      <c r="M3089" s="1" t="s">
        <v>27</v>
      </c>
      <c r="N3089" s="1" t="s">
        <v>5595</v>
      </c>
      <c r="O3089" s="1" t="s">
        <v>1010</v>
      </c>
      <c r="P3089" s="1" t="s">
        <v>401</v>
      </c>
      <c r="Q3089" s="63" t="s">
        <v>5596</v>
      </c>
      <c r="R3089" s="1" t="s">
        <v>100</v>
      </c>
      <c r="S3089" s="13" t="s">
        <v>28</v>
      </c>
    </row>
    <row r="3090" spans="1:62" ht="12" customHeight="1" x14ac:dyDescent="0.15">
      <c r="A3090" s="1" t="s">
        <v>5582</v>
      </c>
      <c r="B3090" s="1">
        <v>32</v>
      </c>
      <c r="C3090" s="1" t="s">
        <v>20</v>
      </c>
      <c r="D3090" s="1" t="s">
        <v>48</v>
      </c>
      <c r="E3090" s="1" t="s">
        <v>5583</v>
      </c>
      <c r="F3090" s="72">
        <v>41980</v>
      </c>
      <c r="G3090" s="1" t="s">
        <v>5584</v>
      </c>
      <c r="H3090" s="1" t="s">
        <v>5585</v>
      </c>
      <c r="I3090" s="1" t="s">
        <v>62</v>
      </c>
      <c r="J3090" s="4" t="s">
        <v>5586</v>
      </c>
      <c r="K3090" s="1" t="s">
        <v>5587</v>
      </c>
      <c r="L3090" s="1" t="s">
        <v>5588</v>
      </c>
      <c r="M3090" s="1" t="s">
        <v>27</v>
      </c>
      <c r="N3090" s="1" t="s">
        <v>5589</v>
      </c>
      <c r="O3090" s="1" t="s">
        <v>1010</v>
      </c>
      <c r="P3090" s="1" t="s">
        <v>401</v>
      </c>
      <c r="Q3090" s="63" t="s">
        <v>5590</v>
      </c>
      <c r="R3090" s="1" t="s">
        <v>100</v>
      </c>
      <c r="S3090" s="13" t="s">
        <v>28</v>
      </c>
    </row>
    <row r="3091" spans="1:62" ht="12" customHeight="1" x14ac:dyDescent="0.15">
      <c r="A3091" s="1" t="s">
        <v>5605</v>
      </c>
      <c r="B3091" s="1">
        <v>29</v>
      </c>
      <c r="C3091" s="1" t="s">
        <v>20</v>
      </c>
      <c r="D3091" s="1" t="s">
        <v>37</v>
      </c>
      <c r="E3091" s="1" t="s">
        <v>5606</v>
      </c>
      <c r="F3091" s="72">
        <v>41980</v>
      </c>
      <c r="G3091" s="1" t="s">
        <v>5607</v>
      </c>
      <c r="H3091" s="1" t="s">
        <v>5608</v>
      </c>
      <c r="I3091" s="1" t="s">
        <v>366</v>
      </c>
      <c r="J3091" s="4" t="s">
        <v>5609</v>
      </c>
      <c r="K3091" s="1" t="s">
        <v>5610</v>
      </c>
      <c r="L3091" s="1" t="s">
        <v>5611</v>
      </c>
      <c r="M3091" s="1" t="s">
        <v>27</v>
      </c>
      <c r="N3091" s="1" t="s">
        <v>5612</v>
      </c>
      <c r="O3091" s="1" t="s">
        <v>400</v>
      </c>
      <c r="P3091" s="1" t="s">
        <v>401</v>
      </c>
      <c r="Q3091" s="63" t="s">
        <v>5613</v>
      </c>
      <c r="R3091" s="1" t="s">
        <v>29</v>
      </c>
      <c r="S3091" s="13" t="s">
        <v>28</v>
      </c>
    </row>
    <row r="3092" spans="1:62" ht="12" customHeight="1" x14ac:dyDescent="0.15">
      <c r="A3092" s="1" t="s">
        <v>5597</v>
      </c>
      <c r="B3092" s="1">
        <v>45</v>
      </c>
      <c r="C3092" s="1" t="s">
        <v>20</v>
      </c>
      <c r="D3092" s="1" t="s">
        <v>30</v>
      </c>
      <c r="F3092" s="72">
        <v>41980</v>
      </c>
      <c r="G3092" s="1" t="s">
        <v>5598</v>
      </c>
      <c r="H3092" s="1" t="s">
        <v>87</v>
      </c>
      <c r="I3092" s="1" t="s">
        <v>44</v>
      </c>
      <c r="J3092" s="4">
        <v>60655</v>
      </c>
      <c r="K3092" s="1" t="s">
        <v>88</v>
      </c>
      <c r="L3092" s="1" t="s">
        <v>89</v>
      </c>
      <c r="M3092" s="1" t="s">
        <v>27</v>
      </c>
      <c r="N3092" s="1" t="s">
        <v>5599</v>
      </c>
      <c r="P3092" s="1" t="s">
        <v>401</v>
      </c>
      <c r="Q3092" s="63" t="s">
        <v>5600</v>
      </c>
      <c r="R3092" s="1" t="s">
        <v>29</v>
      </c>
      <c r="S3092" s="13" t="s">
        <v>28</v>
      </c>
    </row>
    <row r="3093" spans="1:62" ht="12" customHeight="1" x14ac:dyDescent="0.15">
      <c r="A3093" s="1" t="s">
        <v>5601</v>
      </c>
      <c r="B3093" s="1">
        <v>31</v>
      </c>
      <c r="C3093" s="1" t="s">
        <v>20</v>
      </c>
      <c r="D3093" s="1" t="s">
        <v>37</v>
      </c>
      <c r="E3093" s="1" t="s">
        <v>5602</v>
      </c>
      <c r="F3093" s="72">
        <v>41980</v>
      </c>
      <c r="G3093" s="1" t="s">
        <v>5603</v>
      </c>
      <c r="H3093" s="1" t="s">
        <v>655</v>
      </c>
      <c r="I3093" s="1" t="s">
        <v>269</v>
      </c>
      <c r="J3093" s="4">
        <v>89103</v>
      </c>
      <c r="K3093" s="1" t="s">
        <v>570</v>
      </c>
      <c r="L3093" s="1" t="s">
        <v>571</v>
      </c>
      <c r="M3093" s="1" t="s">
        <v>27</v>
      </c>
      <c r="N3093" s="1" t="s">
        <v>5604</v>
      </c>
      <c r="P3093" s="1" t="s">
        <v>401</v>
      </c>
      <c r="Q3093" s="6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3093" s="1" t="s">
        <v>29</v>
      </c>
      <c r="S3093" s="13" t="s">
        <v>28</v>
      </c>
    </row>
    <row r="3094" spans="1:62" ht="12" customHeight="1" x14ac:dyDescent="0.15">
      <c r="A3094" s="1" t="s">
        <v>5623</v>
      </c>
      <c r="B3094" s="1">
        <v>58</v>
      </c>
      <c r="C3094" s="1" t="s">
        <v>20</v>
      </c>
      <c r="D3094" s="1" t="s">
        <v>37</v>
      </c>
      <c r="F3094" s="72">
        <v>41978</v>
      </c>
      <c r="G3094" s="1" t="s">
        <v>5624</v>
      </c>
      <c r="H3094" s="1" t="s">
        <v>5625</v>
      </c>
      <c r="I3094" s="1" t="s">
        <v>173</v>
      </c>
      <c r="J3094" s="4" t="s">
        <v>5626</v>
      </c>
      <c r="K3094" s="1" t="s">
        <v>2567</v>
      </c>
      <c r="L3094" s="1" t="s">
        <v>5627</v>
      </c>
      <c r="M3094" s="1" t="s">
        <v>5628</v>
      </c>
      <c r="N3094" s="1" t="s">
        <v>5629</v>
      </c>
      <c r="P3094" s="1" t="s">
        <v>401</v>
      </c>
      <c r="Q3094" s="63" t="s">
        <v>5630</v>
      </c>
      <c r="R3094" s="11" t="s">
        <v>964</v>
      </c>
      <c r="S3094" s="13" t="s">
        <v>18</v>
      </c>
      <c r="AX3094" s="44"/>
      <c r="AY3094" s="44"/>
      <c r="AZ3094" s="44"/>
    </row>
    <row r="3095" spans="1:62" ht="12" customHeight="1" x14ac:dyDescent="0.15">
      <c r="A3095" s="1" t="s">
        <v>5631</v>
      </c>
      <c r="B3095" s="1">
        <v>61</v>
      </c>
      <c r="C3095" s="1" t="s">
        <v>20</v>
      </c>
      <c r="D3095" s="1" t="s">
        <v>37</v>
      </c>
      <c r="E3095" s="1" t="str">
        <f>HYPERLINK("http://wistv.images.worldnow.com/images/6145354_G.jpg","http://wistv.images.worldnow.com/images/6145354_G.jpg")</f>
        <v>http://wistv.images.worldnow.com/images/6145354_G.jpg</v>
      </c>
      <c r="F3095" s="72">
        <v>41978</v>
      </c>
      <c r="G3095" s="1" t="s">
        <v>5632</v>
      </c>
      <c r="H3095" s="1" t="s">
        <v>1505</v>
      </c>
      <c r="I3095" s="1" t="s">
        <v>32</v>
      </c>
      <c r="J3095" s="4">
        <v>29020</v>
      </c>
      <c r="K3095" s="1" t="s">
        <v>5633</v>
      </c>
      <c r="L3095" s="1" t="s">
        <v>5634</v>
      </c>
      <c r="M3095" s="1" t="s">
        <v>27</v>
      </c>
      <c r="N3095" s="1" t="s">
        <v>5635</v>
      </c>
      <c r="O3095" s="1" t="s">
        <v>1010</v>
      </c>
      <c r="P3095" s="1" t="s">
        <v>401</v>
      </c>
      <c r="Q3095" s="6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3095" s="1" t="s">
        <v>100</v>
      </c>
      <c r="S3095" s="13" t="s">
        <v>28</v>
      </c>
    </row>
    <row r="3096" spans="1:62" ht="12" customHeight="1" x14ac:dyDescent="0.15">
      <c r="A3096" s="1" t="s">
        <v>5614</v>
      </c>
      <c r="B3096" s="1">
        <v>21</v>
      </c>
      <c r="C3096" s="1" t="s">
        <v>20</v>
      </c>
      <c r="D3096" s="1" t="s">
        <v>48</v>
      </c>
      <c r="E3096" s="1" t="s">
        <v>5615</v>
      </c>
      <c r="F3096" s="72">
        <v>41978</v>
      </c>
      <c r="G3096" s="1" t="s">
        <v>5616</v>
      </c>
      <c r="H3096" s="1" t="s">
        <v>213</v>
      </c>
      <c r="I3096" s="1" t="s">
        <v>62</v>
      </c>
      <c r="J3096" s="4" t="s">
        <v>5617</v>
      </c>
      <c r="K3096" s="1" t="s">
        <v>161</v>
      </c>
      <c r="L3096" s="1" t="s">
        <v>456</v>
      </c>
      <c r="M3096" s="1" t="s">
        <v>379</v>
      </c>
      <c r="N3096" s="1" t="s">
        <v>5618</v>
      </c>
      <c r="O3096" s="1" t="s">
        <v>400</v>
      </c>
      <c r="P3096" s="1" t="s">
        <v>401</v>
      </c>
      <c r="Q3096" s="63" t="s">
        <v>5619</v>
      </c>
      <c r="R3096" s="1" t="s">
        <v>100</v>
      </c>
      <c r="S3096" s="13" t="s">
        <v>18</v>
      </c>
    </row>
    <row r="3097" spans="1:62" ht="12" customHeight="1" x14ac:dyDescent="0.15">
      <c r="A3097" s="1" t="s">
        <v>5620</v>
      </c>
      <c r="B3097" s="1">
        <v>42</v>
      </c>
      <c r="C3097" s="1" t="s">
        <v>20</v>
      </c>
      <c r="D3097" s="1" t="s">
        <v>37</v>
      </c>
      <c r="F3097" s="72">
        <v>41978</v>
      </c>
      <c r="G3097" s="1" t="s">
        <v>5621</v>
      </c>
      <c r="H3097" s="1" t="s">
        <v>98</v>
      </c>
      <c r="I3097" s="1" t="s">
        <v>45</v>
      </c>
      <c r="J3097" s="4">
        <v>90028</v>
      </c>
      <c r="K3097" s="1" t="s">
        <v>98</v>
      </c>
      <c r="L3097" s="1" t="s">
        <v>99</v>
      </c>
      <c r="M3097" s="1" t="s">
        <v>27</v>
      </c>
      <c r="N3097" s="1" t="s">
        <v>5622</v>
      </c>
      <c r="P3097" s="1" t="s">
        <v>401</v>
      </c>
      <c r="Q3097" s="63" t="str">
        <f>HYPERLINK("http://ktla.com/2014/12/05/armed-man-shot-by-officers-near-hollywood-and-highland-lapd/","http://ktla.com/2014/12/05/armed-man-shot-by-officers-near-hollywood-and-highland-lapd/")</f>
        <v>http://ktla.com/2014/12/05/armed-man-shot-by-officers-near-hollywood-and-highland-lapd/</v>
      </c>
      <c r="R3097" s="1" t="s">
        <v>29</v>
      </c>
      <c r="S3097" s="13" t="s">
        <v>28</v>
      </c>
    </row>
    <row r="3098" spans="1:62" ht="12" customHeight="1" x14ac:dyDescent="0.15">
      <c r="A3098" s="1" t="s">
        <v>5636</v>
      </c>
      <c r="B3098" s="1">
        <v>32</v>
      </c>
      <c r="C3098" s="1" t="s">
        <v>20</v>
      </c>
      <c r="D3098" s="1" t="s">
        <v>48</v>
      </c>
      <c r="E3098" s="1" t="s">
        <v>5637</v>
      </c>
      <c r="F3098" s="72">
        <v>41977</v>
      </c>
      <c r="G3098" s="1" t="s">
        <v>5638</v>
      </c>
      <c r="H3098" s="1" t="s">
        <v>1060</v>
      </c>
      <c r="I3098" s="1" t="s">
        <v>62</v>
      </c>
      <c r="J3098" s="4" t="s">
        <v>5639</v>
      </c>
      <c r="K3098" s="1" t="s">
        <v>1061</v>
      </c>
      <c r="L3098" s="1" t="s">
        <v>1062</v>
      </c>
      <c r="M3098" s="1" t="s">
        <v>27</v>
      </c>
      <c r="N3098" s="1" t="s">
        <v>5640</v>
      </c>
      <c r="O3098" s="1" t="s">
        <v>1010</v>
      </c>
      <c r="P3098" s="1" t="s">
        <v>401</v>
      </c>
      <c r="Q3098" s="63" t="s">
        <v>5641</v>
      </c>
      <c r="R3098" s="1" t="s">
        <v>100</v>
      </c>
      <c r="S3098" s="13" t="s">
        <v>28</v>
      </c>
    </row>
    <row r="3099" spans="1:62" ht="12" customHeight="1" x14ac:dyDescent="0.15">
      <c r="A3099" s="1" t="s">
        <v>5651</v>
      </c>
      <c r="B3099" s="1">
        <v>55</v>
      </c>
      <c r="C3099" s="1" t="s">
        <v>114</v>
      </c>
      <c r="D3099" s="1" t="s">
        <v>37</v>
      </c>
      <c r="E3099" s="1" t="s">
        <v>5652</v>
      </c>
      <c r="F3099" s="72">
        <v>41977</v>
      </c>
      <c r="G3099" s="1" t="s">
        <v>5653</v>
      </c>
      <c r="H3099" s="1" t="s">
        <v>5654</v>
      </c>
      <c r="I3099" s="1" t="s">
        <v>4371</v>
      </c>
      <c r="J3099" s="4" t="s">
        <v>5655</v>
      </c>
      <c r="K3099" s="1" t="s">
        <v>1604</v>
      </c>
      <c r="L3099" s="1" t="s">
        <v>5656</v>
      </c>
      <c r="M3099" s="1" t="s">
        <v>27</v>
      </c>
      <c r="N3099" s="1" t="s">
        <v>5657</v>
      </c>
      <c r="O3099" s="1" t="s">
        <v>400</v>
      </c>
      <c r="P3099" s="1" t="s">
        <v>401</v>
      </c>
      <c r="Q3099" s="63" t="s">
        <v>5658</v>
      </c>
      <c r="R3099" s="1" t="s">
        <v>100</v>
      </c>
      <c r="S3099" s="13" t="s">
        <v>28</v>
      </c>
    </row>
    <row r="3100" spans="1:62" ht="12" customHeight="1" x14ac:dyDescent="0.15">
      <c r="A3100" s="1" t="s">
        <v>5642</v>
      </c>
      <c r="B3100" s="1">
        <v>51</v>
      </c>
      <c r="C3100" s="1" t="s">
        <v>20</v>
      </c>
      <c r="D3100" s="1" t="s">
        <v>37</v>
      </c>
      <c r="E3100" s="1" t="s">
        <v>5643</v>
      </c>
      <c r="F3100" s="72">
        <v>41977</v>
      </c>
      <c r="G3100" s="1" t="s">
        <v>5644</v>
      </c>
      <c r="H3100" s="1" t="s">
        <v>5645</v>
      </c>
      <c r="I3100" s="1" t="s">
        <v>25</v>
      </c>
      <c r="J3100" s="4" t="s">
        <v>5646</v>
      </c>
      <c r="K3100" s="1" t="s">
        <v>5647</v>
      </c>
      <c r="L3100" s="1" t="s">
        <v>5648</v>
      </c>
      <c r="M3100" s="1" t="s">
        <v>27</v>
      </c>
      <c r="N3100" s="1" t="s">
        <v>5649</v>
      </c>
      <c r="O3100" s="1" t="s">
        <v>5650</v>
      </c>
      <c r="P3100" s="1" t="s">
        <v>1159</v>
      </c>
      <c r="Q3100" s="6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3100" s="1" t="s">
        <v>29</v>
      </c>
      <c r="S3100" s="13" t="s">
        <v>18</v>
      </c>
      <c r="W3100" s="1" t="s">
        <v>29626</v>
      </c>
    </row>
    <row r="3101" spans="1:62" ht="12" customHeight="1" x14ac:dyDescent="0.15">
      <c r="A3101" s="1" t="s">
        <v>5659</v>
      </c>
      <c r="B3101" s="1">
        <v>33</v>
      </c>
      <c r="C3101" s="1" t="s">
        <v>20</v>
      </c>
      <c r="D3101" s="1" t="s">
        <v>37</v>
      </c>
      <c r="E3101" s="1" t="s">
        <v>5660</v>
      </c>
      <c r="F3101" s="72">
        <v>41977</v>
      </c>
      <c r="G3101" s="1" t="s">
        <v>5661</v>
      </c>
      <c r="H3101" s="1" t="s">
        <v>397</v>
      </c>
      <c r="I3101" s="1" t="s">
        <v>395</v>
      </c>
      <c r="J3101" s="4">
        <v>74738</v>
      </c>
      <c r="K3101" s="1" t="s">
        <v>1145</v>
      </c>
      <c r="L3101" s="1" t="s">
        <v>5662</v>
      </c>
      <c r="M3101" s="1" t="s">
        <v>27</v>
      </c>
      <c r="N3101" s="1" t="s">
        <v>5663</v>
      </c>
      <c r="P3101" s="1" t="s">
        <v>401</v>
      </c>
      <c r="Q3101" s="63" t="s">
        <v>5664</v>
      </c>
      <c r="R3101" s="1" t="s">
        <v>29</v>
      </c>
      <c r="S3101" s="13" t="s">
        <v>28</v>
      </c>
    </row>
    <row r="3102" spans="1:62" ht="12" customHeight="1" x14ac:dyDescent="0.15">
      <c r="A3102" s="1" t="s">
        <v>5665</v>
      </c>
      <c r="B3102" s="1">
        <v>68</v>
      </c>
      <c r="C3102" s="1" t="s">
        <v>20</v>
      </c>
      <c r="D3102" s="1" t="s">
        <v>85</v>
      </c>
      <c r="F3102" s="72">
        <v>41976</v>
      </c>
      <c r="G3102" s="1" t="s">
        <v>5666</v>
      </c>
      <c r="H3102" s="1" t="s">
        <v>98</v>
      </c>
      <c r="I3102" s="1" t="s">
        <v>45</v>
      </c>
      <c r="J3102" s="4">
        <v>90014</v>
      </c>
      <c r="K3102" s="1" t="s">
        <v>98</v>
      </c>
      <c r="L3102" s="1" t="s">
        <v>99</v>
      </c>
      <c r="M3102" s="1" t="s">
        <v>27</v>
      </c>
      <c r="N3102" s="1" t="s">
        <v>5667</v>
      </c>
      <c r="P3102" s="1" t="s">
        <v>401</v>
      </c>
      <c r="Q3102" s="63" t="s">
        <v>5668</v>
      </c>
      <c r="R3102" s="1" t="s">
        <v>29</v>
      </c>
      <c r="S3102" s="13" t="s">
        <v>28</v>
      </c>
      <c r="AX3102" s="44"/>
      <c r="AY3102" s="44"/>
      <c r="BC3102" s="11"/>
      <c r="BD3102" s="11"/>
      <c r="BE3102" s="11"/>
      <c r="BF3102" s="11"/>
      <c r="BG3102" s="11"/>
      <c r="BH3102" s="11"/>
      <c r="BI3102" s="11"/>
      <c r="BJ3102" s="11"/>
    </row>
    <row r="3103" spans="1:62" ht="12" customHeight="1" x14ac:dyDescent="0.15">
      <c r="A3103" s="1" t="s">
        <v>5669</v>
      </c>
      <c r="B3103" s="1">
        <v>55</v>
      </c>
      <c r="C3103" s="1" t="s">
        <v>20</v>
      </c>
      <c r="D3103" s="1" t="s">
        <v>30</v>
      </c>
      <c r="F3103" s="72">
        <v>41976</v>
      </c>
      <c r="G3103" s="1" t="s">
        <v>5670</v>
      </c>
      <c r="H3103" s="1" t="s">
        <v>926</v>
      </c>
      <c r="I3103" s="1" t="s">
        <v>73</v>
      </c>
      <c r="J3103" s="4">
        <v>76116</v>
      </c>
      <c r="K3103" s="1" t="s">
        <v>74</v>
      </c>
      <c r="L3103" s="1" t="s">
        <v>927</v>
      </c>
      <c r="M3103" s="1" t="s">
        <v>27</v>
      </c>
      <c r="N3103" s="1" t="s">
        <v>5671</v>
      </c>
      <c r="P3103" s="1" t="s">
        <v>401</v>
      </c>
      <c r="Q3103" s="63" t="str">
        <f>HYPERLINK("http://www.star-telegram.com/2014/12/03/6335890/fort-worth-police-fatally-shoot.html?rh=1","http://www.star-telegram.com/2014/12/03/6335890/fort-worth-police-fatally-shoot.html?rh=1")</f>
        <v>http://www.star-telegram.com/2014/12/03/6335890/fort-worth-police-fatally-shoot.html?rh=1</v>
      </c>
      <c r="R3103" s="1" t="s">
        <v>29</v>
      </c>
      <c r="S3103" s="13" t="s">
        <v>28</v>
      </c>
    </row>
    <row r="3104" spans="1:62" ht="12" customHeight="1" x14ac:dyDescent="0.15">
      <c r="A3104" s="1" t="s">
        <v>5672</v>
      </c>
      <c r="B3104" s="1">
        <v>24</v>
      </c>
      <c r="C3104" s="1" t="s">
        <v>20</v>
      </c>
      <c r="D3104" s="1" t="s">
        <v>85</v>
      </c>
      <c r="E3104" s="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3104" s="72">
        <v>41975</v>
      </c>
      <c r="G3104" s="1" t="s">
        <v>5673</v>
      </c>
      <c r="H3104" s="1" t="s">
        <v>1094</v>
      </c>
      <c r="I3104" s="1" t="s">
        <v>395</v>
      </c>
      <c r="J3104" s="4">
        <v>73127</v>
      </c>
      <c r="K3104" s="1" t="s">
        <v>1095</v>
      </c>
      <c r="L3104" s="1" t="s">
        <v>1096</v>
      </c>
      <c r="M3104" s="1" t="s">
        <v>27</v>
      </c>
      <c r="N3104" s="1" t="s">
        <v>5674</v>
      </c>
      <c r="P3104" s="1" t="s">
        <v>401</v>
      </c>
      <c r="Q3104" s="63" t="str">
        <f>HYPERLINK("http://newsok.com/officer-involved-shooting-reported-in-northwest-oklahoma-city/article/5372084","http://newsok.com/officer-involved-shooting-reported-in-northwest-oklahoma-city/article/5372084")</f>
        <v>http://newsok.com/officer-involved-shooting-reported-in-northwest-oklahoma-city/article/5372084</v>
      </c>
      <c r="R3104" s="1" t="s">
        <v>100</v>
      </c>
      <c r="S3104" s="13" t="s">
        <v>28</v>
      </c>
      <c r="AX3104" s="44"/>
      <c r="AY3104" s="44"/>
      <c r="BC3104" s="11"/>
      <c r="BD3104" s="11"/>
      <c r="BE3104" s="11"/>
      <c r="BF3104" s="11"/>
      <c r="BG3104" s="11"/>
      <c r="BH3104" s="11"/>
      <c r="BI3104" s="11"/>
      <c r="BJ3104" s="11"/>
    </row>
    <row r="3105" spans="1:63" ht="12" customHeight="1" x14ac:dyDescent="0.15">
      <c r="A3105" s="1" t="s">
        <v>5675</v>
      </c>
      <c r="B3105" s="1">
        <v>34</v>
      </c>
      <c r="C3105" s="1" t="s">
        <v>20</v>
      </c>
      <c r="D3105" s="1" t="s">
        <v>85</v>
      </c>
      <c r="E3105" s="1" t="s">
        <v>5676</v>
      </c>
      <c r="F3105" s="72">
        <v>41975</v>
      </c>
      <c r="G3105" s="1" t="s">
        <v>5677</v>
      </c>
      <c r="H3105" s="1" t="s">
        <v>632</v>
      </c>
      <c r="I3105" s="1" t="s">
        <v>123</v>
      </c>
      <c r="J3105" s="4" t="s">
        <v>5678</v>
      </c>
      <c r="K3105" s="1" t="s">
        <v>633</v>
      </c>
      <c r="L3105" s="1" t="s">
        <v>634</v>
      </c>
      <c r="M3105" s="1" t="s">
        <v>27</v>
      </c>
      <c r="N3105" s="1" t="s">
        <v>5679</v>
      </c>
      <c r="O3105" s="1" t="s">
        <v>400</v>
      </c>
      <c r="P3105" s="1" t="s">
        <v>401</v>
      </c>
      <c r="Q3105" s="63" t="s">
        <v>5680</v>
      </c>
      <c r="R3105" s="1" t="s">
        <v>100</v>
      </c>
      <c r="S3105" s="13" t="s">
        <v>18</v>
      </c>
      <c r="AX3105" s="44"/>
      <c r="AY3105" s="44"/>
      <c r="BC3105" s="11"/>
      <c r="BD3105" s="11"/>
      <c r="BE3105" s="11"/>
      <c r="BF3105" s="11"/>
      <c r="BG3105" s="11"/>
      <c r="BH3105" s="11"/>
      <c r="BI3105" s="11"/>
      <c r="BJ3105" s="11"/>
    </row>
    <row r="3106" spans="1:63" ht="12" customHeight="1" x14ac:dyDescent="0.15">
      <c r="A3106" s="1" t="s">
        <v>5681</v>
      </c>
      <c r="B3106" s="1">
        <v>50</v>
      </c>
      <c r="C3106" s="1" t="s">
        <v>20</v>
      </c>
      <c r="D3106" s="1" t="s">
        <v>37</v>
      </c>
      <c r="E3106" s="1" t="s">
        <v>5682</v>
      </c>
      <c r="F3106" s="72">
        <v>41975</v>
      </c>
      <c r="G3106" s="1" t="s">
        <v>5683</v>
      </c>
      <c r="H3106" s="1" t="s">
        <v>5684</v>
      </c>
      <c r="I3106" s="1" t="s">
        <v>366</v>
      </c>
      <c r="J3106" s="4">
        <v>28377</v>
      </c>
      <c r="K3106" s="1" t="s">
        <v>5685</v>
      </c>
      <c r="L3106" s="1" t="s">
        <v>5686</v>
      </c>
      <c r="M3106" s="1" t="s">
        <v>391</v>
      </c>
      <c r="N3106" s="1" t="s">
        <v>5687</v>
      </c>
      <c r="P3106" s="1" t="s">
        <v>401</v>
      </c>
      <c r="Q3106" s="63" t="s">
        <v>5688</v>
      </c>
      <c r="R3106" s="1" t="s">
        <v>29</v>
      </c>
      <c r="S3106" s="13" t="s">
        <v>18</v>
      </c>
      <c r="AU3106" s="11"/>
      <c r="AV3106" s="11"/>
      <c r="AW3106" s="11"/>
    </row>
    <row r="3107" spans="1:63" ht="12" customHeight="1" x14ac:dyDescent="0.15">
      <c r="A3107" s="1" t="s">
        <v>5696</v>
      </c>
      <c r="B3107" s="1">
        <v>45</v>
      </c>
      <c r="C3107" s="1" t="s">
        <v>20</v>
      </c>
      <c r="D3107" s="1" t="s">
        <v>37</v>
      </c>
      <c r="E3107" s="1" t="s">
        <v>5697</v>
      </c>
      <c r="F3107" s="72">
        <v>41974</v>
      </c>
      <c r="G3107" s="1" t="s">
        <v>5698</v>
      </c>
      <c r="H3107" s="1" t="s">
        <v>252</v>
      </c>
      <c r="I3107" s="1" t="s">
        <v>32</v>
      </c>
      <c r="J3107" s="4" t="s">
        <v>5699</v>
      </c>
      <c r="K3107" s="1" t="s">
        <v>252</v>
      </c>
      <c r="L3107" s="1" t="s">
        <v>5700</v>
      </c>
      <c r="M3107" s="1" t="s">
        <v>27</v>
      </c>
      <c r="N3107" s="1" t="s">
        <v>5701</v>
      </c>
      <c r="O3107" s="1" t="s">
        <v>400</v>
      </c>
      <c r="P3107" s="1" t="s">
        <v>401</v>
      </c>
      <c r="Q3107" s="63" t="s">
        <v>5702</v>
      </c>
      <c r="R3107" s="1" t="s">
        <v>555</v>
      </c>
      <c r="S3107" s="13" t="s">
        <v>28</v>
      </c>
      <c r="BA3107" s="11"/>
      <c r="BB3107" s="11"/>
    </row>
    <row r="3108" spans="1:63" ht="12" customHeight="1" x14ac:dyDescent="0.2">
      <c r="A3108" s="1" t="s">
        <v>5689</v>
      </c>
      <c r="B3108" s="1">
        <v>16</v>
      </c>
      <c r="C3108" s="1" t="s">
        <v>20</v>
      </c>
      <c r="D3108" s="1" t="s">
        <v>21</v>
      </c>
      <c r="F3108" s="72">
        <v>41974</v>
      </c>
      <c r="G3108" s="1" t="s">
        <v>5690</v>
      </c>
      <c r="H3108" s="1" t="s">
        <v>723</v>
      </c>
      <c r="I3108" s="1" t="s">
        <v>73</v>
      </c>
      <c r="J3108" s="4">
        <v>77068</v>
      </c>
      <c r="K3108" s="1" t="s">
        <v>558</v>
      </c>
      <c r="L3108" s="1" t="s">
        <v>559</v>
      </c>
      <c r="M3108" s="1" t="s">
        <v>27</v>
      </c>
      <c r="N3108" s="1" t="s">
        <v>5691</v>
      </c>
      <c r="P3108" s="1" t="s">
        <v>401</v>
      </c>
      <c r="Q3108" s="6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3108" s="1" t="s">
        <v>29</v>
      </c>
      <c r="S3108" s="13" t="s">
        <v>28</v>
      </c>
      <c r="AX3108" s="70"/>
      <c r="AY3108" s="70"/>
      <c r="BC3108" s="70"/>
      <c r="BD3108" s="70"/>
      <c r="BE3108" s="70"/>
      <c r="BF3108" s="70"/>
      <c r="BG3108" s="70"/>
      <c r="BH3108" s="70"/>
      <c r="BI3108" s="70"/>
      <c r="BJ3108" s="70"/>
    </row>
    <row r="3109" spans="1:63" ht="12" customHeight="1" x14ac:dyDescent="0.15">
      <c r="A3109" s="1" t="s">
        <v>5692</v>
      </c>
      <c r="B3109" s="1">
        <v>49</v>
      </c>
      <c r="C3109" s="1" t="s">
        <v>20</v>
      </c>
      <c r="D3109" s="1" t="s">
        <v>48</v>
      </c>
      <c r="F3109" s="72">
        <v>41974</v>
      </c>
      <c r="G3109" s="1" t="s">
        <v>5693</v>
      </c>
      <c r="H3109" s="1" t="s">
        <v>1941</v>
      </c>
      <c r="I3109" s="1" t="s">
        <v>73</v>
      </c>
      <c r="J3109" s="4">
        <v>79701</v>
      </c>
      <c r="K3109" s="1" t="s">
        <v>1941</v>
      </c>
      <c r="L3109" s="1" t="s">
        <v>1943</v>
      </c>
      <c r="M3109" s="1" t="s">
        <v>27</v>
      </c>
      <c r="N3109" s="1" t="s">
        <v>5694</v>
      </c>
      <c r="P3109" s="1" t="s">
        <v>401</v>
      </c>
      <c r="Q3109" s="63" t="s">
        <v>5695</v>
      </c>
      <c r="R3109" s="1" t="s">
        <v>29</v>
      </c>
      <c r="S3109" s="13" t="s">
        <v>28</v>
      </c>
    </row>
    <row r="3110" spans="1:63" ht="12" customHeight="1" x14ac:dyDescent="0.15">
      <c r="A3110" s="1" t="s">
        <v>5703</v>
      </c>
      <c r="B3110" s="1" t="s">
        <v>29</v>
      </c>
      <c r="C3110" s="1" t="s">
        <v>114</v>
      </c>
      <c r="D3110" s="1" t="s">
        <v>37</v>
      </c>
      <c r="E3110" s="1" t="s">
        <v>5704</v>
      </c>
      <c r="F3110" s="72">
        <v>41974</v>
      </c>
      <c r="G3110" s="1" t="s">
        <v>5705</v>
      </c>
      <c r="H3110" s="1" t="s">
        <v>5706</v>
      </c>
      <c r="I3110" s="1" t="s">
        <v>315</v>
      </c>
      <c r="J3110" s="4">
        <v>41030</v>
      </c>
      <c r="K3110" s="1" t="s">
        <v>397</v>
      </c>
      <c r="L3110" s="1" t="s">
        <v>3367</v>
      </c>
      <c r="M3110" s="1" t="s">
        <v>391</v>
      </c>
      <c r="N3110" s="1" t="s">
        <v>5707</v>
      </c>
      <c r="P3110" s="1" t="s">
        <v>401</v>
      </c>
      <c r="Q3110" s="63" t="s">
        <v>5708</v>
      </c>
      <c r="R3110" s="1" t="s">
        <v>29</v>
      </c>
      <c r="S3110" s="13" t="s">
        <v>28</v>
      </c>
      <c r="AU3110" s="11"/>
      <c r="AV3110" s="11"/>
      <c r="AW3110" s="11"/>
    </row>
    <row r="3111" spans="1:63" ht="12" customHeight="1" x14ac:dyDescent="0.15">
      <c r="A3111" s="1" t="s">
        <v>5716</v>
      </c>
      <c r="B3111" s="1">
        <v>24</v>
      </c>
      <c r="C3111" s="1" t="s">
        <v>20</v>
      </c>
      <c r="D3111" s="1" t="s">
        <v>37</v>
      </c>
      <c r="E3111" s="1" t="s">
        <v>5717</v>
      </c>
      <c r="F3111" s="72">
        <v>41973</v>
      </c>
      <c r="G3111" s="1" t="s">
        <v>5718</v>
      </c>
      <c r="H3111" s="1" t="s">
        <v>5719</v>
      </c>
      <c r="I3111" s="1" t="s">
        <v>269</v>
      </c>
      <c r="J3111" s="4" t="s">
        <v>5720</v>
      </c>
      <c r="K3111" s="1" t="s">
        <v>5719</v>
      </c>
      <c r="L3111" s="1" t="s">
        <v>5721</v>
      </c>
      <c r="M3111" s="1" t="s">
        <v>27</v>
      </c>
      <c r="N3111" s="1" t="s">
        <v>5722</v>
      </c>
      <c r="O3111" s="1" t="s">
        <v>550</v>
      </c>
      <c r="P3111" s="1" t="s">
        <v>401</v>
      </c>
      <c r="Q3111" s="63" t="s">
        <v>5723</v>
      </c>
      <c r="R3111" s="1" t="s">
        <v>29</v>
      </c>
      <c r="S3111" s="13" t="s">
        <v>28</v>
      </c>
    </row>
    <row r="3112" spans="1:63" ht="12" customHeight="1" x14ac:dyDescent="0.15">
      <c r="A3112" s="1" t="s">
        <v>5709</v>
      </c>
      <c r="B3112" s="1">
        <v>19</v>
      </c>
      <c r="C3112" s="1" t="s">
        <v>20</v>
      </c>
      <c r="D3112" s="1" t="s">
        <v>48</v>
      </c>
      <c r="E3112" s="1" t="s">
        <v>5710</v>
      </c>
      <c r="F3112" s="72">
        <v>41973</v>
      </c>
      <c r="G3112" s="1" t="s">
        <v>5711</v>
      </c>
      <c r="H3112" s="1" t="s">
        <v>5712</v>
      </c>
      <c r="I3112" s="1" t="s">
        <v>45</v>
      </c>
      <c r="J3112" s="4" t="s">
        <v>5713</v>
      </c>
      <c r="K3112" s="1" t="s">
        <v>98</v>
      </c>
      <c r="L3112" s="11" t="s">
        <v>414</v>
      </c>
      <c r="M3112" s="1" t="s">
        <v>27</v>
      </c>
      <c r="N3112" s="1" t="s">
        <v>5714</v>
      </c>
      <c r="O3112" s="1" t="s">
        <v>1010</v>
      </c>
      <c r="P3112" s="1" t="s">
        <v>401</v>
      </c>
      <c r="Q3112" s="63" t="s">
        <v>5715</v>
      </c>
      <c r="R3112" s="1" t="s">
        <v>555</v>
      </c>
      <c r="S3112" s="13" t="s">
        <v>28</v>
      </c>
      <c r="BA3112" s="11"/>
      <c r="BB3112" s="11"/>
    </row>
    <row r="3113" spans="1:63" ht="12" customHeight="1" x14ac:dyDescent="0.15">
      <c r="A3113" s="1" t="s">
        <v>5724</v>
      </c>
      <c r="B3113" s="1">
        <v>52</v>
      </c>
      <c r="C3113" s="1" t="s">
        <v>20</v>
      </c>
      <c r="D3113" s="1" t="s">
        <v>48</v>
      </c>
      <c r="F3113" s="72">
        <v>41971</v>
      </c>
      <c r="G3113" s="1" t="s">
        <v>5725</v>
      </c>
      <c r="H3113" s="1" t="s">
        <v>5726</v>
      </c>
      <c r="I3113" s="1" t="s">
        <v>57</v>
      </c>
      <c r="J3113" s="4" t="s">
        <v>5727</v>
      </c>
      <c r="K3113" s="1" t="s">
        <v>1128</v>
      </c>
      <c r="L3113" s="1" t="s">
        <v>2177</v>
      </c>
      <c r="M3113" s="1" t="s">
        <v>27</v>
      </c>
      <c r="N3113" s="1" t="s">
        <v>5729</v>
      </c>
      <c r="O3113" s="1" t="s">
        <v>1010</v>
      </c>
      <c r="P3113" s="1" t="s">
        <v>401</v>
      </c>
      <c r="Q3113" s="63" t="s">
        <v>5730</v>
      </c>
      <c r="R3113" s="1" t="s">
        <v>100</v>
      </c>
      <c r="S3113" s="13" t="s">
        <v>28</v>
      </c>
    </row>
    <row r="3114" spans="1:63" ht="12" customHeight="1" x14ac:dyDescent="0.15">
      <c r="A3114" s="1" t="s">
        <v>5731</v>
      </c>
      <c r="B3114" s="1">
        <v>27</v>
      </c>
      <c r="C3114" s="1" t="s">
        <v>20</v>
      </c>
      <c r="D3114" s="1" t="s">
        <v>139</v>
      </c>
      <c r="E3114" s="1" t="s">
        <v>5732</v>
      </c>
      <c r="F3114" s="72">
        <v>41971</v>
      </c>
      <c r="G3114" s="1" t="s">
        <v>5733</v>
      </c>
      <c r="H3114" s="1" t="s">
        <v>5734</v>
      </c>
      <c r="I3114" s="1" t="s">
        <v>195</v>
      </c>
      <c r="J3114" s="4" t="s">
        <v>5735</v>
      </c>
      <c r="K3114" s="1" t="s">
        <v>5736</v>
      </c>
      <c r="L3114" s="1" t="s">
        <v>3085</v>
      </c>
      <c r="M3114" s="1" t="s">
        <v>27</v>
      </c>
      <c r="N3114" s="1" t="s">
        <v>5737</v>
      </c>
      <c r="O3114" s="1" t="s">
        <v>1010</v>
      </c>
      <c r="P3114" s="1" t="s">
        <v>401</v>
      </c>
      <c r="Q3114" s="63" t="s">
        <v>5738</v>
      </c>
      <c r="R3114" s="1" t="s">
        <v>100</v>
      </c>
      <c r="S3114" s="13" t="s">
        <v>28</v>
      </c>
      <c r="BK3114" s="64"/>
    </row>
    <row r="3115" spans="1:63" ht="12" customHeight="1" x14ac:dyDescent="0.15">
      <c r="A3115" s="1" t="s">
        <v>5745</v>
      </c>
      <c r="B3115" s="1">
        <v>42</v>
      </c>
      <c r="C3115" s="1" t="s">
        <v>20</v>
      </c>
      <c r="D3115" s="1" t="s">
        <v>37</v>
      </c>
      <c r="E3115" s="1" t="s">
        <v>5746</v>
      </c>
      <c r="F3115" s="72">
        <v>41971</v>
      </c>
      <c r="G3115" s="1" t="s">
        <v>5747</v>
      </c>
      <c r="H3115" s="1" t="s">
        <v>433</v>
      </c>
      <c r="I3115" s="1" t="s">
        <v>669</v>
      </c>
      <c r="J3115" s="4" t="s">
        <v>5748</v>
      </c>
      <c r="K3115" s="1" t="s">
        <v>5749</v>
      </c>
      <c r="L3115" s="1" t="s">
        <v>5750</v>
      </c>
      <c r="M3115" s="1" t="s">
        <v>27</v>
      </c>
      <c r="N3115" s="1" t="s">
        <v>5751</v>
      </c>
      <c r="O3115" s="1" t="s">
        <v>1010</v>
      </c>
      <c r="P3115" s="1" t="s">
        <v>401</v>
      </c>
      <c r="Q3115" s="63" t="s">
        <v>5752</v>
      </c>
      <c r="R3115" s="1" t="s">
        <v>100</v>
      </c>
      <c r="S3115" s="13" t="s">
        <v>28</v>
      </c>
    </row>
    <row r="3116" spans="1:63" ht="12" customHeight="1" x14ac:dyDescent="0.15">
      <c r="A3116" s="1" t="s">
        <v>5739</v>
      </c>
      <c r="B3116" s="1">
        <v>49</v>
      </c>
      <c r="C3116" s="1" t="s">
        <v>20</v>
      </c>
      <c r="D3116" s="1" t="s">
        <v>37</v>
      </c>
      <c r="E3116" s="1" t="s">
        <v>5740</v>
      </c>
      <c r="F3116" s="72">
        <v>41971</v>
      </c>
      <c r="G3116" s="1" t="s">
        <v>5741</v>
      </c>
      <c r="H3116" s="1" t="s">
        <v>1313</v>
      </c>
      <c r="I3116" s="1" t="s">
        <v>73</v>
      </c>
      <c r="J3116" s="4" t="s">
        <v>5742</v>
      </c>
      <c r="K3116" s="1" t="s">
        <v>1314</v>
      </c>
      <c r="L3116" s="1" t="s">
        <v>1315</v>
      </c>
      <c r="M3116" s="1" t="s">
        <v>27</v>
      </c>
      <c r="N3116" s="1" t="s">
        <v>5743</v>
      </c>
      <c r="O3116" s="1" t="s">
        <v>1010</v>
      </c>
      <c r="P3116" s="1" t="s">
        <v>401</v>
      </c>
      <c r="Q3116" s="63" t="s">
        <v>5744</v>
      </c>
      <c r="R3116" s="1" t="s">
        <v>29</v>
      </c>
      <c r="S3116" s="13" t="s">
        <v>28</v>
      </c>
    </row>
    <row r="3117" spans="1:63" ht="12" customHeight="1" x14ac:dyDescent="0.15">
      <c r="A3117" s="1" t="s">
        <v>5753</v>
      </c>
      <c r="B3117" s="1">
        <v>45</v>
      </c>
      <c r="C3117" s="1" t="s">
        <v>20</v>
      </c>
      <c r="D3117" s="1" t="s">
        <v>30</v>
      </c>
      <c r="F3117" s="72">
        <v>41970</v>
      </c>
      <c r="G3117" s="1" t="s">
        <v>5754</v>
      </c>
      <c r="H3117" s="1" t="s">
        <v>5755</v>
      </c>
      <c r="I3117" s="1" t="s">
        <v>62</v>
      </c>
      <c r="J3117" s="4" t="s">
        <v>5756</v>
      </c>
      <c r="K3117" s="1" t="s">
        <v>638</v>
      </c>
      <c r="L3117" s="1" t="s">
        <v>639</v>
      </c>
      <c r="M3117" s="1" t="s">
        <v>27</v>
      </c>
      <c r="N3117" s="1" t="s">
        <v>5757</v>
      </c>
      <c r="O3117" s="1" t="s">
        <v>1010</v>
      </c>
      <c r="P3117" s="1" t="s">
        <v>401</v>
      </c>
      <c r="Q3117" s="63" t="s">
        <v>5758</v>
      </c>
      <c r="R3117" s="1" t="s">
        <v>100</v>
      </c>
      <c r="S3117" s="13" t="s">
        <v>28</v>
      </c>
    </row>
    <row r="3118" spans="1:63" ht="12" customHeight="1" x14ac:dyDescent="0.15">
      <c r="A3118" s="1" t="s">
        <v>5767</v>
      </c>
      <c r="B3118" s="1">
        <v>22</v>
      </c>
      <c r="C3118" s="1" t="s">
        <v>20</v>
      </c>
      <c r="D3118" s="1" t="s">
        <v>37</v>
      </c>
      <c r="E3118" s="1" t="s">
        <v>5768</v>
      </c>
      <c r="F3118" s="72">
        <v>41969</v>
      </c>
      <c r="G3118" s="1" t="s">
        <v>5769</v>
      </c>
      <c r="H3118" s="1" t="s">
        <v>5770</v>
      </c>
      <c r="I3118" s="1" t="s">
        <v>73</v>
      </c>
      <c r="J3118" s="4" t="s">
        <v>5771</v>
      </c>
      <c r="K3118" s="1" t="s">
        <v>166</v>
      </c>
      <c r="L3118" s="1" t="s">
        <v>5772</v>
      </c>
      <c r="M3118" s="1" t="s">
        <v>27</v>
      </c>
      <c r="N3118" s="1" t="s">
        <v>5773</v>
      </c>
      <c r="O3118" s="1" t="s">
        <v>400</v>
      </c>
      <c r="P3118" s="1" t="s">
        <v>401</v>
      </c>
      <c r="Q3118" s="63" t="s">
        <v>5774</v>
      </c>
      <c r="R3118" s="1" t="s">
        <v>100</v>
      </c>
      <c r="S3118" s="13" t="s">
        <v>28</v>
      </c>
      <c r="BK3118" s="64"/>
    </row>
    <row r="3119" spans="1:63" ht="12" customHeight="1" x14ac:dyDescent="0.15">
      <c r="A3119" s="1" t="s">
        <v>5775</v>
      </c>
      <c r="B3119" s="1">
        <v>41</v>
      </c>
      <c r="C3119" s="1" t="s">
        <v>20</v>
      </c>
      <c r="D3119" s="1" t="s">
        <v>37</v>
      </c>
      <c r="E3119" s="1" t="s">
        <v>5776</v>
      </c>
      <c r="F3119" s="72">
        <v>41969</v>
      </c>
      <c r="G3119" s="1" t="s">
        <v>5777</v>
      </c>
      <c r="H3119" s="1" t="s">
        <v>5778</v>
      </c>
      <c r="I3119" s="1" t="s">
        <v>431</v>
      </c>
      <c r="J3119" s="4" t="s">
        <v>5779</v>
      </c>
      <c r="K3119" s="1" t="s">
        <v>5417</v>
      </c>
      <c r="L3119" s="1" t="s">
        <v>5780</v>
      </c>
      <c r="M3119" s="1" t="s">
        <v>27</v>
      </c>
      <c r="N3119" s="1" t="s">
        <v>5781</v>
      </c>
      <c r="O3119" s="1" t="s">
        <v>1010</v>
      </c>
      <c r="P3119" s="1" t="s">
        <v>401</v>
      </c>
      <c r="Q3119" s="63" t="s">
        <v>5782</v>
      </c>
      <c r="R3119" s="1" t="s">
        <v>29</v>
      </c>
      <c r="S3119" s="13" t="s">
        <v>28</v>
      </c>
    </row>
    <row r="3120" spans="1:63" ht="12" customHeight="1" x14ac:dyDescent="0.15">
      <c r="A3120" s="1" t="s">
        <v>5759</v>
      </c>
      <c r="B3120" s="1">
        <v>39</v>
      </c>
      <c r="C3120" s="1" t="s">
        <v>20</v>
      </c>
      <c r="D3120" s="1" t="s">
        <v>37</v>
      </c>
      <c r="E3120" s="1" t="s">
        <v>5760</v>
      </c>
      <c r="F3120" s="72">
        <v>41969</v>
      </c>
      <c r="G3120" s="1" t="s">
        <v>5761</v>
      </c>
      <c r="H3120" s="1" t="s">
        <v>5762</v>
      </c>
      <c r="I3120" s="1" t="s">
        <v>45</v>
      </c>
      <c r="J3120" s="4" t="s">
        <v>5763</v>
      </c>
      <c r="K3120" s="1" t="s">
        <v>5764</v>
      </c>
      <c r="L3120" s="1" t="s">
        <v>5765</v>
      </c>
      <c r="M3120" s="1" t="s">
        <v>391</v>
      </c>
      <c r="N3120" s="1" t="s">
        <v>5766</v>
      </c>
      <c r="O3120" s="1" t="s">
        <v>400</v>
      </c>
      <c r="P3120" s="1" t="s">
        <v>401</v>
      </c>
      <c r="Q3120" s="63" t="s">
        <v>20984</v>
      </c>
      <c r="R3120" s="1" t="s">
        <v>29</v>
      </c>
      <c r="S3120" s="13" t="s">
        <v>18</v>
      </c>
      <c r="AU3120" s="11"/>
      <c r="AV3120" s="11"/>
      <c r="AW3120" s="11"/>
    </row>
    <row r="3121" spans="1:62" ht="12" customHeight="1" x14ac:dyDescent="0.15">
      <c r="A3121" s="1" t="s">
        <v>5783</v>
      </c>
      <c r="B3121" s="1">
        <v>30</v>
      </c>
      <c r="C3121" s="1" t="s">
        <v>20</v>
      </c>
      <c r="D3121" s="1" t="s">
        <v>85</v>
      </c>
      <c r="E3121" s="1" t="s">
        <v>5784</v>
      </c>
      <c r="F3121" s="72">
        <v>41968</v>
      </c>
      <c r="G3121" s="1" t="s">
        <v>5785</v>
      </c>
      <c r="H3121" s="1" t="s">
        <v>5786</v>
      </c>
      <c r="I3121" s="1" t="s">
        <v>73</v>
      </c>
      <c r="J3121" s="4" t="s">
        <v>5787</v>
      </c>
      <c r="K3121" s="1" t="s">
        <v>285</v>
      </c>
      <c r="L3121" s="1" t="s">
        <v>5788</v>
      </c>
      <c r="M3121" s="1" t="s">
        <v>391</v>
      </c>
      <c r="N3121" s="1" t="s">
        <v>5789</v>
      </c>
      <c r="O3121" s="1" t="s">
        <v>1010</v>
      </c>
      <c r="P3121" s="1" t="s">
        <v>401</v>
      </c>
      <c r="Q3121" s="6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3121" s="11" t="s">
        <v>964</v>
      </c>
      <c r="S3121" s="13" t="s">
        <v>18</v>
      </c>
      <c r="AU3121" s="11"/>
      <c r="AV3121" s="11"/>
      <c r="AW3121" s="11"/>
      <c r="AX3121" s="44"/>
      <c r="AY3121" s="44"/>
      <c r="BC3121" s="11"/>
      <c r="BD3121" s="11"/>
      <c r="BE3121" s="11"/>
      <c r="BF3121" s="11"/>
      <c r="BG3121" s="11"/>
      <c r="BH3121" s="11"/>
      <c r="BI3121" s="11"/>
      <c r="BJ3121" s="11"/>
    </row>
    <row r="3122" spans="1:62" ht="12" customHeight="1" x14ac:dyDescent="0.15">
      <c r="A3122" s="1" t="s">
        <v>5796</v>
      </c>
      <c r="B3122" s="1">
        <v>26</v>
      </c>
      <c r="C3122" s="1" t="s">
        <v>20</v>
      </c>
      <c r="D3122" s="1" t="s">
        <v>37</v>
      </c>
      <c r="E3122" s="1" t="s">
        <v>5797</v>
      </c>
      <c r="F3122" s="72">
        <v>41968</v>
      </c>
      <c r="G3122" s="1" t="s">
        <v>5798</v>
      </c>
      <c r="H3122" s="1" t="s">
        <v>4680</v>
      </c>
      <c r="I3122" s="1" t="s">
        <v>209</v>
      </c>
      <c r="J3122" s="4" t="s">
        <v>4681</v>
      </c>
      <c r="K3122" s="1" t="s">
        <v>4680</v>
      </c>
      <c r="L3122" s="1" t="s">
        <v>4682</v>
      </c>
      <c r="M3122" s="1" t="s">
        <v>27</v>
      </c>
      <c r="N3122" s="1" t="s">
        <v>5799</v>
      </c>
      <c r="O3122" s="1" t="s">
        <v>1010</v>
      </c>
      <c r="P3122" s="1" t="s">
        <v>401</v>
      </c>
      <c r="Q3122" s="63" t="s">
        <v>5800</v>
      </c>
      <c r="R3122" s="1" t="s">
        <v>100</v>
      </c>
      <c r="S3122" s="13" t="s">
        <v>28</v>
      </c>
    </row>
    <row r="3123" spans="1:62" ht="12" customHeight="1" x14ac:dyDescent="0.15">
      <c r="A3123" s="1" t="s">
        <v>5790</v>
      </c>
      <c r="B3123" s="1">
        <v>52</v>
      </c>
      <c r="C3123" s="1" t="s">
        <v>20</v>
      </c>
      <c r="D3123" s="1" t="s">
        <v>37</v>
      </c>
      <c r="E3123" s="1" t="s">
        <v>5791</v>
      </c>
      <c r="F3123" s="72">
        <v>41968</v>
      </c>
      <c r="G3123" s="1" t="s">
        <v>5792</v>
      </c>
      <c r="H3123" s="1" t="s">
        <v>984</v>
      </c>
      <c r="I3123" s="1" t="s">
        <v>319</v>
      </c>
      <c r="J3123" s="4" t="s">
        <v>5793</v>
      </c>
      <c r="K3123" s="1" t="s">
        <v>985</v>
      </c>
      <c r="L3123" s="1" t="s">
        <v>19402</v>
      </c>
      <c r="M3123" s="1" t="s">
        <v>27</v>
      </c>
      <c r="N3123" s="1" t="s">
        <v>5794</v>
      </c>
      <c r="O3123" s="1" t="s">
        <v>1010</v>
      </c>
      <c r="P3123" s="1" t="s">
        <v>401</v>
      </c>
      <c r="Q3123" s="63" t="s">
        <v>5795</v>
      </c>
      <c r="R3123" s="1" t="s">
        <v>100</v>
      </c>
      <c r="S3123" s="13" t="s">
        <v>28</v>
      </c>
    </row>
    <row r="3124" spans="1:62" ht="12" customHeight="1" x14ac:dyDescent="0.15">
      <c r="A3124" s="1" t="s">
        <v>5801</v>
      </c>
      <c r="B3124" s="1">
        <v>31</v>
      </c>
      <c r="C3124" s="1" t="s">
        <v>20</v>
      </c>
      <c r="D3124" s="1" t="s">
        <v>37</v>
      </c>
      <c r="F3124" s="72">
        <v>41968</v>
      </c>
      <c r="G3124" s="1" t="s">
        <v>5802</v>
      </c>
      <c r="H3124" s="1" t="s">
        <v>3346</v>
      </c>
      <c r="I3124" s="1" t="s">
        <v>303</v>
      </c>
      <c r="J3124" s="4" t="s">
        <v>5803</v>
      </c>
      <c r="K3124" s="1" t="s">
        <v>570</v>
      </c>
      <c r="L3124" s="1" t="s">
        <v>5804</v>
      </c>
      <c r="M3124" s="1" t="s">
        <v>27</v>
      </c>
      <c r="N3124" s="1" t="s">
        <v>5805</v>
      </c>
      <c r="O3124" s="1" t="s">
        <v>1010</v>
      </c>
      <c r="P3124" s="1" t="s">
        <v>401</v>
      </c>
      <c r="Q3124" s="63" t="s">
        <v>5806</v>
      </c>
      <c r="R3124" s="1" t="s">
        <v>29</v>
      </c>
      <c r="S3124" s="13" t="s">
        <v>18</v>
      </c>
    </row>
    <row r="3125" spans="1:62" ht="12" customHeight="1" x14ac:dyDescent="0.15">
      <c r="A3125" s="1" t="s">
        <v>5812</v>
      </c>
      <c r="B3125" s="1">
        <v>35</v>
      </c>
      <c r="C3125" s="1" t="s">
        <v>20</v>
      </c>
      <c r="D3125" s="1" t="s">
        <v>85</v>
      </c>
      <c r="E3125" s="1" t="s">
        <v>5813</v>
      </c>
      <c r="F3125" s="72">
        <v>41967</v>
      </c>
      <c r="G3125" s="1" t="s">
        <v>5814</v>
      </c>
      <c r="H3125" s="1" t="s">
        <v>3102</v>
      </c>
      <c r="I3125" s="1" t="s">
        <v>45</v>
      </c>
      <c r="J3125" s="4" t="s">
        <v>5815</v>
      </c>
      <c r="K3125" s="1" t="s">
        <v>783</v>
      </c>
      <c r="L3125" s="1" t="s">
        <v>784</v>
      </c>
      <c r="M3125" s="1" t="s">
        <v>27</v>
      </c>
      <c r="N3125" s="1" t="s">
        <v>5816</v>
      </c>
      <c r="O3125" s="1" t="s">
        <v>1010</v>
      </c>
      <c r="P3125" s="1" t="s">
        <v>401</v>
      </c>
      <c r="Q3125" s="63" t="s">
        <v>5817</v>
      </c>
      <c r="R3125" s="1" t="s">
        <v>100</v>
      </c>
      <c r="S3125" s="13" t="s">
        <v>28</v>
      </c>
      <c r="AX3125" s="44"/>
      <c r="AY3125" s="44"/>
      <c r="BC3125" s="11"/>
      <c r="BD3125" s="11"/>
      <c r="BE3125" s="11"/>
      <c r="BF3125" s="11"/>
      <c r="BG3125" s="11"/>
      <c r="BH3125" s="11"/>
      <c r="BI3125" s="11"/>
      <c r="BJ3125" s="11"/>
    </row>
    <row r="3126" spans="1:62" ht="12" customHeight="1" x14ac:dyDescent="0.15">
      <c r="A3126" s="1" t="s">
        <v>5807</v>
      </c>
      <c r="B3126" s="1">
        <v>33</v>
      </c>
      <c r="C3126" s="1" t="s">
        <v>20</v>
      </c>
      <c r="D3126" s="1" t="s">
        <v>85</v>
      </c>
      <c r="E3126" s="1" t="s">
        <v>5808</v>
      </c>
      <c r="F3126" s="72">
        <v>41967</v>
      </c>
      <c r="G3126" s="1" t="s">
        <v>5809</v>
      </c>
      <c r="H3126" s="1" t="s">
        <v>651</v>
      </c>
      <c r="I3126" s="1" t="s">
        <v>62</v>
      </c>
      <c r="J3126" s="4" t="s">
        <v>5810</v>
      </c>
      <c r="K3126" s="1" t="s">
        <v>652</v>
      </c>
      <c r="L3126" s="11" t="s">
        <v>653</v>
      </c>
      <c r="M3126" s="1" t="s">
        <v>27</v>
      </c>
      <c r="N3126" s="1" t="s">
        <v>5811</v>
      </c>
      <c r="O3126" s="1" t="s">
        <v>1010</v>
      </c>
      <c r="P3126" s="1" t="s">
        <v>401</v>
      </c>
      <c r="Q3126" s="6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3126" s="1" t="s">
        <v>100</v>
      </c>
      <c r="S3126" s="13" t="s">
        <v>28</v>
      </c>
      <c r="AX3126" s="44"/>
      <c r="AY3126" s="44"/>
      <c r="BC3126" s="11"/>
      <c r="BD3126" s="11"/>
      <c r="BE3126" s="11"/>
      <c r="BF3126" s="11"/>
      <c r="BG3126" s="11"/>
      <c r="BH3126" s="11"/>
      <c r="BI3126" s="11"/>
      <c r="BJ3126" s="11"/>
    </row>
    <row r="3127" spans="1:62" ht="12" customHeight="1" x14ac:dyDescent="0.15">
      <c r="A3127" s="1" t="s">
        <v>5831</v>
      </c>
      <c r="B3127" s="1">
        <v>33</v>
      </c>
      <c r="C3127" s="1" t="s">
        <v>20</v>
      </c>
      <c r="D3127" s="1" t="s">
        <v>37</v>
      </c>
      <c r="E3127" s="1" t="s">
        <v>5832</v>
      </c>
      <c r="F3127" s="72">
        <v>41966</v>
      </c>
      <c r="G3127" s="1" t="s">
        <v>5833</v>
      </c>
      <c r="H3127" s="1" t="s">
        <v>5834</v>
      </c>
      <c r="I3127" s="1" t="s">
        <v>123</v>
      </c>
      <c r="J3127" s="4" t="s">
        <v>5835</v>
      </c>
      <c r="K3127" s="1" t="s">
        <v>5836</v>
      </c>
      <c r="L3127" s="1" t="s">
        <v>5837</v>
      </c>
      <c r="M3127" s="1" t="s">
        <v>27</v>
      </c>
      <c r="N3127" s="1" t="s">
        <v>5838</v>
      </c>
      <c r="O3127" s="1" t="s">
        <v>550</v>
      </c>
      <c r="P3127" s="1" t="s">
        <v>401</v>
      </c>
      <c r="Q3127" s="63" t="s">
        <v>5839</v>
      </c>
      <c r="R3127" s="11" t="s">
        <v>964</v>
      </c>
      <c r="S3127" s="13" t="s">
        <v>28</v>
      </c>
    </row>
    <row r="3128" spans="1:62" ht="12" customHeight="1" x14ac:dyDescent="0.15">
      <c r="A3128" s="1" t="s">
        <v>5818</v>
      </c>
      <c r="B3128" s="1">
        <v>27</v>
      </c>
      <c r="C3128" s="1" t="s">
        <v>20</v>
      </c>
      <c r="D3128" s="1" t="s">
        <v>48</v>
      </c>
      <c r="F3128" s="72">
        <v>41966</v>
      </c>
      <c r="G3128" s="1" t="s">
        <v>5819</v>
      </c>
      <c r="H3128" s="1" t="s">
        <v>5820</v>
      </c>
      <c r="I3128" s="1" t="s">
        <v>45</v>
      </c>
      <c r="J3128" s="4" t="s">
        <v>5821</v>
      </c>
      <c r="K3128" s="1" t="s">
        <v>98</v>
      </c>
      <c r="L3128" s="1" t="s">
        <v>1497</v>
      </c>
      <c r="M3128" s="1" t="s">
        <v>27</v>
      </c>
      <c r="N3128" s="1" t="s">
        <v>5822</v>
      </c>
      <c r="O3128" s="1" t="s">
        <v>1010</v>
      </c>
      <c r="P3128" s="1" t="s">
        <v>401</v>
      </c>
      <c r="Q3128" s="63" t="s">
        <v>5823</v>
      </c>
      <c r="R3128" s="1" t="s">
        <v>100</v>
      </c>
      <c r="S3128" s="13" t="s">
        <v>28</v>
      </c>
    </row>
    <row r="3129" spans="1:62" ht="12" customHeight="1" x14ac:dyDescent="0.15">
      <c r="A3129" s="1" t="s">
        <v>5824</v>
      </c>
      <c r="B3129" s="1">
        <v>50</v>
      </c>
      <c r="C3129" s="1" t="s">
        <v>20</v>
      </c>
      <c r="D3129" s="1" t="s">
        <v>37</v>
      </c>
      <c r="E3129" s="1" t="s">
        <v>5825</v>
      </c>
      <c r="F3129" s="72">
        <v>41966</v>
      </c>
      <c r="G3129" s="1" t="s">
        <v>5826</v>
      </c>
      <c r="H3129" s="1" t="s">
        <v>3572</v>
      </c>
      <c r="I3129" s="1" t="s">
        <v>62</v>
      </c>
      <c r="J3129" s="4" t="s">
        <v>5827</v>
      </c>
      <c r="K3129" s="1" t="s">
        <v>3574</v>
      </c>
      <c r="L3129" s="1" t="s">
        <v>5828</v>
      </c>
      <c r="M3129" s="1" t="s">
        <v>27</v>
      </c>
      <c r="N3129" s="1" t="s">
        <v>5829</v>
      </c>
      <c r="O3129" s="1" t="s">
        <v>1010</v>
      </c>
      <c r="P3129" s="1" t="s">
        <v>401</v>
      </c>
      <c r="Q3129" s="63" t="s">
        <v>5830</v>
      </c>
      <c r="R3129" s="1" t="s">
        <v>100</v>
      </c>
      <c r="S3129" s="13" t="s">
        <v>28</v>
      </c>
    </row>
    <row r="3130" spans="1:62" ht="12" customHeight="1" x14ac:dyDescent="0.15">
      <c r="A3130" s="1" t="s">
        <v>5846</v>
      </c>
      <c r="B3130" s="1">
        <v>27</v>
      </c>
      <c r="C3130" s="1" t="s">
        <v>20</v>
      </c>
      <c r="D3130" s="1" t="s">
        <v>48</v>
      </c>
      <c r="E3130" s="1" t="s">
        <v>5847</v>
      </c>
      <c r="F3130" s="72">
        <v>41965</v>
      </c>
      <c r="G3130" s="1" t="s">
        <v>5848</v>
      </c>
      <c r="H3130" s="1" t="s">
        <v>5849</v>
      </c>
      <c r="I3130" s="1" t="s">
        <v>45</v>
      </c>
      <c r="J3130" s="4" t="s">
        <v>5850</v>
      </c>
      <c r="K3130" s="1" t="s">
        <v>65</v>
      </c>
      <c r="L3130" s="1" t="s">
        <v>5851</v>
      </c>
      <c r="M3130" s="1" t="s">
        <v>27</v>
      </c>
      <c r="N3130" s="1" t="s">
        <v>5852</v>
      </c>
      <c r="O3130" s="1" t="s">
        <v>1010</v>
      </c>
      <c r="P3130" s="1" t="s">
        <v>401</v>
      </c>
      <c r="Q3130" s="63" t="s">
        <v>5853</v>
      </c>
      <c r="R3130" s="1" t="s">
        <v>100</v>
      </c>
      <c r="S3130" s="13" t="s">
        <v>28</v>
      </c>
    </row>
    <row r="3131" spans="1:62" ht="12" customHeight="1" x14ac:dyDescent="0.15">
      <c r="A3131" s="1" t="s">
        <v>5875</v>
      </c>
      <c r="B3131" s="1">
        <v>29</v>
      </c>
      <c r="C3131" s="1" t="s">
        <v>20</v>
      </c>
      <c r="D3131" s="1" t="s">
        <v>37</v>
      </c>
      <c r="E3131" s="1" t="s">
        <v>5876</v>
      </c>
      <c r="F3131" s="72">
        <v>41965</v>
      </c>
      <c r="G3131" s="1" t="s">
        <v>5877</v>
      </c>
      <c r="H3131" s="1" t="s">
        <v>5878</v>
      </c>
      <c r="I3131" s="1" t="s">
        <v>45</v>
      </c>
      <c r="J3131" s="4" t="s">
        <v>5879</v>
      </c>
      <c r="K3131" s="1" t="s">
        <v>5880</v>
      </c>
      <c r="L3131" s="1" t="s">
        <v>5881</v>
      </c>
      <c r="M3131" s="1" t="s">
        <v>27</v>
      </c>
      <c r="N3131" s="1" t="s">
        <v>5882</v>
      </c>
      <c r="O3131" s="1" t="s">
        <v>1010</v>
      </c>
      <c r="P3131" s="1" t="s">
        <v>401</v>
      </c>
      <c r="Q3131" s="6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3131" s="1" t="s">
        <v>100</v>
      </c>
      <c r="S3131" s="13" t="s">
        <v>28</v>
      </c>
    </row>
    <row r="3132" spans="1:62" ht="12" customHeight="1" x14ac:dyDescent="0.15">
      <c r="A3132" s="1" t="s">
        <v>5861</v>
      </c>
      <c r="B3132" s="1">
        <v>40</v>
      </c>
      <c r="C3132" s="1" t="s">
        <v>114</v>
      </c>
      <c r="D3132" s="1" t="s">
        <v>37</v>
      </c>
      <c r="E3132" s="1" t="s">
        <v>5862</v>
      </c>
      <c r="F3132" s="72">
        <v>41965</v>
      </c>
      <c r="G3132" s="1" t="s">
        <v>5863</v>
      </c>
      <c r="H3132" s="1" t="s">
        <v>5864</v>
      </c>
      <c r="I3132" s="1" t="s">
        <v>62</v>
      </c>
      <c r="J3132" s="4" t="s">
        <v>5865</v>
      </c>
      <c r="K3132" s="1" t="s">
        <v>1256</v>
      </c>
      <c r="L3132" s="1" t="s">
        <v>5866</v>
      </c>
      <c r="M3132" s="1" t="s">
        <v>27</v>
      </c>
      <c r="N3132" s="1" t="s">
        <v>5867</v>
      </c>
      <c r="O3132" s="1" t="s">
        <v>1010</v>
      </c>
      <c r="P3132" s="1" t="s">
        <v>401</v>
      </c>
      <c r="Q3132" s="63" t="s">
        <v>5868</v>
      </c>
      <c r="R3132" s="1" t="s">
        <v>100</v>
      </c>
      <c r="S3132" s="13" t="s">
        <v>28</v>
      </c>
    </row>
    <row r="3133" spans="1:62" ht="12" customHeight="1" x14ac:dyDescent="0.15">
      <c r="A3133" s="1" t="s">
        <v>5869</v>
      </c>
      <c r="B3133" s="1">
        <v>53</v>
      </c>
      <c r="C3133" s="1" t="s">
        <v>20</v>
      </c>
      <c r="D3133" s="1" t="s">
        <v>37</v>
      </c>
      <c r="E3133" s="1" t="s">
        <v>5870</v>
      </c>
      <c r="F3133" s="72">
        <v>41965</v>
      </c>
      <c r="G3133" s="1" t="s">
        <v>5871</v>
      </c>
      <c r="H3133" s="1" t="s">
        <v>3498</v>
      </c>
      <c r="I3133" s="1" t="s">
        <v>62</v>
      </c>
      <c r="J3133" s="4" t="s">
        <v>3499</v>
      </c>
      <c r="K3133" s="1" t="s">
        <v>3500</v>
      </c>
      <c r="L3133" s="1" t="s">
        <v>5872</v>
      </c>
      <c r="M3133" s="1" t="s">
        <v>27</v>
      </c>
      <c r="N3133" s="1" t="s">
        <v>5873</v>
      </c>
      <c r="O3133" s="1" t="s">
        <v>400</v>
      </c>
      <c r="P3133" s="1" t="s">
        <v>401</v>
      </c>
      <c r="Q3133" s="63" t="s">
        <v>5874</v>
      </c>
      <c r="R3133" s="1" t="s">
        <v>100</v>
      </c>
      <c r="S3133" s="13" t="s">
        <v>28</v>
      </c>
    </row>
    <row r="3134" spans="1:62" ht="12" customHeight="1" x14ac:dyDescent="0.15">
      <c r="A3134" s="1" t="s">
        <v>5840</v>
      </c>
      <c r="B3134" s="1">
        <v>12</v>
      </c>
      <c r="C3134" s="1" t="s">
        <v>20</v>
      </c>
      <c r="D3134" s="1" t="s">
        <v>85</v>
      </c>
      <c r="E3134" s="1" t="s">
        <v>5841</v>
      </c>
      <c r="F3134" s="72">
        <v>41965</v>
      </c>
      <c r="G3134" s="1" t="s">
        <v>5842</v>
      </c>
      <c r="H3134" s="1" t="s">
        <v>984</v>
      </c>
      <c r="I3134" s="1" t="s">
        <v>69</v>
      </c>
      <c r="J3134" s="4" t="s">
        <v>5843</v>
      </c>
      <c r="K3134" s="1" t="s">
        <v>105</v>
      </c>
      <c r="L3134" s="1" t="s">
        <v>3452</v>
      </c>
      <c r="M3134" s="1" t="s">
        <v>27</v>
      </c>
      <c r="N3134" s="1" t="s">
        <v>5844</v>
      </c>
      <c r="O3134" s="1" t="s">
        <v>400</v>
      </c>
      <c r="P3134" s="1" t="s">
        <v>401</v>
      </c>
      <c r="Q3134" s="63" t="s">
        <v>5845</v>
      </c>
      <c r="R3134" s="1" t="s">
        <v>100</v>
      </c>
      <c r="S3134" s="13" t="s">
        <v>18</v>
      </c>
      <c r="AX3134" s="44"/>
      <c r="AY3134" s="44"/>
      <c r="BC3134" s="11"/>
      <c r="BD3134" s="11"/>
      <c r="BE3134" s="11"/>
      <c r="BF3134" s="11"/>
      <c r="BG3134" s="11"/>
      <c r="BH3134" s="11"/>
      <c r="BI3134" s="11"/>
      <c r="BJ3134" s="11"/>
    </row>
    <row r="3135" spans="1:62" ht="12" customHeight="1" x14ac:dyDescent="0.2">
      <c r="A3135" s="1" t="s">
        <v>5854</v>
      </c>
      <c r="B3135" s="1">
        <v>26</v>
      </c>
      <c r="C3135" s="1" t="s">
        <v>20</v>
      </c>
      <c r="D3135" s="1" t="s">
        <v>37</v>
      </c>
      <c r="E3135" s="1" t="s">
        <v>5855</v>
      </c>
      <c r="F3135" s="72">
        <v>41965</v>
      </c>
      <c r="G3135" s="1" t="s">
        <v>5856</v>
      </c>
      <c r="H3135" s="1" t="s">
        <v>5857</v>
      </c>
      <c r="I3135" s="1" t="s">
        <v>240</v>
      </c>
      <c r="J3135" s="4" t="s">
        <v>5858</v>
      </c>
      <c r="K3135" s="1" t="s">
        <v>611</v>
      </c>
      <c r="L3135" s="1" t="s">
        <v>5859</v>
      </c>
      <c r="M3135" s="1" t="s">
        <v>27</v>
      </c>
      <c r="N3135" s="1" t="s">
        <v>5860</v>
      </c>
      <c r="O3135" s="1" t="s">
        <v>400</v>
      </c>
      <c r="P3135" s="1" t="s">
        <v>401</v>
      </c>
      <c r="Q3135" s="6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3135" s="1" t="s">
        <v>29</v>
      </c>
      <c r="S3135" s="13" t="s">
        <v>28</v>
      </c>
      <c r="BA3135" s="70"/>
      <c r="BB3135" s="70"/>
    </row>
    <row r="3136" spans="1:62" ht="12" customHeight="1" x14ac:dyDescent="0.15">
      <c r="A3136" s="1" t="s">
        <v>5883</v>
      </c>
      <c r="B3136" s="1">
        <v>18</v>
      </c>
      <c r="C3136" s="1" t="s">
        <v>20</v>
      </c>
      <c r="D3136" s="1" t="s">
        <v>48</v>
      </c>
      <c r="E3136" s="1" t="s">
        <v>5884</v>
      </c>
      <c r="F3136" s="72">
        <v>41964</v>
      </c>
      <c r="G3136" s="1" t="s">
        <v>5885</v>
      </c>
      <c r="H3136" s="1" t="s">
        <v>489</v>
      </c>
      <c r="I3136" s="1" t="s">
        <v>45</v>
      </c>
      <c r="J3136" s="4" t="s">
        <v>5886</v>
      </c>
      <c r="K3136" s="1" t="s">
        <v>98</v>
      </c>
      <c r="L3136" s="1" t="s">
        <v>490</v>
      </c>
      <c r="M3136" s="1" t="s">
        <v>27</v>
      </c>
      <c r="N3136" s="1" t="s">
        <v>5887</v>
      </c>
      <c r="O3136" s="1" t="s">
        <v>1010</v>
      </c>
      <c r="P3136" s="1" t="s">
        <v>401</v>
      </c>
      <c r="Q3136" s="63" t="s">
        <v>5888</v>
      </c>
      <c r="R3136" s="1" t="s">
        <v>100</v>
      </c>
      <c r="S3136" s="13" t="s">
        <v>28</v>
      </c>
    </row>
    <row r="3137" spans="1:62" ht="12" customHeight="1" x14ac:dyDescent="0.15">
      <c r="A3137" s="1" t="s">
        <v>5889</v>
      </c>
      <c r="B3137" s="1">
        <v>31</v>
      </c>
      <c r="C3137" s="1" t="s">
        <v>20</v>
      </c>
      <c r="D3137" s="1" t="s">
        <v>85</v>
      </c>
      <c r="F3137" s="72">
        <v>41963</v>
      </c>
      <c r="G3137" s="1" t="s">
        <v>5890</v>
      </c>
      <c r="H3137" s="1" t="s">
        <v>3498</v>
      </c>
      <c r="I3137" s="1" t="s">
        <v>62</v>
      </c>
      <c r="J3137" s="4" t="s">
        <v>5891</v>
      </c>
      <c r="K3137" s="1" t="s">
        <v>3500</v>
      </c>
      <c r="L3137" s="1" t="s">
        <v>5892</v>
      </c>
      <c r="M3137" s="1" t="s">
        <v>27</v>
      </c>
      <c r="N3137" s="1" t="s">
        <v>5893</v>
      </c>
      <c r="O3137" s="1" t="s">
        <v>400</v>
      </c>
      <c r="P3137" s="1" t="s">
        <v>401</v>
      </c>
      <c r="Q3137" s="63" t="s">
        <v>5894</v>
      </c>
      <c r="R3137" s="1" t="s">
        <v>100</v>
      </c>
      <c r="S3137" s="13" t="s">
        <v>28</v>
      </c>
      <c r="AX3137" s="44"/>
      <c r="AY3137" s="44"/>
      <c r="BC3137" s="11"/>
      <c r="BD3137" s="11"/>
      <c r="BE3137" s="11"/>
      <c r="BF3137" s="11"/>
      <c r="BG3137" s="11"/>
      <c r="BH3137" s="11"/>
      <c r="BI3137" s="11"/>
      <c r="BJ3137" s="11"/>
    </row>
    <row r="3138" spans="1:62" ht="12" customHeight="1" x14ac:dyDescent="0.15">
      <c r="A3138" s="1" t="s">
        <v>5895</v>
      </c>
      <c r="B3138" s="1">
        <v>28</v>
      </c>
      <c r="C3138" s="1" t="s">
        <v>20</v>
      </c>
      <c r="D3138" s="1" t="s">
        <v>85</v>
      </c>
      <c r="E3138" s="1" t="s">
        <v>5896</v>
      </c>
      <c r="F3138" s="72">
        <v>41963</v>
      </c>
      <c r="G3138" s="1" t="s">
        <v>5897</v>
      </c>
      <c r="H3138" s="1" t="s">
        <v>754</v>
      </c>
      <c r="I3138" s="1" t="s">
        <v>423</v>
      </c>
      <c r="J3138" s="4" t="s">
        <v>5898</v>
      </c>
      <c r="K3138" s="1" t="s">
        <v>5899</v>
      </c>
      <c r="L3138" s="1" t="s">
        <v>582</v>
      </c>
      <c r="M3138" s="1" t="s">
        <v>27</v>
      </c>
      <c r="N3138" s="1" t="s">
        <v>5900</v>
      </c>
      <c r="O3138" s="1" t="s">
        <v>31001</v>
      </c>
      <c r="P3138" s="1" t="s">
        <v>20976</v>
      </c>
      <c r="Q3138" s="63" t="s">
        <v>5901</v>
      </c>
      <c r="R3138" s="1" t="s">
        <v>100</v>
      </c>
      <c r="S3138" s="13" t="s">
        <v>18</v>
      </c>
      <c r="AX3138" s="44"/>
      <c r="AY3138" s="44"/>
      <c r="BC3138" s="11"/>
      <c r="BD3138" s="11"/>
      <c r="BE3138" s="11"/>
      <c r="BF3138" s="11"/>
      <c r="BG3138" s="11"/>
      <c r="BH3138" s="11"/>
      <c r="BI3138" s="11"/>
      <c r="BJ3138" s="11"/>
    </row>
    <row r="3139" spans="1:62" ht="12" customHeight="1" x14ac:dyDescent="0.2">
      <c r="A3139" s="1" t="s">
        <v>5902</v>
      </c>
      <c r="B3139" s="1">
        <v>35</v>
      </c>
      <c r="C3139" s="1" t="s">
        <v>20</v>
      </c>
      <c r="D3139" s="1" t="s">
        <v>37</v>
      </c>
      <c r="E3139" s="1" t="s">
        <v>5903</v>
      </c>
      <c r="F3139" s="72">
        <v>41963</v>
      </c>
      <c r="G3139" s="1" t="s">
        <v>5904</v>
      </c>
      <c r="H3139" s="1" t="s">
        <v>5905</v>
      </c>
      <c r="I3139" s="1" t="s">
        <v>25</v>
      </c>
      <c r="J3139" s="4" t="s">
        <v>5906</v>
      </c>
      <c r="K3139" s="1" t="s">
        <v>5907</v>
      </c>
      <c r="L3139" s="1" t="s">
        <v>5908</v>
      </c>
      <c r="M3139" s="1" t="s">
        <v>27</v>
      </c>
      <c r="N3139" s="1" t="s">
        <v>5909</v>
      </c>
      <c r="O3139" s="1" t="s">
        <v>550</v>
      </c>
      <c r="P3139" s="1" t="s">
        <v>401</v>
      </c>
      <c r="Q3139" s="63" t="s">
        <v>5910</v>
      </c>
      <c r="R3139" s="1" t="s">
        <v>29</v>
      </c>
      <c r="S3139" s="13" t="s">
        <v>28</v>
      </c>
      <c r="BA3139" s="70"/>
      <c r="BB3139" s="70"/>
    </row>
    <row r="3140" spans="1:62" ht="12" customHeight="1" x14ac:dyDescent="0.15">
      <c r="A3140" s="1" t="s">
        <v>5911</v>
      </c>
      <c r="B3140" s="1">
        <v>29</v>
      </c>
      <c r="C3140" s="1" t="s">
        <v>114</v>
      </c>
      <c r="D3140" s="1" t="s">
        <v>37</v>
      </c>
      <c r="E3140" s="1" t="s">
        <v>5912</v>
      </c>
      <c r="F3140" s="72">
        <v>41963</v>
      </c>
      <c r="G3140" s="1" t="s">
        <v>5913</v>
      </c>
      <c r="H3140" s="1" t="s">
        <v>325</v>
      </c>
      <c r="I3140" s="1" t="s">
        <v>117</v>
      </c>
      <c r="J3140" s="4" t="s">
        <v>5914</v>
      </c>
      <c r="K3140" s="1" t="s">
        <v>118</v>
      </c>
      <c r="L3140" s="1" t="s">
        <v>1381</v>
      </c>
      <c r="M3140" s="1" t="s">
        <v>27</v>
      </c>
      <c r="N3140" s="1" t="s">
        <v>5915</v>
      </c>
      <c r="O3140" s="1" t="s">
        <v>400</v>
      </c>
      <c r="P3140" s="1" t="s">
        <v>401</v>
      </c>
      <c r="Q3140" s="63" t="s">
        <v>5916</v>
      </c>
      <c r="R3140" s="1" t="s">
        <v>555</v>
      </c>
      <c r="S3140" s="13" t="s">
        <v>28</v>
      </c>
      <c r="BA3140" s="11"/>
      <c r="BB3140" s="11"/>
    </row>
    <row r="3141" spans="1:62" ht="12" customHeight="1" x14ac:dyDescent="0.15">
      <c r="A3141" s="1" t="s">
        <v>5923</v>
      </c>
      <c r="B3141" s="1">
        <v>41</v>
      </c>
      <c r="C3141" s="1" t="s">
        <v>20</v>
      </c>
      <c r="D3141" s="1" t="s">
        <v>37</v>
      </c>
      <c r="E3141" s="1" t="s">
        <v>5924</v>
      </c>
      <c r="F3141" s="72">
        <v>41962</v>
      </c>
      <c r="G3141" s="1" t="s">
        <v>5925</v>
      </c>
      <c r="H3141" s="1" t="s">
        <v>5926</v>
      </c>
      <c r="I3141" s="1" t="s">
        <v>431</v>
      </c>
      <c r="J3141" s="4" t="s">
        <v>5927</v>
      </c>
      <c r="K3141" s="1" t="s">
        <v>5928</v>
      </c>
      <c r="L3141" s="1" t="s">
        <v>5929</v>
      </c>
      <c r="M3141" s="1" t="s">
        <v>27</v>
      </c>
      <c r="N3141" s="1" t="s">
        <v>5930</v>
      </c>
      <c r="O3141" s="1" t="s">
        <v>1010</v>
      </c>
      <c r="P3141" s="1" t="s">
        <v>401</v>
      </c>
      <c r="Q3141" s="63" t="s">
        <v>5931</v>
      </c>
      <c r="R3141" s="1" t="s">
        <v>100</v>
      </c>
      <c r="S3141" s="13" t="s">
        <v>28</v>
      </c>
    </row>
    <row r="3142" spans="1:62" ht="12" customHeight="1" x14ac:dyDescent="0.15">
      <c r="A3142" s="1" t="s">
        <v>5917</v>
      </c>
      <c r="B3142" s="1">
        <v>29</v>
      </c>
      <c r="C3142" s="1" t="s">
        <v>114</v>
      </c>
      <c r="D3142" s="1" t="s">
        <v>85</v>
      </c>
      <c r="E3142" s="1" t="s">
        <v>5918</v>
      </c>
      <c r="F3142" s="72">
        <v>41962</v>
      </c>
      <c r="G3142" s="1" t="s">
        <v>5919</v>
      </c>
      <c r="H3142" s="1" t="s">
        <v>1192</v>
      </c>
      <c r="I3142" s="1" t="s">
        <v>319</v>
      </c>
      <c r="J3142" s="4" t="s">
        <v>5920</v>
      </c>
      <c r="K3142" s="1" t="s">
        <v>1193</v>
      </c>
      <c r="L3142" s="1" t="s">
        <v>1194</v>
      </c>
      <c r="M3142" s="1" t="s">
        <v>27</v>
      </c>
      <c r="N3142" s="1" t="s">
        <v>5921</v>
      </c>
      <c r="O3142" s="1" t="s">
        <v>29628</v>
      </c>
      <c r="P3142" s="1" t="s">
        <v>29629</v>
      </c>
      <c r="Q3142" s="63" t="s">
        <v>5922</v>
      </c>
      <c r="R3142" s="1" t="s">
        <v>29</v>
      </c>
      <c r="S3142" s="13" t="s">
        <v>18</v>
      </c>
      <c r="AX3142" s="11"/>
      <c r="AY3142" s="11"/>
      <c r="BC3142" s="11"/>
      <c r="BD3142" s="11"/>
      <c r="BE3142" s="11"/>
      <c r="BF3142" s="11"/>
      <c r="BG3142" s="11"/>
      <c r="BH3142" s="11"/>
      <c r="BI3142" s="11"/>
      <c r="BJ3142" s="11"/>
    </row>
    <row r="3143" spans="1:62" ht="12" customHeight="1" x14ac:dyDescent="0.15">
      <c r="A3143" s="1" t="s">
        <v>5932</v>
      </c>
      <c r="B3143" s="1">
        <v>34</v>
      </c>
      <c r="C3143" s="1" t="s">
        <v>20</v>
      </c>
      <c r="D3143" s="1" t="s">
        <v>48</v>
      </c>
      <c r="E3143" s="1" t="s">
        <v>5933</v>
      </c>
      <c r="F3143" s="72">
        <v>41961</v>
      </c>
      <c r="G3143" s="1" t="s">
        <v>5934</v>
      </c>
      <c r="H3143" s="1" t="s">
        <v>783</v>
      </c>
      <c r="I3143" s="1" t="s">
        <v>45</v>
      </c>
      <c r="J3143" s="4" t="s">
        <v>5935</v>
      </c>
      <c r="K3143" s="1" t="s">
        <v>783</v>
      </c>
      <c r="L3143" s="1" t="s">
        <v>5936</v>
      </c>
      <c r="M3143" s="1" t="s">
        <v>27</v>
      </c>
      <c r="N3143" s="1" t="s">
        <v>5937</v>
      </c>
      <c r="O3143" s="1" t="s">
        <v>1010</v>
      </c>
      <c r="P3143" s="1" t="s">
        <v>401</v>
      </c>
      <c r="Q3143" s="63" t="s">
        <v>5938</v>
      </c>
      <c r="R3143" s="1" t="s">
        <v>100</v>
      </c>
      <c r="S3143" s="13" t="s">
        <v>28</v>
      </c>
    </row>
    <row r="3144" spans="1:62" ht="12" customHeight="1" x14ac:dyDescent="0.15">
      <c r="A3144" s="1" t="s">
        <v>5939</v>
      </c>
      <c r="B3144" s="1">
        <v>34</v>
      </c>
      <c r="C3144" s="1" t="s">
        <v>20</v>
      </c>
      <c r="D3144" s="1" t="s">
        <v>37</v>
      </c>
      <c r="F3144" s="72">
        <v>41961</v>
      </c>
      <c r="G3144" s="1" t="s">
        <v>5940</v>
      </c>
      <c r="H3144" s="1" t="s">
        <v>5941</v>
      </c>
      <c r="I3144" s="1" t="s">
        <v>62</v>
      </c>
      <c r="J3144" s="4" t="s">
        <v>5942</v>
      </c>
      <c r="K3144" s="1" t="s">
        <v>2309</v>
      </c>
      <c r="L3144" s="1" t="s">
        <v>5943</v>
      </c>
      <c r="M3144" s="1" t="s">
        <v>27</v>
      </c>
      <c r="N3144" s="1" t="s">
        <v>5944</v>
      </c>
      <c r="O3144" s="1" t="s">
        <v>1010</v>
      </c>
      <c r="P3144" s="1" t="s">
        <v>401</v>
      </c>
      <c r="Q3144" s="63" t="s">
        <v>5945</v>
      </c>
      <c r="R3144" s="1" t="s">
        <v>100</v>
      </c>
      <c r="S3144" s="13" t="s">
        <v>28</v>
      </c>
    </row>
    <row r="3145" spans="1:62" ht="12" customHeight="1" x14ac:dyDescent="0.15">
      <c r="A3145" s="1" t="s">
        <v>5946</v>
      </c>
      <c r="B3145" s="1">
        <v>45</v>
      </c>
      <c r="C3145" s="1" t="s">
        <v>20</v>
      </c>
      <c r="D3145" s="1" t="s">
        <v>37</v>
      </c>
      <c r="E3145" s="1" t="s">
        <v>5947</v>
      </c>
      <c r="F3145" s="72">
        <v>41961</v>
      </c>
      <c r="G3145" s="1" t="s">
        <v>5948</v>
      </c>
      <c r="H3145" s="1" t="s">
        <v>5949</v>
      </c>
      <c r="I3145" s="1" t="s">
        <v>366</v>
      </c>
      <c r="J3145" s="4" t="s">
        <v>5950</v>
      </c>
      <c r="K3145" s="1" t="s">
        <v>3152</v>
      </c>
      <c r="L3145" s="1" t="s">
        <v>5951</v>
      </c>
      <c r="M3145" s="1" t="s">
        <v>27</v>
      </c>
      <c r="N3145" s="1" t="s">
        <v>5952</v>
      </c>
      <c r="O3145" s="1" t="s">
        <v>1010</v>
      </c>
      <c r="P3145" s="1" t="s">
        <v>401</v>
      </c>
      <c r="Q3145" s="63" t="str">
        <f>HYPERLINK("http://www.wral.com/family-man-who-shot-fayetteville-officer-suffered-from-mental-illness/14200793/","http://www.wral.com/family-man-who-shot-fayetteville-officer-suffered-from-mental-illness/14200793/")</f>
        <v>http://www.wral.com/family-man-who-shot-fayetteville-officer-suffered-from-mental-illness/14200793/</v>
      </c>
      <c r="R3145" s="1" t="s">
        <v>555</v>
      </c>
      <c r="S3145" s="13" t="s">
        <v>28</v>
      </c>
      <c r="BA3145" s="11"/>
      <c r="BB3145" s="11"/>
    </row>
    <row r="3146" spans="1:62" ht="12" customHeight="1" x14ac:dyDescent="0.15">
      <c r="A3146" s="1" t="s">
        <v>5957</v>
      </c>
      <c r="B3146" s="1">
        <v>16</v>
      </c>
      <c r="C3146" s="1" t="s">
        <v>20</v>
      </c>
      <c r="D3146" s="1" t="s">
        <v>85</v>
      </c>
      <c r="F3146" s="72">
        <v>41960</v>
      </c>
      <c r="G3146" s="1" t="s">
        <v>24468</v>
      </c>
      <c r="H3146" s="1" t="s">
        <v>5954</v>
      </c>
      <c r="I3146" s="1" t="s">
        <v>366</v>
      </c>
      <c r="J3146" s="4" t="s">
        <v>5955</v>
      </c>
      <c r="K3146" s="1" t="s">
        <v>5685</v>
      </c>
      <c r="L3146" s="1" t="s">
        <v>5686</v>
      </c>
      <c r="M3146" s="1" t="s">
        <v>379</v>
      </c>
      <c r="N3146" s="1" t="s">
        <v>21181</v>
      </c>
      <c r="O3146" s="1" t="s">
        <v>1010</v>
      </c>
      <c r="P3146" s="1" t="s">
        <v>401</v>
      </c>
      <c r="Q3146" s="63" t="s">
        <v>5956</v>
      </c>
      <c r="R3146" s="1" t="s">
        <v>100</v>
      </c>
      <c r="S3146" s="13" t="s">
        <v>28</v>
      </c>
      <c r="AX3146" s="44"/>
      <c r="AY3146" s="44"/>
      <c r="BC3146" s="11"/>
      <c r="BD3146" s="11"/>
      <c r="BE3146" s="11"/>
      <c r="BF3146" s="11"/>
      <c r="BG3146" s="11"/>
      <c r="BH3146" s="11"/>
      <c r="BI3146" s="11"/>
      <c r="BJ3146" s="11"/>
    </row>
    <row r="3147" spans="1:62" ht="12" customHeight="1" x14ac:dyDescent="0.15">
      <c r="A3147" s="1" t="s">
        <v>5953</v>
      </c>
      <c r="B3147" s="1">
        <v>19</v>
      </c>
      <c r="C3147" s="1" t="s">
        <v>20</v>
      </c>
      <c r="D3147" s="1" t="s">
        <v>85</v>
      </c>
      <c r="F3147" s="72">
        <v>41960</v>
      </c>
      <c r="G3147" s="1" t="s">
        <v>24468</v>
      </c>
      <c r="H3147" s="1" t="s">
        <v>5954</v>
      </c>
      <c r="I3147" s="1" t="s">
        <v>366</v>
      </c>
      <c r="J3147" s="4" t="s">
        <v>5955</v>
      </c>
      <c r="K3147" s="1" t="s">
        <v>5685</v>
      </c>
      <c r="L3147" s="1" t="s">
        <v>5686</v>
      </c>
      <c r="M3147" s="1" t="s">
        <v>379</v>
      </c>
      <c r="N3147" s="1" t="s">
        <v>21181</v>
      </c>
      <c r="O3147" s="1" t="s">
        <v>1010</v>
      </c>
      <c r="P3147" s="1" t="s">
        <v>401</v>
      </c>
      <c r="Q3147" s="63" t="s">
        <v>5956</v>
      </c>
      <c r="R3147" s="1" t="s">
        <v>100</v>
      </c>
      <c r="S3147" s="13" t="s">
        <v>28</v>
      </c>
      <c r="AX3147" s="44"/>
      <c r="AY3147" s="44"/>
      <c r="BC3147" s="11"/>
      <c r="BD3147" s="11"/>
      <c r="BE3147" s="11"/>
      <c r="BF3147" s="11"/>
      <c r="BG3147" s="11"/>
      <c r="BH3147" s="11"/>
      <c r="BI3147" s="11"/>
      <c r="BJ3147" s="11"/>
    </row>
    <row r="3148" spans="1:62" ht="12" customHeight="1" x14ac:dyDescent="0.15">
      <c r="A3148" s="1" t="s">
        <v>5958</v>
      </c>
      <c r="B3148" s="1">
        <v>18</v>
      </c>
      <c r="C3148" s="1" t="s">
        <v>20</v>
      </c>
      <c r="D3148" s="1" t="s">
        <v>85</v>
      </c>
      <c r="F3148" s="72">
        <v>41960</v>
      </c>
      <c r="G3148" s="1" t="s">
        <v>24468</v>
      </c>
      <c r="H3148" s="1" t="s">
        <v>5954</v>
      </c>
      <c r="I3148" s="1" t="s">
        <v>366</v>
      </c>
      <c r="J3148" s="4" t="s">
        <v>5955</v>
      </c>
      <c r="K3148" s="1" t="s">
        <v>5685</v>
      </c>
      <c r="L3148" s="1" t="s">
        <v>5686</v>
      </c>
      <c r="M3148" s="1" t="s">
        <v>379</v>
      </c>
      <c r="N3148" s="1" t="s">
        <v>21181</v>
      </c>
      <c r="O3148" s="1" t="s">
        <v>1010</v>
      </c>
      <c r="P3148" s="1" t="s">
        <v>401</v>
      </c>
      <c r="Q3148" s="63" t="s">
        <v>5956</v>
      </c>
      <c r="R3148" s="1" t="s">
        <v>100</v>
      </c>
      <c r="S3148" s="13" t="s">
        <v>28</v>
      </c>
      <c r="AX3148" s="44"/>
      <c r="AY3148" s="44"/>
      <c r="BC3148" s="11"/>
      <c r="BD3148" s="11"/>
      <c r="BE3148" s="11"/>
      <c r="BF3148" s="11"/>
      <c r="BG3148" s="11"/>
      <c r="BH3148" s="11"/>
      <c r="BI3148" s="11"/>
      <c r="BJ3148" s="11"/>
    </row>
    <row r="3149" spans="1:62" ht="12" customHeight="1" x14ac:dyDescent="0.15">
      <c r="A3149" s="1" t="s">
        <v>5959</v>
      </c>
      <c r="B3149" s="1">
        <v>15</v>
      </c>
      <c r="C3149" s="1" t="s">
        <v>20</v>
      </c>
      <c r="D3149" s="1" t="s">
        <v>37</v>
      </c>
      <c r="E3149" s="1" t="str">
        <f>HYPERLINK("http://www.revelsfh.com/obituaries/uploads/OI1223286732_FullSizeRender.jpg","http://www.revelsfh.com/obituaries/uploads/OI1223286732_FullSizeRender.jpg")</f>
        <v>http://www.revelsfh.com/obituaries/uploads/OI1223286732_FullSizeRender.jpg</v>
      </c>
      <c r="F3149" s="72">
        <v>41960</v>
      </c>
      <c r="G3149" s="1" t="s">
        <v>24468</v>
      </c>
      <c r="H3149" s="1" t="s">
        <v>5954</v>
      </c>
      <c r="I3149" s="1" t="s">
        <v>366</v>
      </c>
      <c r="J3149" s="4" t="s">
        <v>5955</v>
      </c>
      <c r="K3149" s="1" t="s">
        <v>5685</v>
      </c>
      <c r="L3149" s="1" t="s">
        <v>5686</v>
      </c>
      <c r="M3149" s="1" t="s">
        <v>379</v>
      </c>
      <c r="N3149" s="1" t="s">
        <v>21181</v>
      </c>
      <c r="O3149" s="1" t="s">
        <v>1010</v>
      </c>
      <c r="P3149" s="1" t="s">
        <v>401</v>
      </c>
      <c r="Q3149" s="63" t="s">
        <v>5956</v>
      </c>
      <c r="R3149" s="1" t="s">
        <v>100</v>
      </c>
      <c r="S3149" s="13" t="s">
        <v>28</v>
      </c>
    </row>
    <row r="3150" spans="1:62" ht="12" customHeight="1" x14ac:dyDescent="0.15">
      <c r="A3150" s="1" t="s">
        <v>5960</v>
      </c>
      <c r="B3150" s="1">
        <v>36</v>
      </c>
      <c r="C3150" s="1" t="s">
        <v>20</v>
      </c>
      <c r="D3150" s="1" t="s">
        <v>37</v>
      </c>
      <c r="F3150" s="72">
        <v>41960</v>
      </c>
      <c r="G3150" s="1" t="s">
        <v>5961</v>
      </c>
      <c r="H3150" s="1" t="s">
        <v>5962</v>
      </c>
      <c r="I3150" s="1" t="s">
        <v>81</v>
      </c>
      <c r="J3150" s="4" t="s">
        <v>5963</v>
      </c>
      <c r="K3150" s="1" t="s">
        <v>5964</v>
      </c>
      <c r="L3150" s="1" t="s">
        <v>5965</v>
      </c>
      <c r="M3150" s="1" t="s">
        <v>27</v>
      </c>
      <c r="N3150" s="1" t="s">
        <v>5966</v>
      </c>
      <c r="O3150" s="1" t="s">
        <v>400</v>
      </c>
      <c r="P3150" s="1" t="s">
        <v>401</v>
      </c>
      <c r="Q3150" s="6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3150" s="1" t="s">
        <v>555</v>
      </c>
      <c r="S3150" s="13" t="s">
        <v>28</v>
      </c>
      <c r="BA3150" s="11"/>
      <c r="BB3150" s="11"/>
    </row>
    <row r="3151" spans="1:62" ht="12" customHeight="1" x14ac:dyDescent="0.15">
      <c r="A3151" s="1" t="s">
        <v>5967</v>
      </c>
      <c r="B3151" s="1">
        <v>37</v>
      </c>
      <c r="C3151" s="1" t="s">
        <v>20</v>
      </c>
      <c r="D3151" s="1" t="s">
        <v>85</v>
      </c>
      <c r="F3151" s="72">
        <v>41959</v>
      </c>
      <c r="G3151" s="1" t="s">
        <v>5968</v>
      </c>
      <c r="H3151" s="1" t="s">
        <v>5969</v>
      </c>
      <c r="I3151" s="1" t="s">
        <v>303</v>
      </c>
      <c r="J3151" s="4" t="s">
        <v>5970</v>
      </c>
      <c r="K3151" s="1" t="s">
        <v>3473</v>
      </c>
      <c r="L3151" s="1" t="s">
        <v>5971</v>
      </c>
      <c r="M3151" s="1" t="s">
        <v>27</v>
      </c>
      <c r="N3151" s="1" t="s">
        <v>5972</v>
      </c>
      <c r="O3151" s="1" t="s">
        <v>1010</v>
      </c>
      <c r="P3151" s="1" t="s">
        <v>401</v>
      </c>
      <c r="Q3151" s="63" t="s">
        <v>5973</v>
      </c>
      <c r="R3151" s="1" t="s">
        <v>100</v>
      </c>
      <c r="S3151" s="13" t="s">
        <v>28</v>
      </c>
      <c r="AX3151" s="44"/>
      <c r="AY3151" s="44"/>
      <c r="BC3151" s="11"/>
      <c r="BD3151" s="11"/>
      <c r="BE3151" s="11"/>
      <c r="BF3151" s="11"/>
      <c r="BG3151" s="11"/>
      <c r="BH3151" s="11"/>
      <c r="BI3151" s="11"/>
      <c r="BJ3151" s="11"/>
    </row>
    <row r="3152" spans="1:62" ht="12" customHeight="1" x14ac:dyDescent="0.15">
      <c r="A3152" s="1" t="s">
        <v>5983</v>
      </c>
      <c r="B3152" s="1">
        <v>46</v>
      </c>
      <c r="C3152" s="1" t="s">
        <v>114</v>
      </c>
      <c r="D3152" s="1" t="s">
        <v>37</v>
      </c>
      <c r="E3152" s="1" t="s">
        <v>5984</v>
      </c>
      <c r="F3152" s="72">
        <v>41959</v>
      </c>
      <c r="G3152" s="1" t="s">
        <v>5985</v>
      </c>
      <c r="H3152" s="1" t="s">
        <v>5986</v>
      </c>
      <c r="I3152" s="1" t="s">
        <v>62</v>
      </c>
      <c r="J3152" s="4" t="s">
        <v>5987</v>
      </c>
      <c r="K3152" s="1" t="s">
        <v>5988</v>
      </c>
      <c r="L3152" s="1" t="s">
        <v>5989</v>
      </c>
      <c r="M3152" s="1" t="s">
        <v>27</v>
      </c>
      <c r="N3152" s="1" t="s">
        <v>5990</v>
      </c>
      <c r="O3152" s="1" t="s">
        <v>1010</v>
      </c>
      <c r="P3152" s="1" t="s">
        <v>401</v>
      </c>
      <c r="Q3152" s="63" t="s">
        <v>5991</v>
      </c>
      <c r="R3152" s="1" t="s">
        <v>100</v>
      </c>
      <c r="S3152" s="13" t="s">
        <v>28</v>
      </c>
    </row>
    <row r="3153" spans="1:62" ht="12" customHeight="1" x14ac:dyDescent="0.15">
      <c r="A3153" s="1" t="s">
        <v>5992</v>
      </c>
      <c r="B3153" s="1">
        <v>42</v>
      </c>
      <c r="C3153" s="1" t="s">
        <v>20</v>
      </c>
      <c r="D3153" s="1" t="s">
        <v>37</v>
      </c>
      <c r="E3153" s="1" t="s">
        <v>5993</v>
      </c>
      <c r="F3153" s="72">
        <v>41959</v>
      </c>
      <c r="G3153" s="1" t="s">
        <v>5994</v>
      </c>
      <c r="H3153" s="1" t="s">
        <v>289</v>
      </c>
      <c r="I3153" s="1" t="s">
        <v>315</v>
      </c>
      <c r="J3153" s="4" t="s">
        <v>5995</v>
      </c>
      <c r="K3153" s="1" t="s">
        <v>1193</v>
      </c>
      <c r="L3153" s="1" t="s">
        <v>3367</v>
      </c>
      <c r="M3153" s="1" t="s">
        <v>27</v>
      </c>
      <c r="N3153" s="1" t="s">
        <v>5996</v>
      </c>
      <c r="O3153" s="1" t="s">
        <v>1010</v>
      </c>
      <c r="P3153" s="1" t="s">
        <v>401</v>
      </c>
      <c r="Q3153" s="63" t="s">
        <v>5997</v>
      </c>
      <c r="R3153" s="1" t="s">
        <v>100</v>
      </c>
      <c r="S3153" s="13" t="s">
        <v>28</v>
      </c>
    </row>
    <row r="3154" spans="1:62" ht="12" customHeight="1" x14ac:dyDescent="0.15">
      <c r="A3154" s="1" t="s">
        <v>6007</v>
      </c>
      <c r="B3154" s="1">
        <v>40</v>
      </c>
      <c r="C3154" s="1" t="s">
        <v>20</v>
      </c>
      <c r="D3154" s="1" t="s">
        <v>37</v>
      </c>
      <c r="E3154" s="1" t="s">
        <v>6008</v>
      </c>
      <c r="F3154" s="72">
        <v>41959</v>
      </c>
      <c r="G3154" s="1" t="s">
        <v>6009</v>
      </c>
      <c r="H3154" s="1" t="s">
        <v>1055</v>
      </c>
      <c r="I3154" s="1" t="s">
        <v>69</v>
      </c>
      <c r="J3154" s="4" t="s">
        <v>6010</v>
      </c>
      <c r="K3154" s="1" t="s">
        <v>1056</v>
      </c>
      <c r="L3154" s="1" t="s">
        <v>6011</v>
      </c>
      <c r="M3154" s="1" t="s">
        <v>27</v>
      </c>
      <c r="N3154" s="1" t="s">
        <v>6012</v>
      </c>
      <c r="O3154" s="1" t="s">
        <v>550</v>
      </c>
      <c r="P3154" s="1" t="s">
        <v>401</v>
      </c>
      <c r="Q3154" s="63" t="s">
        <v>6013</v>
      </c>
      <c r="R3154" s="1" t="s">
        <v>100</v>
      </c>
      <c r="S3154" s="13" t="s">
        <v>28</v>
      </c>
    </row>
    <row r="3155" spans="1:62" ht="12" customHeight="1" x14ac:dyDescent="0.15">
      <c r="A3155" s="1" t="s">
        <v>5998</v>
      </c>
      <c r="B3155" s="1">
        <v>37</v>
      </c>
      <c r="C3155" s="1" t="s">
        <v>20</v>
      </c>
      <c r="D3155" s="1" t="s">
        <v>37</v>
      </c>
      <c r="E3155" s="1" t="s">
        <v>5999</v>
      </c>
      <c r="F3155" s="72">
        <v>41959</v>
      </c>
      <c r="G3155" s="1" t="s">
        <v>6000</v>
      </c>
      <c r="H3155" s="1" t="s">
        <v>6001</v>
      </c>
      <c r="I3155" s="1" t="s">
        <v>117</v>
      </c>
      <c r="J3155" s="4" t="s">
        <v>6002</v>
      </c>
      <c r="K3155" s="1" t="s">
        <v>6003</v>
      </c>
      <c r="L3155" s="1" t="s">
        <v>6004</v>
      </c>
      <c r="M3155" s="1" t="s">
        <v>27</v>
      </c>
      <c r="N3155" s="1" t="s">
        <v>6005</v>
      </c>
      <c r="O3155" s="1" t="s">
        <v>400</v>
      </c>
      <c r="P3155" s="1" t="s">
        <v>401</v>
      </c>
      <c r="Q3155" s="63" t="s">
        <v>6006</v>
      </c>
      <c r="R3155" s="1" t="s">
        <v>100</v>
      </c>
      <c r="S3155" s="13" t="s">
        <v>28</v>
      </c>
    </row>
    <row r="3156" spans="1:62" ht="12" customHeight="1" x14ac:dyDescent="0.15">
      <c r="A3156" s="1" t="s">
        <v>5974</v>
      </c>
      <c r="B3156" s="1">
        <v>26</v>
      </c>
      <c r="C3156" s="1" t="s">
        <v>20</v>
      </c>
      <c r="D3156" s="1" t="s">
        <v>48</v>
      </c>
      <c r="E3156" s="1" t="s">
        <v>5975</v>
      </c>
      <c r="F3156" s="72">
        <v>41959</v>
      </c>
      <c r="G3156" s="1" t="s">
        <v>5976</v>
      </c>
      <c r="H3156" s="1" t="s">
        <v>5977</v>
      </c>
      <c r="I3156" s="1" t="s">
        <v>45</v>
      </c>
      <c r="J3156" s="4" t="s">
        <v>5978</v>
      </c>
      <c r="K3156" s="1" t="s">
        <v>98</v>
      </c>
      <c r="L3156" s="11" t="s">
        <v>414</v>
      </c>
      <c r="M3156" s="1" t="s">
        <v>27</v>
      </c>
      <c r="N3156" s="1" t="s">
        <v>5979</v>
      </c>
      <c r="O3156" s="1" t="s">
        <v>1010</v>
      </c>
      <c r="P3156" s="1" t="s">
        <v>401</v>
      </c>
      <c r="Q3156" s="63" t="s">
        <v>5980</v>
      </c>
      <c r="R3156" s="1" t="s">
        <v>100</v>
      </c>
      <c r="S3156" s="13" t="s">
        <v>18</v>
      </c>
    </row>
    <row r="3157" spans="1:62" ht="12" customHeight="1" x14ac:dyDescent="0.15">
      <c r="A3157" s="1" t="s">
        <v>5981</v>
      </c>
      <c r="B3157" s="1">
        <v>57</v>
      </c>
      <c r="C3157" s="1" t="s">
        <v>20</v>
      </c>
      <c r="D3157" s="1" t="s">
        <v>48</v>
      </c>
      <c r="E3157" s="1" t="s">
        <v>5982</v>
      </c>
      <c r="F3157" s="72">
        <v>41959</v>
      </c>
      <c r="G3157" s="1" t="s">
        <v>5976</v>
      </c>
      <c r="H3157" s="1" t="s">
        <v>5977</v>
      </c>
      <c r="I3157" s="1" t="s">
        <v>45</v>
      </c>
      <c r="J3157" s="4" t="s">
        <v>5978</v>
      </c>
      <c r="K3157" s="1" t="s">
        <v>98</v>
      </c>
      <c r="L3157" s="11" t="s">
        <v>414</v>
      </c>
      <c r="M3157" s="1" t="s">
        <v>27</v>
      </c>
      <c r="N3157" s="1" t="s">
        <v>5979</v>
      </c>
      <c r="O3157" s="1" t="s">
        <v>1010</v>
      </c>
      <c r="P3157" s="1" t="s">
        <v>401</v>
      </c>
      <c r="Q3157" s="63" t="s">
        <v>5980</v>
      </c>
      <c r="R3157" s="1" t="s">
        <v>100</v>
      </c>
      <c r="S3157" s="13" t="s">
        <v>18</v>
      </c>
    </row>
    <row r="3158" spans="1:62" ht="12" customHeight="1" x14ac:dyDescent="0.15">
      <c r="A3158" s="1" t="s">
        <v>6014</v>
      </c>
      <c r="B3158" s="1">
        <v>33</v>
      </c>
      <c r="C3158" s="1" t="s">
        <v>20</v>
      </c>
      <c r="D3158" s="1" t="s">
        <v>48</v>
      </c>
      <c r="F3158" s="72">
        <v>41958</v>
      </c>
      <c r="G3158" s="1" t="s">
        <v>6015</v>
      </c>
      <c r="H3158" s="1" t="s">
        <v>1530</v>
      </c>
      <c r="I3158" s="1" t="s">
        <v>117</v>
      </c>
      <c r="J3158" s="4" t="s">
        <v>6016</v>
      </c>
      <c r="K3158" s="1" t="s">
        <v>1531</v>
      </c>
      <c r="L3158" s="1" t="s">
        <v>6017</v>
      </c>
      <c r="M3158" s="1" t="s">
        <v>27</v>
      </c>
      <c r="N3158" s="1" t="s">
        <v>6018</v>
      </c>
      <c r="O3158" s="1" t="s">
        <v>400</v>
      </c>
      <c r="P3158" s="1" t="s">
        <v>401</v>
      </c>
      <c r="Q3158" s="63" t="s">
        <v>6019</v>
      </c>
      <c r="R3158" s="1" t="s">
        <v>100</v>
      </c>
      <c r="S3158" s="13" t="s">
        <v>35</v>
      </c>
    </row>
    <row r="3159" spans="1:62" ht="12" customHeight="1" x14ac:dyDescent="0.2">
      <c r="A3159" s="1" t="s">
        <v>6020</v>
      </c>
      <c r="B3159" s="1">
        <v>20</v>
      </c>
      <c r="C3159" s="1" t="s">
        <v>20</v>
      </c>
      <c r="D3159" s="1" t="s">
        <v>21</v>
      </c>
      <c r="E3159" s="1" t="s">
        <v>6021</v>
      </c>
      <c r="F3159" s="72">
        <v>41957</v>
      </c>
      <c r="G3159" s="1" t="s">
        <v>6022</v>
      </c>
      <c r="H3159" s="1" t="s">
        <v>6023</v>
      </c>
      <c r="I3159" s="1" t="s">
        <v>438</v>
      </c>
      <c r="J3159" s="4" t="s">
        <v>6024</v>
      </c>
      <c r="K3159" s="1" t="s">
        <v>6025</v>
      </c>
      <c r="L3159" s="1" t="s">
        <v>6026</v>
      </c>
      <c r="M3159" s="1" t="s">
        <v>27</v>
      </c>
      <c r="N3159" s="1" t="s">
        <v>6027</v>
      </c>
      <c r="O3159" s="1" t="s">
        <v>400</v>
      </c>
      <c r="P3159" s="1" t="s">
        <v>401</v>
      </c>
      <c r="Q3159" s="63" t="s">
        <v>6028</v>
      </c>
      <c r="R3159" s="1" t="s">
        <v>100</v>
      </c>
      <c r="S3159" s="13" t="s">
        <v>28</v>
      </c>
      <c r="AX3159" s="70"/>
      <c r="AY3159" s="70"/>
      <c r="BC3159" s="70"/>
      <c r="BD3159" s="70"/>
      <c r="BE3159" s="70"/>
      <c r="BF3159" s="70"/>
      <c r="BG3159" s="70"/>
      <c r="BH3159" s="70"/>
      <c r="BI3159" s="70"/>
      <c r="BJ3159" s="70"/>
    </row>
    <row r="3160" spans="1:62" ht="12" customHeight="1" x14ac:dyDescent="0.15">
      <c r="A3160" s="1" t="s">
        <v>6036</v>
      </c>
      <c r="B3160" s="1">
        <v>41</v>
      </c>
      <c r="C3160" s="1" t="s">
        <v>20</v>
      </c>
      <c r="D3160" s="1" t="s">
        <v>37</v>
      </c>
      <c r="E3160" s="1" t="s">
        <v>6037</v>
      </c>
      <c r="F3160" s="72">
        <v>41957</v>
      </c>
      <c r="G3160" s="1" t="s">
        <v>6038</v>
      </c>
      <c r="H3160" s="1" t="s">
        <v>3808</v>
      </c>
      <c r="I3160" s="1" t="s">
        <v>225</v>
      </c>
      <c r="J3160" s="4" t="s">
        <v>3809</v>
      </c>
      <c r="K3160" s="1" t="s">
        <v>3810</v>
      </c>
      <c r="L3160" s="1" t="s">
        <v>6039</v>
      </c>
      <c r="M3160" s="1" t="s">
        <v>27</v>
      </c>
      <c r="N3160" s="1" t="s">
        <v>6040</v>
      </c>
      <c r="O3160" s="1" t="s">
        <v>400</v>
      </c>
      <c r="P3160" s="1" t="s">
        <v>401</v>
      </c>
      <c r="Q3160" s="63" t="s">
        <v>6041</v>
      </c>
      <c r="R3160" s="1" t="s">
        <v>100</v>
      </c>
      <c r="S3160" s="13" t="s">
        <v>28</v>
      </c>
    </row>
    <row r="3161" spans="1:62" ht="12" customHeight="1" x14ac:dyDescent="0.15">
      <c r="A3161" s="1" t="s">
        <v>6042</v>
      </c>
      <c r="B3161" s="1">
        <v>33</v>
      </c>
      <c r="C3161" s="1" t="s">
        <v>114</v>
      </c>
      <c r="D3161" s="1" t="s">
        <v>37</v>
      </c>
      <c r="E3161" s="1" t="s">
        <v>6043</v>
      </c>
      <c r="F3161" s="72">
        <v>41957</v>
      </c>
      <c r="G3161" s="1" t="s">
        <v>6044</v>
      </c>
      <c r="H3161" s="1" t="s">
        <v>6045</v>
      </c>
      <c r="I3161" s="1" t="s">
        <v>438</v>
      </c>
      <c r="J3161" s="4" t="s">
        <v>6046</v>
      </c>
      <c r="K3161" s="1" t="s">
        <v>6047</v>
      </c>
      <c r="L3161" s="1" t="s">
        <v>6048</v>
      </c>
      <c r="M3161" s="1" t="s">
        <v>27</v>
      </c>
      <c r="N3161" s="1" t="s">
        <v>6049</v>
      </c>
      <c r="O3161" s="1" t="s">
        <v>1010</v>
      </c>
      <c r="P3161" s="1" t="s">
        <v>401</v>
      </c>
      <c r="Q3161" s="6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3161" s="1" t="s">
        <v>100</v>
      </c>
      <c r="S3161" s="13" t="s">
        <v>28</v>
      </c>
    </row>
    <row r="3162" spans="1:62" ht="12" customHeight="1" x14ac:dyDescent="0.15">
      <c r="A3162" s="1" t="s">
        <v>6029</v>
      </c>
      <c r="B3162" s="1">
        <v>35</v>
      </c>
      <c r="C3162" s="1" t="s">
        <v>20</v>
      </c>
      <c r="D3162" s="1" t="s">
        <v>48</v>
      </c>
      <c r="F3162" s="72">
        <v>41957</v>
      </c>
      <c r="G3162" s="1" t="s">
        <v>6030</v>
      </c>
      <c r="H3162" s="1" t="s">
        <v>6031</v>
      </c>
      <c r="I3162" s="1" t="s">
        <v>45</v>
      </c>
      <c r="J3162" s="4" t="s">
        <v>6032</v>
      </c>
      <c r="K3162" s="1" t="s">
        <v>156</v>
      </c>
      <c r="L3162" s="1" t="s">
        <v>6033</v>
      </c>
      <c r="M3162" s="1" t="s">
        <v>27</v>
      </c>
      <c r="N3162" s="1" t="s">
        <v>6034</v>
      </c>
      <c r="O3162" s="1" t="s">
        <v>550</v>
      </c>
      <c r="P3162" s="1" t="s">
        <v>401</v>
      </c>
      <c r="Q3162" s="63" t="s">
        <v>6035</v>
      </c>
      <c r="R3162" s="1" t="s">
        <v>555</v>
      </c>
      <c r="S3162" s="13" t="s">
        <v>28</v>
      </c>
      <c r="BA3162" s="11"/>
      <c r="BB3162" s="11"/>
    </row>
    <row r="3163" spans="1:62" ht="12" customHeight="1" x14ac:dyDescent="0.15">
      <c r="A3163" s="1" t="s">
        <v>6057</v>
      </c>
      <c r="B3163" s="1">
        <v>31</v>
      </c>
      <c r="C3163" s="1" t="s">
        <v>20</v>
      </c>
      <c r="D3163" s="1" t="s">
        <v>85</v>
      </c>
      <c r="E3163" s="1" t="s">
        <v>6058</v>
      </c>
      <c r="F3163" s="72">
        <v>41956</v>
      </c>
      <c r="G3163" s="1" t="s">
        <v>6059</v>
      </c>
      <c r="H3163" s="1" t="s">
        <v>2101</v>
      </c>
      <c r="I3163" s="1" t="s">
        <v>81</v>
      </c>
      <c r="J3163" s="4" t="s">
        <v>6060</v>
      </c>
      <c r="K3163" s="1" t="s">
        <v>2902</v>
      </c>
      <c r="L3163" s="1" t="s">
        <v>2103</v>
      </c>
      <c r="M3163" s="1" t="s">
        <v>27</v>
      </c>
      <c r="N3163" s="1" t="s">
        <v>6061</v>
      </c>
      <c r="P3163" s="1" t="s">
        <v>401</v>
      </c>
      <c r="Q3163" s="63" t="s">
        <v>6062</v>
      </c>
      <c r="R3163" s="1" t="s">
        <v>100</v>
      </c>
      <c r="S3163" s="13" t="s">
        <v>28</v>
      </c>
      <c r="AX3163" s="44"/>
      <c r="AY3163" s="44"/>
      <c r="BC3163" s="11"/>
      <c r="BD3163" s="11"/>
      <c r="BE3163" s="11"/>
      <c r="BF3163" s="11"/>
      <c r="BG3163" s="11"/>
      <c r="BH3163" s="11"/>
      <c r="BI3163" s="11"/>
      <c r="BJ3163" s="11"/>
    </row>
    <row r="3164" spans="1:62" ht="12" customHeight="1" x14ac:dyDescent="0.15">
      <c r="A3164" s="1" t="s">
        <v>6069</v>
      </c>
      <c r="B3164" s="1">
        <v>35</v>
      </c>
      <c r="C3164" s="1" t="s">
        <v>20</v>
      </c>
      <c r="D3164" s="1" t="s">
        <v>48</v>
      </c>
      <c r="F3164" s="72">
        <v>41956</v>
      </c>
      <c r="G3164" s="1" t="s">
        <v>6070</v>
      </c>
      <c r="H3164" s="1" t="s">
        <v>309</v>
      </c>
      <c r="I3164" s="1" t="s">
        <v>45</v>
      </c>
      <c r="J3164" s="4" t="s">
        <v>6071</v>
      </c>
      <c r="K3164" s="1" t="s">
        <v>309</v>
      </c>
      <c r="L3164" s="1" t="s">
        <v>4320</v>
      </c>
      <c r="M3164" s="1" t="s">
        <v>27</v>
      </c>
      <c r="N3164" s="1" t="s">
        <v>6072</v>
      </c>
      <c r="P3164" s="1" t="s">
        <v>401</v>
      </c>
      <c r="Q3164" s="63" t="s">
        <v>6073</v>
      </c>
      <c r="R3164" s="1" t="s">
        <v>100</v>
      </c>
      <c r="S3164" s="13" t="s">
        <v>28</v>
      </c>
    </row>
    <row r="3165" spans="1:62" ht="12" customHeight="1" x14ac:dyDescent="0.15">
      <c r="A3165" s="1" t="s">
        <v>6074</v>
      </c>
      <c r="B3165" s="1">
        <v>33</v>
      </c>
      <c r="C3165" s="1" t="s">
        <v>20</v>
      </c>
      <c r="D3165" s="1" t="s">
        <v>37</v>
      </c>
      <c r="E3165" s="1" t="s">
        <v>6075</v>
      </c>
      <c r="F3165" s="72">
        <v>41956</v>
      </c>
      <c r="G3165" s="1" t="s">
        <v>6076</v>
      </c>
      <c r="H3165" s="1" t="s">
        <v>1055</v>
      </c>
      <c r="I3165" s="1" t="s">
        <v>69</v>
      </c>
      <c r="J3165" s="4" t="s">
        <v>6077</v>
      </c>
      <c r="K3165" s="1" t="s">
        <v>1056</v>
      </c>
      <c r="L3165" s="1" t="s">
        <v>6078</v>
      </c>
      <c r="M3165" s="1" t="s">
        <v>27</v>
      </c>
      <c r="N3165" s="1" t="s">
        <v>6079</v>
      </c>
      <c r="P3165" s="1" t="s">
        <v>401</v>
      </c>
      <c r="Q3165" s="63" t="s">
        <v>6080</v>
      </c>
      <c r="R3165" s="1" t="s">
        <v>100</v>
      </c>
      <c r="S3165" s="13" t="s">
        <v>28</v>
      </c>
    </row>
    <row r="3166" spans="1:62" ht="12" customHeight="1" x14ac:dyDescent="0.15">
      <c r="A3166" s="1" t="s">
        <v>6081</v>
      </c>
      <c r="B3166" s="1">
        <v>29</v>
      </c>
      <c r="C3166" s="1" t="s">
        <v>20</v>
      </c>
      <c r="D3166" s="1" t="s">
        <v>37</v>
      </c>
      <c r="E3166" s="1" t="s">
        <v>6082</v>
      </c>
      <c r="F3166" s="72">
        <v>41956</v>
      </c>
      <c r="G3166" s="1" t="s">
        <v>6083</v>
      </c>
      <c r="H3166" s="1" t="s">
        <v>387</v>
      </c>
      <c r="I3166" s="1" t="s">
        <v>319</v>
      </c>
      <c r="J3166" s="4" t="s">
        <v>6084</v>
      </c>
      <c r="K3166" s="1" t="s">
        <v>2681</v>
      </c>
      <c r="L3166" s="1" t="s">
        <v>2682</v>
      </c>
      <c r="M3166" s="1" t="s">
        <v>27</v>
      </c>
      <c r="N3166" s="1" t="s">
        <v>6085</v>
      </c>
      <c r="P3166" s="1" t="s">
        <v>401</v>
      </c>
      <c r="Q3166" s="63" t="str">
        <f>HYPERLINK("http://www.local8now.com/home/headlines/Shooting-investigation-in-South-Knox-County-282637501.html","http://www.local8now.com/home/headlines/Shooting-investigation-in-South-Knox-County-282637501.html")</f>
        <v>http://www.local8now.com/home/headlines/Shooting-investigation-in-South-Knox-County-282637501.html</v>
      </c>
      <c r="R3166" s="1" t="s">
        <v>100</v>
      </c>
      <c r="S3166" s="13" t="s">
        <v>28</v>
      </c>
    </row>
    <row r="3167" spans="1:62" ht="12" customHeight="1" x14ac:dyDescent="0.15">
      <c r="A3167" s="1" t="s">
        <v>6063</v>
      </c>
      <c r="B3167" s="1">
        <v>22</v>
      </c>
      <c r="C3167" s="1" t="s">
        <v>20</v>
      </c>
      <c r="D3167" s="1" t="s">
        <v>48</v>
      </c>
      <c r="E3167" s="1" t="s">
        <v>6064</v>
      </c>
      <c r="F3167" s="72">
        <v>41956</v>
      </c>
      <c r="G3167" s="1" t="s">
        <v>6065</v>
      </c>
      <c r="H3167" s="1" t="s">
        <v>679</v>
      </c>
      <c r="I3167" s="1" t="s">
        <v>45</v>
      </c>
      <c r="J3167" s="4" t="s">
        <v>6066</v>
      </c>
      <c r="K3167" s="1" t="s">
        <v>680</v>
      </c>
      <c r="L3167" s="1" t="s">
        <v>681</v>
      </c>
      <c r="M3167" s="1" t="s">
        <v>27</v>
      </c>
      <c r="N3167" s="1" t="s">
        <v>6067</v>
      </c>
      <c r="O3167" s="1" t="s">
        <v>1010</v>
      </c>
      <c r="P3167" s="1" t="s">
        <v>401</v>
      </c>
      <c r="Q3167" s="63" t="s">
        <v>6068</v>
      </c>
      <c r="R3167" s="1" t="s">
        <v>100</v>
      </c>
      <c r="S3167" s="13" t="s">
        <v>18</v>
      </c>
    </row>
    <row r="3168" spans="1:62" ht="12" customHeight="1" x14ac:dyDescent="0.15">
      <c r="A3168" s="1" t="s">
        <v>6050</v>
      </c>
      <c r="B3168" s="1">
        <v>37</v>
      </c>
      <c r="C3168" s="1" t="s">
        <v>114</v>
      </c>
      <c r="D3168" s="1" t="s">
        <v>85</v>
      </c>
      <c r="E3168" s="1" t="s">
        <v>6051</v>
      </c>
      <c r="F3168" s="72">
        <v>41956</v>
      </c>
      <c r="G3168" s="1" t="s">
        <v>6052</v>
      </c>
      <c r="H3168" s="1" t="s">
        <v>984</v>
      </c>
      <c r="I3168" s="1" t="s">
        <v>69</v>
      </c>
      <c r="J3168" s="4" t="s">
        <v>6053</v>
      </c>
      <c r="K3168" s="1" t="s">
        <v>105</v>
      </c>
      <c r="L3168" s="1" t="s">
        <v>3452</v>
      </c>
      <c r="M3168" s="1" t="s">
        <v>6054</v>
      </c>
      <c r="N3168" s="1" t="s">
        <v>6055</v>
      </c>
      <c r="O3168" s="1" t="s">
        <v>1010</v>
      </c>
      <c r="P3168" s="1" t="s">
        <v>401</v>
      </c>
      <c r="Q3168" s="63" t="s">
        <v>6056</v>
      </c>
      <c r="R3168" s="1" t="s">
        <v>555</v>
      </c>
      <c r="S3168" s="13" t="s">
        <v>18</v>
      </c>
      <c r="AU3168" s="11"/>
      <c r="AV3168" s="11"/>
      <c r="AW3168" s="11"/>
      <c r="AX3168" s="44"/>
      <c r="AY3168" s="44"/>
      <c r="BA3168" s="11"/>
      <c r="BB3168" s="11"/>
      <c r="BC3168" s="11"/>
      <c r="BD3168" s="11"/>
      <c r="BE3168" s="11"/>
      <c r="BF3168" s="11"/>
      <c r="BG3168" s="11"/>
      <c r="BH3168" s="11"/>
      <c r="BI3168" s="11"/>
      <c r="BJ3168" s="11"/>
    </row>
    <row r="3169" spans="1:62" ht="12" customHeight="1" x14ac:dyDescent="0.15">
      <c r="A3169" s="1" t="s">
        <v>6086</v>
      </c>
      <c r="B3169" s="1">
        <v>26</v>
      </c>
      <c r="C3169" s="1" t="s">
        <v>20</v>
      </c>
      <c r="D3169" s="1" t="s">
        <v>48</v>
      </c>
      <c r="F3169" s="72">
        <v>41955</v>
      </c>
      <c r="G3169" s="1" t="s">
        <v>6087</v>
      </c>
      <c r="H3169" s="1" t="s">
        <v>6088</v>
      </c>
      <c r="I3169" s="1" t="s">
        <v>45</v>
      </c>
      <c r="J3169" s="4" t="s">
        <v>6089</v>
      </c>
      <c r="K3169" s="1" t="s">
        <v>4500</v>
      </c>
      <c r="L3169" s="1" t="s">
        <v>6090</v>
      </c>
      <c r="M3169" s="1" t="s">
        <v>27</v>
      </c>
      <c r="N3169" s="1" t="s">
        <v>6091</v>
      </c>
      <c r="P3169" s="1" t="s">
        <v>401</v>
      </c>
      <c r="Q3169" s="63" t="s">
        <v>6092</v>
      </c>
      <c r="R3169" s="1" t="s">
        <v>100</v>
      </c>
      <c r="S3169" s="13" t="s">
        <v>28</v>
      </c>
    </row>
    <row r="3170" spans="1:62" ht="12" customHeight="1" x14ac:dyDescent="0.2">
      <c r="A3170" s="1" t="s">
        <v>6093</v>
      </c>
      <c r="B3170" s="1">
        <v>31</v>
      </c>
      <c r="C3170" s="1" t="s">
        <v>20</v>
      </c>
      <c r="D3170" s="1" t="s">
        <v>21</v>
      </c>
      <c r="F3170" s="72">
        <v>41954</v>
      </c>
      <c r="G3170" s="1" t="s">
        <v>6094</v>
      </c>
      <c r="H3170" s="1" t="s">
        <v>6095</v>
      </c>
      <c r="I3170" s="1" t="s">
        <v>62</v>
      </c>
      <c r="J3170" s="4" t="s">
        <v>6096</v>
      </c>
      <c r="K3170" s="1" t="s">
        <v>638</v>
      </c>
      <c r="L3170" s="1" t="s">
        <v>6097</v>
      </c>
      <c r="M3170" s="1" t="s">
        <v>27</v>
      </c>
      <c r="N3170" s="1" t="s">
        <v>6098</v>
      </c>
      <c r="O3170" s="1" t="s">
        <v>1010</v>
      </c>
      <c r="P3170" s="1" t="s">
        <v>401</v>
      </c>
      <c r="Q3170" s="63" t="s">
        <v>6099</v>
      </c>
      <c r="R3170" s="1" t="s">
        <v>100</v>
      </c>
      <c r="S3170" s="13" t="s">
        <v>28</v>
      </c>
      <c r="AX3170" s="70"/>
      <c r="AY3170" s="70"/>
      <c r="BC3170" s="70"/>
      <c r="BD3170" s="70"/>
      <c r="BE3170" s="70"/>
      <c r="BF3170" s="70"/>
      <c r="BG3170" s="70"/>
      <c r="BH3170" s="70"/>
      <c r="BI3170" s="70"/>
      <c r="BJ3170" s="70"/>
    </row>
    <row r="3171" spans="1:62" ht="12" customHeight="1" x14ac:dyDescent="0.15">
      <c r="A3171" s="1" t="s">
        <v>6100</v>
      </c>
      <c r="B3171" s="1">
        <v>26</v>
      </c>
      <c r="C3171" s="1" t="s">
        <v>20</v>
      </c>
      <c r="D3171" s="1" t="s">
        <v>37</v>
      </c>
      <c r="E3171" s="1" t="s">
        <v>6101</v>
      </c>
      <c r="F3171" s="72">
        <v>41954</v>
      </c>
      <c r="G3171" s="1" t="s">
        <v>6102</v>
      </c>
      <c r="H3171" s="1" t="s">
        <v>651</v>
      </c>
      <c r="I3171" s="1" t="s">
        <v>94</v>
      </c>
      <c r="J3171" s="4" t="s">
        <v>6103</v>
      </c>
      <c r="K3171" s="1" t="s">
        <v>6104</v>
      </c>
      <c r="L3171" s="1" t="s">
        <v>2352</v>
      </c>
      <c r="M3171" s="1" t="s">
        <v>27</v>
      </c>
      <c r="N3171" s="1" t="s">
        <v>6105</v>
      </c>
      <c r="P3171" s="1" t="s">
        <v>401</v>
      </c>
      <c r="Q3171" s="63" t="s">
        <v>6106</v>
      </c>
      <c r="R3171" s="1" t="s">
        <v>100</v>
      </c>
      <c r="S3171" s="13" t="s">
        <v>28</v>
      </c>
    </row>
    <row r="3172" spans="1:62" ht="12" customHeight="1" x14ac:dyDescent="0.15">
      <c r="A3172" s="1" t="s">
        <v>6107</v>
      </c>
      <c r="B3172" s="1">
        <v>52</v>
      </c>
      <c r="C3172" s="1" t="s">
        <v>20</v>
      </c>
      <c r="D3172" s="1" t="s">
        <v>37</v>
      </c>
      <c r="F3172" s="72">
        <v>41954</v>
      </c>
      <c r="G3172" s="1" t="s">
        <v>6108</v>
      </c>
      <c r="H3172" s="1" t="s">
        <v>6109</v>
      </c>
      <c r="I3172" s="1" t="s">
        <v>45</v>
      </c>
      <c r="J3172" s="4" t="s">
        <v>6110</v>
      </c>
      <c r="K3172" s="1" t="s">
        <v>4631</v>
      </c>
      <c r="L3172" s="1" t="s">
        <v>6111</v>
      </c>
      <c r="M3172" s="1" t="s">
        <v>27</v>
      </c>
      <c r="N3172" s="1" t="s">
        <v>6112</v>
      </c>
      <c r="O3172" s="1" t="s">
        <v>400</v>
      </c>
      <c r="P3172" s="1" t="s">
        <v>401</v>
      </c>
      <c r="Q3172" s="63" t="s">
        <v>6113</v>
      </c>
      <c r="R3172" s="1" t="s">
        <v>100</v>
      </c>
      <c r="S3172" s="13" t="s">
        <v>28</v>
      </c>
    </row>
    <row r="3173" spans="1:62" ht="12" customHeight="1" x14ac:dyDescent="0.15">
      <c r="A3173" s="1" t="s">
        <v>6114</v>
      </c>
      <c r="B3173" s="1">
        <v>38</v>
      </c>
      <c r="C3173" s="1" t="s">
        <v>20</v>
      </c>
      <c r="D3173" s="1" t="s">
        <v>37</v>
      </c>
      <c r="E3173" s="1" t="s">
        <v>6115</v>
      </c>
      <c r="F3173" s="72">
        <v>41954</v>
      </c>
      <c r="G3173" s="1" t="s">
        <v>6116</v>
      </c>
      <c r="H3173" s="1" t="s">
        <v>5492</v>
      </c>
      <c r="I3173" s="1" t="s">
        <v>45</v>
      </c>
      <c r="J3173" s="4" t="s">
        <v>6117</v>
      </c>
      <c r="K3173" s="1" t="s">
        <v>783</v>
      </c>
      <c r="L3173" s="1" t="s">
        <v>784</v>
      </c>
      <c r="M3173" s="1" t="s">
        <v>27</v>
      </c>
      <c r="N3173" s="1" t="s">
        <v>6118</v>
      </c>
      <c r="P3173" s="1" t="s">
        <v>401</v>
      </c>
      <c r="Q3173" s="63" t="s">
        <v>6119</v>
      </c>
      <c r="R3173" s="1" t="s">
        <v>100</v>
      </c>
      <c r="S3173" s="13" t="s">
        <v>18</v>
      </c>
    </row>
    <row r="3174" spans="1:62" ht="12" customHeight="1" x14ac:dyDescent="0.15">
      <c r="A3174" s="1" t="s">
        <v>6120</v>
      </c>
      <c r="B3174" s="1">
        <v>30</v>
      </c>
      <c r="C3174" s="1" t="s">
        <v>20</v>
      </c>
      <c r="D3174" s="1" t="s">
        <v>37</v>
      </c>
      <c r="F3174" s="72">
        <v>41954</v>
      </c>
      <c r="G3174" s="1" t="s">
        <v>6121</v>
      </c>
      <c r="H3174" s="1" t="s">
        <v>6122</v>
      </c>
      <c r="I3174" s="1" t="s">
        <v>366</v>
      </c>
      <c r="J3174" s="4" t="s">
        <v>6123</v>
      </c>
      <c r="K3174" s="1" t="s">
        <v>647</v>
      </c>
      <c r="L3174" s="1" t="s">
        <v>6124</v>
      </c>
      <c r="M3174" s="1" t="s">
        <v>379</v>
      </c>
      <c r="N3174" s="1" t="s">
        <v>6125</v>
      </c>
      <c r="O3174" s="1" t="s">
        <v>1010</v>
      </c>
      <c r="P3174" s="1" t="s">
        <v>401</v>
      </c>
      <c r="Q3174" s="63" t="str">
        <f>HYPERLINK("http://www.news-record.com/news/guilford-county-sheriff-s-deputies-involved-in-chase-that-ends/article_79451250-6a25-11e4-bb91-87f8f4995f40.html","http://www.news-record.com/news/guilford-county-sheriff-s-deputies-involved-in-chase-that-ends/article_79451250-6a25-11e4-bb91-87f8f4995f40.html")</f>
        <v>http://www.news-record.com/news/guilford-county-sheriff-s-deputies-involved-in-chase-that-ends/article_79451250-6a25-11e4-bb91-87f8f4995f40.html</v>
      </c>
      <c r="R3174" s="1" t="s">
        <v>100</v>
      </c>
      <c r="S3174" s="13" t="s">
        <v>379</v>
      </c>
    </row>
    <row r="3175" spans="1:62" ht="12" customHeight="1" x14ac:dyDescent="0.15">
      <c r="A3175" s="1" t="s">
        <v>6126</v>
      </c>
      <c r="B3175" s="1">
        <v>27</v>
      </c>
      <c r="C3175" s="1" t="s">
        <v>20</v>
      </c>
      <c r="D3175" s="1" t="s">
        <v>85</v>
      </c>
      <c r="E3175" s="1" t="str">
        <f>HYPERLINK("http://imgick.nj.com/home/njo-media/width620/img/middlesex_impact/photo/16419415-mmmain.png","http://imgick.nj.com/home/njo-media/width620/img/middlesex_impact/photo/16419415-mmmain.png")</f>
        <v>http://imgick.nj.com/home/njo-media/width620/img/middlesex_impact/photo/16419415-mmmain.png</v>
      </c>
      <c r="F3175" s="72">
        <v>41953</v>
      </c>
      <c r="G3175" s="1" t="s">
        <v>6127</v>
      </c>
      <c r="H3175" s="1" t="s">
        <v>6128</v>
      </c>
      <c r="I3175" s="1" t="s">
        <v>81</v>
      </c>
      <c r="J3175" s="4">
        <v>8902</v>
      </c>
      <c r="K3175" s="1" t="s">
        <v>42</v>
      </c>
      <c r="L3175" s="1" t="s">
        <v>6129</v>
      </c>
      <c r="M3175" s="1" t="s">
        <v>2291</v>
      </c>
      <c r="N3175" s="1" t="s">
        <v>20985</v>
      </c>
      <c r="O3175" s="1" t="s">
        <v>4684</v>
      </c>
      <c r="P3175" s="1" t="s">
        <v>401</v>
      </c>
      <c r="Q3175" s="63"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3175" s="1" t="s">
        <v>555</v>
      </c>
      <c r="S3175" s="13" t="s">
        <v>18</v>
      </c>
      <c r="AX3175" s="44"/>
      <c r="AY3175" s="44"/>
      <c r="BA3175" s="11"/>
      <c r="BB3175" s="11"/>
      <c r="BC3175" s="11"/>
      <c r="BD3175" s="11"/>
      <c r="BE3175" s="11"/>
      <c r="BF3175" s="11"/>
      <c r="BG3175" s="11"/>
      <c r="BH3175" s="11"/>
      <c r="BI3175" s="11"/>
      <c r="BJ3175" s="11"/>
    </row>
    <row r="3176" spans="1:62" ht="12" customHeight="1" x14ac:dyDescent="0.15">
      <c r="A3176" s="1" t="s">
        <v>6165</v>
      </c>
      <c r="B3176" s="1">
        <v>48</v>
      </c>
      <c r="C3176" s="1" t="s">
        <v>20</v>
      </c>
      <c r="D3176" s="1" t="s">
        <v>48</v>
      </c>
      <c r="E3176" s="1" t="s">
        <v>6166</v>
      </c>
      <c r="F3176" s="72">
        <v>41952</v>
      </c>
      <c r="G3176" s="1" t="s">
        <v>6167</v>
      </c>
      <c r="H3176" s="1" t="s">
        <v>632</v>
      </c>
      <c r="I3176" s="1" t="s">
        <v>123</v>
      </c>
      <c r="J3176" s="4" t="s">
        <v>6168</v>
      </c>
      <c r="K3176" s="1" t="s">
        <v>633</v>
      </c>
      <c r="L3176" s="1" t="s">
        <v>634</v>
      </c>
      <c r="M3176" s="1" t="s">
        <v>2291</v>
      </c>
      <c r="N3176" s="1" t="s">
        <v>6169</v>
      </c>
      <c r="O3176" s="1" t="s">
        <v>1010</v>
      </c>
      <c r="P3176" s="1" t="s">
        <v>401</v>
      </c>
      <c r="Q3176" s="63" t="s">
        <v>6170</v>
      </c>
      <c r="R3176" s="11" t="s">
        <v>964</v>
      </c>
      <c r="S3176" s="13" t="s">
        <v>28</v>
      </c>
    </row>
    <row r="3177" spans="1:62" ht="12" customHeight="1" x14ac:dyDescent="0.2">
      <c r="A3177" s="1" t="s">
        <v>6130</v>
      </c>
      <c r="B3177" s="1">
        <v>38</v>
      </c>
      <c r="C3177" s="1" t="s">
        <v>20</v>
      </c>
      <c r="D3177" s="1" t="s">
        <v>21</v>
      </c>
      <c r="E3177" s="1" t="s">
        <v>6131</v>
      </c>
      <c r="F3177" s="72">
        <v>41952</v>
      </c>
      <c r="G3177" s="1" t="s">
        <v>6132</v>
      </c>
      <c r="H3177" s="1" t="s">
        <v>6133</v>
      </c>
      <c r="I3177" s="1" t="s">
        <v>73</v>
      </c>
      <c r="J3177" s="4" t="s">
        <v>6134</v>
      </c>
      <c r="K3177" s="1" t="s">
        <v>285</v>
      </c>
      <c r="L3177" s="1" t="s">
        <v>6135</v>
      </c>
      <c r="M3177" s="1" t="s">
        <v>27</v>
      </c>
      <c r="N3177" s="1" t="s">
        <v>6136</v>
      </c>
      <c r="O3177" s="1" t="s">
        <v>1010</v>
      </c>
      <c r="P3177" s="1" t="s">
        <v>401</v>
      </c>
      <c r="Q3177" s="63" t="s">
        <v>6137</v>
      </c>
      <c r="R3177" s="1" t="s">
        <v>100</v>
      </c>
      <c r="S3177" s="13" t="s">
        <v>28</v>
      </c>
      <c r="AX3177" s="70"/>
      <c r="AY3177" s="70"/>
      <c r="BC3177" s="70"/>
      <c r="BD3177" s="70"/>
      <c r="BE3177" s="70"/>
      <c r="BF3177" s="70"/>
      <c r="BG3177" s="70"/>
      <c r="BH3177" s="70"/>
      <c r="BI3177" s="70"/>
      <c r="BJ3177" s="70"/>
    </row>
    <row r="3178" spans="1:62" ht="12" customHeight="1" x14ac:dyDescent="0.15">
      <c r="A3178" s="1" t="s">
        <v>6160</v>
      </c>
      <c r="B3178" s="1">
        <v>34</v>
      </c>
      <c r="C3178" s="1" t="s">
        <v>20</v>
      </c>
      <c r="D3178" s="1" t="s">
        <v>48</v>
      </c>
      <c r="F3178" s="72">
        <v>41952</v>
      </c>
      <c r="G3178" s="1" t="s">
        <v>6161</v>
      </c>
      <c r="H3178" s="1" t="s">
        <v>98</v>
      </c>
      <c r="I3178" s="1" t="s">
        <v>45</v>
      </c>
      <c r="J3178" s="4" t="s">
        <v>6162</v>
      </c>
      <c r="K3178" s="1" t="s">
        <v>98</v>
      </c>
      <c r="L3178" s="1" t="s">
        <v>99</v>
      </c>
      <c r="M3178" s="1" t="s">
        <v>27</v>
      </c>
      <c r="N3178" s="1" t="s">
        <v>6163</v>
      </c>
      <c r="O3178" s="1" t="s">
        <v>1010</v>
      </c>
      <c r="P3178" s="1" t="s">
        <v>401</v>
      </c>
      <c r="Q3178" s="63" t="s">
        <v>6164</v>
      </c>
      <c r="R3178" s="1" t="s">
        <v>100</v>
      </c>
      <c r="S3178" s="13" t="s">
        <v>28</v>
      </c>
    </row>
    <row r="3179" spans="1:62" ht="12" customHeight="1" x14ac:dyDescent="0.15">
      <c r="A3179" s="1" t="s">
        <v>6171</v>
      </c>
      <c r="B3179" s="1">
        <v>56</v>
      </c>
      <c r="C3179" s="1" t="s">
        <v>20</v>
      </c>
      <c r="D3179" s="1" t="s">
        <v>37</v>
      </c>
      <c r="F3179" s="72">
        <v>41952</v>
      </c>
      <c r="G3179" s="1" t="s">
        <v>6172</v>
      </c>
      <c r="H3179" s="1" t="s">
        <v>6173</v>
      </c>
      <c r="I3179" s="1" t="s">
        <v>45</v>
      </c>
      <c r="J3179" s="4" t="s">
        <v>6174</v>
      </c>
      <c r="K3179" s="1" t="s">
        <v>1256</v>
      </c>
      <c r="L3179" s="1" t="s">
        <v>1257</v>
      </c>
      <c r="M3179" s="1" t="s">
        <v>27</v>
      </c>
      <c r="N3179" s="1" t="s">
        <v>6175</v>
      </c>
      <c r="O3179" s="1" t="s">
        <v>400</v>
      </c>
      <c r="P3179" s="1" t="s">
        <v>401</v>
      </c>
      <c r="Q3179" s="63" t="s">
        <v>6176</v>
      </c>
      <c r="R3179" s="1" t="s">
        <v>100</v>
      </c>
      <c r="S3179" s="13" t="s">
        <v>28</v>
      </c>
    </row>
    <row r="3180" spans="1:62" ht="12" customHeight="1" x14ac:dyDescent="0.15">
      <c r="A3180" s="1" t="s">
        <v>6138</v>
      </c>
      <c r="B3180" s="1">
        <v>40</v>
      </c>
      <c r="C3180" s="1" t="s">
        <v>114</v>
      </c>
      <c r="D3180" s="1" t="s">
        <v>85</v>
      </c>
      <c r="E3180" s="1" t="s">
        <v>6139</v>
      </c>
      <c r="F3180" s="72">
        <v>41952</v>
      </c>
      <c r="G3180" s="1" t="s">
        <v>6140</v>
      </c>
      <c r="H3180" s="1" t="s">
        <v>6141</v>
      </c>
      <c r="I3180" s="1" t="s">
        <v>57</v>
      </c>
      <c r="J3180" s="4" t="s">
        <v>6142</v>
      </c>
      <c r="K3180" s="1" t="s">
        <v>6143</v>
      </c>
      <c r="L3180" s="1" t="s">
        <v>6144</v>
      </c>
      <c r="M3180" s="1" t="s">
        <v>27</v>
      </c>
      <c r="N3180" s="1" t="s">
        <v>6145</v>
      </c>
      <c r="O3180" s="1" t="s">
        <v>400</v>
      </c>
      <c r="P3180" s="1" t="s">
        <v>401</v>
      </c>
      <c r="Q3180" s="63" t="s">
        <v>6146</v>
      </c>
      <c r="R3180" s="1" t="s">
        <v>29</v>
      </c>
      <c r="S3180" s="13" t="s">
        <v>28</v>
      </c>
      <c r="AX3180" s="44"/>
      <c r="AY3180" s="44"/>
      <c r="BC3180" s="11"/>
      <c r="BD3180" s="11"/>
      <c r="BE3180" s="11"/>
      <c r="BF3180" s="11"/>
      <c r="BG3180" s="11"/>
      <c r="BH3180" s="11"/>
      <c r="BI3180" s="11"/>
      <c r="BJ3180" s="11"/>
    </row>
    <row r="3181" spans="1:62" ht="12" customHeight="1" x14ac:dyDescent="0.15">
      <c r="A3181" s="1" t="s">
        <v>6154</v>
      </c>
      <c r="B3181" s="1">
        <v>31</v>
      </c>
      <c r="C3181" s="1" t="s">
        <v>20</v>
      </c>
      <c r="D3181" s="1" t="s">
        <v>48</v>
      </c>
      <c r="E3181" s="1" t="s">
        <v>6155</v>
      </c>
      <c r="F3181" s="72">
        <v>41952</v>
      </c>
      <c r="G3181" s="1" t="s">
        <v>6156</v>
      </c>
      <c r="H3181" s="1" t="s">
        <v>1298</v>
      </c>
      <c r="I3181" s="1" t="s">
        <v>209</v>
      </c>
      <c r="J3181" s="4" t="s">
        <v>6157</v>
      </c>
      <c r="K3181" s="1" t="s">
        <v>1298</v>
      </c>
      <c r="L3181" s="1" t="s">
        <v>1299</v>
      </c>
      <c r="M3181" s="1" t="s">
        <v>27</v>
      </c>
      <c r="N3181" s="1" t="s">
        <v>6158</v>
      </c>
      <c r="O3181" s="1" t="s">
        <v>1010</v>
      </c>
      <c r="P3181" s="1" t="s">
        <v>401</v>
      </c>
      <c r="Q3181" s="63" t="s">
        <v>6159</v>
      </c>
      <c r="R3181" s="1" t="s">
        <v>29</v>
      </c>
      <c r="S3181" s="13" t="s">
        <v>28</v>
      </c>
    </row>
    <row r="3182" spans="1:62" ht="12" customHeight="1" x14ac:dyDescent="0.15">
      <c r="A3182" s="1" t="s">
        <v>6147</v>
      </c>
      <c r="B3182" s="1">
        <v>22</v>
      </c>
      <c r="C3182" s="1" t="s">
        <v>20</v>
      </c>
      <c r="D3182" s="1" t="s">
        <v>48</v>
      </c>
      <c r="E3182" s="1" t="s">
        <v>6148</v>
      </c>
      <c r="F3182" s="72">
        <v>41952</v>
      </c>
      <c r="G3182" s="1" t="s">
        <v>6149</v>
      </c>
      <c r="H3182" s="1" t="s">
        <v>6150</v>
      </c>
      <c r="I3182" s="1" t="s">
        <v>45</v>
      </c>
      <c r="J3182" s="4" t="s">
        <v>6151</v>
      </c>
      <c r="K3182" s="1" t="s">
        <v>98</v>
      </c>
      <c r="L3182" s="1" t="s">
        <v>99</v>
      </c>
      <c r="M3182" s="1" t="s">
        <v>27</v>
      </c>
      <c r="N3182" s="1" t="s">
        <v>6152</v>
      </c>
      <c r="O3182" s="1" t="s">
        <v>1010</v>
      </c>
      <c r="P3182" s="1" t="s">
        <v>401</v>
      </c>
      <c r="Q3182" s="63" t="s">
        <v>6153</v>
      </c>
      <c r="R3182" s="1" t="s">
        <v>555</v>
      </c>
      <c r="S3182" s="13" t="s">
        <v>28</v>
      </c>
      <c r="BA3182" s="11"/>
      <c r="BB3182" s="11"/>
    </row>
    <row r="3183" spans="1:62" ht="12" customHeight="1" x14ac:dyDescent="0.15">
      <c r="A3183" s="1" t="s">
        <v>6177</v>
      </c>
      <c r="B3183" s="1">
        <v>23</v>
      </c>
      <c r="C3183" s="1" t="s">
        <v>20</v>
      </c>
      <c r="D3183" s="1" t="s">
        <v>37</v>
      </c>
      <c r="F3183" s="72">
        <v>41952</v>
      </c>
      <c r="G3183" s="1" t="s">
        <v>6178</v>
      </c>
      <c r="H3183" s="1" t="s">
        <v>6179</v>
      </c>
      <c r="I3183" s="1" t="s">
        <v>81</v>
      </c>
      <c r="J3183" s="4">
        <v>8759</v>
      </c>
      <c r="K3183" s="1" t="s">
        <v>643</v>
      </c>
      <c r="L3183" s="1" t="s">
        <v>6180</v>
      </c>
      <c r="M3183" s="1" t="s">
        <v>379</v>
      </c>
      <c r="N3183" s="1" t="s">
        <v>6181</v>
      </c>
      <c r="P3183" s="1" t="s">
        <v>401</v>
      </c>
      <c r="Q3183" s="63" t="s">
        <v>6182</v>
      </c>
      <c r="R3183" s="1" t="s">
        <v>29</v>
      </c>
      <c r="S3183" s="13" t="s">
        <v>18</v>
      </c>
    </row>
    <row r="3184" spans="1:62" ht="12" customHeight="1" x14ac:dyDescent="0.15">
      <c r="A3184" s="1" t="s">
        <v>6188</v>
      </c>
      <c r="B3184" s="1">
        <v>52</v>
      </c>
      <c r="C3184" s="1" t="s">
        <v>114</v>
      </c>
      <c r="D3184" s="1" t="s">
        <v>139</v>
      </c>
      <c r="F3184" s="72">
        <v>41951</v>
      </c>
      <c r="G3184" s="1" t="s">
        <v>6189</v>
      </c>
      <c r="H3184" s="1" t="s">
        <v>514</v>
      </c>
      <c r="I3184" s="1" t="s">
        <v>143</v>
      </c>
      <c r="J3184" s="4" t="s">
        <v>6190</v>
      </c>
      <c r="K3184" s="1" t="s">
        <v>6191</v>
      </c>
      <c r="L3184" s="1" t="s">
        <v>6192</v>
      </c>
      <c r="M3184" s="1" t="s">
        <v>27</v>
      </c>
      <c r="N3184" s="1" t="s">
        <v>6193</v>
      </c>
      <c r="O3184" s="1" t="s">
        <v>550</v>
      </c>
      <c r="P3184" s="1" t="s">
        <v>401</v>
      </c>
      <c r="Q3184" s="63" t="s">
        <v>6194</v>
      </c>
      <c r="R3184" s="11" t="s">
        <v>964</v>
      </c>
      <c r="S3184" s="13" t="s">
        <v>28</v>
      </c>
    </row>
    <row r="3185" spans="1:63" ht="12" customHeight="1" x14ac:dyDescent="0.15">
      <c r="A3185" s="1" t="s">
        <v>6209</v>
      </c>
      <c r="B3185" s="1">
        <v>27</v>
      </c>
      <c r="C3185" s="1" t="s">
        <v>20</v>
      </c>
      <c r="D3185" s="1" t="s">
        <v>37</v>
      </c>
      <c r="F3185" s="72">
        <v>41951</v>
      </c>
      <c r="G3185" s="1" t="s">
        <v>6210</v>
      </c>
      <c r="H3185" s="1" t="s">
        <v>782</v>
      </c>
      <c r="I3185" s="1" t="s">
        <v>45</v>
      </c>
      <c r="J3185" s="4" t="s">
        <v>2828</v>
      </c>
      <c r="K3185" s="1" t="s">
        <v>783</v>
      </c>
      <c r="L3185" s="1" t="s">
        <v>4732</v>
      </c>
      <c r="M3185" s="1" t="s">
        <v>27</v>
      </c>
      <c r="N3185" s="1" t="s">
        <v>6211</v>
      </c>
      <c r="O3185" s="1" t="s">
        <v>29630</v>
      </c>
      <c r="P3185" s="1" t="s">
        <v>29623</v>
      </c>
      <c r="Q3185" s="63" t="s">
        <v>6212</v>
      </c>
      <c r="R3185" s="1" t="s">
        <v>100</v>
      </c>
      <c r="S3185" s="13" t="s">
        <v>28</v>
      </c>
    </row>
    <row r="3186" spans="1:63" ht="12" customHeight="1" x14ac:dyDescent="0.15">
      <c r="A3186" s="1" t="s">
        <v>6203</v>
      </c>
      <c r="B3186" s="1">
        <v>34</v>
      </c>
      <c r="C3186" s="1" t="s">
        <v>20</v>
      </c>
      <c r="D3186" s="1" t="s">
        <v>37</v>
      </c>
      <c r="E3186" s="1" t="s">
        <v>6204</v>
      </c>
      <c r="F3186" s="72">
        <v>41951</v>
      </c>
      <c r="G3186" s="1" t="s">
        <v>6205</v>
      </c>
      <c r="H3186" s="1" t="s">
        <v>1094</v>
      </c>
      <c r="I3186" s="1" t="s">
        <v>395</v>
      </c>
      <c r="J3186" s="4" t="s">
        <v>6206</v>
      </c>
      <c r="K3186" s="1" t="s">
        <v>1095</v>
      </c>
      <c r="L3186" s="1" t="s">
        <v>1096</v>
      </c>
      <c r="M3186" s="1" t="s">
        <v>27</v>
      </c>
      <c r="N3186" s="1" t="s">
        <v>6207</v>
      </c>
      <c r="P3186" s="1" t="s">
        <v>401</v>
      </c>
      <c r="Q3186" s="63" t="s">
        <v>6208</v>
      </c>
      <c r="R3186" s="1" t="s">
        <v>100</v>
      </c>
      <c r="S3186" s="13" t="s">
        <v>28</v>
      </c>
    </row>
    <row r="3187" spans="1:63" ht="12" customHeight="1" x14ac:dyDescent="0.15">
      <c r="A3187" s="1" t="s">
        <v>6183</v>
      </c>
      <c r="B3187" s="1">
        <v>50</v>
      </c>
      <c r="C3187" s="1" t="s">
        <v>20</v>
      </c>
      <c r="D3187" s="1" t="s">
        <v>85</v>
      </c>
      <c r="F3187" s="72">
        <v>41951</v>
      </c>
      <c r="G3187" s="1" t="s">
        <v>6184</v>
      </c>
      <c r="H3187" s="1" t="s">
        <v>430</v>
      </c>
      <c r="I3187" s="1" t="s">
        <v>363</v>
      </c>
      <c r="J3187" s="4" t="s">
        <v>6185</v>
      </c>
      <c r="K3187" s="1" t="s">
        <v>598</v>
      </c>
      <c r="L3187" s="1" t="s">
        <v>2121</v>
      </c>
      <c r="M3187" s="1" t="s">
        <v>27</v>
      </c>
      <c r="N3187" s="1" t="s">
        <v>6186</v>
      </c>
      <c r="O3187" s="1" t="s">
        <v>400</v>
      </c>
      <c r="P3187" s="1" t="s">
        <v>401</v>
      </c>
      <c r="Q3187" s="63" t="s">
        <v>6187</v>
      </c>
      <c r="R3187" s="1" t="s">
        <v>29</v>
      </c>
      <c r="S3187" s="13" t="s">
        <v>28</v>
      </c>
      <c r="AX3187" s="44"/>
      <c r="AY3187" s="44"/>
      <c r="BC3187" s="11"/>
      <c r="BD3187" s="11"/>
      <c r="BE3187" s="11"/>
      <c r="BF3187" s="11"/>
      <c r="BG3187" s="11"/>
      <c r="BH3187" s="11"/>
      <c r="BI3187" s="11"/>
      <c r="BJ3187" s="11"/>
    </row>
    <row r="3188" spans="1:63" ht="12" customHeight="1" x14ac:dyDescent="0.15">
      <c r="A3188" s="1" t="s">
        <v>6195</v>
      </c>
      <c r="B3188" s="1">
        <v>27</v>
      </c>
      <c r="C3188" s="1" t="s">
        <v>20</v>
      </c>
      <c r="D3188" s="1" t="s">
        <v>37</v>
      </c>
      <c r="E3188" s="1" t="s">
        <v>6196</v>
      </c>
      <c r="F3188" s="72">
        <v>41951</v>
      </c>
      <c r="G3188" s="1" t="s">
        <v>6197</v>
      </c>
      <c r="H3188" s="1" t="s">
        <v>6198</v>
      </c>
      <c r="I3188" s="1" t="s">
        <v>57</v>
      </c>
      <c r="J3188" s="4" t="s">
        <v>6199</v>
      </c>
      <c r="K3188" s="1" t="s">
        <v>1128</v>
      </c>
      <c r="L3188" s="1" t="s">
        <v>6200</v>
      </c>
      <c r="M3188" s="1" t="s">
        <v>27</v>
      </c>
      <c r="N3188" s="1" t="s">
        <v>6201</v>
      </c>
      <c r="O3188" s="1" t="s">
        <v>1010</v>
      </c>
      <c r="P3188" s="1" t="s">
        <v>401</v>
      </c>
      <c r="Q3188" s="63" t="s">
        <v>6202</v>
      </c>
      <c r="R3188" s="1" t="s">
        <v>555</v>
      </c>
      <c r="S3188" s="13" t="s">
        <v>28</v>
      </c>
      <c r="BA3188" s="11"/>
      <c r="BB3188" s="11"/>
    </row>
    <row r="3189" spans="1:63" ht="12" customHeight="1" x14ac:dyDescent="0.15">
      <c r="A3189" s="1" t="s">
        <v>6213</v>
      </c>
      <c r="B3189" s="1">
        <v>57</v>
      </c>
      <c r="C3189" s="1" t="s">
        <v>20</v>
      </c>
      <c r="D3189" s="1" t="s">
        <v>37</v>
      </c>
      <c r="F3189" s="72">
        <v>41950</v>
      </c>
      <c r="G3189" s="1" t="s">
        <v>6214</v>
      </c>
      <c r="H3189" s="1" t="s">
        <v>926</v>
      </c>
      <c r="I3189" s="1" t="s">
        <v>73</v>
      </c>
      <c r="J3189" s="4" t="s">
        <v>6215</v>
      </c>
      <c r="K3189" s="1" t="s">
        <v>74</v>
      </c>
      <c r="L3189" s="1" t="s">
        <v>6216</v>
      </c>
      <c r="M3189" s="1" t="s">
        <v>27</v>
      </c>
      <c r="N3189" s="1" t="s">
        <v>6217</v>
      </c>
      <c r="O3189" s="1" t="s">
        <v>1010</v>
      </c>
      <c r="P3189" s="1" t="s">
        <v>401</v>
      </c>
      <c r="Q3189" s="63" t="s">
        <v>6218</v>
      </c>
      <c r="R3189" s="1" t="s">
        <v>100</v>
      </c>
      <c r="S3189" s="13" t="s">
        <v>28</v>
      </c>
    </row>
    <row r="3190" spans="1:63" ht="12" customHeight="1" x14ac:dyDescent="0.15">
      <c r="A3190" s="1" t="s">
        <v>6219</v>
      </c>
      <c r="B3190" s="1">
        <v>20</v>
      </c>
      <c r="C3190" s="1" t="s">
        <v>20</v>
      </c>
      <c r="D3190" s="1" t="s">
        <v>85</v>
      </c>
      <c r="E3190" s="1" t="s">
        <v>6220</v>
      </c>
      <c r="F3190" s="72">
        <v>41949</v>
      </c>
      <c r="G3190" s="1" t="s">
        <v>6221</v>
      </c>
      <c r="H3190" s="1" t="s">
        <v>433</v>
      </c>
      <c r="I3190" s="1" t="s">
        <v>319</v>
      </c>
      <c r="J3190" s="4" t="s">
        <v>6222</v>
      </c>
      <c r="K3190" s="1" t="s">
        <v>2160</v>
      </c>
      <c r="L3190" s="1" t="s">
        <v>6223</v>
      </c>
      <c r="M3190" s="1" t="s">
        <v>27</v>
      </c>
      <c r="N3190" s="1" t="s">
        <v>6224</v>
      </c>
      <c r="O3190" s="1" t="s">
        <v>400</v>
      </c>
      <c r="P3190" s="1" t="s">
        <v>401</v>
      </c>
      <c r="Q3190" s="6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3190" s="1" t="s">
        <v>29</v>
      </c>
      <c r="S3190" s="13" t="s">
        <v>28</v>
      </c>
      <c r="AX3190" s="44"/>
      <c r="AY3190" s="44"/>
      <c r="BC3190" s="11"/>
      <c r="BD3190" s="11"/>
      <c r="BE3190" s="11"/>
      <c r="BF3190" s="11"/>
      <c r="BG3190" s="11"/>
      <c r="BH3190" s="11"/>
      <c r="BI3190" s="11"/>
      <c r="BJ3190" s="11"/>
    </row>
    <row r="3191" spans="1:63" ht="12" customHeight="1" x14ac:dyDescent="0.15">
      <c r="A3191" s="1" t="s">
        <v>6231</v>
      </c>
      <c r="B3191" s="1">
        <v>36</v>
      </c>
      <c r="C3191" s="1" t="s">
        <v>20</v>
      </c>
      <c r="D3191" s="1" t="s">
        <v>37</v>
      </c>
      <c r="E3191" s="1" t="s">
        <v>6232</v>
      </c>
      <c r="F3191" s="72">
        <v>41949</v>
      </c>
      <c r="G3191" s="1" t="s">
        <v>6233</v>
      </c>
      <c r="H3191" s="1" t="s">
        <v>6234</v>
      </c>
      <c r="I3191" s="1" t="s">
        <v>45</v>
      </c>
      <c r="J3191" s="4" t="s">
        <v>6235</v>
      </c>
      <c r="K3191" s="1" t="s">
        <v>98</v>
      </c>
      <c r="L3191" s="11" t="s">
        <v>414</v>
      </c>
      <c r="M3191" s="1" t="s">
        <v>27</v>
      </c>
      <c r="N3191" s="1" t="s">
        <v>6236</v>
      </c>
      <c r="O3191" s="1" t="s">
        <v>1010</v>
      </c>
      <c r="P3191" s="1" t="s">
        <v>401</v>
      </c>
      <c r="Q3191" s="63" t="s">
        <v>6237</v>
      </c>
      <c r="R3191" s="1" t="s">
        <v>555</v>
      </c>
      <c r="S3191" s="13" t="s">
        <v>28</v>
      </c>
      <c r="BA3191" s="11"/>
      <c r="BB3191" s="11"/>
    </row>
    <row r="3192" spans="1:63" ht="12" customHeight="1" x14ac:dyDescent="0.15">
      <c r="A3192" s="1" t="s">
        <v>6238</v>
      </c>
      <c r="B3192" s="1">
        <v>26</v>
      </c>
      <c r="C3192" s="1" t="s">
        <v>20</v>
      </c>
      <c r="D3192" s="1" t="s">
        <v>37</v>
      </c>
      <c r="F3192" s="72">
        <v>41949</v>
      </c>
      <c r="G3192" s="1" t="s">
        <v>6239</v>
      </c>
      <c r="H3192" s="1" t="s">
        <v>6240</v>
      </c>
      <c r="I3192" s="1" t="s">
        <v>790</v>
      </c>
      <c r="J3192" s="4">
        <v>83338</v>
      </c>
      <c r="K3192" s="1" t="s">
        <v>6240</v>
      </c>
      <c r="L3192" s="1" t="s">
        <v>19404</v>
      </c>
      <c r="M3192" s="1" t="s">
        <v>27</v>
      </c>
      <c r="N3192" s="1" t="s">
        <v>6241</v>
      </c>
      <c r="P3192" s="1" t="s">
        <v>401</v>
      </c>
      <c r="Q3192" s="6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3192" s="1" t="s">
        <v>29</v>
      </c>
      <c r="S3192" s="13" t="s">
        <v>28</v>
      </c>
    </row>
    <row r="3193" spans="1:63" ht="12" customHeight="1" x14ac:dyDescent="0.15">
      <c r="A3193" s="1" t="s">
        <v>6225</v>
      </c>
      <c r="B3193" s="1">
        <v>71</v>
      </c>
      <c r="C3193" s="1" t="s">
        <v>20</v>
      </c>
      <c r="D3193" s="1" t="s">
        <v>30</v>
      </c>
      <c r="F3193" s="72">
        <v>41949</v>
      </c>
      <c r="G3193" s="1" t="s">
        <v>6226</v>
      </c>
      <c r="H3193" s="1" t="s">
        <v>6227</v>
      </c>
      <c r="I3193" s="1" t="s">
        <v>94</v>
      </c>
      <c r="J3193" s="4">
        <v>35640</v>
      </c>
      <c r="K3193" s="1" t="s">
        <v>5417</v>
      </c>
      <c r="L3193" s="1" t="s">
        <v>6228</v>
      </c>
      <c r="M3193" s="1" t="s">
        <v>379</v>
      </c>
      <c r="N3193" s="1" t="s">
        <v>6229</v>
      </c>
      <c r="P3193" s="1" t="s">
        <v>401</v>
      </c>
      <c r="Q3193" s="63" t="s">
        <v>6230</v>
      </c>
      <c r="R3193" s="1" t="s">
        <v>29</v>
      </c>
      <c r="S3193" s="13" t="s">
        <v>18</v>
      </c>
    </row>
    <row r="3194" spans="1:63" ht="12" customHeight="1" x14ac:dyDescent="0.15">
      <c r="A3194" s="1" t="s">
        <v>6242</v>
      </c>
      <c r="B3194" s="1">
        <v>33</v>
      </c>
      <c r="C3194" s="1" t="s">
        <v>20</v>
      </c>
      <c r="D3194" s="1" t="s">
        <v>30</v>
      </c>
      <c r="F3194" s="72">
        <v>41948</v>
      </c>
      <c r="G3194" s="1" t="s">
        <v>6243</v>
      </c>
      <c r="H3194" s="1" t="s">
        <v>1611</v>
      </c>
      <c r="I3194" s="1" t="s">
        <v>269</v>
      </c>
      <c r="J3194" s="4" t="s">
        <v>6244</v>
      </c>
      <c r="K3194" s="1" t="s">
        <v>6245</v>
      </c>
      <c r="L3194" s="1" t="s">
        <v>6246</v>
      </c>
      <c r="M3194" s="1" t="s">
        <v>27</v>
      </c>
      <c r="N3194" s="1" t="s">
        <v>6247</v>
      </c>
      <c r="O3194" s="1" t="s">
        <v>4684</v>
      </c>
      <c r="P3194" s="1" t="s">
        <v>401</v>
      </c>
      <c r="Q3194" s="63" t="str">
        <f>HYPERLINK("http://www.rgj.com/story/news/crime/2014/11/05/police-officer-involved-shooting-near-unr/18563353/","http://www.rgj.com/story/news/crime/2014/11/05/police-officer-involved-shooting-near-unr/18563353/")</f>
        <v>http://www.rgj.com/story/news/crime/2014/11/05/police-officer-involved-shooting-near-unr/18563353/</v>
      </c>
      <c r="R3194" s="1" t="s">
        <v>100</v>
      </c>
      <c r="S3194" s="13" t="s">
        <v>28</v>
      </c>
    </row>
    <row r="3195" spans="1:63" ht="12" customHeight="1" x14ac:dyDescent="0.15">
      <c r="A3195" s="1" t="s">
        <v>6248</v>
      </c>
      <c r="B3195" s="1">
        <v>27</v>
      </c>
      <c r="C3195" s="1" t="s">
        <v>20</v>
      </c>
      <c r="D3195" s="1" t="s">
        <v>37</v>
      </c>
      <c r="E3195" s="1" t="str">
        <f>HYPERLINK("https://www.facebook.com/groups/387178151407408/","https://www.facebook.com/groups/387178151407408/")</f>
        <v>https://www.facebook.com/groups/387178151407408/</v>
      </c>
      <c r="F3195" s="72">
        <v>41948</v>
      </c>
      <c r="G3195" s="1" t="s">
        <v>6249</v>
      </c>
      <c r="H3195" s="1" t="s">
        <v>6250</v>
      </c>
      <c r="I3195" s="1" t="s">
        <v>303</v>
      </c>
      <c r="J3195" s="4">
        <v>98908</v>
      </c>
      <c r="K3195" s="1" t="s">
        <v>6250</v>
      </c>
      <c r="L3195" s="1" t="s">
        <v>6251</v>
      </c>
      <c r="M3195" s="1" t="s">
        <v>27</v>
      </c>
      <c r="N3195" s="1" t="s">
        <v>6252</v>
      </c>
      <c r="P3195" s="1" t="s">
        <v>401</v>
      </c>
      <c r="Q3195" s="63" t="str">
        <f>HYPERLINK("http://www.yakimaherald.com/news/latestlocalnews/2632541-8/man-fatally-shot-by-yakima-county-deputy","http://www.yakimaherald.com/news/latestlocalnews/2632541-8/man-fatally-shot-by-yakima-county-deputy")</f>
        <v>http://www.yakimaherald.com/news/latestlocalnews/2632541-8/man-fatally-shot-by-yakima-county-deputy</v>
      </c>
      <c r="R3195" s="1" t="s">
        <v>100</v>
      </c>
      <c r="S3195" s="13" t="s">
        <v>379</v>
      </c>
      <c r="BK3195" s="44"/>
    </row>
    <row r="3196" spans="1:63" ht="12" customHeight="1" x14ac:dyDescent="0.15">
      <c r="A3196" s="1" t="s">
        <v>6253</v>
      </c>
      <c r="B3196" s="1">
        <v>64</v>
      </c>
      <c r="C3196" s="1" t="s">
        <v>20</v>
      </c>
      <c r="D3196" s="1" t="s">
        <v>30</v>
      </c>
      <c r="F3196" s="72">
        <v>41947</v>
      </c>
      <c r="G3196" s="1" t="s">
        <v>6254</v>
      </c>
      <c r="H3196" s="1" t="s">
        <v>6255</v>
      </c>
      <c r="I3196" s="1" t="s">
        <v>69</v>
      </c>
      <c r="J3196" s="4">
        <v>45645</v>
      </c>
      <c r="K3196" s="1" t="s">
        <v>2069</v>
      </c>
      <c r="L3196" s="1" t="s">
        <v>344</v>
      </c>
      <c r="M3196" s="1" t="s">
        <v>27</v>
      </c>
      <c r="N3196" s="1" t="s">
        <v>6256</v>
      </c>
      <c r="O3196" s="1" t="s">
        <v>550</v>
      </c>
      <c r="P3196" s="1" t="s">
        <v>401</v>
      </c>
      <c r="Q3196" s="6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3196" s="1" t="s">
        <v>29</v>
      </c>
      <c r="S3196" s="13" t="s">
        <v>28</v>
      </c>
    </row>
    <row r="3197" spans="1:63" ht="12" customHeight="1" x14ac:dyDescent="0.15">
      <c r="A3197" s="1" t="s">
        <v>6286</v>
      </c>
      <c r="B3197" s="1">
        <v>28</v>
      </c>
      <c r="C3197" s="1" t="s">
        <v>20</v>
      </c>
      <c r="D3197" s="1" t="s">
        <v>37</v>
      </c>
      <c r="E3197" s="1" t="s">
        <v>6287</v>
      </c>
      <c r="F3197" s="72">
        <v>41946</v>
      </c>
      <c r="G3197" s="1" t="s">
        <v>6288</v>
      </c>
      <c r="H3197" s="1" t="s">
        <v>6289</v>
      </c>
      <c r="I3197" s="1" t="s">
        <v>94</v>
      </c>
      <c r="J3197" s="4" t="s">
        <v>6290</v>
      </c>
      <c r="K3197" s="1" t="s">
        <v>6291</v>
      </c>
      <c r="L3197" s="1" t="s">
        <v>6292</v>
      </c>
      <c r="M3197" s="1" t="s">
        <v>27</v>
      </c>
      <c r="N3197" s="1" t="s">
        <v>6293</v>
      </c>
      <c r="O3197" s="1" t="s">
        <v>550</v>
      </c>
      <c r="P3197" s="1" t="s">
        <v>401</v>
      </c>
      <c r="Q3197" s="63" t="s">
        <v>6294</v>
      </c>
      <c r="R3197" s="11" t="s">
        <v>964</v>
      </c>
      <c r="S3197" s="13" t="s">
        <v>28</v>
      </c>
    </row>
    <row r="3198" spans="1:63" ht="12" customHeight="1" x14ac:dyDescent="0.15">
      <c r="A3198" s="1" t="s">
        <v>765</v>
      </c>
      <c r="B3198" s="1">
        <v>27</v>
      </c>
      <c r="C3198" s="1" t="s">
        <v>20</v>
      </c>
      <c r="D3198" s="1" t="s">
        <v>85</v>
      </c>
      <c r="E3198" s="1" t="s">
        <v>6264</v>
      </c>
      <c r="F3198" s="72">
        <v>41946</v>
      </c>
      <c r="G3198" s="1" t="s">
        <v>6265</v>
      </c>
      <c r="H3198" s="1" t="s">
        <v>6266</v>
      </c>
      <c r="I3198" s="1" t="s">
        <v>44</v>
      </c>
      <c r="J3198" s="4" t="s">
        <v>6267</v>
      </c>
      <c r="K3198" s="1" t="s">
        <v>1256</v>
      </c>
      <c r="L3198" s="1" t="s">
        <v>6268</v>
      </c>
      <c r="M3198" s="1" t="s">
        <v>27</v>
      </c>
      <c r="N3198" s="1" t="s">
        <v>6269</v>
      </c>
      <c r="O3198" s="1" t="s">
        <v>550</v>
      </c>
      <c r="P3198" s="1" t="s">
        <v>401</v>
      </c>
      <c r="Q3198" s="63" t="s">
        <v>6270</v>
      </c>
      <c r="R3198" s="1" t="s">
        <v>100</v>
      </c>
      <c r="S3198" s="13" t="s">
        <v>28</v>
      </c>
      <c r="AX3198" s="44"/>
      <c r="AY3198" s="44"/>
      <c r="BC3198" s="11"/>
      <c r="BD3198" s="11"/>
      <c r="BE3198" s="11"/>
      <c r="BF3198" s="11"/>
      <c r="BG3198" s="11"/>
      <c r="BH3198" s="11"/>
      <c r="BI3198" s="11"/>
      <c r="BJ3198" s="11"/>
    </row>
    <row r="3199" spans="1:63" ht="12" customHeight="1" x14ac:dyDescent="0.15">
      <c r="A3199" s="1" t="s">
        <v>6257</v>
      </c>
      <c r="B3199" s="1">
        <v>29</v>
      </c>
      <c r="C3199" s="1" t="s">
        <v>20</v>
      </c>
      <c r="D3199" s="1" t="s">
        <v>85</v>
      </c>
      <c r="E3199" s="1" t="s">
        <v>6258</v>
      </c>
      <c r="F3199" s="72">
        <v>41946</v>
      </c>
      <c r="G3199" s="1" t="s">
        <v>6259</v>
      </c>
      <c r="H3199" s="1" t="s">
        <v>204</v>
      </c>
      <c r="I3199" s="1" t="s">
        <v>69</v>
      </c>
      <c r="J3199" s="4" t="s">
        <v>6260</v>
      </c>
      <c r="K3199" s="1" t="s">
        <v>3466</v>
      </c>
      <c r="L3199" s="1" t="s">
        <v>6261</v>
      </c>
      <c r="M3199" s="1" t="s">
        <v>27</v>
      </c>
      <c r="N3199" s="1" t="s">
        <v>6262</v>
      </c>
      <c r="O3199" s="1" t="s">
        <v>400</v>
      </c>
      <c r="P3199" s="1" t="s">
        <v>401</v>
      </c>
      <c r="Q3199" s="63" t="s">
        <v>6263</v>
      </c>
      <c r="R3199" s="1" t="s">
        <v>100</v>
      </c>
      <c r="S3199" s="13" t="s">
        <v>28</v>
      </c>
      <c r="AX3199" s="44"/>
      <c r="AY3199" s="44"/>
      <c r="BC3199" s="11"/>
      <c r="BD3199" s="11"/>
      <c r="BE3199" s="11"/>
      <c r="BF3199" s="11"/>
      <c r="BG3199" s="11"/>
      <c r="BH3199" s="11"/>
      <c r="BI3199" s="11"/>
      <c r="BJ3199" s="11"/>
    </row>
    <row r="3200" spans="1:63" ht="12" customHeight="1" x14ac:dyDescent="0.15">
      <c r="A3200" s="1" t="s">
        <v>6275</v>
      </c>
      <c r="B3200" s="1">
        <v>28</v>
      </c>
      <c r="C3200" s="1" t="s">
        <v>20</v>
      </c>
      <c r="D3200" s="1" t="s">
        <v>30</v>
      </c>
      <c r="F3200" s="72">
        <v>41946</v>
      </c>
      <c r="G3200" s="1" t="s">
        <v>6276</v>
      </c>
      <c r="H3200" s="1" t="s">
        <v>6277</v>
      </c>
      <c r="I3200" s="1" t="s">
        <v>69</v>
      </c>
      <c r="J3200" s="4">
        <v>45750</v>
      </c>
      <c r="K3200" s="1" t="s">
        <v>118</v>
      </c>
      <c r="L3200" s="1" t="s">
        <v>119</v>
      </c>
      <c r="M3200" s="1" t="s">
        <v>379</v>
      </c>
      <c r="N3200" s="1" t="s">
        <v>6278</v>
      </c>
      <c r="O3200" s="1" t="s">
        <v>3381</v>
      </c>
      <c r="P3200" s="1" t="s">
        <v>401</v>
      </c>
      <c r="Q3200" s="63" t="str">
        <f>HYPERLINK("http://www.thenewscenter.tv/home/headlines/One-Person-Dead-in-Marietta-Crash-281400271.html","http://www.thenewscenter.tv/home/headlines/One-Person-Dead-in-Marietta-Crash-281400271.html")</f>
        <v>http://www.thenewscenter.tv/home/headlines/One-Person-Dead-in-Marietta-Crash-281400271.html</v>
      </c>
      <c r="R3200" s="1" t="s">
        <v>100</v>
      </c>
      <c r="S3200" s="13" t="s">
        <v>18</v>
      </c>
    </row>
    <row r="3201" spans="1:62" ht="12" customHeight="1" x14ac:dyDescent="0.15">
      <c r="A3201" s="1" t="s">
        <v>6279</v>
      </c>
      <c r="B3201" s="1">
        <v>17</v>
      </c>
      <c r="C3201" s="1" t="s">
        <v>20</v>
      </c>
      <c r="D3201" s="1" t="s">
        <v>30</v>
      </c>
      <c r="F3201" s="72">
        <v>41946</v>
      </c>
      <c r="G3201" s="1" t="s">
        <v>6280</v>
      </c>
      <c r="H3201" s="1" t="s">
        <v>6281</v>
      </c>
      <c r="I3201" s="1" t="s">
        <v>363</v>
      </c>
      <c r="J3201" s="4" t="s">
        <v>6282</v>
      </c>
      <c r="K3201" s="1" t="s">
        <v>1575</v>
      </c>
      <c r="L3201" s="1" t="s">
        <v>6283</v>
      </c>
      <c r="M3201" s="1" t="s">
        <v>379</v>
      </c>
      <c r="N3201" s="1" t="s">
        <v>6284</v>
      </c>
      <c r="O3201" s="1" t="s">
        <v>1010</v>
      </c>
      <c r="P3201" s="1" t="s">
        <v>401</v>
      </c>
      <c r="Q3201" s="63" t="s">
        <v>6285</v>
      </c>
      <c r="R3201" s="1" t="s">
        <v>100</v>
      </c>
      <c r="S3201" s="13" t="s">
        <v>379</v>
      </c>
    </row>
    <row r="3202" spans="1:62" ht="12" customHeight="1" x14ac:dyDescent="0.15">
      <c r="A3202" s="1" t="s">
        <v>3252</v>
      </c>
      <c r="B3202" s="1" t="s">
        <v>29</v>
      </c>
      <c r="C3202" s="1" t="s">
        <v>29</v>
      </c>
      <c r="D3202" s="1" t="s">
        <v>30</v>
      </c>
      <c r="F3202" s="72">
        <v>41946</v>
      </c>
      <c r="G3202" s="1" t="s">
        <v>6271</v>
      </c>
      <c r="H3202" s="1" t="s">
        <v>6272</v>
      </c>
      <c r="I3202" s="1" t="s">
        <v>62</v>
      </c>
      <c r="J3202" s="4">
        <v>33169</v>
      </c>
      <c r="K3202" s="1" t="s">
        <v>161</v>
      </c>
      <c r="L3202" s="1" t="s">
        <v>162</v>
      </c>
      <c r="M3202" s="1" t="s">
        <v>27</v>
      </c>
      <c r="N3202" s="1" t="s">
        <v>6273</v>
      </c>
      <c r="P3202" s="1" t="s">
        <v>401</v>
      </c>
      <c r="Q3202" s="63" t="s">
        <v>6274</v>
      </c>
      <c r="R3202" s="1" t="s">
        <v>29</v>
      </c>
      <c r="S3202" s="13" t="s">
        <v>28</v>
      </c>
    </row>
    <row r="3203" spans="1:62" ht="12" customHeight="1" x14ac:dyDescent="0.15">
      <c r="A3203" s="1" t="s">
        <v>6303</v>
      </c>
      <c r="B3203" s="1">
        <v>20</v>
      </c>
      <c r="C3203" s="1" t="s">
        <v>20</v>
      </c>
      <c r="D3203" s="1" t="s">
        <v>48</v>
      </c>
      <c r="F3203" s="72">
        <v>41945</v>
      </c>
      <c r="G3203" s="1" t="s">
        <v>6304</v>
      </c>
      <c r="H3203" s="1" t="s">
        <v>6305</v>
      </c>
      <c r="I3203" s="1" t="s">
        <v>45</v>
      </c>
      <c r="J3203" s="4" t="s">
        <v>6306</v>
      </c>
      <c r="K3203" s="1" t="s">
        <v>783</v>
      </c>
      <c r="L3203" s="1" t="s">
        <v>6307</v>
      </c>
      <c r="M3203" s="1" t="s">
        <v>27</v>
      </c>
      <c r="N3203" s="1" t="s">
        <v>6308</v>
      </c>
      <c r="O3203" s="1" t="s">
        <v>400</v>
      </c>
      <c r="P3203" s="1" t="s">
        <v>401</v>
      </c>
      <c r="Q3203" s="63" t="s">
        <v>6309</v>
      </c>
      <c r="R3203" s="1" t="s">
        <v>29</v>
      </c>
      <c r="S3203" s="13" t="s">
        <v>28</v>
      </c>
    </row>
    <row r="3204" spans="1:62" ht="12" customHeight="1" x14ac:dyDescent="0.15">
      <c r="A3204" s="1" t="s">
        <v>6295</v>
      </c>
      <c r="B3204" s="1">
        <v>68</v>
      </c>
      <c r="C3204" s="1" t="s">
        <v>20</v>
      </c>
      <c r="D3204" s="1" t="s">
        <v>85</v>
      </c>
      <c r="E3204" s="1" t="s">
        <v>6296</v>
      </c>
      <c r="F3204" s="72">
        <v>41945</v>
      </c>
      <c r="G3204" s="1" t="s">
        <v>6297</v>
      </c>
      <c r="H3204" s="1" t="s">
        <v>6298</v>
      </c>
      <c r="I3204" s="1" t="s">
        <v>133</v>
      </c>
      <c r="J3204" s="4" t="s">
        <v>6299</v>
      </c>
      <c r="K3204" s="1" t="s">
        <v>3594</v>
      </c>
      <c r="L3204" s="1" t="s">
        <v>6300</v>
      </c>
      <c r="M3204" s="1" t="s">
        <v>391</v>
      </c>
      <c r="N3204" s="1" t="s">
        <v>6301</v>
      </c>
      <c r="O3204" s="1" t="s">
        <v>400</v>
      </c>
      <c r="P3204" s="1" t="s">
        <v>401</v>
      </c>
      <c r="Q3204" s="63" t="s">
        <v>6302</v>
      </c>
      <c r="R3204" s="1" t="s">
        <v>555</v>
      </c>
      <c r="S3204" s="13" t="s">
        <v>28</v>
      </c>
      <c r="AU3204" s="11"/>
      <c r="AV3204" s="11"/>
      <c r="AW3204" s="11"/>
      <c r="AX3204" s="44"/>
      <c r="AY3204" s="44"/>
      <c r="BA3204" s="11"/>
      <c r="BB3204" s="11"/>
      <c r="BC3204" s="11"/>
      <c r="BD3204" s="11"/>
      <c r="BE3204" s="11"/>
      <c r="BF3204" s="11"/>
      <c r="BG3204" s="11"/>
      <c r="BH3204" s="11"/>
      <c r="BI3204" s="11"/>
      <c r="BJ3204" s="11"/>
    </row>
    <row r="3205" spans="1:62" ht="12" customHeight="1" x14ac:dyDescent="0.15">
      <c r="A3205" s="1" t="s">
        <v>6310</v>
      </c>
      <c r="B3205" s="1">
        <v>28</v>
      </c>
      <c r="C3205" s="1" t="s">
        <v>20</v>
      </c>
      <c r="D3205" s="1" t="s">
        <v>37</v>
      </c>
      <c r="F3205" s="72">
        <v>41945</v>
      </c>
      <c r="G3205" s="1" t="s">
        <v>6311</v>
      </c>
      <c r="H3205" s="1" t="s">
        <v>6312</v>
      </c>
      <c r="I3205" s="1" t="s">
        <v>431</v>
      </c>
      <c r="J3205" s="4">
        <v>64744</v>
      </c>
      <c r="K3205" s="1" t="s">
        <v>6313</v>
      </c>
      <c r="L3205" s="1" t="s">
        <v>6314</v>
      </c>
      <c r="M3205" s="1" t="s">
        <v>27</v>
      </c>
      <c r="N3205" s="1" t="s">
        <v>6315</v>
      </c>
      <c r="P3205" s="1" t="s">
        <v>401</v>
      </c>
      <c r="Q3205" s="63" t="str">
        <f>HYPERLINK("http://www.kshb.com/news/crime/deputy-fatally-shot-in-cedar-county","http://www.kshb.com/news/crime/deputy-fatally-shot-in-cedar-county")</f>
        <v>http://www.kshb.com/news/crime/deputy-fatally-shot-in-cedar-county</v>
      </c>
      <c r="R3205" s="1" t="s">
        <v>29</v>
      </c>
      <c r="S3205" s="13" t="s">
        <v>28</v>
      </c>
    </row>
    <row r="3206" spans="1:62" ht="12" customHeight="1" x14ac:dyDescent="0.15">
      <c r="A3206" s="1" t="s">
        <v>6322</v>
      </c>
      <c r="B3206" s="1">
        <v>49</v>
      </c>
      <c r="C3206" s="1" t="s">
        <v>20</v>
      </c>
      <c r="D3206" s="1" t="s">
        <v>48</v>
      </c>
      <c r="E3206" s="1" t="s">
        <v>6323</v>
      </c>
      <c r="F3206" s="72">
        <v>41944</v>
      </c>
      <c r="G3206" s="1" t="s">
        <v>6324</v>
      </c>
      <c r="H3206" s="1" t="s">
        <v>561</v>
      </c>
      <c r="I3206" s="1" t="s">
        <v>123</v>
      </c>
      <c r="J3206" s="4" t="s">
        <v>6325</v>
      </c>
      <c r="K3206" s="1" t="s">
        <v>562</v>
      </c>
      <c r="L3206" s="1" t="s">
        <v>563</v>
      </c>
      <c r="M3206" s="1" t="s">
        <v>27</v>
      </c>
      <c r="N3206" s="1" t="s">
        <v>6326</v>
      </c>
      <c r="O3206" s="1" t="s">
        <v>400</v>
      </c>
      <c r="P3206" s="1" t="s">
        <v>401</v>
      </c>
      <c r="Q3206" s="6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3206" s="1" t="s">
        <v>100</v>
      </c>
      <c r="S3206" s="13" t="s">
        <v>28</v>
      </c>
    </row>
    <row r="3207" spans="1:62" ht="12" customHeight="1" x14ac:dyDescent="0.15">
      <c r="A3207" s="1" t="s">
        <v>6331</v>
      </c>
      <c r="B3207" s="1">
        <v>43</v>
      </c>
      <c r="C3207" s="1" t="s">
        <v>20</v>
      </c>
      <c r="D3207" s="1" t="s">
        <v>37</v>
      </c>
      <c r="E3207" s="1" t="s">
        <v>6332</v>
      </c>
      <c r="F3207" s="72">
        <v>41944</v>
      </c>
      <c r="G3207" s="1" t="s">
        <v>6333</v>
      </c>
      <c r="H3207" s="1" t="s">
        <v>2598</v>
      </c>
      <c r="I3207" s="1" t="s">
        <v>45</v>
      </c>
      <c r="J3207" s="4" t="s">
        <v>6334</v>
      </c>
      <c r="K3207" s="1" t="s">
        <v>1061</v>
      </c>
      <c r="L3207" s="1" t="s">
        <v>6335</v>
      </c>
      <c r="M3207" s="1" t="s">
        <v>27</v>
      </c>
      <c r="N3207" s="1" t="s">
        <v>6336</v>
      </c>
      <c r="O3207" s="1" t="s">
        <v>400</v>
      </c>
      <c r="P3207" s="1" t="s">
        <v>401</v>
      </c>
      <c r="Q3207" s="63" t="s">
        <v>6337</v>
      </c>
      <c r="R3207" s="1" t="s">
        <v>100</v>
      </c>
      <c r="S3207" s="13" t="s">
        <v>28</v>
      </c>
    </row>
    <row r="3208" spans="1:62" ht="12" customHeight="1" x14ac:dyDescent="0.15">
      <c r="A3208" s="1" t="s">
        <v>6316</v>
      </c>
      <c r="B3208" s="1">
        <v>22</v>
      </c>
      <c r="C3208" s="1" t="s">
        <v>20</v>
      </c>
      <c r="D3208" s="1" t="s">
        <v>85</v>
      </c>
      <c r="F3208" s="72">
        <v>41944</v>
      </c>
      <c r="G3208" s="1" t="s">
        <v>6317</v>
      </c>
      <c r="H3208" s="1" t="s">
        <v>655</v>
      </c>
      <c r="I3208" s="1" t="s">
        <v>269</v>
      </c>
      <c r="J3208" s="4" t="s">
        <v>6318</v>
      </c>
      <c r="K3208" s="1" t="s">
        <v>570</v>
      </c>
      <c r="L3208" s="1" t="s">
        <v>6319</v>
      </c>
      <c r="M3208" s="1" t="s">
        <v>27</v>
      </c>
      <c r="N3208" s="1" t="s">
        <v>6320</v>
      </c>
      <c r="O3208" s="1" t="s">
        <v>400</v>
      </c>
      <c r="P3208" s="1" t="s">
        <v>401</v>
      </c>
      <c r="Q3208" s="63" t="s">
        <v>6321</v>
      </c>
      <c r="R3208" s="1" t="s">
        <v>29</v>
      </c>
      <c r="S3208" s="13" t="s">
        <v>18</v>
      </c>
      <c r="AX3208" s="44"/>
      <c r="AY3208" s="44"/>
      <c r="BC3208" s="11"/>
      <c r="BD3208" s="11"/>
      <c r="BE3208" s="11"/>
      <c r="BF3208" s="11"/>
      <c r="BG3208" s="11"/>
      <c r="BH3208" s="11"/>
      <c r="BI3208" s="11"/>
      <c r="BJ3208" s="11"/>
    </row>
    <row r="3209" spans="1:62" ht="12" customHeight="1" x14ac:dyDescent="0.15">
      <c r="A3209" s="1" t="s">
        <v>6338</v>
      </c>
      <c r="B3209" s="1">
        <v>62</v>
      </c>
      <c r="C3209" s="1" t="s">
        <v>20</v>
      </c>
      <c r="D3209" s="1" t="s">
        <v>37</v>
      </c>
      <c r="F3209" s="72">
        <v>41944</v>
      </c>
      <c r="G3209" s="1" t="s">
        <v>6339</v>
      </c>
      <c r="H3209" s="1" t="s">
        <v>489</v>
      </c>
      <c r="I3209" s="1" t="s">
        <v>45</v>
      </c>
      <c r="J3209" s="4" t="s">
        <v>6340</v>
      </c>
      <c r="K3209" s="1" t="s">
        <v>98</v>
      </c>
      <c r="L3209" s="1" t="s">
        <v>490</v>
      </c>
      <c r="M3209" s="1" t="s">
        <v>27</v>
      </c>
      <c r="N3209" s="1" t="s">
        <v>6341</v>
      </c>
      <c r="O3209" s="1" t="s">
        <v>400</v>
      </c>
      <c r="P3209" s="1" t="s">
        <v>401</v>
      </c>
      <c r="Q3209" s="63" t="s">
        <v>6342</v>
      </c>
      <c r="R3209" s="1" t="s">
        <v>555</v>
      </c>
      <c r="S3209" s="13" t="s">
        <v>28</v>
      </c>
      <c r="BA3209" s="11"/>
      <c r="BB3209" s="11"/>
    </row>
    <row r="3210" spans="1:62" ht="12" customHeight="1" x14ac:dyDescent="0.15">
      <c r="A3210" s="1" t="s">
        <v>6327</v>
      </c>
      <c r="B3210" s="1">
        <v>27</v>
      </c>
      <c r="C3210" s="1" t="s">
        <v>20</v>
      </c>
      <c r="D3210" s="1" t="s">
        <v>48</v>
      </c>
      <c r="F3210" s="72">
        <v>41944</v>
      </c>
      <c r="G3210" s="1" t="s">
        <v>6328</v>
      </c>
      <c r="H3210" s="1" t="s">
        <v>1747</v>
      </c>
      <c r="I3210" s="1" t="s">
        <v>45</v>
      </c>
      <c r="J3210" s="4">
        <v>93291</v>
      </c>
      <c r="K3210" s="1" t="s">
        <v>1163</v>
      </c>
      <c r="L3210" s="1" t="s">
        <v>1749</v>
      </c>
      <c r="M3210" s="1" t="s">
        <v>379</v>
      </c>
      <c r="N3210" s="1" t="s">
        <v>6329</v>
      </c>
      <c r="O3210" s="1" t="s">
        <v>550</v>
      </c>
      <c r="P3210" s="1" t="s">
        <v>401</v>
      </c>
      <c r="Q3210" s="63" t="s">
        <v>6330</v>
      </c>
      <c r="R3210" s="1" t="s">
        <v>29</v>
      </c>
      <c r="S3210" s="13" t="s">
        <v>18</v>
      </c>
    </row>
    <row r="3211" spans="1:62" ht="12" customHeight="1" x14ac:dyDescent="0.15">
      <c r="A3211" s="1" t="s">
        <v>6343</v>
      </c>
      <c r="B3211" s="1">
        <v>35</v>
      </c>
      <c r="C3211" s="1" t="s">
        <v>20</v>
      </c>
      <c r="D3211" s="1" t="s">
        <v>48</v>
      </c>
      <c r="F3211" s="72">
        <v>41943</v>
      </c>
      <c r="G3211" s="1" t="s">
        <v>6344</v>
      </c>
      <c r="H3211" s="1" t="s">
        <v>6345</v>
      </c>
      <c r="I3211" s="1" t="s">
        <v>45</v>
      </c>
      <c r="J3211" s="4" t="s">
        <v>6346</v>
      </c>
      <c r="K3211" s="1" t="s">
        <v>65</v>
      </c>
      <c r="L3211" s="1" t="s">
        <v>6347</v>
      </c>
      <c r="M3211" s="1" t="s">
        <v>23614</v>
      </c>
      <c r="N3211" s="1" t="s">
        <v>6348</v>
      </c>
      <c r="O3211" s="1" t="s">
        <v>400</v>
      </c>
      <c r="P3211" s="1" t="s">
        <v>401</v>
      </c>
      <c r="Q3211" s="63" t="s">
        <v>6349</v>
      </c>
      <c r="R3211" s="1" t="s">
        <v>100</v>
      </c>
      <c r="S3211" s="13" t="s">
        <v>28</v>
      </c>
      <c r="AU3211" s="11"/>
      <c r="AV3211" s="11"/>
      <c r="AW3211" s="11"/>
    </row>
    <row r="3212" spans="1:62" ht="12" customHeight="1" x14ac:dyDescent="0.15">
      <c r="A3212" s="1" t="s">
        <v>6350</v>
      </c>
      <c r="B3212" s="1">
        <v>54</v>
      </c>
      <c r="C3212" s="1" t="s">
        <v>20</v>
      </c>
      <c r="D3212" s="1" t="s">
        <v>37</v>
      </c>
      <c r="E3212" s="1" t="s">
        <v>6351</v>
      </c>
      <c r="F3212" s="72">
        <v>41942</v>
      </c>
      <c r="G3212" s="1" t="s">
        <v>6352</v>
      </c>
      <c r="H3212" s="1" t="s">
        <v>1094</v>
      </c>
      <c r="I3212" s="1" t="s">
        <v>395</v>
      </c>
      <c r="J3212" s="4" t="s">
        <v>3928</v>
      </c>
      <c r="K3212" s="1" t="s">
        <v>1095</v>
      </c>
      <c r="L3212" s="1" t="s">
        <v>1096</v>
      </c>
      <c r="M3212" s="1" t="s">
        <v>27</v>
      </c>
      <c r="N3212" s="1" t="s">
        <v>6353</v>
      </c>
      <c r="O3212" s="1" t="s">
        <v>400</v>
      </c>
      <c r="P3212" s="1" t="s">
        <v>401</v>
      </c>
      <c r="Q3212" s="63" t="s">
        <v>6354</v>
      </c>
      <c r="R3212" s="1" t="s">
        <v>100</v>
      </c>
      <c r="S3212" s="13" t="s">
        <v>28</v>
      </c>
    </row>
    <row r="3213" spans="1:62" ht="12" customHeight="1" x14ac:dyDescent="0.15">
      <c r="A3213" s="1" t="s">
        <v>6363</v>
      </c>
      <c r="B3213" s="1">
        <v>33</v>
      </c>
      <c r="C3213" s="1" t="s">
        <v>114</v>
      </c>
      <c r="D3213" s="1" t="s">
        <v>37</v>
      </c>
      <c r="E3213" s="1" t="s">
        <v>6364</v>
      </c>
      <c r="F3213" s="72">
        <v>41941</v>
      </c>
      <c r="G3213" s="1" t="s">
        <v>6365</v>
      </c>
      <c r="H3213" s="1" t="s">
        <v>6366</v>
      </c>
      <c r="I3213" s="1" t="s">
        <v>423</v>
      </c>
      <c r="J3213" s="4" t="s">
        <v>6367</v>
      </c>
      <c r="K3213" s="1" t="s">
        <v>6368</v>
      </c>
      <c r="L3213" s="1" t="s">
        <v>22920</v>
      </c>
      <c r="M3213" s="1" t="s">
        <v>379</v>
      </c>
      <c r="N3213" s="1" t="s">
        <v>6369</v>
      </c>
      <c r="O3213" s="1" t="s">
        <v>400</v>
      </c>
      <c r="P3213" s="1" t="s">
        <v>401</v>
      </c>
      <c r="Q3213" s="63" t="s">
        <v>6370</v>
      </c>
      <c r="R3213" s="1" t="s">
        <v>100</v>
      </c>
      <c r="S3213" s="66" t="s">
        <v>379</v>
      </c>
      <c r="T3213" s="66" t="s">
        <v>30738</v>
      </c>
    </row>
    <row r="3214" spans="1:62" ht="12" customHeight="1" x14ac:dyDescent="0.15">
      <c r="A3214" s="1" t="s">
        <v>6355</v>
      </c>
      <c r="B3214" s="1">
        <v>26</v>
      </c>
      <c r="C3214" s="1" t="s">
        <v>20</v>
      </c>
      <c r="D3214" s="1" t="s">
        <v>37</v>
      </c>
      <c r="E3214" s="1" t="s">
        <v>6356</v>
      </c>
      <c r="F3214" s="72">
        <v>41941</v>
      </c>
      <c r="G3214" s="1" t="s">
        <v>6357</v>
      </c>
      <c r="H3214" s="1" t="s">
        <v>6358</v>
      </c>
      <c r="I3214" s="1" t="s">
        <v>25</v>
      </c>
      <c r="J3214" s="4" t="s">
        <v>6359</v>
      </c>
      <c r="K3214" s="1" t="s">
        <v>6358</v>
      </c>
      <c r="L3214" s="1" t="s">
        <v>6360</v>
      </c>
      <c r="M3214" s="1" t="s">
        <v>27</v>
      </c>
      <c r="N3214" s="1" t="s">
        <v>6361</v>
      </c>
      <c r="O3214" s="1" t="s">
        <v>1010</v>
      </c>
      <c r="P3214" s="1" t="s">
        <v>401</v>
      </c>
      <c r="Q3214" s="63" t="s">
        <v>6362</v>
      </c>
      <c r="R3214" s="1" t="s">
        <v>555</v>
      </c>
      <c r="S3214" s="13" t="s">
        <v>28</v>
      </c>
      <c r="BA3214" s="11"/>
      <c r="BB3214" s="11"/>
    </row>
    <row r="3215" spans="1:62" ht="12" customHeight="1" x14ac:dyDescent="0.15">
      <c r="A3215" s="1" t="s">
        <v>6386</v>
      </c>
      <c r="B3215" s="1">
        <v>49</v>
      </c>
      <c r="C3215" s="1" t="s">
        <v>20</v>
      </c>
      <c r="D3215" s="1" t="s">
        <v>30</v>
      </c>
      <c r="F3215" s="72">
        <v>41940</v>
      </c>
      <c r="G3215" s="1" t="s">
        <v>6387</v>
      </c>
      <c r="H3215" s="1" t="s">
        <v>6388</v>
      </c>
      <c r="I3215" s="1" t="s">
        <v>45</v>
      </c>
      <c r="J3215" s="4" t="s">
        <v>6389</v>
      </c>
      <c r="K3215" s="1" t="s">
        <v>3423</v>
      </c>
      <c r="L3215" s="1" t="s">
        <v>6390</v>
      </c>
      <c r="M3215" s="1" t="s">
        <v>27</v>
      </c>
      <c r="N3215" s="1" t="s">
        <v>6391</v>
      </c>
      <c r="O3215" s="1" t="s">
        <v>400</v>
      </c>
      <c r="P3215" s="1" t="s">
        <v>401</v>
      </c>
      <c r="Q3215" s="63" t="s">
        <v>6392</v>
      </c>
      <c r="R3215" s="11" t="s">
        <v>964</v>
      </c>
      <c r="S3215" s="13" t="s">
        <v>28</v>
      </c>
    </row>
    <row r="3216" spans="1:62" ht="12" customHeight="1" x14ac:dyDescent="0.15">
      <c r="A3216" s="1" t="s">
        <v>6406</v>
      </c>
      <c r="B3216" s="1">
        <v>29</v>
      </c>
      <c r="C3216" s="1" t="s">
        <v>20</v>
      </c>
      <c r="D3216" s="1" t="s">
        <v>37</v>
      </c>
      <c r="E3216" s="1" t="s">
        <v>6407</v>
      </c>
      <c r="F3216" s="72">
        <v>41940</v>
      </c>
      <c r="G3216" s="1" t="s">
        <v>6408</v>
      </c>
      <c r="H3216" s="1" t="s">
        <v>971</v>
      </c>
      <c r="I3216" s="1" t="s">
        <v>195</v>
      </c>
      <c r="J3216" s="4" t="s">
        <v>6409</v>
      </c>
      <c r="K3216" s="1" t="s">
        <v>6410</v>
      </c>
      <c r="L3216" s="1" t="s">
        <v>6411</v>
      </c>
      <c r="M3216" s="1" t="s">
        <v>27</v>
      </c>
      <c r="N3216" s="1" t="s">
        <v>6412</v>
      </c>
      <c r="O3216" s="1" t="s">
        <v>29627</v>
      </c>
      <c r="P3216" s="1" t="s">
        <v>29633</v>
      </c>
      <c r="Q3216" s="63" t="s">
        <v>6413</v>
      </c>
      <c r="R3216" s="1" t="s">
        <v>100</v>
      </c>
      <c r="S3216" s="13" t="s">
        <v>28</v>
      </c>
    </row>
    <row r="3217" spans="1:63" ht="12" customHeight="1" x14ac:dyDescent="0.15">
      <c r="A3217" s="1" t="s">
        <v>6400</v>
      </c>
      <c r="B3217" s="1">
        <v>38</v>
      </c>
      <c r="C3217" s="1" t="s">
        <v>20</v>
      </c>
      <c r="D3217" s="1" t="s">
        <v>37</v>
      </c>
      <c r="E3217" s="1" t="s">
        <v>6401</v>
      </c>
      <c r="F3217" s="72">
        <v>41940</v>
      </c>
      <c r="G3217" s="1" t="s">
        <v>6402</v>
      </c>
      <c r="H3217" s="1" t="s">
        <v>890</v>
      </c>
      <c r="I3217" s="1" t="s">
        <v>315</v>
      </c>
      <c r="J3217" s="4" t="s">
        <v>6403</v>
      </c>
      <c r="K3217" s="1" t="s">
        <v>1778</v>
      </c>
      <c r="L3217" s="1" t="s">
        <v>891</v>
      </c>
      <c r="M3217" s="1" t="s">
        <v>27</v>
      </c>
      <c r="N3217" s="1" t="s">
        <v>6404</v>
      </c>
      <c r="O3217" s="1" t="s">
        <v>1010</v>
      </c>
      <c r="P3217" s="1" t="s">
        <v>401</v>
      </c>
      <c r="Q3217" s="63" t="s">
        <v>6405</v>
      </c>
      <c r="R3217" s="1" t="s">
        <v>100</v>
      </c>
      <c r="S3217" s="13" t="s">
        <v>28</v>
      </c>
    </row>
    <row r="3218" spans="1:63" ht="12" customHeight="1" x14ac:dyDescent="0.15">
      <c r="A3218" s="1" t="s">
        <v>6393</v>
      </c>
      <c r="B3218" s="1">
        <v>37</v>
      </c>
      <c r="C3218" s="1" t="s">
        <v>20</v>
      </c>
      <c r="D3218" s="1" t="s">
        <v>37</v>
      </c>
      <c r="E3218" s="1" t="s">
        <v>6394</v>
      </c>
      <c r="F3218" s="72">
        <v>41940</v>
      </c>
      <c r="G3218" s="1" t="s">
        <v>6395</v>
      </c>
      <c r="H3218" s="1" t="s">
        <v>5288</v>
      </c>
      <c r="I3218" s="1" t="s">
        <v>244</v>
      </c>
      <c r="J3218" s="4" t="s">
        <v>6396</v>
      </c>
      <c r="K3218" s="1" t="s">
        <v>6397</v>
      </c>
      <c r="L3218" s="1" t="s">
        <v>6398</v>
      </c>
      <c r="M3218" s="1" t="s">
        <v>27</v>
      </c>
      <c r="N3218" s="1" t="s">
        <v>6399</v>
      </c>
      <c r="O3218" s="1" t="s">
        <v>550</v>
      </c>
      <c r="P3218" s="1" t="s">
        <v>401</v>
      </c>
      <c r="Q3218" s="6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3218" s="1" t="s">
        <v>100</v>
      </c>
      <c r="S3218" s="13" t="s">
        <v>28</v>
      </c>
    </row>
    <row r="3219" spans="1:63" ht="12" customHeight="1" x14ac:dyDescent="0.15">
      <c r="A3219" s="1" t="s">
        <v>6380</v>
      </c>
      <c r="B3219" s="1">
        <v>22</v>
      </c>
      <c r="C3219" s="1" t="s">
        <v>20</v>
      </c>
      <c r="D3219" s="1" t="s">
        <v>48</v>
      </c>
      <c r="E3219" s="1" t="s">
        <v>6381</v>
      </c>
      <c r="F3219" s="72">
        <v>41940</v>
      </c>
      <c r="G3219" s="1" t="s">
        <v>6382</v>
      </c>
      <c r="H3219" s="1" t="s">
        <v>632</v>
      </c>
      <c r="I3219" s="1" t="s">
        <v>123</v>
      </c>
      <c r="J3219" s="4" t="s">
        <v>6383</v>
      </c>
      <c r="K3219" s="1" t="s">
        <v>633</v>
      </c>
      <c r="L3219" s="1" t="s">
        <v>15113</v>
      </c>
      <c r="M3219" s="1" t="s">
        <v>27</v>
      </c>
      <c r="N3219" s="1" t="s">
        <v>6384</v>
      </c>
      <c r="O3219" s="1" t="s">
        <v>400</v>
      </c>
      <c r="P3219" s="1" t="s">
        <v>401</v>
      </c>
      <c r="Q3219" s="63" t="s">
        <v>6385</v>
      </c>
      <c r="R3219" s="1" t="s">
        <v>100</v>
      </c>
      <c r="S3219" s="13" t="s">
        <v>35</v>
      </c>
    </row>
    <row r="3220" spans="1:63" ht="12" customHeight="1" x14ac:dyDescent="0.15">
      <c r="A3220" s="1" t="s">
        <v>6371</v>
      </c>
      <c r="B3220" s="1">
        <v>24</v>
      </c>
      <c r="C3220" s="1" t="s">
        <v>20</v>
      </c>
      <c r="D3220" s="1" t="s">
        <v>85</v>
      </c>
      <c r="E3220" s="1" t="s">
        <v>6372</v>
      </c>
      <c r="F3220" s="72">
        <v>41940</v>
      </c>
      <c r="G3220" s="1" t="s">
        <v>6373</v>
      </c>
      <c r="H3220" s="1" t="s">
        <v>6374</v>
      </c>
      <c r="I3220" s="1" t="s">
        <v>62</v>
      </c>
      <c r="J3220" s="4" t="s">
        <v>6375</v>
      </c>
      <c r="K3220" s="1" t="s">
        <v>6376</v>
      </c>
      <c r="L3220" s="1" t="s">
        <v>6377</v>
      </c>
      <c r="M3220" s="1" t="s">
        <v>27</v>
      </c>
      <c r="N3220" s="1" t="s">
        <v>6378</v>
      </c>
      <c r="O3220" s="1" t="s">
        <v>550</v>
      </c>
      <c r="P3220" s="1" t="s">
        <v>401</v>
      </c>
      <c r="Q3220" s="63" t="s">
        <v>6379</v>
      </c>
      <c r="R3220" s="1" t="s">
        <v>555</v>
      </c>
      <c r="S3220" s="13" t="s">
        <v>18</v>
      </c>
      <c r="AX3220" s="44"/>
      <c r="AY3220" s="44"/>
      <c r="BC3220" s="11"/>
      <c r="BD3220" s="11"/>
      <c r="BE3220" s="11"/>
      <c r="BF3220" s="11"/>
      <c r="BG3220" s="11"/>
      <c r="BH3220" s="11"/>
      <c r="BI3220" s="11"/>
      <c r="BJ3220" s="11"/>
      <c r="BK3220" s="44"/>
    </row>
    <row r="3221" spans="1:63" ht="12" customHeight="1" x14ac:dyDescent="0.15">
      <c r="A3221" s="1" t="s">
        <v>6414</v>
      </c>
      <c r="B3221" s="1">
        <v>17</v>
      </c>
      <c r="C3221" s="1" t="s">
        <v>20</v>
      </c>
      <c r="D3221" s="1" t="s">
        <v>85</v>
      </c>
      <c r="E3221" s="1" t="s">
        <v>6415</v>
      </c>
      <c r="F3221" s="72">
        <v>41939</v>
      </c>
      <c r="G3221" s="1" t="s">
        <v>6416</v>
      </c>
      <c r="H3221" s="1" t="s">
        <v>5949</v>
      </c>
      <c r="I3221" s="1" t="s">
        <v>366</v>
      </c>
      <c r="J3221" s="4" t="s">
        <v>6417</v>
      </c>
      <c r="K3221" s="1" t="s">
        <v>3152</v>
      </c>
      <c r="L3221" s="1" t="s">
        <v>6418</v>
      </c>
      <c r="M3221" s="1" t="s">
        <v>379</v>
      </c>
      <c r="N3221" s="1" t="s">
        <v>6419</v>
      </c>
      <c r="O3221" s="1" t="s">
        <v>400</v>
      </c>
      <c r="P3221" s="1" t="s">
        <v>401</v>
      </c>
      <c r="Q3221" s="63" t="s">
        <v>6420</v>
      </c>
      <c r="R3221" s="1" t="s">
        <v>100</v>
      </c>
      <c r="S3221" s="13" t="s">
        <v>18</v>
      </c>
      <c r="AX3221" s="44"/>
      <c r="AY3221" s="44"/>
      <c r="BC3221" s="11"/>
      <c r="BD3221" s="11"/>
      <c r="BE3221" s="11"/>
      <c r="BF3221" s="11"/>
      <c r="BG3221" s="11"/>
      <c r="BH3221" s="11"/>
      <c r="BI3221" s="11"/>
      <c r="BJ3221" s="11"/>
    </row>
    <row r="3222" spans="1:63" ht="12" customHeight="1" x14ac:dyDescent="0.15">
      <c r="A3222" s="1" t="s">
        <v>6433</v>
      </c>
      <c r="B3222" s="1">
        <v>41</v>
      </c>
      <c r="C3222" s="1" t="s">
        <v>20</v>
      </c>
      <c r="D3222" s="1" t="s">
        <v>37</v>
      </c>
      <c r="F3222" s="72">
        <v>41939</v>
      </c>
      <c r="G3222" s="1" t="s">
        <v>6434</v>
      </c>
      <c r="H3222" s="1" t="s">
        <v>6435</v>
      </c>
      <c r="I3222" s="1" t="s">
        <v>366</v>
      </c>
      <c r="J3222" s="4" t="s">
        <v>6436</v>
      </c>
      <c r="K3222" s="1" t="s">
        <v>6437</v>
      </c>
      <c r="L3222" s="1" t="s">
        <v>6438</v>
      </c>
      <c r="M3222" s="1" t="s">
        <v>27</v>
      </c>
      <c r="N3222" s="1" t="s">
        <v>6439</v>
      </c>
      <c r="O3222" s="1" t="s">
        <v>400</v>
      </c>
      <c r="P3222" s="1" t="s">
        <v>401</v>
      </c>
      <c r="Q3222" s="63" t="s">
        <v>6440</v>
      </c>
      <c r="R3222" s="1" t="s">
        <v>555</v>
      </c>
      <c r="S3222" s="13" t="s">
        <v>18</v>
      </c>
      <c r="BA3222" s="11"/>
      <c r="BB3222" s="11"/>
    </row>
    <row r="3223" spans="1:63" ht="12" customHeight="1" x14ac:dyDescent="0.15">
      <c r="A3223" s="1" t="s">
        <v>6426</v>
      </c>
      <c r="B3223" s="1">
        <v>30</v>
      </c>
      <c r="C3223" s="1" t="s">
        <v>20</v>
      </c>
      <c r="D3223" s="1" t="s">
        <v>37</v>
      </c>
      <c r="F3223" s="72">
        <v>41939</v>
      </c>
      <c r="G3223" s="1" t="s">
        <v>6427</v>
      </c>
      <c r="H3223" s="1" t="s">
        <v>6428</v>
      </c>
      <c r="I3223" s="1" t="s">
        <v>62</v>
      </c>
      <c r="J3223" s="4" t="s">
        <v>6429</v>
      </c>
      <c r="K3223" s="1" t="s">
        <v>1123</v>
      </c>
      <c r="L3223" s="1" t="s">
        <v>6430</v>
      </c>
      <c r="M3223" s="1" t="s">
        <v>391</v>
      </c>
      <c r="N3223" s="1" t="s">
        <v>6431</v>
      </c>
      <c r="O3223" s="1" t="s">
        <v>400</v>
      </c>
      <c r="P3223" s="1" t="s">
        <v>401</v>
      </c>
      <c r="Q3223" s="63" t="s">
        <v>6432</v>
      </c>
      <c r="R3223" s="1" t="s">
        <v>555</v>
      </c>
      <c r="S3223" s="13" t="s">
        <v>35</v>
      </c>
      <c r="AU3223" s="11"/>
      <c r="AV3223" s="11"/>
      <c r="AW3223" s="11"/>
      <c r="BK3223" s="11"/>
    </row>
    <row r="3224" spans="1:63" ht="12" customHeight="1" x14ac:dyDescent="0.15">
      <c r="A3224" s="1" t="s">
        <v>6441</v>
      </c>
      <c r="B3224" s="1">
        <v>44</v>
      </c>
      <c r="C3224" s="1" t="s">
        <v>20</v>
      </c>
      <c r="D3224" s="1" t="s">
        <v>37</v>
      </c>
      <c r="F3224" s="72">
        <v>41939</v>
      </c>
      <c r="G3224" s="1" t="s">
        <v>6442</v>
      </c>
      <c r="H3224" s="1" t="s">
        <v>6443</v>
      </c>
      <c r="I3224" s="1" t="s">
        <v>62</v>
      </c>
      <c r="J3224" s="4">
        <v>33012</v>
      </c>
      <c r="K3224" s="1" t="s">
        <v>161</v>
      </c>
      <c r="L3224" s="1" t="s">
        <v>6444</v>
      </c>
      <c r="M3224" s="1" t="s">
        <v>27</v>
      </c>
      <c r="N3224" s="1" t="s">
        <v>6445</v>
      </c>
      <c r="P3224" s="1" t="s">
        <v>401</v>
      </c>
      <c r="Q3224" s="63" t="str">
        <f>HYPERLINK("http://www.wsvn.com/story/27025232/1-dead-in-hialeah-police-involved-shooting","http://www.wsvn.com/story/27025232/1-dead-in-hialeah-police-involved-shooting")</f>
        <v>http://www.wsvn.com/story/27025232/1-dead-in-hialeah-police-involved-shooting</v>
      </c>
      <c r="R3224" s="1" t="s">
        <v>29</v>
      </c>
      <c r="S3224" s="13" t="s">
        <v>28</v>
      </c>
      <c r="BK3224" s="64"/>
    </row>
    <row r="3225" spans="1:63" ht="12" customHeight="1" x14ac:dyDescent="0.15">
      <c r="A3225" s="1" t="s">
        <v>6421</v>
      </c>
      <c r="B3225" s="1">
        <v>28</v>
      </c>
      <c r="C3225" s="1" t="s">
        <v>20</v>
      </c>
      <c r="D3225" s="1" t="s">
        <v>48</v>
      </c>
      <c r="F3225" s="72">
        <v>41939</v>
      </c>
      <c r="G3225" s="1" t="s">
        <v>6422</v>
      </c>
      <c r="H3225" s="1" t="s">
        <v>6423</v>
      </c>
      <c r="I3225" s="1" t="s">
        <v>45</v>
      </c>
      <c r="J3225" s="4">
        <v>90723</v>
      </c>
      <c r="K3225" s="1" t="s">
        <v>98</v>
      </c>
      <c r="L3225" s="11" t="s">
        <v>414</v>
      </c>
      <c r="M3225" s="1" t="s">
        <v>27</v>
      </c>
      <c r="N3225" s="1" t="s">
        <v>6424</v>
      </c>
      <c r="P3225" s="1" t="s">
        <v>401</v>
      </c>
      <c r="Q3225" s="63" t="s">
        <v>6425</v>
      </c>
      <c r="R3225" s="1" t="s">
        <v>29</v>
      </c>
      <c r="S3225" s="13" t="s">
        <v>18</v>
      </c>
    </row>
    <row r="3226" spans="1:63" ht="12" customHeight="1" x14ac:dyDescent="0.15">
      <c r="A3226" s="1" t="s">
        <v>6446</v>
      </c>
      <c r="B3226" s="1">
        <v>29</v>
      </c>
      <c r="C3226" s="1" t="s">
        <v>20</v>
      </c>
      <c r="D3226" s="1" t="s">
        <v>85</v>
      </c>
      <c r="F3226" s="72">
        <v>41938</v>
      </c>
      <c r="G3226" s="1" t="s">
        <v>6447</v>
      </c>
      <c r="H3226" s="1" t="s">
        <v>754</v>
      </c>
      <c r="I3226" s="1" t="s">
        <v>423</v>
      </c>
      <c r="J3226" s="4" t="s">
        <v>6448</v>
      </c>
      <c r="K3226" s="1" t="s">
        <v>754</v>
      </c>
      <c r="L3226" s="1" t="s">
        <v>582</v>
      </c>
      <c r="M3226" s="1" t="s">
        <v>27</v>
      </c>
      <c r="N3226" s="1" t="s">
        <v>6449</v>
      </c>
      <c r="O3226" s="1" t="s">
        <v>1010</v>
      </c>
      <c r="P3226" s="1" t="s">
        <v>401</v>
      </c>
      <c r="Q3226" s="63" t="s">
        <v>6450</v>
      </c>
      <c r="R3226" s="1" t="s">
        <v>29</v>
      </c>
      <c r="S3226" s="13" t="s">
        <v>28</v>
      </c>
      <c r="AW3226" s="11"/>
      <c r="AX3226" s="44"/>
      <c r="AY3226" s="44"/>
      <c r="BC3226" s="11"/>
      <c r="BD3226" s="11"/>
      <c r="BE3226" s="11"/>
      <c r="BF3226" s="11"/>
      <c r="BG3226" s="11"/>
      <c r="BH3226" s="11"/>
      <c r="BI3226" s="11"/>
      <c r="BJ3226" s="11"/>
    </row>
    <row r="3227" spans="1:63" ht="12" customHeight="1" x14ac:dyDescent="0.15">
      <c r="A3227" s="1" t="s">
        <v>6451</v>
      </c>
      <c r="B3227" s="1">
        <v>18</v>
      </c>
      <c r="C3227" s="1" t="s">
        <v>20</v>
      </c>
      <c r="D3227" s="1" t="s">
        <v>37</v>
      </c>
      <c r="E3227" s="1" t="s">
        <v>6452</v>
      </c>
      <c r="F3227" s="72">
        <v>41938</v>
      </c>
      <c r="G3227" s="1" t="s">
        <v>6453</v>
      </c>
      <c r="H3227" s="1" t="s">
        <v>683</v>
      </c>
      <c r="I3227" s="1" t="s">
        <v>363</v>
      </c>
      <c r="J3227" s="4" t="s">
        <v>6454</v>
      </c>
      <c r="K3227" s="1" t="s">
        <v>684</v>
      </c>
      <c r="L3227" s="1" t="s">
        <v>685</v>
      </c>
      <c r="M3227" s="1" t="s">
        <v>27</v>
      </c>
      <c r="N3227" s="1" t="s">
        <v>6455</v>
      </c>
      <c r="O3227" s="1" t="s">
        <v>400</v>
      </c>
      <c r="P3227" s="1" t="s">
        <v>401</v>
      </c>
      <c r="Q3227" s="63" t="s">
        <v>6456</v>
      </c>
      <c r="R3227" s="1" t="s">
        <v>555</v>
      </c>
      <c r="S3227" s="13" t="s">
        <v>28</v>
      </c>
      <c r="BA3227" s="11"/>
      <c r="BB3227" s="11"/>
    </row>
    <row r="3228" spans="1:63" ht="12" customHeight="1" x14ac:dyDescent="0.15">
      <c r="A3228" s="1" t="s">
        <v>6457</v>
      </c>
      <c r="B3228" s="1">
        <v>29</v>
      </c>
      <c r="C3228" s="1" t="s">
        <v>20</v>
      </c>
      <c r="D3228" s="1" t="s">
        <v>85</v>
      </c>
      <c r="F3228" s="72">
        <v>41937</v>
      </c>
      <c r="G3228" s="1" t="s">
        <v>6458</v>
      </c>
      <c r="H3228" s="1" t="s">
        <v>6459</v>
      </c>
      <c r="I3228" s="1" t="s">
        <v>44</v>
      </c>
      <c r="J3228" s="4" t="s">
        <v>6460</v>
      </c>
      <c r="K3228" s="1" t="s">
        <v>88</v>
      </c>
      <c r="L3228" s="1" t="s">
        <v>6461</v>
      </c>
      <c r="M3228" s="1" t="s">
        <v>27</v>
      </c>
      <c r="N3228" s="1" t="s">
        <v>6462</v>
      </c>
      <c r="O3228" s="1" t="s">
        <v>550</v>
      </c>
      <c r="P3228" s="1" t="s">
        <v>401</v>
      </c>
      <c r="Q3228" s="63" t="s">
        <v>6463</v>
      </c>
      <c r="R3228" s="1" t="s">
        <v>100</v>
      </c>
      <c r="S3228" s="13" t="s">
        <v>28</v>
      </c>
      <c r="AX3228" s="44"/>
      <c r="AY3228" s="44"/>
      <c r="BC3228" s="11"/>
      <c r="BD3228" s="11"/>
      <c r="BE3228" s="11"/>
      <c r="BF3228" s="11"/>
      <c r="BG3228" s="11"/>
      <c r="BH3228" s="11"/>
      <c r="BI3228" s="11"/>
      <c r="BJ3228" s="11"/>
    </row>
    <row r="3229" spans="1:63" ht="12" customHeight="1" x14ac:dyDescent="0.15">
      <c r="A3229" s="1" t="s">
        <v>6477</v>
      </c>
      <c r="B3229" s="1">
        <v>27</v>
      </c>
      <c r="C3229" s="1" t="s">
        <v>20</v>
      </c>
      <c r="D3229" s="1" t="s">
        <v>37</v>
      </c>
      <c r="E3229" s="1" t="s">
        <v>6478</v>
      </c>
      <c r="F3229" s="72">
        <v>41937</v>
      </c>
      <c r="G3229" s="1" t="s">
        <v>6479</v>
      </c>
      <c r="H3229" s="1" t="s">
        <v>6480</v>
      </c>
      <c r="I3229" s="1" t="s">
        <v>978</v>
      </c>
      <c r="J3229" s="4" t="s">
        <v>6481</v>
      </c>
      <c r="K3229" s="1" t="s">
        <v>6482</v>
      </c>
      <c r="L3229" s="1" t="s">
        <v>6483</v>
      </c>
      <c r="M3229" s="1" t="s">
        <v>27</v>
      </c>
      <c r="N3229" s="1" t="s">
        <v>6484</v>
      </c>
      <c r="O3229" s="1" t="s">
        <v>400</v>
      </c>
      <c r="P3229" s="1" t="s">
        <v>401</v>
      </c>
      <c r="Q3229" s="63" t="s">
        <v>6485</v>
      </c>
      <c r="R3229" s="1" t="s">
        <v>100</v>
      </c>
      <c r="S3229" s="13" t="s">
        <v>28</v>
      </c>
    </row>
    <row r="3230" spans="1:63" ht="12" customHeight="1" x14ac:dyDescent="0.15">
      <c r="A3230" s="1" t="s">
        <v>6486</v>
      </c>
      <c r="B3230" s="1">
        <v>27</v>
      </c>
      <c r="C3230" s="1" t="s">
        <v>20</v>
      </c>
      <c r="D3230" s="1" t="s">
        <v>37</v>
      </c>
      <c r="F3230" s="72">
        <v>41937</v>
      </c>
      <c r="G3230" s="1" t="s">
        <v>6487</v>
      </c>
      <c r="H3230" s="1" t="s">
        <v>6488</v>
      </c>
      <c r="I3230" s="1" t="s">
        <v>45</v>
      </c>
      <c r="J3230" s="4" t="s">
        <v>6489</v>
      </c>
      <c r="K3230" s="1" t="s">
        <v>1061</v>
      </c>
      <c r="L3230" s="1" t="s">
        <v>6490</v>
      </c>
      <c r="M3230" s="1" t="s">
        <v>27</v>
      </c>
      <c r="N3230" s="1" t="s">
        <v>6491</v>
      </c>
      <c r="O3230" s="1" t="s">
        <v>400</v>
      </c>
      <c r="P3230" s="1" t="s">
        <v>401</v>
      </c>
      <c r="Q3230" s="63" t="s">
        <v>6492</v>
      </c>
      <c r="R3230" s="1" t="s">
        <v>100</v>
      </c>
      <c r="S3230" s="13" t="s">
        <v>28</v>
      </c>
    </row>
    <row r="3231" spans="1:63" ht="12" customHeight="1" x14ac:dyDescent="0.15">
      <c r="A3231" s="1" t="s">
        <v>6464</v>
      </c>
      <c r="B3231" s="1">
        <v>51</v>
      </c>
      <c r="C3231" s="1" t="s">
        <v>114</v>
      </c>
      <c r="D3231" s="1" t="s">
        <v>85</v>
      </c>
      <c r="F3231" s="72">
        <v>41937</v>
      </c>
      <c r="G3231" s="1" t="s">
        <v>6465</v>
      </c>
      <c r="H3231" s="1" t="s">
        <v>6466</v>
      </c>
      <c r="I3231" s="1" t="s">
        <v>366</v>
      </c>
      <c r="J3231" s="4" t="s">
        <v>6467</v>
      </c>
      <c r="K3231" s="1" t="s">
        <v>647</v>
      </c>
      <c r="L3231" s="1" t="s">
        <v>6124</v>
      </c>
      <c r="M3231" s="1" t="s">
        <v>379</v>
      </c>
      <c r="N3231" s="1" t="s">
        <v>6468</v>
      </c>
      <c r="O3231" s="1" t="s">
        <v>400</v>
      </c>
      <c r="P3231" s="1" t="s">
        <v>401</v>
      </c>
      <c r="Q3231" s="63" t="s">
        <v>6469</v>
      </c>
      <c r="R3231" s="1" t="s">
        <v>100</v>
      </c>
      <c r="S3231" s="13" t="s">
        <v>18</v>
      </c>
      <c r="AX3231" s="44"/>
      <c r="AY3231" s="44"/>
      <c r="BC3231" s="11"/>
      <c r="BD3231" s="11"/>
      <c r="BE3231" s="11"/>
      <c r="BF3231" s="11"/>
      <c r="BG3231" s="11"/>
      <c r="BH3231" s="11"/>
      <c r="BI3231" s="11"/>
      <c r="BJ3231" s="11"/>
    </row>
    <row r="3232" spans="1:63" ht="12" customHeight="1" x14ac:dyDescent="0.15">
      <c r="A3232" s="1" t="s">
        <v>6470</v>
      </c>
      <c r="B3232" s="1">
        <v>39</v>
      </c>
      <c r="C3232" s="1" t="s">
        <v>20</v>
      </c>
      <c r="D3232" s="1" t="s">
        <v>48</v>
      </c>
      <c r="E3232" s="1" t="s">
        <v>6471</v>
      </c>
      <c r="F3232" s="72">
        <v>41937</v>
      </c>
      <c r="G3232" s="1" t="s">
        <v>6472</v>
      </c>
      <c r="H3232" s="1" t="s">
        <v>6473</v>
      </c>
      <c r="I3232" s="1" t="s">
        <v>240</v>
      </c>
      <c r="J3232" s="4" t="s">
        <v>6474</v>
      </c>
      <c r="K3232" s="1" t="s">
        <v>611</v>
      </c>
      <c r="L3232" s="1" t="s">
        <v>6475</v>
      </c>
      <c r="M3232" s="1" t="s">
        <v>27</v>
      </c>
      <c r="N3232" s="1" t="s">
        <v>6476</v>
      </c>
      <c r="O3232" s="1" t="s">
        <v>550</v>
      </c>
      <c r="P3232" s="1" t="s">
        <v>401</v>
      </c>
      <c r="Q3232" s="63" t="s">
        <v>5260</v>
      </c>
      <c r="R3232" s="1" t="s">
        <v>555</v>
      </c>
      <c r="S3232" s="13" t="s">
        <v>28</v>
      </c>
      <c r="BA3232" s="11"/>
      <c r="BB3232" s="11"/>
    </row>
    <row r="3233" spans="1:62" ht="12" customHeight="1" x14ac:dyDescent="0.2">
      <c r="A3233" s="1" t="s">
        <v>6509</v>
      </c>
      <c r="B3233" s="1">
        <v>39</v>
      </c>
      <c r="C3233" s="1" t="s">
        <v>20</v>
      </c>
      <c r="D3233" s="1" t="s">
        <v>37</v>
      </c>
      <c r="E3233" s="1" t="s">
        <v>6510</v>
      </c>
      <c r="F3233" s="72">
        <v>41936</v>
      </c>
      <c r="G3233" s="1" t="s">
        <v>6511</v>
      </c>
      <c r="H3233" s="1" t="s">
        <v>6512</v>
      </c>
      <c r="I3233" s="1" t="s">
        <v>404</v>
      </c>
      <c r="J3233" s="4" t="s">
        <v>6513</v>
      </c>
      <c r="K3233" s="1" t="s">
        <v>6514</v>
      </c>
      <c r="L3233" s="1" t="s">
        <v>6515</v>
      </c>
      <c r="M3233" s="1" t="s">
        <v>6516</v>
      </c>
      <c r="N3233" s="1" t="s">
        <v>6517</v>
      </c>
      <c r="O3233" s="1" t="s">
        <v>400</v>
      </c>
      <c r="P3233" s="1" t="s">
        <v>401</v>
      </c>
      <c r="Q3233" s="63" t="s">
        <v>6518</v>
      </c>
      <c r="R3233" s="11" t="s">
        <v>964</v>
      </c>
      <c r="S3233" s="13" t="s">
        <v>28</v>
      </c>
      <c r="AW3233" s="70"/>
      <c r="AX3233" s="44"/>
      <c r="AY3233" s="44"/>
      <c r="AZ3233" s="44"/>
    </row>
    <row r="3234" spans="1:62" ht="12" customHeight="1" x14ac:dyDescent="0.15">
      <c r="A3234" s="1" t="s">
        <v>6497</v>
      </c>
      <c r="B3234" s="1">
        <v>23</v>
      </c>
      <c r="C3234" s="1" t="s">
        <v>20</v>
      </c>
      <c r="D3234" s="1" t="s">
        <v>48</v>
      </c>
      <c r="F3234" s="72">
        <v>41936</v>
      </c>
      <c r="G3234" s="1" t="s">
        <v>6498</v>
      </c>
      <c r="H3234" s="1" t="s">
        <v>561</v>
      </c>
      <c r="I3234" s="1" t="s">
        <v>123</v>
      </c>
      <c r="J3234" s="4" t="s">
        <v>6499</v>
      </c>
      <c r="K3234" s="1" t="s">
        <v>562</v>
      </c>
      <c r="L3234" s="1" t="s">
        <v>4732</v>
      </c>
      <c r="M3234" s="1" t="s">
        <v>27</v>
      </c>
      <c r="N3234" s="1" t="s">
        <v>6500</v>
      </c>
      <c r="O3234" s="1" t="s">
        <v>1010</v>
      </c>
      <c r="P3234" s="1" t="s">
        <v>401</v>
      </c>
      <c r="Q3234" s="6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3234" s="1" t="s">
        <v>100</v>
      </c>
      <c r="S3234" s="13" t="s">
        <v>28</v>
      </c>
    </row>
    <row r="3235" spans="1:62" ht="12" customHeight="1" x14ac:dyDescent="0.15">
      <c r="A3235" s="1" t="s">
        <v>6501</v>
      </c>
      <c r="B3235" s="1">
        <v>22</v>
      </c>
      <c r="C3235" s="1" t="s">
        <v>20</v>
      </c>
      <c r="D3235" s="1" t="s">
        <v>48</v>
      </c>
      <c r="E3235" s="1" t="s">
        <v>6502</v>
      </c>
      <c r="F3235" s="72">
        <v>41936</v>
      </c>
      <c r="G3235" s="1" t="s">
        <v>6503</v>
      </c>
      <c r="H3235" s="1" t="s">
        <v>6504</v>
      </c>
      <c r="I3235" s="1" t="s">
        <v>195</v>
      </c>
      <c r="J3235" s="4" t="s">
        <v>6505</v>
      </c>
      <c r="K3235" s="1" t="s">
        <v>6506</v>
      </c>
      <c r="L3235" s="1" t="s">
        <v>3085</v>
      </c>
      <c r="M3235" s="1" t="s">
        <v>27</v>
      </c>
      <c r="N3235" s="1" t="s">
        <v>6507</v>
      </c>
      <c r="O3235" s="1" t="s">
        <v>550</v>
      </c>
      <c r="P3235" s="1" t="s">
        <v>401</v>
      </c>
      <c r="Q3235" s="63" t="s">
        <v>6508</v>
      </c>
      <c r="R3235" s="1" t="s">
        <v>100</v>
      </c>
      <c r="S3235" s="13" t="s">
        <v>28</v>
      </c>
    </row>
    <row r="3236" spans="1:62" ht="12" customHeight="1" x14ac:dyDescent="0.15">
      <c r="A3236" s="1" t="s">
        <v>6519</v>
      </c>
      <c r="B3236" s="1">
        <v>34</v>
      </c>
      <c r="C3236" s="1" t="s">
        <v>20</v>
      </c>
      <c r="D3236" s="1" t="s">
        <v>37</v>
      </c>
      <c r="E3236" s="1" t="s">
        <v>6520</v>
      </c>
      <c r="F3236" s="72">
        <v>41936</v>
      </c>
      <c r="G3236" s="1" t="s">
        <v>6521</v>
      </c>
      <c r="H3236" s="1" t="s">
        <v>6522</v>
      </c>
      <c r="I3236" s="1" t="s">
        <v>62</v>
      </c>
      <c r="J3236" s="4" t="s">
        <v>6523</v>
      </c>
      <c r="K3236" s="1" t="s">
        <v>3891</v>
      </c>
      <c r="L3236" s="1" t="s">
        <v>6524</v>
      </c>
      <c r="M3236" s="1" t="s">
        <v>27</v>
      </c>
      <c r="N3236" s="1" t="s">
        <v>6525</v>
      </c>
      <c r="O3236" s="1" t="s">
        <v>550</v>
      </c>
      <c r="P3236" s="1" t="s">
        <v>401</v>
      </c>
      <c r="Q3236" s="63" t="s">
        <v>6526</v>
      </c>
      <c r="R3236" s="1" t="s">
        <v>100</v>
      </c>
      <c r="S3236" s="13" t="s">
        <v>28</v>
      </c>
    </row>
    <row r="3237" spans="1:62" ht="12" customHeight="1" x14ac:dyDescent="0.15">
      <c r="A3237" s="1" t="s">
        <v>6527</v>
      </c>
      <c r="B3237" s="1">
        <v>36</v>
      </c>
      <c r="C3237" s="1" t="s">
        <v>20</v>
      </c>
      <c r="D3237" s="1" t="s">
        <v>37</v>
      </c>
      <c r="E3237" s="1" t="s">
        <v>6528</v>
      </c>
      <c r="F3237" s="72">
        <v>41936</v>
      </c>
      <c r="G3237" s="1" t="s">
        <v>6529</v>
      </c>
      <c r="H3237" s="1" t="s">
        <v>6530</v>
      </c>
      <c r="I3237" s="1" t="s">
        <v>25</v>
      </c>
      <c r="J3237" s="4" t="s">
        <v>6531</v>
      </c>
      <c r="K3237" s="1" t="s">
        <v>6532</v>
      </c>
      <c r="L3237" s="1" t="s">
        <v>6533</v>
      </c>
      <c r="M3237" s="1" t="s">
        <v>27</v>
      </c>
      <c r="N3237" s="1" t="s">
        <v>6534</v>
      </c>
      <c r="O3237" s="1" t="s">
        <v>400</v>
      </c>
      <c r="P3237" s="1" t="s">
        <v>401</v>
      </c>
      <c r="Q3237" s="63" t="s">
        <v>6535</v>
      </c>
      <c r="R3237" s="1" t="s">
        <v>100</v>
      </c>
      <c r="S3237" s="13" t="s">
        <v>28</v>
      </c>
    </row>
    <row r="3238" spans="1:62" ht="12" customHeight="1" x14ac:dyDescent="0.15">
      <c r="A3238" s="1" t="s">
        <v>6493</v>
      </c>
      <c r="B3238" s="1">
        <v>38</v>
      </c>
      <c r="C3238" s="1" t="s">
        <v>20</v>
      </c>
      <c r="D3238" s="1" t="s">
        <v>85</v>
      </c>
      <c r="F3238" s="72">
        <v>41936</v>
      </c>
      <c r="G3238" s="1" t="s">
        <v>6494</v>
      </c>
      <c r="H3238" s="1" t="s">
        <v>5949</v>
      </c>
      <c r="I3238" s="1" t="s">
        <v>366</v>
      </c>
      <c r="J3238" s="4">
        <v>28314</v>
      </c>
      <c r="K3238" s="1" t="s">
        <v>3152</v>
      </c>
      <c r="L3238" s="1" t="s">
        <v>6495</v>
      </c>
      <c r="M3238" s="1" t="s">
        <v>27</v>
      </c>
      <c r="N3238" s="1" t="s">
        <v>6496</v>
      </c>
      <c r="P3238" s="1" t="s">
        <v>401</v>
      </c>
      <c r="Q3238" s="6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3238" s="1" t="s">
        <v>29</v>
      </c>
      <c r="S3238" s="13" t="s">
        <v>28</v>
      </c>
      <c r="AX3238" s="44"/>
      <c r="AY3238" s="44"/>
      <c r="BC3238" s="11"/>
      <c r="BD3238" s="11"/>
      <c r="BE3238" s="11"/>
      <c r="BF3238" s="11"/>
      <c r="BG3238" s="11"/>
      <c r="BH3238" s="11"/>
      <c r="BI3238" s="11"/>
      <c r="BJ3238" s="11"/>
    </row>
    <row r="3239" spans="1:62" ht="12" customHeight="1" x14ac:dyDescent="0.15">
      <c r="A3239" s="1" t="s">
        <v>6554</v>
      </c>
      <c r="B3239" s="1">
        <v>43</v>
      </c>
      <c r="C3239" s="1" t="s">
        <v>20</v>
      </c>
      <c r="D3239" s="1" t="s">
        <v>48</v>
      </c>
      <c r="E3239" s="1" t="s">
        <v>6555</v>
      </c>
      <c r="F3239" s="72">
        <v>41935</v>
      </c>
      <c r="G3239" s="1" t="s">
        <v>6556</v>
      </c>
      <c r="H3239" s="1" t="s">
        <v>6557</v>
      </c>
      <c r="I3239" s="1" t="s">
        <v>123</v>
      </c>
      <c r="J3239" s="4" t="s">
        <v>6558</v>
      </c>
      <c r="K3239" s="1" t="s">
        <v>633</v>
      </c>
      <c r="L3239" s="1" t="s">
        <v>6559</v>
      </c>
      <c r="M3239" s="1" t="s">
        <v>27</v>
      </c>
      <c r="N3239" s="1" t="s">
        <v>6560</v>
      </c>
      <c r="O3239" s="1" t="s">
        <v>1010</v>
      </c>
      <c r="P3239" s="1" t="s">
        <v>401</v>
      </c>
      <c r="Q3239" s="63" t="s">
        <v>6561</v>
      </c>
      <c r="R3239" s="11" t="s">
        <v>964</v>
      </c>
      <c r="S3239" s="13" t="s">
        <v>28</v>
      </c>
    </row>
    <row r="3240" spans="1:62" ht="12" customHeight="1" x14ac:dyDescent="0.15">
      <c r="A3240" s="1" t="s">
        <v>6542</v>
      </c>
      <c r="B3240" s="1">
        <v>38</v>
      </c>
      <c r="C3240" s="1" t="s">
        <v>20</v>
      </c>
      <c r="D3240" s="1" t="s">
        <v>85</v>
      </c>
      <c r="F3240" s="72">
        <v>41935</v>
      </c>
      <c r="G3240" s="1" t="s">
        <v>6543</v>
      </c>
      <c r="H3240" s="1" t="s">
        <v>6544</v>
      </c>
      <c r="I3240" s="1" t="s">
        <v>52</v>
      </c>
      <c r="J3240" s="4" t="s">
        <v>6545</v>
      </c>
      <c r="K3240" s="1" t="s">
        <v>6546</v>
      </c>
      <c r="L3240" s="1" t="s">
        <v>6547</v>
      </c>
      <c r="M3240" s="1" t="s">
        <v>27</v>
      </c>
      <c r="N3240" s="1" t="s">
        <v>6548</v>
      </c>
      <c r="O3240" s="1" t="s">
        <v>1010</v>
      </c>
      <c r="P3240" s="1" t="s">
        <v>401</v>
      </c>
      <c r="Q3240" s="63" t="s">
        <v>6549</v>
      </c>
      <c r="R3240" s="11" t="s">
        <v>964</v>
      </c>
      <c r="S3240" s="13" t="s">
        <v>18</v>
      </c>
      <c r="AX3240" s="44"/>
      <c r="AY3240" s="44"/>
      <c r="BC3240" s="11"/>
      <c r="BD3240" s="11"/>
      <c r="BE3240" s="11"/>
      <c r="BF3240" s="11"/>
      <c r="BG3240" s="11"/>
      <c r="BH3240" s="11"/>
      <c r="BI3240" s="11"/>
      <c r="BJ3240" s="11"/>
    </row>
    <row r="3241" spans="1:62" ht="12" customHeight="1" x14ac:dyDescent="0.15">
      <c r="A3241" s="1" t="s">
        <v>6550</v>
      </c>
      <c r="B3241" s="1">
        <v>32</v>
      </c>
      <c r="C3241" s="1" t="s">
        <v>20</v>
      </c>
      <c r="D3241" s="1" t="s">
        <v>85</v>
      </c>
      <c r="E3241" s="1" t="s">
        <v>6551</v>
      </c>
      <c r="F3241" s="72">
        <v>41935</v>
      </c>
      <c r="G3241" s="1" t="s">
        <v>6552</v>
      </c>
      <c r="H3241" s="1" t="s">
        <v>754</v>
      </c>
      <c r="I3241" s="1" t="s">
        <v>423</v>
      </c>
      <c r="J3241" s="4" t="s">
        <v>2674</v>
      </c>
      <c r="K3241" s="1" t="s">
        <v>2675</v>
      </c>
      <c r="L3241" s="1" t="s">
        <v>582</v>
      </c>
      <c r="M3241" s="1" t="s">
        <v>27</v>
      </c>
      <c r="N3241" s="1" t="s">
        <v>6553</v>
      </c>
      <c r="O3241" s="1" t="s">
        <v>1010</v>
      </c>
      <c r="P3241" s="1" t="s">
        <v>401</v>
      </c>
      <c r="Q3241" s="63" t="str">
        <f>HYPERLINK("http://www.nydailynews.com/new-york/nyc-crime/police-shoots-kills-man-ax-queens-article-1.1984914","http://www.nydailynews.com/new-york/nyc-crime/police-shoots-kills-man-ax-queens-article-1.1984914")</f>
        <v>http://www.nydailynews.com/new-york/nyc-crime/police-shoots-kills-man-ax-queens-article-1.1984914</v>
      </c>
      <c r="R3241" s="1" t="s">
        <v>100</v>
      </c>
      <c r="S3241" s="13" t="s">
        <v>28</v>
      </c>
      <c r="AX3241" s="44"/>
      <c r="AY3241" s="44"/>
      <c r="BC3241" s="11"/>
      <c r="BD3241" s="11"/>
      <c r="BE3241" s="11"/>
      <c r="BF3241" s="11"/>
      <c r="BG3241" s="11"/>
      <c r="BH3241" s="11"/>
      <c r="BI3241" s="11"/>
      <c r="BJ3241" s="11"/>
    </row>
    <row r="3242" spans="1:62" ht="12" customHeight="1" x14ac:dyDescent="0.15">
      <c r="A3242" s="1" t="s">
        <v>6562</v>
      </c>
      <c r="B3242" s="1">
        <v>25</v>
      </c>
      <c r="C3242" s="1" t="s">
        <v>20</v>
      </c>
      <c r="D3242" s="1" t="s">
        <v>48</v>
      </c>
      <c r="E3242" s="1" t="s">
        <v>6563</v>
      </c>
      <c r="F3242" s="72">
        <v>41935</v>
      </c>
      <c r="G3242" s="1" t="s">
        <v>6564</v>
      </c>
      <c r="H3242" s="1" t="s">
        <v>6565</v>
      </c>
      <c r="I3242" s="1" t="s">
        <v>46</v>
      </c>
      <c r="J3242" s="4" t="s">
        <v>6566</v>
      </c>
      <c r="K3242" s="1" t="s">
        <v>6567</v>
      </c>
      <c r="L3242" s="1" t="s">
        <v>6568</v>
      </c>
      <c r="M3242" s="1" t="s">
        <v>27</v>
      </c>
      <c r="N3242" s="1" t="s">
        <v>6569</v>
      </c>
      <c r="O3242" s="1" t="s">
        <v>1010</v>
      </c>
      <c r="P3242" s="1" t="s">
        <v>401</v>
      </c>
      <c r="Q3242" s="63" t="s">
        <v>6570</v>
      </c>
      <c r="R3242" s="1" t="s">
        <v>100</v>
      </c>
      <c r="S3242" s="13" t="s">
        <v>28</v>
      </c>
    </row>
    <row r="3243" spans="1:62" ht="12" customHeight="1" x14ac:dyDescent="0.2">
      <c r="A3243" s="1" t="s">
        <v>6536</v>
      </c>
      <c r="B3243" s="1">
        <v>25</v>
      </c>
      <c r="C3243" s="1" t="s">
        <v>20</v>
      </c>
      <c r="D3243" s="1" t="s">
        <v>21</v>
      </c>
      <c r="F3243" s="72">
        <v>41935</v>
      </c>
      <c r="G3243" s="1" t="s">
        <v>6537</v>
      </c>
      <c r="H3243" s="1" t="s">
        <v>6538</v>
      </c>
      <c r="I3243" s="1" t="s">
        <v>269</v>
      </c>
      <c r="J3243" s="4" t="s">
        <v>6539</v>
      </c>
      <c r="K3243" s="1" t="s">
        <v>570</v>
      </c>
      <c r="L3243" s="1" t="s">
        <v>957</v>
      </c>
      <c r="M3243" s="1" t="s">
        <v>27</v>
      </c>
      <c r="N3243" s="1" t="s">
        <v>6540</v>
      </c>
      <c r="O3243" s="1" t="s">
        <v>400</v>
      </c>
      <c r="P3243" s="1" t="s">
        <v>401</v>
      </c>
      <c r="Q3243" s="63" t="s">
        <v>6541</v>
      </c>
      <c r="R3243" s="1" t="s">
        <v>555</v>
      </c>
      <c r="S3243" s="13" t="s">
        <v>28</v>
      </c>
      <c r="AX3243" s="70"/>
      <c r="AY3243" s="70"/>
      <c r="BC3243" s="70"/>
      <c r="BD3243" s="70"/>
      <c r="BE3243" s="70"/>
      <c r="BF3243" s="70"/>
      <c r="BG3243" s="70"/>
      <c r="BH3243" s="70"/>
      <c r="BI3243" s="70"/>
      <c r="BJ3243" s="70"/>
    </row>
    <row r="3244" spans="1:62" ht="12" customHeight="1" x14ac:dyDescent="0.15">
      <c r="A3244" s="1" t="s">
        <v>6571</v>
      </c>
      <c r="B3244" s="1">
        <v>27</v>
      </c>
      <c r="C3244" s="1" t="s">
        <v>20</v>
      </c>
      <c r="D3244" s="1" t="s">
        <v>48</v>
      </c>
      <c r="E3244" s="1" t="s">
        <v>6572</v>
      </c>
      <c r="F3244" s="72">
        <v>41934</v>
      </c>
      <c r="G3244" s="1" t="s">
        <v>6573</v>
      </c>
      <c r="H3244" s="1" t="s">
        <v>1198</v>
      </c>
      <c r="I3244" s="1" t="s">
        <v>73</v>
      </c>
      <c r="J3244" s="4" t="s">
        <v>6574</v>
      </c>
      <c r="K3244" s="1" t="s">
        <v>1199</v>
      </c>
      <c r="L3244" s="1" t="s">
        <v>1200</v>
      </c>
      <c r="M3244" s="1" t="s">
        <v>27</v>
      </c>
      <c r="N3244" s="1" t="s">
        <v>6575</v>
      </c>
      <c r="O3244" s="1" t="s">
        <v>1010</v>
      </c>
      <c r="P3244" s="1" t="s">
        <v>401</v>
      </c>
      <c r="Q3244" s="63" t="s">
        <v>6576</v>
      </c>
      <c r="R3244" s="1" t="s">
        <v>100</v>
      </c>
      <c r="S3244" s="13" t="s">
        <v>28</v>
      </c>
    </row>
    <row r="3245" spans="1:62" ht="12" customHeight="1" x14ac:dyDescent="0.15">
      <c r="A3245" s="1" t="s">
        <v>6577</v>
      </c>
      <c r="B3245" s="1">
        <v>30</v>
      </c>
      <c r="C3245" s="1" t="s">
        <v>20</v>
      </c>
      <c r="D3245" s="1" t="s">
        <v>37</v>
      </c>
      <c r="F3245" s="72">
        <v>41934</v>
      </c>
      <c r="G3245" s="1" t="s">
        <v>6578</v>
      </c>
      <c r="H3245" s="1" t="s">
        <v>6579</v>
      </c>
      <c r="I3245" s="1" t="s">
        <v>44</v>
      </c>
      <c r="J3245" s="4" t="s">
        <v>6580</v>
      </c>
      <c r="K3245" s="1" t="s">
        <v>6581</v>
      </c>
      <c r="L3245" s="1" t="s">
        <v>6582</v>
      </c>
      <c r="M3245" s="1" t="s">
        <v>379</v>
      </c>
      <c r="N3245" s="1" t="s">
        <v>6583</v>
      </c>
      <c r="O3245" s="1" t="s">
        <v>1010</v>
      </c>
      <c r="P3245" s="1" t="s">
        <v>401</v>
      </c>
      <c r="Q3245" s="63" t="s">
        <v>6584</v>
      </c>
      <c r="R3245" s="1" t="s">
        <v>100</v>
      </c>
      <c r="S3245" s="66" t="s">
        <v>379</v>
      </c>
      <c r="T3245" s="66" t="s">
        <v>30738</v>
      </c>
    </row>
    <row r="3246" spans="1:62" ht="12" customHeight="1" x14ac:dyDescent="0.15">
      <c r="A3246" s="1" t="s">
        <v>6585</v>
      </c>
      <c r="B3246" s="1">
        <v>35</v>
      </c>
      <c r="C3246" s="1" t="s">
        <v>20</v>
      </c>
      <c r="D3246" s="1" t="s">
        <v>48</v>
      </c>
      <c r="F3246" s="72">
        <v>41933</v>
      </c>
      <c r="G3246" s="1" t="s">
        <v>6586</v>
      </c>
      <c r="H3246" s="1" t="s">
        <v>6587</v>
      </c>
      <c r="I3246" s="1" t="s">
        <v>240</v>
      </c>
      <c r="J3246" s="4" t="s">
        <v>6588</v>
      </c>
      <c r="K3246" s="1" t="s">
        <v>1447</v>
      </c>
      <c r="L3246" s="1" t="s">
        <v>6589</v>
      </c>
      <c r="M3246" s="1" t="s">
        <v>27</v>
      </c>
      <c r="N3246" s="1" t="s">
        <v>6590</v>
      </c>
      <c r="P3246" s="1" t="s">
        <v>401</v>
      </c>
      <c r="Q3246" s="63" t="s">
        <v>6591</v>
      </c>
      <c r="R3246" s="1" t="s">
        <v>555</v>
      </c>
      <c r="S3246" s="13" t="s">
        <v>35</v>
      </c>
      <c r="BA3246" s="11"/>
      <c r="BB3246" s="11"/>
    </row>
    <row r="3247" spans="1:62" ht="12" customHeight="1" x14ac:dyDescent="0.15">
      <c r="A3247" s="1" t="s">
        <v>6592</v>
      </c>
      <c r="B3247" s="1">
        <v>17</v>
      </c>
      <c r="C3247" s="1" t="s">
        <v>20</v>
      </c>
      <c r="D3247" s="1" t="s">
        <v>85</v>
      </c>
      <c r="F3247" s="72">
        <v>41932</v>
      </c>
      <c r="G3247" s="1" t="s">
        <v>6593</v>
      </c>
      <c r="H3247" s="1" t="s">
        <v>87</v>
      </c>
      <c r="I3247" s="1" t="s">
        <v>44</v>
      </c>
      <c r="J3247" s="4" t="s">
        <v>6594</v>
      </c>
      <c r="K3247" s="1" t="s">
        <v>88</v>
      </c>
      <c r="L3247" s="1" t="s">
        <v>89</v>
      </c>
      <c r="M3247" s="1" t="s">
        <v>27</v>
      </c>
      <c r="N3247" s="1" t="s">
        <v>6595</v>
      </c>
      <c r="O3247" s="11" t="s">
        <v>28373</v>
      </c>
      <c r="P3247" s="1" t="s">
        <v>1159</v>
      </c>
      <c r="Q3247" s="63" t="s">
        <v>6596</v>
      </c>
      <c r="R3247" s="1" t="s">
        <v>100</v>
      </c>
      <c r="S3247" s="13" t="s">
        <v>28</v>
      </c>
      <c r="AX3247" s="44"/>
      <c r="AY3247" s="44"/>
      <c r="BC3247" s="11"/>
      <c r="BD3247" s="11"/>
      <c r="BE3247" s="11"/>
      <c r="BF3247" s="11"/>
      <c r="BG3247" s="11"/>
      <c r="BH3247" s="11"/>
      <c r="BI3247" s="11"/>
      <c r="BJ3247" s="11"/>
    </row>
    <row r="3248" spans="1:62" ht="12" customHeight="1" x14ac:dyDescent="0.15">
      <c r="A3248" s="1" t="s">
        <v>6609</v>
      </c>
      <c r="B3248" s="1">
        <v>54</v>
      </c>
      <c r="C3248" s="1" t="s">
        <v>20</v>
      </c>
      <c r="D3248" s="1" t="s">
        <v>48</v>
      </c>
      <c r="F3248" s="72">
        <v>41932</v>
      </c>
      <c r="G3248" s="1" t="s">
        <v>6610</v>
      </c>
      <c r="H3248" s="1" t="s">
        <v>3052</v>
      </c>
      <c r="I3248" s="1" t="s">
        <v>62</v>
      </c>
      <c r="J3248" s="4" t="s">
        <v>6611</v>
      </c>
      <c r="K3248" s="1" t="s">
        <v>420</v>
      </c>
      <c r="L3248" s="1" t="s">
        <v>3054</v>
      </c>
      <c r="M3248" s="1" t="s">
        <v>27</v>
      </c>
      <c r="N3248" s="1" t="s">
        <v>6612</v>
      </c>
      <c r="O3248" s="1" t="s">
        <v>550</v>
      </c>
      <c r="P3248" s="1" t="s">
        <v>401</v>
      </c>
      <c r="Q3248" s="63" t="s">
        <v>6613</v>
      </c>
      <c r="R3248" s="1" t="s">
        <v>100</v>
      </c>
      <c r="S3248" s="13" t="s">
        <v>28</v>
      </c>
    </row>
    <row r="3249" spans="1:62" ht="12" customHeight="1" x14ac:dyDescent="0.15">
      <c r="A3249" s="1" t="s">
        <v>6597</v>
      </c>
      <c r="B3249" s="1">
        <v>29</v>
      </c>
      <c r="C3249" s="1" t="s">
        <v>20</v>
      </c>
      <c r="D3249" s="1" t="s">
        <v>48</v>
      </c>
      <c r="E3249" s="1" t="s">
        <v>6598</v>
      </c>
      <c r="F3249" s="72">
        <v>41932</v>
      </c>
      <c r="G3249" s="1" t="s">
        <v>6599</v>
      </c>
      <c r="H3249" s="1" t="s">
        <v>799</v>
      </c>
      <c r="I3249" s="1" t="s">
        <v>73</v>
      </c>
      <c r="J3249" s="4" t="s">
        <v>6600</v>
      </c>
      <c r="K3249" s="1" t="s">
        <v>800</v>
      </c>
      <c r="L3249" s="1" t="s">
        <v>6601</v>
      </c>
      <c r="M3249" s="1" t="s">
        <v>27</v>
      </c>
      <c r="N3249" s="1" t="s">
        <v>6602</v>
      </c>
      <c r="O3249" s="1" t="s">
        <v>550</v>
      </c>
      <c r="P3249" s="1" t="s">
        <v>401</v>
      </c>
      <c r="Q3249" s="63" t="s">
        <v>6603</v>
      </c>
      <c r="R3249" s="1" t="s">
        <v>100</v>
      </c>
      <c r="S3249" s="13" t="s">
        <v>28</v>
      </c>
    </row>
    <row r="3250" spans="1:62" ht="12" customHeight="1" x14ac:dyDescent="0.15">
      <c r="A3250" s="1" t="s">
        <v>6604</v>
      </c>
      <c r="B3250" s="1">
        <v>22</v>
      </c>
      <c r="C3250" s="1" t="s">
        <v>20</v>
      </c>
      <c r="D3250" s="1" t="s">
        <v>48</v>
      </c>
      <c r="F3250" s="72">
        <v>41932</v>
      </c>
      <c r="G3250" s="1" t="s">
        <v>6605</v>
      </c>
      <c r="H3250" s="1" t="s">
        <v>857</v>
      </c>
      <c r="I3250" s="1" t="s">
        <v>73</v>
      </c>
      <c r="J3250" s="4" t="s">
        <v>6606</v>
      </c>
      <c r="K3250" s="1" t="s">
        <v>857</v>
      </c>
      <c r="L3250" s="1" t="s">
        <v>858</v>
      </c>
      <c r="M3250" s="1" t="s">
        <v>27</v>
      </c>
      <c r="N3250" s="1" t="s">
        <v>6607</v>
      </c>
      <c r="O3250" s="1" t="s">
        <v>1010</v>
      </c>
      <c r="P3250" s="1" t="s">
        <v>401</v>
      </c>
      <c r="Q3250" s="63" t="s">
        <v>6608</v>
      </c>
      <c r="R3250" s="1" t="s">
        <v>100</v>
      </c>
      <c r="S3250" s="13" t="s">
        <v>28</v>
      </c>
    </row>
    <row r="3251" spans="1:62" ht="12" customHeight="1" x14ac:dyDescent="0.15">
      <c r="A3251" s="1" t="s">
        <v>6614</v>
      </c>
      <c r="B3251" s="1">
        <v>54</v>
      </c>
      <c r="C3251" s="1" t="s">
        <v>20</v>
      </c>
      <c r="D3251" s="1" t="s">
        <v>30</v>
      </c>
      <c r="F3251" s="72">
        <v>41932</v>
      </c>
      <c r="G3251" s="1" t="s">
        <v>6615</v>
      </c>
      <c r="H3251" s="1" t="s">
        <v>6616</v>
      </c>
      <c r="I3251" s="1" t="s">
        <v>244</v>
      </c>
      <c r="J3251" s="4" t="s">
        <v>6617</v>
      </c>
      <c r="K3251" s="1" t="s">
        <v>6616</v>
      </c>
      <c r="L3251" s="1" t="s">
        <v>6618</v>
      </c>
      <c r="M3251" s="1" t="s">
        <v>27</v>
      </c>
      <c r="N3251" s="1" t="s">
        <v>6619</v>
      </c>
      <c r="O3251" s="1" t="s">
        <v>1010</v>
      </c>
      <c r="P3251" s="1" t="s">
        <v>401</v>
      </c>
      <c r="Q3251" s="63" t="s">
        <v>6620</v>
      </c>
      <c r="R3251" s="1" t="s">
        <v>29</v>
      </c>
      <c r="S3251" s="13" t="s">
        <v>18</v>
      </c>
    </row>
    <row r="3252" spans="1:62" ht="12" customHeight="1" x14ac:dyDescent="0.15">
      <c r="A3252" s="1" t="s">
        <v>6628</v>
      </c>
      <c r="B3252" s="1">
        <v>22</v>
      </c>
      <c r="C3252" s="1" t="s">
        <v>20</v>
      </c>
      <c r="D3252" s="1" t="s">
        <v>85</v>
      </c>
      <c r="F3252" s="72">
        <v>41930</v>
      </c>
      <c r="G3252" s="1" t="s">
        <v>6629</v>
      </c>
      <c r="H3252" s="1" t="s">
        <v>216</v>
      </c>
      <c r="I3252" s="1" t="s">
        <v>217</v>
      </c>
      <c r="J3252" s="4" t="s">
        <v>6630</v>
      </c>
      <c r="K3252" s="1" t="s">
        <v>420</v>
      </c>
      <c r="L3252" s="1" t="s">
        <v>218</v>
      </c>
      <c r="M3252" s="1" t="s">
        <v>27</v>
      </c>
      <c r="N3252" s="1" t="s">
        <v>6631</v>
      </c>
      <c r="O3252" s="1" t="s">
        <v>1010</v>
      </c>
      <c r="P3252" s="1" t="s">
        <v>401</v>
      </c>
      <c r="Q3252" s="63" t="s">
        <v>6632</v>
      </c>
      <c r="R3252" s="1" t="s">
        <v>100</v>
      </c>
      <c r="S3252" s="13" t="s">
        <v>28</v>
      </c>
      <c r="AX3252" s="44"/>
      <c r="AY3252" s="44"/>
      <c r="BC3252" s="11"/>
      <c r="BD3252" s="11"/>
      <c r="BE3252" s="11"/>
      <c r="BF3252" s="11"/>
      <c r="BG3252" s="11"/>
      <c r="BH3252" s="11"/>
      <c r="BI3252" s="11"/>
      <c r="BJ3252" s="11"/>
    </row>
    <row r="3253" spans="1:62" ht="12" customHeight="1" x14ac:dyDescent="0.15">
      <c r="A3253" s="1" t="s">
        <v>6621</v>
      </c>
      <c r="B3253" s="1">
        <v>44</v>
      </c>
      <c r="C3253" s="1" t="s">
        <v>20</v>
      </c>
      <c r="D3253" s="1" t="s">
        <v>85</v>
      </c>
      <c r="F3253" s="72">
        <v>41930</v>
      </c>
      <c r="G3253" s="1" t="s">
        <v>6622</v>
      </c>
      <c r="H3253" s="1" t="s">
        <v>6623</v>
      </c>
      <c r="I3253" s="1" t="s">
        <v>69</v>
      </c>
      <c r="J3253" s="4" t="s">
        <v>6624</v>
      </c>
      <c r="K3253" s="1" t="s">
        <v>105</v>
      </c>
      <c r="L3253" s="1" t="s">
        <v>6625</v>
      </c>
      <c r="M3253" s="1" t="s">
        <v>27</v>
      </c>
      <c r="N3253" s="1" t="s">
        <v>6626</v>
      </c>
      <c r="P3253" s="1" t="s">
        <v>401</v>
      </c>
      <c r="Q3253" s="63" t="s">
        <v>6627</v>
      </c>
      <c r="R3253" s="1" t="s">
        <v>100</v>
      </c>
      <c r="S3253" s="13" t="s">
        <v>28</v>
      </c>
      <c r="AX3253" s="44"/>
      <c r="AY3253" s="44"/>
      <c r="BC3253" s="11"/>
      <c r="BD3253" s="11"/>
      <c r="BE3253" s="11"/>
      <c r="BF3253" s="11"/>
      <c r="BG3253" s="11"/>
      <c r="BH3253" s="11"/>
      <c r="BI3253" s="11"/>
      <c r="BJ3253" s="11"/>
    </row>
    <row r="3254" spans="1:62" ht="12" customHeight="1" x14ac:dyDescent="0.15">
      <c r="A3254" s="1" t="s">
        <v>6640</v>
      </c>
      <c r="B3254" s="1">
        <v>38</v>
      </c>
      <c r="C3254" s="1" t="s">
        <v>20</v>
      </c>
      <c r="D3254" s="1" t="s">
        <v>37</v>
      </c>
      <c r="E3254" s="1" t="s">
        <v>6641</v>
      </c>
      <c r="F3254" s="72">
        <v>41930</v>
      </c>
      <c r="G3254" s="1" t="s">
        <v>24469</v>
      </c>
      <c r="H3254" s="1" t="s">
        <v>6642</v>
      </c>
      <c r="I3254" s="1" t="s">
        <v>669</v>
      </c>
      <c r="J3254" s="4" t="s">
        <v>6643</v>
      </c>
      <c r="K3254" s="1" t="s">
        <v>1183</v>
      </c>
      <c r="L3254" s="1" t="s">
        <v>1184</v>
      </c>
      <c r="M3254" s="1" t="s">
        <v>27</v>
      </c>
      <c r="N3254" s="1" t="s">
        <v>6644</v>
      </c>
      <c r="O3254" s="1" t="s">
        <v>1010</v>
      </c>
      <c r="P3254" s="1" t="s">
        <v>401</v>
      </c>
      <c r="Q3254" s="63" t="s">
        <v>6645</v>
      </c>
      <c r="R3254" s="1" t="s">
        <v>100</v>
      </c>
      <c r="S3254" s="13" t="s">
        <v>28</v>
      </c>
    </row>
    <row r="3255" spans="1:62" ht="12" customHeight="1" x14ac:dyDescent="0.15">
      <c r="A3255" s="1" t="s">
        <v>6633</v>
      </c>
      <c r="B3255" s="1">
        <v>63</v>
      </c>
      <c r="C3255" s="1" t="s">
        <v>20</v>
      </c>
      <c r="D3255" s="1" t="s">
        <v>37</v>
      </c>
      <c r="E3255" s="1" t="s">
        <v>6634</v>
      </c>
      <c r="F3255" s="72">
        <v>41930</v>
      </c>
      <c r="G3255" s="1" t="s">
        <v>6635</v>
      </c>
      <c r="H3255" s="1" t="s">
        <v>6636</v>
      </c>
      <c r="I3255" s="1" t="s">
        <v>73</v>
      </c>
      <c r="J3255" s="4">
        <v>79404</v>
      </c>
      <c r="K3255" s="1" t="s">
        <v>6636</v>
      </c>
      <c r="L3255" s="1" t="s">
        <v>6637</v>
      </c>
      <c r="M3255" s="1" t="s">
        <v>2291</v>
      </c>
      <c r="N3255" s="1" t="s">
        <v>6638</v>
      </c>
      <c r="P3255" s="1" t="s">
        <v>401</v>
      </c>
      <c r="Q3255" s="63" t="s">
        <v>6639</v>
      </c>
      <c r="R3255" s="1" t="s">
        <v>29</v>
      </c>
      <c r="S3255" s="13" t="s">
        <v>18</v>
      </c>
    </row>
    <row r="3256" spans="1:62" ht="12" customHeight="1" x14ac:dyDescent="0.15">
      <c r="A3256" s="1" t="s">
        <v>6646</v>
      </c>
      <c r="B3256" s="1">
        <v>28</v>
      </c>
      <c r="C3256" s="1" t="s">
        <v>20</v>
      </c>
      <c r="D3256" s="1" t="s">
        <v>85</v>
      </c>
      <c r="E3256" s="1" t="s">
        <v>6647</v>
      </c>
      <c r="F3256" s="72">
        <v>41929</v>
      </c>
      <c r="G3256" s="1" t="s">
        <v>6648</v>
      </c>
      <c r="H3256" s="1" t="s">
        <v>6649</v>
      </c>
      <c r="I3256" s="1" t="s">
        <v>94</v>
      </c>
      <c r="J3256" s="4" t="s">
        <v>6650</v>
      </c>
      <c r="K3256" s="1" t="s">
        <v>1778</v>
      </c>
      <c r="L3256" s="1" t="s">
        <v>6651</v>
      </c>
      <c r="M3256" s="1" t="s">
        <v>27</v>
      </c>
      <c r="N3256" s="1" t="s">
        <v>6652</v>
      </c>
      <c r="O3256" s="1" t="s">
        <v>1010</v>
      </c>
      <c r="P3256" s="1" t="s">
        <v>401</v>
      </c>
      <c r="Q3256" s="63" t="s">
        <v>6653</v>
      </c>
      <c r="R3256" s="1" t="s">
        <v>100</v>
      </c>
      <c r="S3256" s="13" t="s">
        <v>18</v>
      </c>
      <c r="AU3256" s="11"/>
      <c r="AV3256" s="11"/>
      <c r="AX3256" s="44"/>
      <c r="AY3256" s="44"/>
      <c r="BC3256" s="11"/>
      <c r="BD3256" s="11"/>
      <c r="BE3256" s="11"/>
      <c r="BF3256" s="11"/>
      <c r="BG3256" s="11"/>
      <c r="BH3256" s="11"/>
      <c r="BI3256" s="11"/>
      <c r="BJ3256" s="11"/>
    </row>
    <row r="3257" spans="1:62" ht="12" customHeight="1" x14ac:dyDescent="0.2">
      <c r="A3257" s="1" t="s">
        <v>6654</v>
      </c>
      <c r="B3257" s="1">
        <v>75</v>
      </c>
      <c r="C3257" s="1" t="s">
        <v>20</v>
      </c>
      <c r="D3257" s="1" t="s">
        <v>37</v>
      </c>
      <c r="E3257" s="1" t="s">
        <v>6655</v>
      </c>
      <c r="F3257" s="72">
        <v>41929</v>
      </c>
      <c r="G3257" s="1" t="s">
        <v>6656</v>
      </c>
      <c r="H3257" s="1" t="s">
        <v>6657</v>
      </c>
      <c r="I3257" s="1" t="s">
        <v>978</v>
      </c>
      <c r="J3257" s="4" t="s">
        <v>6658</v>
      </c>
      <c r="K3257" s="1" t="s">
        <v>6659</v>
      </c>
      <c r="L3257" s="1" t="s">
        <v>6660</v>
      </c>
      <c r="M3257" s="1" t="s">
        <v>27</v>
      </c>
      <c r="N3257" s="1" t="s">
        <v>6661</v>
      </c>
      <c r="O3257" s="1" t="s">
        <v>400</v>
      </c>
      <c r="P3257" s="1" t="s">
        <v>401</v>
      </c>
      <c r="Q3257" s="63" t="s">
        <v>6662</v>
      </c>
      <c r="R3257" s="1" t="s">
        <v>29</v>
      </c>
      <c r="S3257" s="13" t="s">
        <v>28</v>
      </c>
      <c r="BA3257" s="70"/>
      <c r="BB3257" s="70"/>
    </row>
    <row r="3258" spans="1:62" ht="12" customHeight="1" x14ac:dyDescent="0.2">
      <c r="A3258" s="1" t="s">
        <v>6663</v>
      </c>
      <c r="B3258" s="1">
        <v>31</v>
      </c>
      <c r="C3258" s="1" t="s">
        <v>20</v>
      </c>
      <c r="D3258" s="1" t="s">
        <v>37</v>
      </c>
      <c r="E3258" s="1" t="s">
        <v>6664</v>
      </c>
      <c r="F3258" s="72">
        <v>41929</v>
      </c>
      <c r="G3258" s="1" t="s">
        <v>6665</v>
      </c>
      <c r="H3258" s="1" t="s">
        <v>5247</v>
      </c>
      <c r="I3258" s="1" t="s">
        <v>123</v>
      </c>
      <c r="J3258" s="4" t="s">
        <v>5248</v>
      </c>
      <c r="K3258" s="1" t="s">
        <v>633</v>
      </c>
      <c r="L3258" s="1" t="s">
        <v>6666</v>
      </c>
      <c r="M3258" s="1" t="s">
        <v>27</v>
      </c>
      <c r="N3258" s="1" t="s">
        <v>6667</v>
      </c>
      <c r="O3258" s="1" t="s">
        <v>400</v>
      </c>
      <c r="P3258" s="1" t="s">
        <v>401</v>
      </c>
      <c r="Q3258" s="63" t="s">
        <v>6668</v>
      </c>
      <c r="R3258" s="1" t="s">
        <v>29</v>
      </c>
      <c r="S3258" s="13" t="s">
        <v>35</v>
      </c>
      <c r="BA3258" s="70"/>
      <c r="BB3258" s="70"/>
    </row>
    <row r="3259" spans="1:62" ht="12" customHeight="1" x14ac:dyDescent="0.2">
      <c r="A3259" s="1" t="s">
        <v>6669</v>
      </c>
      <c r="B3259" s="1">
        <v>59</v>
      </c>
      <c r="C3259" s="1" t="s">
        <v>20</v>
      </c>
      <c r="D3259" s="1" t="s">
        <v>37</v>
      </c>
      <c r="E3259" s="1" t="s">
        <v>6670</v>
      </c>
      <c r="F3259" s="72">
        <v>41928</v>
      </c>
      <c r="G3259" s="1" t="s">
        <v>6671</v>
      </c>
      <c r="H3259" s="1" t="s">
        <v>6672</v>
      </c>
      <c r="I3259" s="1" t="s">
        <v>370</v>
      </c>
      <c r="J3259" s="4" t="s">
        <v>6673</v>
      </c>
      <c r="K3259" s="1" t="s">
        <v>6674</v>
      </c>
      <c r="L3259" s="1" t="s">
        <v>6675</v>
      </c>
      <c r="M3259" s="1" t="s">
        <v>27</v>
      </c>
      <c r="N3259" s="1" t="s">
        <v>6676</v>
      </c>
      <c r="O3259" s="1" t="s">
        <v>550</v>
      </c>
      <c r="P3259" s="1" t="s">
        <v>401</v>
      </c>
      <c r="Q3259" s="63" t="s">
        <v>6677</v>
      </c>
      <c r="R3259" s="1" t="s">
        <v>29</v>
      </c>
      <c r="S3259" s="13" t="s">
        <v>28</v>
      </c>
      <c r="BA3259" s="70"/>
      <c r="BB3259" s="70"/>
    </row>
    <row r="3260" spans="1:62" ht="12" customHeight="1" x14ac:dyDescent="0.15">
      <c r="A3260" s="1" t="s">
        <v>6678</v>
      </c>
      <c r="B3260" s="1">
        <v>36</v>
      </c>
      <c r="C3260" s="1" t="s">
        <v>20</v>
      </c>
      <c r="D3260" s="1" t="s">
        <v>48</v>
      </c>
      <c r="F3260" s="72">
        <v>41925</v>
      </c>
      <c r="G3260" s="1" t="s">
        <v>6679</v>
      </c>
      <c r="H3260" s="1" t="s">
        <v>6680</v>
      </c>
      <c r="I3260" s="1" t="s">
        <v>73</v>
      </c>
      <c r="J3260" s="4" t="s">
        <v>6681</v>
      </c>
      <c r="K3260" s="1" t="s">
        <v>6682</v>
      </c>
      <c r="L3260" s="1" t="s">
        <v>6683</v>
      </c>
      <c r="M3260" s="1" t="s">
        <v>27</v>
      </c>
      <c r="N3260" s="1" t="s">
        <v>6684</v>
      </c>
      <c r="O3260" s="1" t="s">
        <v>1010</v>
      </c>
      <c r="P3260" s="1" t="s">
        <v>401</v>
      </c>
      <c r="Q3260" s="63" t="s">
        <v>6685</v>
      </c>
      <c r="R3260" s="1" t="s">
        <v>100</v>
      </c>
      <c r="S3260" s="13" t="s">
        <v>28</v>
      </c>
    </row>
    <row r="3261" spans="1:62" ht="12" customHeight="1" x14ac:dyDescent="0.15">
      <c r="A3261" s="1" t="s">
        <v>6686</v>
      </c>
      <c r="B3261" s="1">
        <v>36</v>
      </c>
      <c r="C3261" s="1" t="s">
        <v>20</v>
      </c>
      <c r="D3261" s="1" t="s">
        <v>37</v>
      </c>
      <c r="F3261" s="72">
        <v>41925</v>
      </c>
      <c r="G3261" s="1" t="s">
        <v>6687</v>
      </c>
      <c r="H3261" s="1" t="s">
        <v>6688</v>
      </c>
      <c r="I3261" s="1" t="s">
        <v>395</v>
      </c>
      <c r="J3261" s="4" t="s">
        <v>6689</v>
      </c>
      <c r="K3261" s="1" t="s">
        <v>6690</v>
      </c>
      <c r="L3261" s="1" t="s">
        <v>6691</v>
      </c>
      <c r="M3261" s="1" t="s">
        <v>27</v>
      </c>
      <c r="N3261" s="1" t="s">
        <v>6692</v>
      </c>
      <c r="O3261" s="1" t="s">
        <v>550</v>
      </c>
      <c r="P3261" s="1" t="s">
        <v>401</v>
      </c>
      <c r="Q3261" s="63" t="s">
        <v>6693</v>
      </c>
      <c r="R3261" s="1" t="s">
        <v>100</v>
      </c>
      <c r="S3261" s="13" t="s">
        <v>28</v>
      </c>
    </row>
    <row r="3262" spans="1:62" ht="12" customHeight="1" x14ac:dyDescent="0.15">
      <c r="A3262" s="1" t="s">
        <v>6694</v>
      </c>
      <c r="B3262" s="1">
        <v>35</v>
      </c>
      <c r="C3262" s="1" t="s">
        <v>20</v>
      </c>
      <c r="D3262" s="1" t="s">
        <v>37</v>
      </c>
      <c r="E3262" s="1" t="s">
        <v>6695</v>
      </c>
      <c r="F3262" s="72">
        <v>41925</v>
      </c>
      <c r="G3262" s="1" t="s">
        <v>6696</v>
      </c>
      <c r="H3262" s="1" t="s">
        <v>420</v>
      </c>
      <c r="I3262" s="1" t="s">
        <v>73</v>
      </c>
      <c r="J3262" s="4" t="s">
        <v>6697</v>
      </c>
      <c r="K3262" s="1" t="s">
        <v>6698</v>
      </c>
      <c r="L3262" s="1" t="s">
        <v>5634</v>
      </c>
      <c r="M3262" s="1" t="s">
        <v>27</v>
      </c>
      <c r="N3262" s="1" t="s">
        <v>6699</v>
      </c>
      <c r="O3262" s="1" t="s">
        <v>1010</v>
      </c>
      <c r="P3262" s="1" t="s">
        <v>401</v>
      </c>
      <c r="Q3262" s="63" t="s">
        <v>6700</v>
      </c>
      <c r="R3262" s="1" t="s">
        <v>100</v>
      </c>
      <c r="S3262" s="13" t="s">
        <v>28</v>
      </c>
    </row>
    <row r="3263" spans="1:62" ht="12" customHeight="1" x14ac:dyDescent="0.15">
      <c r="A3263" s="1" t="s">
        <v>6706</v>
      </c>
      <c r="B3263" s="1">
        <v>20</v>
      </c>
      <c r="C3263" s="1" t="s">
        <v>20</v>
      </c>
      <c r="D3263" s="1" t="s">
        <v>85</v>
      </c>
      <c r="E3263" s="1" t="s">
        <v>6707</v>
      </c>
      <c r="F3263" s="72">
        <v>41924</v>
      </c>
      <c r="G3263" s="1" t="s">
        <v>6708</v>
      </c>
      <c r="H3263" s="1" t="s">
        <v>1567</v>
      </c>
      <c r="I3263" s="1" t="s">
        <v>62</v>
      </c>
      <c r="J3263" s="4" t="s">
        <v>6709</v>
      </c>
      <c r="K3263" s="1" t="s">
        <v>638</v>
      </c>
      <c r="L3263" s="1" t="s">
        <v>1569</v>
      </c>
      <c r="M3263" s="1" t="s">
        <v>27</v>
      </c>
      <c r="N3263" s="1" t="s">
        <v>6710</v>
      </c>
      <c r="O3263" s="1" t="s">
        <v>1010</v>
      </c>
      <c r="P3263" s="1" t="s">
        <v>401</v>
      </c>
      <c r="Q3263" s="63" t="s">
        <v>6711</v>
      </c>
      <c r="R3263" s="1" t="s">
        <v>100</v>
      </c>
      <c r="S3263" s="13" t="s">
        <v>28</v>
      </c>
      <c r="AX3263" s="44"/>
      <c r="AY3263" s="44"/>
      <c r="BC3263" s="11"/>
      <c r="BD3263" s="11"/>
      <c r="BE3263" s="11"/>
      <c r="BF3263" s="11"/>
      <c r="BG3263" s="11"/>
      <c r="BH3263" s="11"/>
      <c r="BI3263" s="11"/>
      <c r="BJ3263" s="11"/>
    </row>
    <row r="3264" spans="1:62" ht="12" customHeight="1" x14ac:dyDescent="0.15">
      <c r="A3264" s="1" t="s">
        <v>6721</v>
      </c>
      <c r="B3264" s="1">
        <v>52</v>
      </c>
      <c r="C3264" s="1" t="s">
        <v>20</v>
      </c>
      <c r="D3264" s="1" t="s">
        <v>37</v>
      </c>
      <c r="F3264" s="72">
        <v>41924</v>
      </c>
      <c r="G3264" s="1" t="s">
        <v>6722</v>
      </c>
      <c r="H3264" s="1" t="s">
        <v>6723</v>
      </c>
      <c r="I3264" s="1" t="s">
        <v>4371</v>
      </c>
      <c r="J3264" s="4" t="s">
        <v>6724</v>
      </c>
      <c r="K3264" s="1" t="s">
        <v>4373</v>
      </c>
      <c r="L3264" s="1" t="s">
        <v>4374</v>
      </c>
      <c r="M3264" s="1" t="s">
        <v>27</v>
      </c>
      <c r="N3264" s="1" t="s">
        <v>6725</v>
      </c>
      <c r="O3264" s="1" t="s">
        <v>1010</v>
      </c>
      <c r="P3264" s="1" t="s">
        <v>401</v>
      </c>
      <c r="Q3264" s="63" t="s">
        <v>6726</v>
      </c>
      <c r="R3264" s="1" t="s">
        <v>100</v>
      </c>
      <c r="S3264" s="13" t="s">
        <v>28</v>
      </c>
    </row>
    <row r="3265" spans="1:63" ht="12" customHeight="1" x14ac:dyDescent="0.15">
      <c r="A3265" s="1" t="s">
        <v>6712</v>
      </c>
      <c r="B3265" s="1">
        <v>27</v>
      </c>
      <c r="C3265" s="1" t="s">
        <v>20</v>
      </c>
      <c r="D3265" s="1" t="s">
        <v>48</v>
      </c>
      <c r="E3265" s="1" t="s">
        <v>6713</v>
      </c>
      <c r="F3265" s="72">
        <v>41924</v>
      </c>
      <c r="G3265" s="1" t="s">
        <v>6714</v>
      </c>
      <c r="H3265" s="1" t="s">
        <v>6715</v>
      </c>
      <c r="I3265" s="1" t="s">
        <v>209</v>
      </c>
      <c r="J3265" s="4" t="s">
        <v>6716</v>
      </c>
      <c r="K3265" s="1" t="s">
        <v>6717</v>
      </c>
      <c r="L3265" s="1" t="s">
        <v>6718</v>
      </c>
      <c r="M3265" s="1" t="s">
        <v>27</v>
      </c>
      <c r="N3265" s="1" t="s">
        <v>6719</v>
      </c>
      <c r="O3265" s="1" t="s">
        <v>29623</v>
      </c>
      <c r="P3265" s="1" t="s">
        <v>29624</v>
      </c>
      <c r="Q3265" s="63" t="s">
        <v>6720</v>
      </c>
      <c r="R3265" s="1" t="s">
        <v>100</v>
      </c>
      <c r="S3265" s="13" t="s">
        <v>18</v>
      </c>
    </row>
    <row r="3266" spans="1:63" ht="12" customHeight="1" x14ac:dyDescent="0.15">
      <c r="A3266" s="1" t="s">
        <v>6701</v>
      </c>
      <c r="B3266" s="1">
        <v>25</v>
      </c>
      <c r="C3266" s="1" t="s">
        <v>20</v>
      </c>
      <c r="D3266" s="1" t="s">
        <v>85</v>
      </c>
      <c r="F3266" s="72">
        <v>41924</v>
      </c>
      <c r="G3266" s="1" t="s">
        <v>6702</v>
      </c>
      <c r="H3266" s="1" t="s">
        <v>87</v>
      </c>
      <c r="I3266" s="1" t="s">
        <v>44</v>
      </c>
      <c r="J3266" s="4" t="s">
        <v>6703</v>
      </c>
      <c r="K3266" s="1" t="s">
        <v>88</v>
      </c>
      <c r="L3266" s="1" t="s">
        <v>89</v>
      </c>
      <c r="M3266" s="1" t="s">
        <v>27</v>
      </c>
      <c r="N3266" s="1" t="s">
        <v>6704</v>
      </c>
      <c r="O3266" s="1" t="s">
        <v>1010</v>
      </c>
      <c r="P3266" s="1" t="s">
        <v>401</v>
      </c>
      <c r="Q3266" s="63" t="s">
        <v>6705</v>
      </c>
      <c r="R3266" s="1" t="s">
        <v>100</v>
      </c>
      <c r="S3266" s="13" t="s">
        <v>35</v>
      </c>
      <c r="AX3266" s="44"/>
      <c r="AY3266" s="44"/>
      <c r="BC3266" s="11"/>
      <c r="BD3266" s="11"/>
      <c r="BE3266" s="11"/>
      <c r="BF3266" s="11"/>
      <c r="BG3266" s="11"/>
      <c r="BH3266" s="11"/>
      <c r="BI3266" s="11"/>
      <c r="BJ3266" s="11"/>
    </row>
    <row r="3267" spans="1:63" ht="12" customHeight="1" x14ac:dyDescent="0.15">
      <c r="A3267" s="1" t="s">
        <v>6735</v>
      </c>
      <c r="B3267" s="1">
        <v>63</v>
      </c>
      <c r="C3267" s="1" t="s">
        <v>20</v>
      </c>
      <c r="D3267" s="1" t="s">
        <v>37</v>
      </c>
      <c r="E3267" s="1" t="s">
        <v>6728</v>
      </c>
      <c r="F3267" s="72">
        <v>41924</v>
      </c>
      <c r="G3267" s="1" t="s">
        <v>6729</v>
      </c>
      <c r="H3267" s="1" t="s">
        <v>6730</v>
      </c>
      <c r="I3267" s="1" t="s">
        <v>319</v>
      </c>
      <c r="J3267" s="4" t="s">
        <v>6731</v>
      </c>
      <c r="K3267" s="1" t="s">
        <v>1193</v>
      </c>
      <c r="L3267" s="1" t="s">
        <v>6732</v>
      </c>
      <c r="M3267" s="1" t="s">
        <v>379</v>
      </c>
      <c r="N3267" s="1" t="s">
        <v>6736</v>
      </c>
      <c r="O3267" s="1" t="s">
        <v>1010</v>
      </c>
      <c r="P3267" s="1" t="s">
        <v>401</v>
      </c>
      <c r="Q3267" s="63" t="s">
        <v>6734</v>
      </c>
      <c r="R3267" s="1" t="s">
        <v>100</v>
      </c>
      <c r="S3267" s="66" t="s">
        <v>379</v>
      </c>
      <c r="T3267" s="66" t="s">
        <v>30738</v>
      </c>
    </row>
    <row r="3268" spans="1:63" ht="12" customHeight="1" x14ac:dyDescent="0.15">
      <c r="A3268" s="1" t="s">
        <v>6727</v>
      </c>
      <c r="B3268" s="1">
        <v>49</v>
      </c>
      <c r="C3268" s="1" t="s">
        <v>114</v>
      </c>
      <c r="D3268" s="1" t="s">
        <v>37</v>
      </c>
      <c r="E3268" s="1" t="s">
        <v>6728</v>
      </c>
      <c r="F3268" s="72">
        <v>41924</v>
      </c>
      <c r="G3268" s="1" t="s">
        <v>6729</v>
      </c>
      <c r="H3268" s="1" t="s">
        <v>6730</v>
      </c>
      <c r="I3268" s="1" t="s">
        <v>319</v>
      </c>
      <c r="J3268" s="4" t="s">
        <v>6731</v>
      </c>
      <c r="K3268" s="1" t="s">
        <v>1193</v>
      </c>
      <c r="L3268" s="1" t="s">
        <v>6732</v>
      </c>
      <c r="M3268" s="1" t="s">
        <v>379</v>
      </c>
      <c r="N3268" s="1" t="s">
        <v>6733</v>
      </c>
      <c r="O3268" s="1" t="s">
        <v>1010</v>
      </c>
      <c r="P3268" s="1" t="s">
        <v>401</v>
      </c>
      <c r="Q3268" s="63" t="s">
        <v>6734</v>
      </c>
      <c r="R3268" s="1" t="s">
        <v>100</v>
      </c>
      <c r="S3268" s="66" t="s">
        <v>379</v>
      </c>
      <c r="T3268" s="66" t="s">
        <v>30738</v>
      </c>
    </row>
    <row r="3269" spans="1:63" ht="12" customHeight="1" x14ac:dyDescent="0.15">
      <c r="A3269" s="1" t="s">
        <v>6750</v>
      </c>
      <c r="B3269" s="1">
        <v>33</v>
      </c>
      <c r="C3269" s="1" t="s">
        <v>20</v>
      </c>
      <c r="D3269" s="1" t="s">
        <v>37</v>
      </c>
      <c r="F3269" s="72">
        <v>41923</v>
      </c>
      <c r="G3269" s="1" t="s">
        <v>6751</v>
      </c>
      <c r="H3269" s="1" t="s">
        <v>926</v>
      </c>
      <c r="I3269" s="1" t="s">
        <v>73</v>
      </c>
      <c r="J3269" s="4" t="s">
        <v>6752</v>
      </c>
      <c r="K3269" s="1" t="s">
        <v>74</v>
      </c>
      <c r="L3269" s="1" t="s">
        <v>927</v>
      </c>
      <c r="M3269" s="1" t="s">
        <v>27</v>
      </c>
      <c r="N3269" s="1" t="s">
        <v>6753</v>
      </c>
      <c r="O3269" s="1" t="s">
        <v>1010</v>
      </c>
      <c r="P3269" s="1" t="s">
        <v>401</v>
      </c>
      <c r="Q3269" s="63" t="s">
        <v>6754</v>
      </c>
      <c r="R3269" s="1" t="s">
        <v>100</v>
      </c>
      <c r="S3269" s="13" t="s">
        <v>28</v>
      </c>
    </row>
    <row r="3270" spans="1:63" ht="12" customHeight="1" x14ac:dyDescent="0.15">
      <c r="A3270" s="1" t="s">
        <v>6737</v>
      </c>
      <c r="B3270" s="1">
        <v>51</v>
      </c>
      <c r="C3270" s="1" t="s">
        <v>20</v>
      </c>
      <c r="D3270" s="1" t="s">
        <v>85</v>
      </c>
      <c r="E3270" s="1" t="s">
        <v>6738</v>
      </c>
      <c r="F3270" s="72">
        <v>41923</v>
      </c>
      <c r="G3270" s="1" t="s">
        <v>6739</v>
      </c>
      <c r="H3270" s="1" t="s">
        <v>6740</v>
      </c>
      <c r="I3270" s="1" t="s">
        <v>32</v>
      </c>
      <c r="J3270" s="4" t="s">
        <v>6741</v>
      </c>
      <c r="K3270" s="1" t="s">
        <v>2216</v>
      </c>
      <c r="L3270" s="1" t="s">
        <v>6742</v>
      </c>
      <c r="M3270" s="1" t="s">
        <v>27</v>
      </c>
      <c r="N3270" s="1" t="s">
        <v>6743</v>
      </c>
      <c r="O3270" s="1" t="s">
        <v>1010</v>
      </c>
      <c r="P3270" s="1" t="s">
        <v>401</v>
      </c>
      <c r="Q3270" s="63" t="s">
        <v>6744</v>
      </c>
      <c r="R3270" s="1" t="s">
        <v>555</v>
      </c>
      <c r="S3270" s="13" t="s">
        <v>28</v>
      </c>
      <c r="AX3270" s="44"/>
      <c r="AY3270" s="44"/>
      <c r="BC3270" s="11"/>
      <c r="BD3270" s="11"/>
      <c r="BE3270" s="11"/>
      <c r="BF3270" s="11"/>
      <c r="BG3270" s="11"/>
      <c r="BH3270" s="11"/>
      <c r="BI3270" s="11"/>
      <c r="BJ3270" s="11"/>
    </row>
    <row r="3271" spans="1:63" ht="12" customHeight="1" x14ac:dyDescent="0.15">
      <c r="A3271" s="1" t="s">
        <v>6745</v>
      </c>
      <c r="B3271" s="1">
        <v>40</v>
      </c>
      <c r="C3271" s="1" t="s">
        <v>20</v>
      </c>
      <c r="D3271" s="1" t="s">
        <v>30</v>
      </c>
      <c r="F3271" s="72">
        <v>41923</v>
      </c>
      <c r="G3271" s="1" t="s">
        <v>6746</v>
      </c>
      <c r="H3271" s="1" t="s">
        <v>430</v>
      </c>
      <c r="I3271" s="1" t="s">
        <v>431</v>
      </c>
      <c r="J3271" s="4" t="s">
        <v>6747</v>
      </c>
      <c r="K3271" s="1" t="s">
        <v>3395</v>
      </c>
      <c r="L3271" s="1" t="s">
        <v>434</v>
      </c>
      <c r="M3271" s="1" t="s">
        <v>27</v>
      </c>
      <c r="N3271" s="1" t="s">
        <v>6748</v>
      </c>
      <c r="O3271" s="1" t="s">
        <v>400</v>
      </c>
      <c r="P3271" s="1" t="s">
        <v>401</v>
      </c>
      <c r="Q3271" s="63" t="s">
        <v>6749</v>
      </c>
      <c r="R3271" s="1" t="s">
        <v>555</v>
      </c>
      <c r="S3271" s="13" t="s">
        <v>28</v>
      </c>
      <c r="BA3271" s="11"/>
      <c r="BB3271" s="11"/>
    </row>
    <row r="3272" spans="1:63" ht="12" customHeight="1" x14ac:dyDescent="0.15">
      <c r="A3272" s="1" t="s">
        <v>6760</v>
      </c>
      <c r="B3272" s="1">
        <v>20</v>
      </c>
      <c r="C3272" s="1" t="s">
        <v>20</v>
      </c>
      <c r="D3272" s="1" t="s">
        <v>85</v>
      </c>
      <c r="E3272" s="1" t="s">
        <v>6761</v>
      </c>
      <c r="F3272" s="72">
        <v>41922</v>
      </c>
      <c r="G3272" s="1" t="s">
        <v>6757</v>
      </c>
      <c r="H3272" s="1" t="s">
        <v>1287</v>
      </c>
      <c r="I3272" s="1" t="s">
        <v>69</v>
      </c>
      <c r="J3272" s="4" t="s">
        <v>4608</v>
      </c>
      <c r="K3272" s="1" t="s">
        <v>1288</v>
      </c>
      <c r="L3272" s="1" t="s">
        <v>12562</v>
      </c>
      <c r="M3272" s="1" t="s">
        <v>27</v>
      </c>
      <c r="N3272" s="1" t="s">
        <v>6762</v>
      </c>
      <c r="O3272" s="1" t="s">
        <v>1010</v>
      </c>
      <c r="P3272" s="1" t="s">
        <v>401</v>
      </c>
      <c r="Q3272" s="63" t="s">
        <v>6759</v>
      </c>
      <c r="R3272" s="1" t="s">
        <v>100</v>
      </c>
      <c r="S3272" s="13" t="s">
        <v>28</v>
      </c>
      <c r="AX3272" s="44"/>
      <c r="AY3272" s="44"/>
      <c r="BC3272" s="11"/>
      <c r="BD3272" s="11"/>
      <c r="BE3272" s="11"/>
      <c r="BF3272" s="11"/>
      <c r="BG3272" s="11"/>
      <c r="BH3272" s="11"/>
      <c r="BI3272" s="11"/>
      <c r="BJ3272" s="11"/>
    </row>
    <row r="3273" spans="1:63" ht="12" customHeight="1" x14ac:dyDescent="0.15">
      <c r="A3273" s="1" t="s">
        <v>6755</v>
      </c>
      <c r="B3273" s="1">
        <v>18</v>
      </c>
      <c r="C3273" s="1" t="s">
        <v>20</v>
      </c>
      <c r="D3273" s="1" t="s">
        <v>85</v>
      </c>
      <c r="E3273" s="1" t="s">
        <v>6756</v>
      </c>
      <c r="F3273" s="72">
        <v>41922</v>
      </c>
      <c r="G3273" s="1" t="s">
        <v>6757</v>
      </c>
      <c r="H3273" s="1" t="s">
        <v>1287</v>
      </c>
      <c r="I3273" s="1" t="s">
        <v>69</v>
      </c>
      <c r="J3273" s="4" t="s">
        <v>4608</v>
      </c>
      <c r="K3273" s="1" t="s">
        <v>1288</v>
      </c>
      <c r="L3273" s="1" t="s">
        <v>12562</v>
      </c>
      <c r="M3273" s="1" t="s">
        <v>27</v>
      </c>
      <c r="N3273" s="1" t="s">
        <v>6758</v>
      </c>
      <c r="O3273" s="1" t="s">
        <v>1010</v>
      </c>
      <c r="P3273" s="1" t="s">
        <v>401</v>
      </c>
      <c r="Q3273" s="63" t="s">
        <v>6759</v>
      </c>
      <c r="R3273" s="1" t="s">
        <v>100</v>
      </c>
      <c r="S3273" s="13" t="s">
        <v>28</v>
      </c>
      <c r="AX3273" s="44"/>
      <c r="AY3273" s="44"/>
      <c r="BC3273" s="11"/>
      <c r="BD3273" s="11"/>
      <c r="BE3273" s="11"/>
      <c r="BF3273" s="11"/>
      <c r="BG3273" s="11"/>
      <c r="BH3273" s="11"/>
      <c r="BI3273" s="11"/>
      <c r="BJ3273" s="11"/>
    </row>
    <row r="3274" spans="1:63" ht="12" customHeight="1" x14ac:dyDescent="0.15">
      <c r="A3274" s="1" t="s">
        <v>6763</v>
      </c>
      <c r="B3274" s="1">
        <v>40</v>
      </c>
      <c r="C3274" s="1" t="s">
        <v>20</v>
      </c>
      <c r="D3274" s="1" t="s">
        <v>37</v>
      </c>
      <c r="E3274" s="1" t="s">
        <v>6764</v>
      </c>
      <c r="F3274" s="72">
        <v>41922</v>
      </c>
      <c r="G3274" s="1" t="s">
        <v>6765</v>
      </c>
      <c r="H3274" s="1" t="s">
        <v>561</v>
      </c>
      <c r="I3274" s="1" t="s">
        <v>123</v>
      </c>
      <c r="J3274" s="4" t="s">
        <v>6766</v>
      </c>
      <c r="K3274" s="1" t="s">
        <v>562</v>
      </c>
      <c r="L3274" s="1" t="s">
        <v>6767</v>
      </c>
      <c r="M3274" s="1" t="s">
        <v>27</v>
      </c>
      <c r="N3274" s="1" t="s">
        <v>6768</v>
      </c>
      <c r="O3274" s="1" t="s">
        <v>1010</v>
      </c>
      <c r="P3274" s="1" t="s">
        <v>401</v>
      </c>
      <c r="Q3274" s="63" t="s">
        <v>6769</v>
      </c>
      <c r="R3274" s="1" t="s">
        <v>100</v>
      </c>
      <c r="S3274" s="13" t="s">
        <v>28</v>
      </c>
    </row>
    <row r="3275" spans="1:63" ht="12" customHeight="1" x14ac:dyDescent="0.15">
      <c r="A3275" s="1" t="s">
        <v>6770</v>
      </c>
      <c r="B3275" s="1">
        <v>39</v>
      </c>
      <c r="C3275" s="1" t="s">
        <v>20</v>
      </c>
      <c r="D3275" s="1" t="s">
        <v>85</v>
      </c>
      <c r="E3275" s="1" t="s">
        <v>6771</v>
      </c>
      <c r="F3275" s="72">
        <v>41921</v>
      </c>
      <c r="G3275" s="1" t="s">
        <v>6772</v>
      </c>
      <c r="H3275" s="1" t="s">
        <v>1034</v>
      </c>
      <c r="I3275" s="1" t="s">
        <v>173</v>
      </c>
      <c r="J3275" s="4" t="s">
        <v>6773</v>
      </c>
      <c r="K3275" s="1" t="s">
        <v>1304</v>
      </c>
      <c r="L3275" s="1" t="s">
        <v>862</v>
      </c>
      <c r="M3275" s="1" t="s">
        <v>27</v>
      </c>
      <c r="N3275" s="1" t="s">
        <v>6774</v>
      </c>
      <c r="O3275" s="1" t="s">
        <v>1010</v>
      </c>
      <c r="P3275" s="1" t="s">
        <v>401</v>
      </c>
      <c r="Q3275" s="63" t="s">
        <v>6775</v>
      </c>
      <c r="R3275" s="1" t="s">
        <v>100</v>
      </c>
      <c r="S3275" s="13" t="s">
        <v>28</v>
      </c>
      <c r="AX3275" s="44"/>
      <c r="AY3275" s="44"/>
      <c r="BC3275" s="11"/>
      <c r="BD3275" s="11"/>
      <c r="BE3275" s="11"/>
      <c r="BF3275" s="11"/>
      <c r="BG3275" s="11"/>
      <c r="BH3275" s="11"/>
      <c r="BI3275" s="11"/>
      <c r="BJ3275" s="11"/>
    </row>
    <row r="3276" spans="1:63" ht="12" customHeight="1" x14ac:dyDescent="0.15">
      <c r="A3276" s="1" t="s">
        <v>6776</v>
      </c>
      <c r="B3276" s="1">
        <v>51</v>
      </c>
      <c r="C3276" s="1" t="s">
        <v>20</v>
      </c>
      <c r="D3276" s="1" t="s">
        <v>37</v>
      </c>
      <c r="E3276" s="1" t="s">
        <v>6777</v>
      </c>
      <c r="F3276" s="72">
        <v>41921</v>
      </c>
      <c r="G3276" s="1" t="s">
        <v>6778</v>
      </c>
      <c r="H3276" s="1" t="s">
        <v>6779</v>
      </c>
      <c r="I3276" s="1" t="s">
        <v>133</v>
      </c>
      <c r="J3276" s="4" t="s">
        <v>6780</v>
      </c>
      <c r="K3276" s="1" t="s">
        <v>1072</v>
      </c>
      <c r="L3276" s="1" t="s">
        <v>6781</v>
      </c>
      <c r="M3276" s="1" t="s">
        <v>27</v>
      </c>
      <c r="N3276" s="1" t="s">
        <v>6782</v>
      </c>
      <c r="O3276" s="1" t="s">
        <v>400</v>
      </c>
      <c r="P3276" s="1" t="s">
        <v>401</v>
      </c>
      <c r="Q3276" s="63" t="s">
        <v>6783</v>
      </c>
      <c r="R3276" s="1" t="s">
        <v>100</v>
      </c>
      <c r="S3276" s="13" t="s">
        <v>28</v>
      </c>
    </row>
    <row r="3277" spans="1:63" ht="12" customHeight="1" x14ac:dyDescent="0.15">
      <c r="A3277" s="1" t="s">
        <v>6802</v>
      </c>
      <c r="B3277" s="1">
        <v>35</v>
      </c>
      <c r="C3277" s="1" t="s">
        <v>20</v>
      </c>
      <c r="D3277" s="1" t="s">
        <v>37</v>
      </c>
      <c r="E3277" s="1" t="s">
        <v>6803</v>
      </c>
      <c r="F3277" s="72">
        <v>41920</v>
      </c>
      <c r="G3277" s="1" t="s">
        <v>6804</v>
      </c>
      <c r="H3277" s="1" t="s">
        <v>2487</v>
      </c>
      <c r="I3277" s="1" t="s">
        <v>395</v>
      </c>
      <c r="J3277" s="4" t="s">
        <v>6805</v>
      </c>
      <c r="K3277" s="1" t="s">
        <v>2487</v>
      </c>
      <c r="L3277" s="1" t="s">
        <v>3379</v>
      </c>
      <c r="M3277" s="1" t="s">
        <v>27</v>
      </c>
      <c r="N3277" s="1" t="s">
        <v>6806</v>
      </c>
      <c r="O3277" s="1" t="s">
        <v>1010</v>
      </c>
      <c r="P3277" s="1" t="s">
        <v>401</v>
      </c>
      <c r="Q3277" s="63" t="s">
        <v>6807</v>
      </c>
      <c r="R3277" s="1" t="s">
        <v>100</v>
      </c>
      <c r="S3277" s="13" t="s">
        <v>28</v>
      </c>
    </row>
    <row r="3278" spans="1:63" ht="12" customHeight="1" x14ac:dyDescent="0.15">
      <c r="A3278" s="1" t="s">
        <v>6784</v>
      </c>
      <c r="B3278" s="1">
        <v>18</v>
      </c>
      <c r="C3278" s="1" t="s">
        <v>20</v>
      </c>
      <c r="D3278" s="1" t="s">
        <v>85</v>
      </c>
      <c r="E3278" s="1" t="s">
        <v>6785</v>
      </c>
      <c r="F3278" s="72">
        <v>41920</v>
      </c>
      <c r="G3278" s="1" t="s">
        <v>6786</v>
      </c>
      <c r="H3278" s="1" t="s">
        <v>709</v>
      </c>
      <c r="I3278" s="1" t="s">
        <v>431</v>
      </c>
      <c r="J3278" s="4" t="s">
        <v>6787</v>
      </c>
      <c r="K3278" s="1" t="s">
        <v>709</v>
      </c>
      <c r="L3278" s="1" t="s">
        <v>4516</v>
      </c>
      <c r="M3278" s="1" t="s">
        <v>27</v>
      </c>
      <c r="N3278" s="1" t="s">
        <v>6788</v>
      </c>
      <c r="O3278" s="1" t="s">
        <v>550</v>
      </c>
      <c r="P3278" s="1" t="s">
        <v>401</v>
      </c>
      <c r="Q3278" s="63" t="s">
        <v>6789</v>
      </c>
      <c r="R3278" s="1" t="s">
        <v>100</v>
      </c>
      <c r="S3278" s="13" t="s">
        <v>35</v>
      </c>
      <c r="AX3278" s="44"/>
      <c r="AY3278" s="44"/>
      <c r="BC3278" s="11"/>
      <c r="BD3278" s="11"/>
      <c r="BE3278" s="11"/>
      <c r="BF3278" s="11"/>
      <c r="BG3278" s="11"/>
      <c r="BH3278" s="11"/>
      <c r="BI3278" s="11"/>
      <c r="BJ3278" s="11"/>
    </row>
    <row r="3279" spans="1:63" ht="12" customHeight="1" x14ac:dyDescent="0.15">
      <c r="A3279" s="1" t="s">
        <v>6790</v>
      </c>
      <c r="B3279" s="1">
        <v>20</v>
      </c>
      <c r="C3279" s="1" t="s">
        <v>20</v>
      </c>
      <c r="D3279" s="1" t="s">
        <v>48</v>
      </c>
      <c r="F3279" s="72">
        <v>41920</v>
      </c>
      <c r="G3279" s="1" t="s">
        <v>6791</v>
      </c>
      <c r="H3279" s="1" t="s">
        <v>1833</v>
      </c>
      <c r="I3279" s="1" t="s">
        <v>81</v>
      </c>
      <c r="J3279" s="4" t="s">
        <v>6792</v>
      </c>
      <c r="K3279" s="1" t="s">
        <v>1833</v>
      </c>
      <c r="L3279" s="1" t="s">
        <v>6793</v>
      </c>
      <c r="M3279" s="1" t="s">
        <v>27</v>
      </c>
      <c r="N3279" s="1" t="s">
        <v>6794</v>
      </c>
      <c r="O3279" s="1" t="s">
        <v>550</v>
      </c>
      <c r="P3279" s="1" t="s">
        <v>401</v>
      </c>
      <c r="Q3279" s="63" t="s">
        <v>6795</v>
      </c>
      <c r="R3279" s="1" t="s">
        <v>100</v>
      </c>
      <c r="S3279" s="13" t="s">
        <v>379</v>
      </c>
      <c r="BK3279" s="44"/>
    </row>
    <row r="3280" spans="1:63" ht="12" customHeight="1" x14ac:dyDescent="0.15">
      <c r="A3280" s="1" t="s">
        <v>6796</v>
      </c>
      <c r="B3280" s="1">
        <v>41</v>
      </c>
      <c r="C3280" s="1" t="s">
        <v>20</v>
      </c>
      <c r="D3280" s="1" t="s">
        <v>942</v>
      </c>
      <c r="F3280" s="72">
        <v>41920</v>
      </c>
      <c r="G3280" s="1" t="s">
        <v>6797</v>
      </c>
      <c r="H3280" s="1" t="s">
        <v>430</v>
      </c>
      <c r="I3280" s="1" t="s">
        <v>431</v>
      </c>
      <c r="J3280" s="4" t="s">
        <v>6798</v>
      </c>
      <c r="K3280" s="1" t="s">
        <v>6799</v>
      </c>
      <c r="L3280" s="1" t="s">
        <v>434</v>
      </c>
      <c r="M3280" s="1" t="s">
        <v>27</v>
      </c>
      <c r="N3280" s="1" t="s">
        <v>6800</v>
      </c>
      <c r="O3280" s="1" t="s">
        <v>400</v>
      </c>
      <c r="P3280" s="1" t="s">
        <v>401</v>
      </c>
      <c r="Q3280" s="63" t="s">
        <v>6801</v>
      </c>
      <c r="R3280" s="1" t="s">
        <v>29</v>
      </c>
      <c r="S3280" s="13" t="s">
        <v>28</v>
      </c>
    </row>
    <row r="3281" spans="1:62" ht="12" customHeight="1" x14ac:dyDescent="0.15">
      <c r="A3281" s="1" t="s">
        <v>6813</v>
      </c>
      <c r="B3281" s="1">
        <v>37</v>
      </c>
      <c r="C3281" s="1" t="s">
        <v>114</v>
      </c>
      <c r="D3281" s="1" t="s">
        <v>85</v>
      </c>
      <c r="E3281" s="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3281" s="72">
        <v>41919</v>
      </c>
      <c r="G3281" s="1" t="s">
        <v>6814</v>
      </c>
      <c r="H3281" s="1" t="s">
        <v>799</v>
      </c>
      <c r="I3281" s="1" t="s">
        <v>73</v>
      </c>
      <c r="J3281" s="4">
        <v>76705</v>
      </c>
      <c r="K3281" s="1" t="s">
        <v>800</v>
      </c>
      <c r="L3281" s="1" t="s">
        <v>6815</v>
      </c>
      <c r="M3281" s="1" t="s">
        <v>391</v>
      </c>
      <c r="N3281" s="1" t="s">
        <v>6816</v>
      </c>
      <c r="O3281" s="1" t="s">
        <v>550</v>
      </c>
      <c r="P3281" s="1" t="s">
        <v>401</v>
      </c>
      <c r="Q3281" s="6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3281" s="11" t="s">
        <v>964</v>
      </c>
      <c r="S3281" s="13" t="s">
        <v>18</v>
      </c>
      <c r="AU3281" s="11"/>
      <c r="AV3281" s="11"/>
      <c r="AW3281" s="11"/>
      <c r="AX3281" s="44"/>
      <c r="AY3281" s="44"/>
      <c r="BC3281" s="11"/>
      <c r="BD3281" s="11"/>
      <c r="BE3281" s="11"/>
      <c r="BF3281" s="11"/>
      <c r="BG3281" s="11"/>
      <c r="BH3281" s="11"/>
      <c r="BI3281" s="11"/>
      <c r="BJ3281" s="11"/>
    </row>
    <row r="3282" spans="1:62" ht="12" customHeight="1" x14ac:dyDescent="0.15">
      <c r="A3282" s="1" t="s">
        <v>6826</v>
      </c>
      <c r="B3282" s="1">
        <v>26</v>
      </c>
      <c r="C3282" s="1" t="s">
        <v>20</v>
      </c>
      <c r="D3282" s="1" t="s">
        <v>85</v>
      </c>
      <c r="E3282" s="1" t="s">
        <v>6827</v>
      </c>
      <c r="F3282" s="72">
        <v>41919</v>
      </c>
      <c r="G3282" s="1" t="s">
        <v>6828</v>
      </c>
      <c r="H3282" s="1" t="s">
        <v>945</v>
      </c>
      <c r="I3282" s="1" t="s">
        <v>45</v>
      </c>
      <c r="J3282" s="4" t="s">
        <v>6829</v>
      </c>
      <c r="K3282" s="1" t="s">
        <v>945</v>
      </c>
      <c r="L3282" s="1" t="s">
        <v>946</v>
      </c>
      <c r="M3282" s="1" t="s">
        <v>27</v>
      </c>
      <c r="N3282" s="1" t="s">
        <v>6830</v>
      </c>
      <c r="O3282" s="1" t="s">
        <v>1010</v>
      </c>
      <c r="P3282" s="1" t="s">
        <v>401</v>
      </c>
      <c r="Q3282" s="63" t="s">
        <v>6831</v>
      </c>
      <c r="R3282" s="1" t="s">
        <v>100</v>
      </c>
      <c r="S3282" s="13" t="s">
        <v>28</v>
      </c>
      <c r="AX3282" s="44"/>
      <c r="AY3282" s="44"/>
      <c r="BC3282" s="11"/>
      <c r="BD3282" s="11"/>
      <c r="BE3282" s="11"/>
      <c r="BF3282" s="11"/>
      <c r="BG3282" s="11"/>
      <c r="BH3282" s="11"/>
      <c r="BI3282" s="11"/>
      <c r="BJ3282" s="11"/>
    </row>
    <row r="3283" spans="1:62" ht="12" customHeight="1" x14ac:dyDescent="0.15">
      <c r="A3283" s="1" t="s">
        <v>6821</v>
      </c>
      <c r="B3283" s="1">
        <v>29</v>
      </c>
      <c r="C3283" s="1" t="s">
        <v>20</v>
      </c>
      <c r="D3283" s="1" t="s">
        <v>85</v>
      </c>
      <c r="E3283" s="1" t="s">
        <v>6822</v>
      </c>
      <c r="F3283" s="72">
        <v>41919</v>
      </c>
      <c r="G3283" s="1" t="s">
        <v>6823</v>
      </c>
      <c r="H3283" s="1" t="s">
        <v>268</v>
      </c>
      <c r="I3283" s="1" t="s">
        <v>269</v>
      </c>
      <c r="J3283" s="4" t="s">
        <v>6824</v>
      </c>
      <c r="K3283" s="1" t="s">
        <v>570</v>
      </c>
      <c r="L3283" s="1" t="s">
        <v>270</v>
      </c>
      <c r="M3283" s="1" t="s">
        <v>27</v>
      </c>
      <c r="N3283" s="1" t="s">
        <v>6825</v>
      </c>
      <c r="O3283" s="1" t="s">
        <v>1010</v>
      </c>
      <c r="P3283" s="1" t="s">
        <v>401</v>
      </c>
      <c r="Q3283" s="63" t="str">
        <f>HYPERLINK("http://www.jrn.com/ktnv/news/Family-speaks-out-after-man-killed-by-police-in-shootout-278597311.html","http://www.jrn.com/ktnv/news/Family-speaks-out-after-man-killed-by-police-in-shootout-278597311.html")</f>
        <v>http://www.jrn.com/ktnv/news/Family-speaks-out-after-man-killed-by-police-in-shootout-278597311.html</v>
      </c>
      <c r="R3283" s="1" t="s">
        <v>100</v>
      </c>
      <c r="S3283" s="13" t="s">
        <v>28</v>
      </c>
      <c r="AX3283" s="44"/>
      <c r="AY3283" s="44"/>
      <c r="BC3283" s="11"/>
      <c r="BD3283" s="11"/>
      <c r="BE3283" s="11"/>
      <c r="BF3283" s="11"/>
      <c r="BG3283" s="11"/>
      <c r="BH3283" s="11"/>
      <c r="BI3283" s="11"/>
      <c r="BJ3283" s="11"/>
    </row>
    <row r="3284" spans="1:62" ht="12" customHeight="1" x14ac:dyDescent="0.15">
      <c r="A3284" s="1" t="s">
        <v>6832</v>
      </c>
      <c r="B3284" s="1">
        <v>36</v>
      </c>
      <c r="C3284" s="1" t="s">
        <v>20</v>
      </c>
      <c r="D3284" s="1" t="s">
        <v>48</v>
      </c>
      <c r="F3284" s="72">
        <v>41919</v>
      </c>
      <c r="G3284" s="1" t="s">
        <v>6833</v>
      </c>
      <c r="H3284" s="1" t="s">
        <v>723</v>
      </c>
      <c r="I3284" s="1" t="s">
        <v>73</v>
      </c>
      <c r="J3284" s="4" t="s">
        <v>6834</v>
      </c>
      <c r="K3284" s="1" t="s">
        <v>558</v>
      </c>
      <c r="L3284" s="1" t="s">
        <v>724</v>
      </c>
      <c r="M3284" s="1" t="s">
        <v>27</v>
      </c>
      <c r="N3284" s="1" t="s">
        <v>6835</v>
      </c>
      <c r="O3284" s="1" t="s">
        <v>1010</v>
      </c>
      <c r="P3284" s="1" t="s">
        <v>401</v>
      </c>
      <c r="Q3284" s="63" t="s">
        <v>6836</v>
      </c>
      <c r="R3284" s="1" t="s">
        <v>100</v>
      </c>
      <c r="S3284" s="13" t="s">
        <v>28</v>
      </c>
    </row>
    <row r="3285" spans="1:62" ht="12" customHeight="1" x14ac:dyDescent="0.15">
      <c r="A3285" s="1" t="s">
        <v>6817</v>
      </c>
      <c r="B3285" s="1">
        <v>36</v>
      </c>
      <c r="C3285" s="1" t="s">
        <v>114</v>
      </c>
      <c r="D3285" s="1" t="s">
        <v>85</v>
      </c>
      <c r="E3285" s="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3285" s="72">
        <v>41919</v>
      </c>
      <c r="G3285" s="1" t="s">
        <v>6818</v>
      </c>
      <c r="H3285" s="1" t="s">
        <v>3052</v>
      </c>
      <c r="I3285" s="1" t="s">
        <v>62</v>
      </c>
      <c r="J3285" s="4">
        <v>34482</v>
      </c>
      <c r="K3285" s="1" t="s">
        <v>420</v>
      </c>
      <c r="L3285" s="1" t="s">
        <v>6819</v>
      </c>
      <c r="M3285" s="1" t="s">
        <v>29</v>
      </c>
      <c r="N3285" s="1" t="s">
        <v>6820</v>
      </c>
      <c r="O3285" s="1" t="s">
        <v>1010</v>
      </c>
      <c r="P3285" s="1" t="s">
        <v>401</v>
      </c>
      <c r="Q3285" s="63" t="str">
        <f>HYPERLINK("http://www.miamiherald.com/news/state/florida/article2564576.html","http://www.miamiherald.com/news/state/florida/article2564576.html")</f>
        <v>http://www.miamiherald.com/news/state/florida/article2564576.html</v>
      </c>
      <c r="R3285" s="1" t="s">
        <v>100</v>
      </c>
      <c r="S3285" s="13" t="s">
        <v>18</v>
      </c>
      <c r="AU3285" s="44"/>
      <c r="AV3285" s="44"/>
      <c r="AW3285" s="44"/>
      <c r="AX3285" s="44"/>
      <c r="AY3285" s="44"/>
      <c r="BC3285" s="11"/>
      <c r="BD3285" s="11"/>
      <c r="BE3285" s="11"/>
      <c r="BF3285" s="11"/>
      <c r="BG3285" s="11"/>
      <c r="BH3285" s="11"/>
      <c r="BI3285" s="11"/>
      <c r="BJ3285" s="11"/>
    </row>
    <row r="3286" spans="1:62" ht="12" customHeight="1" x14ac:dyDescent="0.15">
      <c r="A3286" s="1" t="s">
        <v>6808</v>
      </c>
      <c r="B3286" s="1">
        <v>34</v>
      </c>
      <c r="C3286" s="1" t="s">
        <v>20</v>
      </c>
      <c r="D3286" s="1" t="s">
        <v>85</v>
      </c>
      <c r="E3286" s="1" t="s">
        <v>6809</v>
      </c>
      <c r="F3286" s="72">
        <v>41919</v>
      </c>
      <c r="G3286" s="1" t="s">
        <v>6810</v>
      </c>
      <c r="H3286" s="1" t="s">
        <v>2158</v>
      </c>
      <c r="I3286" s="1" t="s">
        <v>94</v>
      </c>
      <c r="J3286" s="4" t="s">
        <v>6811</v>
      </c>
      <c r="K3286" s="1" t="s">
        <v>2160</v>
      </c>
      <c r="L3286" s="1" t="s">
        <v>2161</v>
      </c>
      <c r="M3286" s="1" t="s">
        <v>27</v>
      </c>
      <c r="N3286" s="1" t="s">
        <v>6812</v>
      </c>
      <c r="O3286" s="1" t="s">
        <v>400</v>
      </c>
      <c r="P3286" s="1" t="s">
        <v>401</v>
      </c>
      <c r="Q3286" s="6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3286" s="1" t="s">
        <v>29</v>
      </c>
      <c r="S3286" s="13" t="s">
        <v>28</v>
      </c>
      <c r="AX3286" s="44"/>
      <c r="AY3286" s="44"/>
      <c r="BC3286" s="11"/>
      <c r="BD3286" s="11"/>
      <c r="BE3286" s="11"/>
      <c r="BF3286" s="11"/>
      <c r="BG3286" s="11"/>
      <c r="BH3286" s="11"/>
      <c r="BI3286" s="11"/>
      <c r="BJ3286" s="11"/>
    </row>
    <row r="3287" spans="1:62" ht="12" customHeight="1" x14ac:dyDescent="0.15">
      <c r="A3287" s="1" t="s">
        <v>6837</v>
      </c>
      <c r="B3287" s="1">
        <v>65</v>
      </c>
      <c r="C3287" s="1" t="s">
        <v>20</v>
      </c>
      <c r="D3287" s="1" t="s">
        <v>85</v>
      </c>
      <c r="E3287" s="1" t="s">
        <v>6838</v>
      </c>
      <c r="F3287" s="72">
        <v>41918</v>
      </c>
      <c r="G3287" s="1" t="s">
        <v>6839</v>
      </c>
      <c r="H3287" s="1" t="s">
        <v>632</v>
      </c>
      <c r="I3287" s="1" t="s">
        <v>123</v>
      </c>
      <c r="J3287" s="4" t="s">
        <v>6168</v>
      </c>
      <c r="K3287" s="1" t="s">
        <v>633</v>
      </c>
      <c r="L3287" s="1" t="s">
        <v>634</v>
      </c>
      <c r="M3287" s="1" t="s">
        <v>391</v>
      </c>
      <c r="N3287" s="1" t="s">
        <v>6840</v>
      </c>
      <c r="O3287" s="1" t="s">
        <v>1010</v>
      </c>
      <c r="P3287" s="1" t="s">
        <v>401</v>
      </c>
      <c r="Q3287" s="63" t="s">
        <v>6841</v>
      </c>
      <c r="R3287" s="1" t="s">
        <v>100</v>
      </c>
      <c r="S3287" s="13" t="s">
        <v>18</v>
      </c>
      <c r="AU3287" s="11"/>
      <c r="AV3287" s="11"/>
      <c r="AW3287" s="11"/>
      <c r="AX3287" s="44"/>
      <c r="AY3287" s="44"/>
      <c r="BC3287" s="11"/>
      <c r="BD3287" s="11"/>
      <c r="BE3287" s="11"/>
      <c r="BF3287" s="11"/>
      <c r="BG3287" s="11"/>
      <c r="BH3287" s="11"/>
      <c r="BI3287" s="11"/>
      <c r="BJ3287" s="11"/>
    </row>
    <row r="3288" spans="1:62" ht="12" customHeight="1" x14ac:dyDescent="0.15">
      <c r="A3288" s="1" t="s">
        <v>6842</v>
      </c>
      <c r="B3288" s="1">
        <v>27</v>
      </c>
      <c r="C3288" s="1" t="s">
        <v>20</v>
      </c>
      <c r="D3288" s="1" t="s">
        <v>48</v>
      </c>
      <c r="E3288" s="1" t="s">
        <v>6843</v>
      </c>
      <c r="F3288" s="72">
        <v>41917</v>
      </c>
      <c r="G3288" s="1" t="s">
        <v>6844</v>
      </c>
      <c r="H3288" s="1" t="s">
        <v>1171</v>
      </c>
      <c r="I3288" s="1" t="s">
        <v>209</v>
      </c>
      <c r="J3288" s="4" t="s">
        <v>6845</v>
      </c>
      <c r="K3288" s="1" t="s">
        <v>553</v>
      </c>
      <c r="L3288" s="1" t="s">
        <v>1172</v>
      </c>
      <c r="M3288" s="1" t="s">
        <v>27</v>
      </c>
      <c r="N3288" s="1" t="s">
        <v>6846</v>
      </c>
      <c r="O3288" s="1" t="s">
        <v>550</v>
      </c>
      <c r="P3288" s="1" t="s">
        <v>401</v>
      </c>
      <c r="Q3288" s="63" t="s">
        <v>6847</v>
      </c>
      <c r="R3288" s="1" t="s">
        <v>100</v>
      </c>
      <c r="S3288" s="13" t="s">
        <v>28</v>
      </c>
    </row>
    <row r="3289" spans="1:62" ht="12" customHeight="1" x14ac:dyDescent="0.15">
      <c r="A3289" s="1" t="s">
        <v>6856</v>
      </c>
      <c r="B3289" s="1">
        <v>36</v>
      </c>
      <c r="C3289" s="1" t="s">
        <v>20</v>
      </c>
      <c r="D3289" s="1" t="s">
        <v>85</v>
      </c>
      <c r="F3289" s="72">
        <v>41916</v>
      </c>
      <c r="G3289" s="1" t="s">
        <v>6857</v>
      </c>
      <c r="H3289" s="1" t="s">
        <v>118</v>
      </c>
      <c r="I3289" s="1" t="s">
        <v>3664</v>
      </c>
      <c r="J3289" s="4" t="s">
        <v>6858</v>
      </c>
      <c r="K3289" s="1" t="s">
        <v>3666</v>
      </c>
      <c r="L3289" s="1" t="s">
        <v>19405</v>
      </c>
      <c r="M3289" s="1" t="s">
        <v>27</v>
      </c>
      <c r="N3289" s="1" t="s">
        <v>6859</v>
      </c>
      <c r="O3289" s="1" t="s">
        <v>1010</v>
      </c>
      <c r="P3289" s="1" t="s">
        <v>401</v>
      </c>
      <c r="Q3289" s="6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3289" s="1" t="s">
        <v>100</v>
      </c>
      <c r="S3289" s="13" t="s">
        <v>28</v>
      </c>
      <c r="AX3289" s="44"/>
      <c r="AY3289" s="44"/>
      <c r="BC3289" s="11"/>
      <c r="BD3289" s="11"/>
      <c r="BE3289" s="11"/>
      <c r="BF3289" s="11"/>
      <c r="BG3289" s="11"/>
      <c r="BH3289" s="11"/>
      <c r="BI3289" s="11"/>
      <c r="BJ3289" s="11"/>
    </row>
    <row r="3290" spans="1:62" ht="12" customHeight="1" x14ac:dyDescent="0.15">
      <c r="A3290" s="1" t="s">
        <v>6860</v>
      </c>
      <c r="B3290" s="1">
        <v>22</v>
      </c>
      <c r="C3290" s="1" t="s">
        <v>20</v>
      </c>
      <c r="D3290" s="1" t="s">
        <v>85</v>
      </c>
      <c r="F3290" s="72">
        <v>41916</v>
      </c>
      <c r="G3290" s="1" t="s">
        <v>6861</v>
      </c>
      <c r="H3290" s="1" t="s">
        <v>4191</v>
      </c>
      <c r="I3290" s="1" t="s">
        <v>366</v>
      </c>
      <c r="J3290" s="4" t="s">
        <v>6862</v>
      </c>
      <c r="K3290" s="1" t="s">
        <v>4193</v>
      </c>
      <c r="L3290" s="1" t="s">
        <v>6863</v>
      </c>
      <c r="M3290" s="1" t="s">
        <v>379</v>
      </c>
      <c r="N3290" s="1" t="s">
        <v>6864</v>
      </c>
      <c r="O3290" s="1" t="s">
        <v>1010</v>
      </c>
      <c r="P3290" s="1" t="s">
        <v>401</v>
      </c>
      <c r="Q3290" s="63" t="s">
        <v>6865</v>
      </c>
      <c r="R3290" s="1" t="s">
        <v>100</v>
      </c>
      <c r="S3290" s="13" t="s">
        <v>379</v>
      </c>
      <c r="AX3290" s="44"/>
      <c r="AY3290" s="44"/>
      <c r="BC3290" s="11"/>
      <c r="BD3290" s="11"/>
      <c r="BE3290" s="11"/>
      <c r="BF3290" s="11"/>
      <c r="BG3290" s="11"/>
      <c r="BH3290" s="11"/>
      <c r="BI3290" s="11"/>
      <c r="BJ3290" s="11"/>
    </row>
    <row r="3291" spans="1:62" ht="12" customHeight="1" x14ac:dyDescent="0.2">
      <c r="A3291" s="1" t="s">
        <v>6866</v>
      </c>
      <c r="B3291" s="1">
        <v>29</v>
      </c>
      <c r="C3291" s="1" t="s">
        <v>20</v>
      </c>
      <c r="D3291" s="1" t="s">
        <v>48</v>
      </c>
      <c r="E3291" s="1" t="s">
        <v>6867</v>
      </c>
      <c r="F3291" s="72">
        <v>41916</v>
      </c>
      <c r="G3291" s="1" t="s">
        <v>24470</v>
      </c>
      <c r="H3291" s="1" t="s">
        <v>98</v>
      </c>
      <c r="I3291" s="1" t="s">
        <v>45</v>
      </c>
      <c r="J3291" s="4" t="s">
        <v>3302</v>
      </c>
      <c r="K3291" s="1" t="s">
        <v>98</v>
      </c>
      <c r="L3291" s="1" t="s">
        <v>99</v>
      </c>
      <c r="M3291" s="1" t="s">
        <v>6868</v>
      </c>
      <c r="N3291" s="1" t="s">
        <v>6869</v>
      </c>
      <c r="O3291" s="1" t="s">
        <v>29</v>
      </c>
      <c r="P3291" s="1" t="s">
        <v>401</v>
      </c>
      <c r="Q3291" s="63" t="s">
        <v>6870</v>
      </c>
      <c r="R3291" s="1" t="s">
        <v>29</v>
      </c>
      <c r="S3291" s="13" t="s">
        <v>28</v>
      </c>
      <c r="AW3291" s="70"/>
    </row>
    <row r="3292" spans="1:62" ht="12" customHeight="1" x14ac:dyDescent="0.15">
      <c r="A3292" s="1" t="s">
        <v>6848</v>
      </c>
      <c r="B3292" s="1">
        <v>31</v>
      </c>
      <c r="C3292" s="1" t="s">
        <v>20</v>
      </c>
      <c r="D3292" s="1" t="s">
        <v>85</v>
      </c>
      <c r="E3292" s="1" t="s">
        <v>6849</v>
      </c>
      <c r="F3292" s="72">
        <v>41916</v>
      </c>
      <c r="G3292" s="1" t="s">
        <v>6850</v>
      </c>
      <c r="H3292" s="1" t="s">
        <v>6851</v>
      </c>
      <c r="I3292" s="1" t="s">
        <v>41</v>
      </c>
      <c r="J3292" s="4" t="s">
        <v>6852</v>
      </c>
      <c r="K3292" s="1" t="s">
        <v>6851</v>
      </c>
      <c r="L3292" s="1" t="s">
        <v>6853</v>
      </c>
      <c r="M3292" s="1" t="s">
        <v>391</v>
      </c>
      <c r="N3292" s="1" t="s">
        <v>6854</v>
      </c>
      <c r="O3292" s="1" t="s">
        <v>550</v>
      </c>
      <c r="P3292" s="1" t="s">
        <v>401</v>
      </c>
      <c r="Q3292" s="63" t="s">
        <v>6855</v>
      </c>
      <c r="R3292" s="1" t="s">
        <v>29</v>
      </c>
      <c r="S3292" s="13" t="s">
        <v>18</v>
      </c>
      <c r="AW3292" s="11"/>
      <c r="AX3292" s="44"/>
      <c r="AY3292" s="44"/>
      <c r="BC3292" s="11"/>
      <c r="BD3292" s="11"/>
      <c r="BE3292" s="11"/>
      <c r="BF3292" s="11"/>
      <c r="BG3292" s="11"/>
      <c r="BH3292" s="11"/>
      <c r="BI3292" s="11"/>
      <c r="BJ3292" s="11"/>
    </row>
    <row r="3293" spans="1:62" ht="12" customHeight="1" x14ac:dyDescent="0.15">
      <c r="A3293" s="1" t="s">
        <v>6871</v>
      </c>
      <c r="B3293" s="1">
        <v>48</v>
      </c>
      <c r="C3293" s="1" t="s">
        <v>20</v>
      </c>
      <c r="D3293" s="1" t="s">
        <v>30</v>
      </c>
      <c r="F3293" s="72">
        <v>41915</v>
      </c>
      <c r="G3293" s="1" t="s">
        <v>6872</v>
      </c>
      <c r="H3293" s="1" t="s">
        <v>309</v>
      </c>
      <c r="I3293" s="1" t="s">
        <v>45</v>
      </c>
      <c r="J3293" s="4" t="s">
        <v>6873</v>
      </c>
      <c r="K3293" s="1" t="s">
        <v>309</v>
      </c>
      <c r="L3293" s="1" t="s">
        <v>4320</v>
      </c>
      <c r="M3293" s="1" t="s">
        <v>27</v>
      </c>
      <c r="N3293" s="1" t="s">
        <v>6874</v>
      </c>
      <c r="O3293" s="1" t="s">
        <v>1010</v>
      </c>
      <c r="P3293" s="1" t="s">
        <v>401</v>
      </c>
      <c r="Q3293" s="63" t="s">
        <v>6875</v>
      </c>
      <c r="R3293" s="1" t="s">
        <v>100</v>
      </c>
      <c r="S3293" s="13" t="s">
        <v>28</v>
      </c>
    </row>
    <row r="3294" spans="1:62" ht="12" customHeight="1" x14ac:dyDescent="0.15">
      <c r="A3294" s="1" t="s">
        <v>6876</v>
      </c>
      <c r="B3294" s="1">
        <v>28</v>
      </c>
      <c r="C3294" s="1" t="s">
        <v>20</v>
      </c>
      <c r="D3294" s="1" t="s">
        <v>37</v>
      </c>
      <c r="F3294" s="72">
        <v>41915</v>
      </c>
      <c r="G3294" s="1" t="s">
        <v>6877</v>
      </c>
      <c r="H3294" s="1" t="s">
        <v>754</v>
      </c>
      <c r="I3294" s="1" t="s">
        <v>423</v>
      </c>
      <c r="J3294" s="4" t="s">
        <v>1711</v>
      </c>
      <c r="K3294" s="1" t="s">
        <v>1712</v>
      </c>
      <c r="L3294" s="1" t="s">
        <v>582</v>
      </c>
      <c r="M3294" s="1" t="s">
        <v>27</v>
      </c>
      <c r="N3294" s="1" t="s">
        <v>6878</v>
      </c>
      <c r="O3294" s="1" t="s">
        <v>1010</v>
      </c>
      <c r="P3294" s="1" t="s">
        <v>401</v>
      </c>
      <c r="Q3294" s="63" t="s">
        <v>6879</v>
      </c>
      <c r="R3294" s="1" t="s">
        <v>555</v>
      </c>
      <c r="S3294" s="13" t="s">
        <v>28</v>
      </c>
      <c r="BA3294" s="11"/>
      <c r="BB3294" s="11"/>
    </row>
    <row r="3295" spans="1:62" ht="12" customHeight="1" x14ac:dyDescent="0.15">
      <c r="A3295" s="1" t="s">
        <v>6880</v>
      </c>
      <c r="B3295" s="1">
        <v>49</v>
      </c>
      <c r="C3295" s="1" t="s">
        <v>20</v>
      </c>
      <c r="D3295" s="1" t="s">
        <v>37</v>
      </c>
      <c r="F3295" s="72">
        <v>41915</v>
      </c>
      <c r="G3295" s="1" t="s">
        <v>6881</v>
      </c>
      <c r="H3295" s="1" t="s">
        <v>6882</v>
      </c>
      <c r="I3295" s="1" t="s">
        <v>123</v>
      </c>
      <c r="J3295" s="4">
        <v>86001</v>
      </c>
      <c r="K3295" s="1" t="s">
        <v>6883</v>
      </c>
      <c r="L3295" s="1" t="s">
        <v>6884</v>
      </c>
      <c r="M3295" s="1" t="s">
        <v>2291</v>
      </c>
      <c r="N3295" s="1" t="s">
        <v>6885</v>
      </c>
      <c r="P3295" s="1" t="s">
        <v>401</v>
      </c>
      <c r="Q3295" s="63" t="s">
        <v>6886</v>
      </c>
      <c r="R3295" s="1" t="s">
        <v>555</v>
      </c>
      <c r="S3295" s="13" t="s">
        <v>18</v>
      </c>
    </row>
    <row r="3296" spans="1:62" ht="12" customHeight="1" x14ac:dyDescent="0.15">
      <c r="A3296" s="1" t="s">
        <v>6887</v>
      </c>
      <c r="B3296" s="1">
        <v>19</v>
      </c>
      <c r="C3296" s="1" t="s">
        <v>20</v>
      </c>
      <c r="D3296" s="1" t="s">
        <v>85</v>
      </c>
      <c r="E3296" s="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3296" s="72">
        <v>41914</v>
      </c>
      <c r="G3296" s="1" t="s">
        <v>6888</v>
      </c>
      <c r="H3296" s="1" t="s">
        <v>1034</v>
      </c>
      <c r="I3296" s="1" t="s">
        <v>173</v>
      </c>
      <c r="J3296" s="4">
        <v>30032</v>
      </c>
      <c r="K3296" s="1" t="s">
        <v>861</v>
      </c>
      <c r="L3296" s="1" t="s">
        <v>862</v>
      </c>
      <c r="M3296" s="1" t="s">
        <v>27</v>
      </c>
      <c r="N3296" s="1" t="s">
        <v>6889</v>
      </c>
      <c r="P3296" s="1" t="s">
        <v>401</v>
      </c>
      <c r="Q3296" s="63" t="s">
        <v>6890</v>
      </c>
      <c r="R3296" s="1" t="s">
        <v>100</v>
      </c>
      <c r="S3296" s="13" t="s">
        <v>28</v>
      </c>
      <c r="AX3296" s="44"/>
      <c r="AY3296" s="44"/>
      <c r="BC3296" s="11"/>
      <c r="BD3296" s="11"/>
      <c r="BE3296" s="11"/>
      <c r="BF3296" s="11"/>
      <c r="BG3296" s="11"/>
      <c r="BH3296" s="11"/>
      <c r="BI3296" s="11"/>
      <c r="BJ3296" s="11"/>
    </row>
    <row r="3297" spans="1:62" ht="12" customHeight="1" x14ac:dyDescent="0.15">
      <c r="A3297" s="1" t="s">
        <v>6891</v>
      </c>
      <c r="B3297" s="1">
        <v>69</v>
      </c>
      <c r="C3297" s="1" t="s">
        <v>20</v>
      </c>
      <c r="D3297" s="1" t="s">
        <v>30</v>
      </c>
      <c r="F3297" s="72">
        <v>41914</v>
      </c>
      <c r="G3297" s="1" t="s">
        <v>6892</v>
      </c>
      <c r="H3297" s="1" t="s">
        <v>6893</v>
      </c>
      <c r="I3297" s="1" t="s">
        <v>244</v>
      </c>
      <c r="J3297" s="4" t="s">
        <v>6894</v>
      </c>
      <c r="K3297" s="1" t="s">
        <v>1056</v>
      </c>
      <c r="L3297" s="1" t="s">
        <v>3318</v>
      </c>
      <c r="M3297" s="1" t="s">
        <v>27</v>
      </c>
      <c r="N3297" s="1" t="s">
        <v>6895</v>
      </c>
      <c r="O3297" s="1" t="s">
        <v>4684</v>
      </c>
      <c r="P3297" s="1" t="s">
        <v>401</v>
      </c>
      <c r="Q3297" s="63" t="s">
        <v>6896</v>
      </c>
      <c r="R3297" s="1" t="s">
        <v>100</v>
      </c>
      <c r="S3297" s="13" t="s">
        <v>28</v>
      </c>
    </row>
    <row r="3298" spans="1:62" ht="12" customHeight="1" x14ac:dyDescent="0.15">
      <c r="A3298" s="1" t="s">
        <v>6897</v>
      </c>
      <c r="B3298" s="1">
        <v>39</v>
      </c>
      <c r="C3298" s="1" t="s">
        <v>114</v>
      </c>
      <c r="D3298" s="1" t="s">
        <v>85</v>
      </c>
      <c r="E3298" s="1" t="s">
        <v>6898</v>
      </c>
      <c r="F3298" s="72">
        <v>41913</v>
      </c>
      <c r="G3298" s="1" t="s">
        <v>6899</v>
      </c>
      <c r="H3298" s="1" t="s">
        <v>890</v>
      </c>
      <c r="I3298" s="1" t="s">
        <v>315</v>
      </c>
      <c r="J3298" s="4" t="s">
        <v>6900</v>
      </c>
      <c r="K3298" s="1" t="s">
        <v>1778</v>
      </c>
      <c r="L3298" s="1" t="s">
        <v>891</v>
      </c>
      <c r="M3298" s="1" t="s">
        <v>27</v>
      </c>
      <c r="N3298" s="1" t="s">
        <v>6901</v>
      </c>
      <c r="O3298" s="1" t="s">
        <v>4684</v>
      </c>
      <c r="P3298" s="1" t="s">
        <v>401</v>
      </c>
      <c r="Q3298" s="63" t="str">
        <f>HYPERLINK("http://www.wlky.com/news/woman-shot-by-lmpd-officers-in-swat-situation-dies/28371462","http://www.wlky.com/news/woman-shot-by-lmpd-officers-in-swat-situation-dies/28371462")</f>
        <v>http://www.wlky.com/news/woman-shot-by-lmpd-officers-in-swat-situation-dies/28371462</v>
      </c>
      <c r="R3298" s="1" t="s">
        <v>100</v>
      </c>
      <c r="S3298" s="13" t="s">
        <v>28</v>
      </c>
      <c r="AX3298" s="44"/>
      <c r="AY3298" s="44"/>
      <c r="BC3298" s="11"/>
      <c r="BD3298" s="11"/>
      <c r="BE3298" s="11"/>
      <c r="BF3298" s="11"/>
      <c r="BG3298" s="11"/>
      <c r="BH3298" s="11"/>
      <c r="BI3298" s="11"/>
      <c r="BJ3298" s="11"/>
    </row>
    <row r="3299" spans="1:62" ht="12" customHeight="1" x14ac:dyDescent="0.15">
      <c r="A3299" s="1" t="s">
        <v>6902</v>
      </c>
      <c r="B3299" s="1">
        <v>33</v>
      </c>
      <c r="C3299" s="1" t="s">
        <v>20</v>
      </c>
      <c r="D3299" s="1" t="s">
        <v>48</v>
      </c>
      <c r="F3299" s="72">
        <v>41913</v>
      </c>
      <c r="G3299" s="1" t="s">
        <v>6903</v>
      </c>
      <c r="H3299" s="1" t="s">
        <v>2887</v>
      </c>
      <c r="I3299" s="1" t="s">
        <v>45</v>
      </c>
      <c r="J3299" s="4" t="s">
        <v>6904</v>
      </c>
      <c r="K3299" s="1" t="s">
        <v>309</v>
      </c>
      <c r="L3299" s="1" t="s">
        <v>310</v>
      </c>
      <c r="M3299" s="1" t="s">
        <v>27</v>
      </c>
      <c r="N3299" s="1" t="s">
        <v>6905</v>
      </c>
      <c r="O3299" s="1" t="s">
        <v>4684</v>
      </c>
      <c r="P3299" s="1" t="s">
        <v>401</v>
      </c>
      <c r="Q3299" s="63" t="s">
        <v>6906</v>
      </c>
      <c r="R3299" s="1" t="s">
        <v>100</v>
      </c>
      <c r="S3299" s="13" t="s">
        <v>28</v>
      </c>
    </row>
    <row r="3300" spans="1:62" ht="12" customHeight="1" x14ac:dyDescent="0.15">
      <c r="A3300" s="1" t="s">
        <v>6907</v>
      </c>
      <c r="B3300" s="1">
        <v>34</v>
      </c>
      <c r="C3300" s="1" t="s">
        <v>20</v>
      </c>
      <c r="D3300" s="1" t="s">
        <v>37</v>
      </c>
      <c r="F3300" s="72">
        <v>41913</v>
      </c>
      <c r="G3300" s="1" t="s">
        <v>6908</v>
      </c>
      <c r="H3300" s="1" t="s">
        <v>723</v>
      </c>
      <c r="I3300" s="1" t="s">
        <v>73</v>
      </c>
      <c r="J3300" s="4" t="s">
        <v>6909</v>
      </c>
      <c r="K3300" s="1" t="s">
        <v>558</v>
      </c>
      <c r="L3300" s="1" t="s">
        <v>724</v>
      </c>
      <c r="M3300" s="1" t="s">
        <v>27</v>
      </c>
      <c r="N3300" s="1" t="s">
        <v>6910</v>
      </c>
      <c r="O3300" s="1" t="s">
        <v>4684</v>
      </c>
      <c r="P3300" s="1" t="s">
        <v>401</v>
      </c>
      <c r="Q3300" s="63" t="s">
        <v>6911</v>
      </c>
      <c r="R3300" s="1" t="s">
        <v>100</v>
      </c>
      <c r="S3300" s="13" t="s">
        <v>28</v>
      </c>
    </row>
    <row r="3301" spans="1:62" ht="12" customHeight="1" x14ac:dyDescent="0.15">
      <c r="A3301" s="1" t="s">
        <v>6920</v>
      </c>
      <c r="B3301" s="1">
        <v>20</v>
      </c>
      <c r="C3301" s="1" t="s">
        <v>20</v>
      </c>
      <c r="D3301" s="1" t="s">
        <v>85</v>
      </c>
      <c r="E3301" s="1" t="s">
        <v>6921</v>
      </c>
      <c r="F3301" s="72">
        <v>41912</v>
      </c>
      <c r="G3301" s="1" t="s">
        <v>6922</v>
      </c>
      <c r="H3301" s="1" t="s">
        <v>6923</v>
      </c>
      <c r="I3301" s="1" t="s">
        <v>173</v>
      </c>
      <c r="J3301" s="4" t="s">
        <v>6924</v>
      </c>
      <c r="K3301" s="1" t="s">
        <v>1370</v>
      </c>
      <c r="L3301" s="1" t="s">
        <v>6925</v>
      </c>
      <c r="M3301" s="1" t="s">
        <v>27</v>
      </c>
      <c r="N3301" s="1" t="s">
        <v>6926</v>
      </c>
      <c r="O3301" s="1" t="s">
        <v>4684</v>
      </c>
      <c r="P3301" s="1" t="s">
        <v>401</v>
      </c>
      <c r="Q3301" s="63" t="s">
        <v>6927</v>
      </c>
      <c r="R3301" s="1" t="s">
        <v>100</v>
      </c>
      <c r="S3301" s="13" t="s">
        <v>28</v>
      </c>
      <c r="AX3301" s="44"/>
      <c r="AY3301" s="44"/>
      <c r="BC3301" s="11"/>
      <c r="BD3301" s="11"/>
      <c r="BE3301" s="11"/>
      <c r="BF3301" s="11"/>
      <c r="BG3301" s="11"/>
      <c r="BH3301" s="11"/>
      <c r="BI3301" s="11"/>
      <c r="BJ3301" s="11"/>
    </row>
    <row r="3302" spans="1:62" ht="12" customHeight="1" x14ac:dyDescent="0.15">
      <c r="A3302" s="1" t="s">
        <v>6940</v>
      </c>
      <c r="B3302" s="1">
        <v>26</v>
      </c>
      <c r="C3302" s="1" t="s">
        <v>20</v>
      </c>
      <c r="D3302" s="1" t="s">
        <v>37</v>
      </c>
      <c r="E3302" s="1" t="s">
        <v>6941</v>
      </c>
      <c r="F3302" s="72">
        <v>41912</v>
      </c>
      <c r="G3302" s="1" t="s">
        <v>6942</v>
      </c>
      <c r="H3302" s="1" t="s">
        <v>6943</v>
      </c>
      <c r="I3302" s="1" t="s">
        <v>404</v>
      </c>
      <c r="J3302" s="4" t="s">
        <v>6944</v>
      </c>
      <c r="K3302" s="1" t="s">
        <v>1056</v>
      </c>
      <c r="L3302" s="1" t="s">
        <v>9350</v>
      </c>
      <c r="M3302" s="1" t="s">
        <v>27</v>
      </c>
      <c r="N3302" s="1" t="s">
        <v>6945</v>
      </c>
      <c r="O3302" s="1" t="s">
        <v>3381</v>
      </c>
      <c r="P3302" s="1" t="s">
        <v>401</v>
      </c>
      <c r="Q3302" s="63" t="s">
        <v>6946</v>
      </c>
      <c r="R3302" s="1" t="s">
        <v>100</v>
      </c>
      <c r="S3302" s="13" t="s">
        <v>28</v>
      </c>
    </row>
    <row r="3303" spans="1:62" ht="12" customHeight="1" x14ac:dyDescent="0.15">
      <c r="A3303" s="1" t="s">
        <v>6928</v>
      </c>
      <c r="B3303" s="1">
        <v>32</v>
      </c>
      <c r="C3303" s="1" t="s">
        <v>20</v>
      </c>
      <c r="D3303" s="1" t="s">
        <v>37</v>
      </c>
      <c r="E3303" s="1" t="s">
        <v>6929</v>
      </c>
      <c r="F3303" s="72">
        <v>41912</v>
      </c>
      <c r="G3303" s="1" t="s">
        <v>6930</v>
      </c>
      <c r="H3303" s="1" t="s">
        <v>6931</v>
      </c>
      <c r="I3303" s="1" t="s">
        <v>73</v>
      </c>
      <c r="J3303" s="4" t="s">
        <v>6932</v>
      </c>
      <c r="K3303" s="1" t="s">
        <v>5282</v>
      </c>
      <c r="L3303" s="1" t="s">
        <v>724</v>
      </c>
      <c r="M3303" s="1" t="s">
        <v>27</v>
      </c>
      <c r="N3303" s="1" t="s">
        <v>6933</v>
      </c>
      <c r="O3303" s="1" t="s">
        <v>4684</v>
      </c>
      <c r="P3303" s="1" t="s">
        <v>401</v>
      </c>
      <c r="Q3303" s="63" t="str">
        <f>HYPERLINK("http://www.houstontx.gov/police/nr/2014/oct/nr141001-3.htm","http://www.houstontx.gov/police/nr/2014/oct/nr141001-3.htm")</f>
        <v>http://www.houstontx.gov/police/nr/2014/oct/nr141001-3.htm</v>
      </c>
      <c r="R3303" s="1" t="s">
        <v>100</v>
      </c>
      <c r="S3303" s="13" t="s">
        <v>28</v>
      </c>
    </row>
    <row r="3304" spans="1:62" ht="12" customHeight="1" x14ac:dyDescent="0.15">
      <c r="A3304" s="1" t="s">
        <v>6934</v>
      </c>
      <c r="B3304" s="1">
        <v>40</v>
      </c>
      <c r="C3304" s="1" t="s">
        <v>20</v>
      </c>
      <c r="D3304" s="1" t="s">
        <v>37</v>
      </c>
      <c r="E3304" s="1" t="s">
        <v>6935</v>
      </c>
      <c r="F3304" s="72">
        <v>41912</v>
      </c>
      <c r="G3304" s="1" t="s">
        <v>6936</v>
      </c>
      <c r="H3304" s="1" t="s">
        <v>1319</v>
      </c>
      <c r="I3304" s="1" t="s">
        <v>1083</v>
      </c>
      <c r="J3304" s="4" t="s">
        <v>6937</v>
      </c>
      <c r="K3304" s="1" t="s">
        <v>1320</v>
      </c>
      <c r="L3304" s="1" t="s">
        <v>1321</v>
      </c>
      <c r="M3304" s="1" t="s">
        <v>27</v>
      </c>
      <c r="N3304" s="1" t="s">
        <v>6938</v>
      </c>
      <c r="O3304" s="1" t="s">
        <v>4684</v>
      </c>
      <c r="P3304" s="1" t="s">
        <v>401</v>
      </c>
      <c r="Q3304" s="63" t="s">
        <v>6939</v>
      </c>
      <c r="R3304" s="1" t="s">
        <v>100</v>
      </c>
      <c r="S3304" s="13" t="s">
        <v>28</v>
      </c>
    </row>
    <row r="3305" spans="1:62" ht="12" customHeight="1" x14ac:dyDescent="0.15">
      <c r="A3305" s="1" t="s">
        <v>6912</v>
      </c>
      <c r="B3305" s="1">
        <v>38</v>
      </c>
      <c r="C3305" s="1" t="s">
        <v>20</v>
      </c>
      <c r="D3305" s="1" t="s">
        <v>85</v>
      </c>
      <c r="E3305" s="1" t="s">
        <v>6913</v>
      </c>
      <c r="F3305" s="72">
        <v>41912</v>
      </c>
      <c r="G3305" s="1" t="s">
        <v>6914</v>
      </c>
      <c r="H3305" s="1" t="s">
        <v>6915</v>
      </c>
      <c r="I3305" s="1" t="s">
        <v>62</v>
      </c>
      <c r="J3305" s="4" t="s">
        <v>6916</v>
      </c>
      <c r="K3305" s="1" t="s">
        <v>1123</v>
      </c>
      <c r="L3305" s="1" t="s">
        <v>6917</v>
      </c>
      <c r="M3305" s="1" t="s">
        <v>27</v>
      </c>
      <c r="N3305" s="1" t="s">
        <v>6918</v>
      </c>
      <c r="O3305" s="1" t="s">
        <v>4684</v>
      </c>
      <c r="P3305" s="1" t="s">
        <v>401</v>
      </c>
      <c r="Q3305" s="63" t="s">
        <v>6919</v>
      </c>
      <c r="R3305" s="1" t="s">
        <v>555</v>
      </c>
      <c r="S3305" s="13" t="s">
        <v>28</v>
      </c>
      <c r="AX3305" s="44"/>
      <c r="AY3305" s="44"/>
      <c r="BC3305" s="11"/>
      <c r="BD3305" s="11"/>
      <c r="BE3305" s="11"/>
      <c r="BF3305" s="11"/>
      <c r="BG3305" s="11"/>
      <c r="BH3305" s="11"/>
      <c r="BI3305" s="11"/>
      <c r="BJ3305" s="11"/>
    </row>
    <row r="3306" spans="1:62" ht="12" customHeight="1" x14ac:dyDescent="0.15">
      <c r="A3306" s="1" t="s">
        <v>6953</v>
      </c>
      <c r="B3306" s="1">
        <v>47</v>
      </c>
      <c r="C3306" s="1" t="s">
        <v>20</v>
      </c>
      <c r="D3306" s="1" t="s">
        <v>48</v>
      </c>
      <c r="F3306" s="72">
        <v>41911</v>
      </c>
      <c r="G3306" s="1" t="s">
        <v>6949</v>
      </c>
      <c r="H3306" s="1" t="s">
        <v>754</v>
      </c>
      <c r="I3306" s="1" t="s">
        <v>423</v>
      </c>
      <c r="J3306" s="4" t="s">
        <v>6950</v>
      </c>
      <c r="K3306" s="1" t="s">
        <v>754</v>
      </c>
      <c r="L3306" s="1" t="s">
        <v>582</v>
      </c>
      <c r="M3306" s="1" t="s">
        <v>27</v>
      </c>
      <c r="N3306" s="1" t="s">
        <v>6954</v>
      </c>
      <c r="O3306" s="1" t="s">
        <v>4684</v>
      </c>
      <c r="P3306" s="1" t="s">
        <v>401</v>
      </c>
      <c r="Q3306" s="63" t="s">
        <v>6952</v>
      </c>
      <c r="R3306" s="1" t="s">
        <v>100</v>
      </c>
      <c r="S3306" s="13" t="s">
        <v>28</v>
      </c>
    </row>
    <row r="3307" spans="1:62" ht="12" customHeight="1" x14ac:dyDescent="0.15">
      <c r="A3307" s="1" t="s">
        <v>6947</v>
      </c>
      <c r="B3307" s="1">
        <v>51</v>
      </c>
      <c r="C3307" s="1" t="s">
        <v>20</v>
      </c>
      <c r="D3307" s="1" t="s">
        <v>48</v>
      </c>
      <c r="E3307" s="1" t="s">
        <v>6948</v>
      </c>
      <c r="F3307" s="72">
        <v>41911</v>
      </c>
      <c r="G3307" s="1" t="s">
        <v>6949</v>
      </c>
      <c r="H3307" s="1" t="s">
        <v>754</v>
      </c>
      <c r="I3307" s="1" t="s">
        <v>423</v>
      </c>
      <c r="J3307" s="4" t="s">
        <v>6950</v>
      </c>
      <c r="K3307" s="1" t="s">
        <v>754</v>
      </c>
      <c r="L3307" s="1" t="s">
        <v>582</v>
      </c>
      <c r="M3307" s="1" t="s">
        <v>27</v>
      </c>
      <c r="N3307" s="1" t="s">
        <v>6951</v>
      </c>
      <c r="O3307" s="1" t="s">
        <v>4684</v>
      </c>
      <c r="P3307" s="1" t="s">
        <v>401</v>
      </c>
      <c r="Q3307" s="63" t="s">
        <v>6952</v>
      </c>
      <c r="R3307" s="1" t="s">
        <v>100</v>
      </c>
      <c r="S3307" s="13" t="s">
        <v>18</v>
      </c>
    </row>
    <row r="3308" spans="1:62" ht="12" customHeight="1" x14ac:dyDescent="0.15">
      <c r="A3308" s="1" t="s">
        <v>6955</v>
      </c>
      <c r="B3308" s="1">
        <v>26</v>
      </c>
      <c r="C3308" s="1" t="s">
        <v>20</v>
      </c>
      <c r="D3308" s="1" t="s">
        <v>85</v>
      </c>
      <c r="E3308" s="1" t="s">
        <v>6956</v>
      </c>
      <c r="F3308" s="72">
        <v>41910</v>
      </c>
      <c r="G3308" s="1" t="s">
        <v>6957</v>
      </c>
      <c r="H3308" s="1" t="s">
        <v>3160</v>
      </c>
      <c r="I3308" s="1" t="s">
        <v>73</v>
      </c>
      <c r="J3308" s="4" t="s">
        <v>6958</v>
      </c>
      <c r="K3308" s="1" t="s">
        <v>1151</v>
      </c>
      <c r="L3308" s="1" t="s">
        <v>6959</v>
      </c>
      <c r="M3308" s="1" t="s">
        <v>391</v>
      </c>
      <c r="N3308" s="1" t="s">
        <v>6960</v>
      </c>
      <c r="O3308" s="1" t="s">
        <v>550</v>
      </c>
      <c r="P3308" s="1" t="s">
        <v>401</v>
      </c>
      <c r="Q3308" s="63" t="s">
        <v>20986</v>
      </c>
      <c r="R3308" s="1" t="s">
        <v>100</v>
      </c>
      <c r="S3308" s="13" t="s">
        <v>18</v>
      </c>
      <c r="AU3308" s="11"/>
      <c r="AV3308" s="11"/>
      <c r="AW3308" s="11"/>
      <c r="AX3308" s="11"/>
      <c r="AY3308" s="11"/>
      <c r="BC3308" s="11"/>
      <c r="BD3308" s="11"/>
      <c r="BE3308" s="11"/>
      <c r="BF3308" s="11"/>
      <c r="BG3308" s="11"/>
      <c r="BH3308" s="11"/>
      <c r="BI3308" s="11"/>
      <c r="BJ3308" s="11"/>
    </row>
    <row r="3309" spans="1:62" ht="12" customHeight="1" x14ac:dyDescent="0.15">
      <c r="A3309" s="1" t="s">
        <v>6961</v>
      </c>
      <c r="B3309" s="1">
        <v>26</v>
      </c>
      <c r="C3309" s="1" t="s">
        <v>20</v>
      </c>
      <c r="D3309" s="1" t="s">
        <v>30</v>
      </c>
      <c r="F3309" s="72">
        <v>41910</v>
      </c>
      <c r="G3309" s="1" t="s">
        <v>6962</v>
      </c>
      <c r="H3309" s="1" t="s">
        <v>6963</v>
      </c>
      <c r="I3309" s="1" t="s">
        <v>370</v>
      </c>
      <c r="J3309" s="4" t="s">
        <v>6964</v>
      </c>
      <c r="K3309" s="1" t="s">
        <v>5099</v>
      </c>
      <c r="L3309" s="1" t="s">
        <v>6965</v>
      </c>
      <c r="M3309" s="1" t="s">
        <v>379</v>
      </c>
      <c r="N3309" s="1" t="s">
        <v>6966</v>
      </c>
      <c r="O3309" s="1" t="s">
        <v>4684</v>
      </c>
      <c r="P3309" s="1" t="s">
        <v>401</v>
      </c>
      <c r="Q3309" s="63" t="s">
        <v>6967</v>
      </c>
      <c r="R3309" s="1" t="s">
        <v>100</v>
      </c>
      <c r="S3309" s="13" t="s">
        <v>379</v>
      </c>
    </row>
    <row r="3310" spans="1:62" ht="12" customHeight="1" x14ac:dyDescent="0.15">
      <c r="A3310" s="1" t="s">
        <v>6968</v>
      </c>
      <c r="B3310" s="1">
        <v>72</v>
      </c>
      <c r="C3310" s="1" t="s">
        <v>114</v>
      </c>
      <c r="D3310" s="1" t="s">
        <v>37</v>
      </c>
      <c r="E3310" s="1" t="s">
        <v>6969</v>
      </c>
      <c r="F3310" s="72">
        <v>41910</v>
      </c>
      <c r="G3310" s="1" t="s">
        <v>6970</v>
      </c>
      <c r="H3310" s="1" t="s">
        <v>679</v>
      </c>
      <c r="I3310" s="1" t="s">
        <v>45</v>
      </c>
      <c r="J3310" s="4" t="s">
        <v>3479</v>
      </c>
      <c r="K3310" s="1" t="s">
        <v>680</v>
      </c>
      <c r="L3310" s="1" t="s">
        <v>747</v>
      </c>
      <c r="M3310" s="1" t="s">
        <v>379</v>
      </c>
      <c r="N3310" s="1" t="s">
        <v>6971</v>
      </c>
      <c r="O3310" s="1" t="s">
        <v>4684</v>
      </c>
      <c r="P3310" s="1" t="s">
        <v>401</v>
      </c>
      <c r="Q3310" s="63" t="s">
        <v>6972</v>
      </c>
      <c r="R3310" s="1" t="s">
        <v>100</v>
      </c>
      <c r="S3310" s="66" t="s">
        <v>379</v>
      </c>
      <c r="T3310" s="66" t="s">
        <v>30738</v>
      </c>
    </row>
    <row r="3311" spans="1:62" ht="12" customHeight="1" x14ac:dyDescent="0.15">
      <c r="A3311" s="1" t="s">
        <v>6973</v>
      </c>
      <c r="B3311" s="1">
        <v>38</v>
      </c>
      <c r="C3311" s="1" t="s">
        <v>20</v>
      </c>
      <c r="D3311" s="1" t="s">
        <v>85</v>
      </c>
      <c r="E3311" s="1" t="s">
        <v>6974</v>
      </c>
      <c r="F3311" s="72">
        <v>41909</v>
      </c>
      <c r="G3311" s="1" t="s">
        <v>6975</v>
      </c>
      <c r="H3311" s="1" t="s">
        <v>430</v>
      </c>
      <c r="I3311" s="1" t="s">
        <v>431</v>
      </c>
      <c r="J3311" s="4" t="s">
        <v>6976</v>
      </c>
      <c r="K3311" s="1" t="s">
        <v>433</v>
      </c>
      <c r="L3311" s="1" t="s">
        <v>434</v>
      </c>
      <c r="M3311" s="1" t="s">
        <v>391</v>
      </c>
      <c r="N3311" s="1" t="s">
        <v>6977</v>
      </c>
      <c r="O3311" s="1" t="s">
        <v>1010</v>
      </c>
      <c r="P3311" s="1" t="s">
        <v>401</v>
      </c>
      <c r="Q3311" s="63" t="s">
        <v>6978</v>
      </c>
      <c r="R3311" s="11" t="s">
        <v>964</v>
      </c>
      <c r="S3311" s="13" t="s">
        <v>18</v>
      </c>
      <c r="AU3311" s="11"/>
      <c r="AV3311" s="11"/>
      <c r="AW3311" s="11"/>
      <c r="AX3311" s="11"/>
      <c r="AY3311" s="11"/>
      <c r="BC3311" s="11"/>
      <c r="BD3311" s="11"/>
      <c r="BE3311" s="11"/>
      <c r="BF3311" s="11"/>
      <c r="BG3311" s="11"/>
      <c r="BH3311" s="11"/>
      <c r="BI3311" s="11"/>
      <c r="BJ3311" s="11"/>
    </row>
    <row r="3312" spans="1:62" ht="12" customHeight="1" x14ac:dyDescent="0.15">
      <c r="A3312" s="1" t="s">
        <v>3252</v>
      </c>
      <c r="B3312" s="1" t="s">
        <v>29</v>
      </c>
      <c r="C3312" s="1" t="s">
        <v>20</v>
      </c>
      <c r="D3312" s="1" t="s">
        <v>30</v>
      </c>
      <c r="F3312" s="72">
        <v>41909</v>
      </c>
      <c r="G3312" s="1" t="s">
        <v>6979</v>
      </c>
      <c r="H3312" s="1" t="s">
        <v>1224</v>
      </c>
      <c r="I3312" s="1" t="s">
        <v>62</v>
      </c>
      <c r="J3312" s="4" t="s">
        <v>6980</v>
      </c>
      <c r="K3312" s="1" t="s">
        <v>161</v>
      </c>
      <c r="L3312" s="1" t="s">
        <v>6981</v>
      </c>
      <c r="M3312" s="1" t="s">
        <v>27</v>
      </c>
      <c r="N3312" s="1" t="s">
        <v>6982</v>
      </c>
      <c r="O3312" s="1" t="s">
        <v>4684</v>
      </c>
      <c r="P3312" s="1" t="s">
        <v>401</v>
      </c>
      <c r="Q3312" s="63" t="s">
        <v>6983</v>
      </c>
      <c r="R3312" s="1" t="s">
        <v>100</v>
      </c>
      <c r="S3312" s="13" t="s">
        <v>28</v>
      </c>
    </row>
    <row r="3313" spans="1:63" ht="12" customHeight="1" x14ac:dyDescent="0.15">
      <c r="A3313" s="1" t="s">
        <v>6984</v>
      </c>
      <c r="B3313" s="1">
        <v>34</v>
      </c>
      <c r="C3313" s="1" t="s">
        <v>20</v>
      </c>
      <c r="D3313" s="1" t="s">
        <v>37</v>
      </c>
      <c r="F3313" s="72">
        <v>41909</v>
      </c>
      <c r="G3313" s="1" t="s">
        <v>6985</v>
      </c>
      <c r="H3313" s="1" t="s">
        <v>403</v>
      </c>
      <c r="I3313" s="1" t="s">
        <v>4371</v>
      </c>
      <c r="J3313" s="4" t="s">
        <v>6986</v>
      </c>
      <c r="K3313" s="1" t="s">
        <v>6987</v>
      </c>
      <c r="L3313" s="1" t="s">
        <v>4374</v>
      </c>
      <c r="M3313" s="1" t="s">
        <v>27</v>
      </c>
      <c r="N3313" s="1" t="s">
        <v>6988</v>
      </c>
      <c r="O3313" s="1" t="s">
        <v>1010</v>
      </c>
      <c r="P3313" s="1" t="s">
        <v>401</v>
      </c>
      <c r="Q3313" s="63" t="s">
        <v>6989</v>
      </c>
      <c r="R3313" s="1" t="s">
        <v>100</v>
      </c>
      <c r="S3313" s="13" t="s">
        <v>28</v>
      </c>
    </row>
    <row r="3314" spans="1:63" ht="12" customHeight="1" x14ac:dyDescent="0.15">
      <c r="A3314" s="1" t="s">
        <v>6990</v>
      </c>
      <c r="B3314" s="1">
        <v>18</v>
      </c>
      <c r="C3314" s="1" t="s">
        <v>20</v>
      </c>
      <c r="D3314" s="1" t="s">
        <v>37</v>
      </c>
      <c r="E3314" s="1" t="s">
        <v>6991</v>
      </c>
      <c r="F3314" s="72">
        <v>41909</v>
      </c>
      <c r="G3314" s="1" t="s">
        <v>6992</v>
      </c>
      <c r="H3314" s="1" t="s">
        <v>6993</v>
      </c>
      <c r="I3314" s="1" t="s">
        <v>319</v>
      </c>
      <c r="J3314" s="4" t="s">
        <v>6994</v>
      </c>
      <c r="K3314" s="1" t="s">
        <v>2160</v>
      </c>
      <c r="L3314" s="1" t="s">
        <v>6995</v>
      </c>
      <c r="M3314" s="1" t="s">
        <v>27</v>
      </c>
      <c r="N3314" s="1" t="s">
        <v>6996</v>
      </c>
      <c r="O3314" s="1" t="s">
        <v>400</v>
      </c>
      <c r="P3314" s="1" t="s">
        <v>401</v>
      </c>
      <c r="Q3314" s="63" t="s">
        <v>6997</v>
      </c>
      <c r="R3314" s="1" t="s">
        <v>100</v>
      </c>
      <c r="S3314" s="13" t="s">
        <v>379</v>
      </c>
      <c r="BK3314" s="44"/>
    </row>
    <row r="3315" spans="1:63" ht="12" customHeight="1" x14ac:dyDescent="0.15">
      <c r="A3315" s="1" t="s">
        <v>6998</v>
      </c>
      <c r="B3315" s="1">
        <v>25</v>
      </c>
      <c r="C3315" s="1" t="s">
        <v>20</v>
      </c>
      <c r="D3315" s="1" t="s">
        <v>37</v>
      </c>
      <c r="E3315" s="1" t="s">
        <v>6999</v>
      </c>
      <c r="F3315" s="72">
        <v>41908</v>
      </c>
      <c r="G3315" s="1" t="s">
        <v>7000</v>
      </c>
      <c r="H3315" s="1" t="s">
        <v>7001</v>
      </c>
      <c r="I3315" s="1" t="s">
        <v>69</v>
      </c>
      <c r="J3315" s="4" t="s">
        <v>7002</v>
      </c>
      <c r="K3315" s="1" t="s">
        <v>1262</v>
      </c>
      <c r="L3315" s="1" t="s">
        <v>7003</v>
      </c>
      <c r="M3315" s="1" t="s">
        <v>27</v>
      </c>
      <c r="N3315" s="1" t="s">
        <v>7004</v>
      </c>
      <c r="O3315" s="1" t="s">
        <v>400</v>
      </c>
      <c r="P3315" s="1" t="s">
        <v>401</v>
      </c>
      <c r="Q3315" s="63" t="s">
        <v>7005</v>
      </c>
      <c r="R3315" s="1" t="s">
        <v>100</v>
      </c>
      <c r="S3315" s="13" t="s">
        <v>28</v>
      </c>
    </row>
    <row r="3316" spans="1:63" ht="12" customHeight="1" x14ac:dyDescent="0.15">
      <c r="A3316" s="1" t="s">
        <v>7006</v>
      </c>
      <c r="B3316" s="1">
        <v>34</v>
      </c>
      <c r="C3316" s="1" t="s">
        <v>20</v>
      </c>
      <c r="D3316" s="1" t="s">
        <v>37</v>
      </c>
      <c r="F3316" s="72">
        <v>41908</v>
      </c>
      <c r="G3316" s="1" t="s">
        <v>7007</v>
      </c>
      <c r="H3316" s="1" t="s">
        <v>7008</v>
      </c>
      <c r="I3316" s="1" t="s">
        <v>73</v>
      </c>
      <c r="J3316" s="4" t="s">
        <v>7009</v>
      </c>
      <c r="K3316" s="1" t="s">
        <v>7010</v>
      </c>
      <c r="L3316" s="1" t="s">
        <v>7011</v>
      </c>
      <c r="M3316" s="1" t="s">
        <v>27</v>
      </c>
      <c r="N3316" s="1" t="s">
        <v>7012</v>
      </c>
      <c r="O3316" s="1" t="s">
        <v>1010</v>
      </c>
      <c r="P3316" s="1" t="s">
        <v>401</v>
      </c>
      <c r="Q3316" s="63" t="s">
        <v>7013</v>
      </c>
      <c r="R3316" s="1" t="s">
        <v>100</v>
      </c>
      <c r="S3316" s="13" t="s">
        <v>28</v>
      </c>
    </row>
    <row r="3317" spans="1:63" ht="12" customHeight="1" x14ac:dyDescent="0.15">
      <c r="A3317" s="1" t="s">
        <v>7014</v>
      </c>
      <c r="B3317" s="1">
        <v>34</v>
      </c>
      <c r="C3317" s="1" t="s">
        <v>20</v>
      </c>
      <c r="D3317" s="1" t="s">
        <v>48</v>
      </c>
      <c r="F3317" s="72">
        <v>41907</v>
      </c>
      <c r="G3317" s="1" t="s">
        <v>7015</v>
      </c>
      <c r="H3317" s="1" t="s">
        <v>945</v>
      </c>
      <c r="I3317" s="1" t="s">
        <v>45</v>
      </c>
      <c r="J3317" s="4" t="s">
        <v>7016</v>
      </c>
      <c r="K3317" s="1" t="s">
        <v>945</v>
      </c>
      <c r="L3317" s="1" t="s">
        <v>946</v>
      </c>
      <c r="M3317" s="1" t="s">
        <v>27</v>
      </c>
      <c r="N3317" s="1" t="s">
        <v>7017</v>
      </c>
      <c r="O3317" s="1" t="s">
        <v>400</v>
      </c>
      <c r="P3317" s="1" t="s">
        <v>401</v>
      </c>
      <c r="Q3317" s="63" t="s">
        <v>7018</v>
      </c>
      <c r="R3317" s="1" t="s">
        <v>100</v>
      </c>
      <c r="S3317" s="13" t="s">
        <v>28</v>
      </c>
    </row>
    <row r="3318" spans="1:63" ht="12" customHeight="1" x14ac:dyDescent="0.15">
      <c r="A3318" s="1" t="s">
        <v>7019</v>
      </c>
      <c r="B3318" s="1">
        <v>59</v>
      </c>
      <c r="C3318" s="1" t="s">
        <v>20</v>
      </c>
      <c r="D3318" s="1" t="s">
        <v>37</v>
      </c>
      <c r="E3318" s="1" t="s">
        <v>7020</v>
      </c>
      <c r="F3318" s="72">
        <v>41907</v>
      </c>
      <c r="G3318" s="1" t="s">
        <v>7021</v>
      </c>
      <c r="H3318" s="1" t="s">
        <v>3545</v>
      </c>
      <c r="I3318" s="1" t="s">
        <v>173</v>
      </c>
      <c r="J3318" s="4" t="s">
        <v>7022</v>
      </c>
      <c r="K3318" s="1" t="s">
        <v>7023</v>
      </c>
      <c r="L3318" s="1" t="s">
        <v>7024</v>
      </c>
      <c r="M3318" s="1" t="s">
        <v>27</v>
      </c>
      <c r="N3318" s="1" t="s">
        <v>7025</v>
      </c>
      <c r="O3318" s="1" t="s">
        <v>4684</v>
      </c>
      <c r="P3318" s="1" t="s">
        <v>401</v>
      </c>
      <c r="Q3318" s="63" t="s">
        <v>7026</v>
      </c>
      <c r="R3318" s="1" t="s">
        <v>100</v>
      </c>
      <c r="S3318" s="13" t="s">
        <v>28</v>
      </c>
    </row>
    <row r="3319" spans="1:63" ht="12" customHeight="1" x14ac:dyDescent="0.15">
      <c r="A3319" s="1" t="s">
        <v>7027</v>
      </c>
      <c r="B3319" s="1">
        <v>50</v>
      </c>
      <c r="C3319" s="1" t="s">
        <v>20</v>
      </c>
      <c r="D3319" s="1" t="s">
        <v>85</v>
      </c>
      <c r="E3319" s="1" t="s">
        <v>7028</v>
      </c>
      <c r="F3319" s="72">
        <v>41906</v>
      </c>
      <c r="G3319" s="1" t="s">
        <v>7029</v>
      </c>
      <c r="H3319" s="1" t="s">
        <v>7030</v>
      </c>
      <c r="I3319" s="1" t="s">
        <v>25</v>
      </c>
      <c r="J3319" s="4" t="s">
        <v>7031</v>
      </c>
      <c r="K3319" s="1" t="s">
        <v>7032</v>
      </c>
      <c r="L3319" s="1" t="s">
        <v>7033</v>
      </c>
      <c r="M3319" s="1" t="s">
        <v>27</v>
      </c>
      <c r="N3319" s="1" t="s">
        <v>7034</v>
      </c>
      <c r="O3319" s="1" t="s">
        <v>4684</v>
      </c>
      <c r="P3319" s="1" t="s">
        <v>401</v>
      </c>
      <c r="Q3319" s="63" t="s">
        <v>7035</v>
      </c>
      <c r="R3319" s="1" t="s">
        <v>100</v>
      </c>
      <c r="S3319" s="13" t="s">
        <v>28</v>
      </c>
      <c r="AX3319" s="44"/>
      <c r="AY3319" s="44"/>
      <c r="BC3319" s="11"/>
      <c r="BD3319" s="11"/>
      <c r="BE3319" s="11"/>
      <c r="BF3319" s="11"/>
      <c r="BG3319" s="11"/>
      <c r="BH3319" s="11"/>
      <c r="BI3319" s="11"/>
      <c r="BJ3319" s="11"/>
    </row>
    <row r="3320" spans="1:63" ht="12" customHeight="1" x14ac:dyDescent="0.15">
      <c r="A3320" s="1" t="s">
        <v>7036</v>
      </c>
      <c r="B3320" s="1">
        <v>25</v>
      </c>
      <c r="C3320" s="1" t="s">
        <v>20</v>
      </c>
      <c r="D3320" s="1" t="s">
        <v>37</v>
      </c>
      <c r="E3320" s="1" t="s">
        <v>7037</v>
      </c>
      <c r="F3320" s="72">
        <v>41906</v>
      </c>
      <c r="G3320" s="1" t="s">
        <v>7038</v>
      </c>
      <c r="H3320" s="1" t="s">
        <v>4353</v>
      </c>
      <c r="I3320" s="1" t="s">
        <v>303</v>
      </c>
      <c r="J3320" s="4" t="s">
        <v>4354</v>
      </c>
      <c r="K3320" s="1" t="s">
        <v>838</v>
      </c>
      <c r="L3320" s="1" t="s">
        <v>4355</v>
      </c>
      <c r="M3320" s="1" t="s">
        <v>27</v>
      </c>
      <c r="N3320" s="1" t="s">
        <v>7039</v>
      </c>
      <c r="O3320" s="1" t="s">
        <v>1010</v>
      </c>
      <c r="P3320" s="1" t="s">
        <v>401</v>
      </c>
      <c r="Q3320" s="63" t="s">
        <v>7040</v>
      </c>
      <c r="R3320" s="1" t="s">
        <v>100</v>
      </c>
      <c r="S3320" s="13" t="s">
        <v>28</v>
      </c>
    </row>
    <row r="3321" spans="1:63" ht="12" customHeight="1" x14ac:dyDescent="0.15">
      <c r="A3321" s="1" t="s">
        <v>7050</v>
      </c>
      <c r="B3321" s="1">
        <v>54</v>
      </c>
      <c r="C3321" s="1" t="s">
        <v>20</v>
      </c>
      <c r="D3321" s="1" t="s">
        <v>37</v>
      </c>
      <c r="E3321" s="1" t="s">
        <v>7051</v>
      </c>
      <c r="F3321" s="72">
        <v>41905</v>
      </c>
      <c r="G3321" s="1" t="s">
        <v>7052</v>
      </c>
      <c r="H3321" s="1" t="s">
        <v>7053</v>
      </c>
      <c r="I3321" s="1" t="s">
        <v>370</v>
      </c>
      <c r="J3321" s="4" t="s">
        <v>7054</v>
      </c>
      <c r="K3321" s="1" t="s">
        <v>7055</v>
      </c>
      <c r="L3321" s="1" t="s">
        <v>7056</v>
      </c>
      <c r="M3321" s="1" t="s">
        <v>27</v>
      </c>
      <c r="N3321" s="1" t="s">
        <v>7057</v>
      </c>
      <c r="O3321" s="1" t="s">
        <v>400</v>
      </c>
      <c r="P3321" s="1" t="s">
        <v>401</v>
      </c>
      <c r="Q3321" s="63" t="s">
        <v>7058</v>
      </c>
      <c r="R3321" s="11" t="s">
        <v>964</v>
      </c>
      <c r="S3321" s="13" t="s">
        <v>28</v>
      </c>
    </row>
    <row r="3322" spans="1:63" ht="12" customHeight="1" x14ac:dyDescent="0.15">
      <c r="A3322" s="1" t="s">
        <v>7041</v>
      </c>
      <c r="B3322" s="1">
        <v>28</v>
      </c>
      <c r="C3322" s="1" t="s">
        <v>20</v>
      </c>
      <c r="D3322" s="1" t="s">
        <v>85</v>
      </c>
      <c r="F3322" s="72">
        <v>41905</v>
      </c>
      <c r="G3322" s="1" t="s">
        <v>7042</v>
      </c>
      <c r="H3322" s="1" t="s">
        <v>890</v>
      </c>
      <c r="I3322" s="1" t="s">
        <v>315</v>
      </c>
      <c r="J3322" s="4" t="s">
        <v>1777</v>
      </c>
      <c r="K3322" s="1" t="s">
        <v>1778</v>
      </c>
      <c r="L3322" s="1" t="s">
        <v>891</v>
      </c>
      <c r="M3322" s="1" t="s">
        <v>27</v>
      </c>
      <c r="N3322" s="1" t="s">
        <v>7043</v>
      </c>
      <c r="O3322" s="1" t="s">
        <v>400</v>
      </c>
      <c r="P3322" s="1" t="s">
        <v>401</v>
      </c>
      <c r="Q3322" s="63" t="s">
        <v>7044</v>
      </c>
      <c r="R3322" s="1" t="s">
        <v>100</v>
      </c>
      <c r="S3322" s="13" t="s">
        <v>28</v>
      </c>
      <c r="AX3322" s="44"/>
      <c r="AY3322" s="44"/>
      <c r="BC3322" s="11"/>
      <c r="BD3322" s="11"/>
      <c r="BE3322" s="11"/>
      <c r="BF3322" s="11"/>
      <c r="BG3322" s="11"/>
      <c r="BH3322" s="11"/>
      <c r="BI3322" s="11"/>
      <c r="BJ3322" s="11"/>
    </row>
    <row r="3323" spans="1:63" ht="12" customHeight="1" x14ac:dyDescent="0.15">
      <c r="A3323" s="1" t="s">
        <v>7079</v>
      </c>
      <c r="B3323" s="1">
        <v>32</v>
      </c>
      <c r="C3323" s="1" t="s">
        <v>20</v>
      </c>
      <c r="D3323" s="1" t="s">
        <v>37</v>
      </c>
      <c r="E3323" s="1" t="s">
        <v>7080</v>
      </c>
      <c r="F3323" s="72">
        <v>41905</v>
      </c>
      <c r="G3323" s="1" t="s">
        <v>7081</v>
      </c>
      <c r="H3323" s="1" t="s">
        <v>7082</v>
      </c>
      <c r="I3323" s="1" t="s">
        <v>217</v>
      </c>
      <c r="J3323" s="4" t="s">
        <v>7083</v>
      </c>
      <c r="K3323" s="1" t="s">
        <v>7082</v>
      </c>
      <c r="L3323" s="1" t="s">
        <v>7084</v>
      </c>
      <c r="M3323" s="1" t="s">
        <v>27</v>
      </c>
      <c r="N3323" s="1" t="s">
        <v>7085</v>
      </c>
      <c r="O3323" s="1" t="s">
        <v>400</v>
      </c>
      <c r="P3323" s="1" t="s">
        <v>401</v>
      </c>
      <c r="Q3323" s="6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3323" s="1" t="s">
        <v>100</v>
      </c>
      <c r="S3323" s="13" t="s">
        <v>28</v>
      </c>
    </row>
    <row r="3324" spans="1:63" ht="12" customHeight="1" x14ac:dyDescent="0.15">
      <c r="A3324" s="1" t="s">
        <v>7045</v>
      </c>
      <c r="B3324" s="1">
        <v>14</v>
      </c>
      <c r="C3324" s="1" t="s">
        <v>20</v>
      </c>
      <c r="D3324" s="1" t="s">
        <v>85</v>
      </c>
      <c r="E3324" s="1" t="s">
        <v>7046</v>
      </c>
      <c r="F3324" s="72">
        <v>41905</v>
      </c>
      <c r="G3324" s="1" t="s">
        <v>7047</v>
      </c>
      <c r="H3324" s="1" t="s">
        <v>1001</v>
      </c>
      <c r="I3324" s="1" t="s">
        <v>25</v>
      </c>
      <c r="J3324" s="4" t="s">
        <v>7048</v>
      </c>
      <c r="K3324" s="1" t="s">
        <v>1002</v>
      </c>
      <c r="L3324" s="1" t="s">
        <v>7049</v>
      </c>
      <c r="M3324" s="1" t="s">
        <v>27</v>
      </c>
      <c r="N3324" s="1" t="s">
        <v>20987</v>
      </c>
      <c r="O3324" s="1" t="s">
        <v>550</v>
      </c>
      <c r="P3324" s="1" t="s">
        <v>401</v>
      </c>
      <c r="Q3324" s="63" t="s">
        <v>20988</v>
      </c>
      <c r="R3324" s="1" t="s">
        <v>100</v>
      </c>
      <c r="S3324" s="13" t="s">
        <v>18</v>
      </c>
      <c r="AX3324" s="44"/>
      <c r="AY3324" s="44"/>
      <c r="BC3324" s="11"/>
      <c r="BD3324" s="11"/>
      <c r="BE3324" s="11"/>
      <c r="BF3324" s="11"/>
      <c r="BG3324" s="11"/>
      <c r="BH3324" s="11"/>
      <c r="BI3324" s="11"/>
      <c r="BJ3324" s="11"/>
    </row>
    <row r="3325" spans="1:63" ht="12" customHeight="1" x14ac:dyDescent="0.15">
      <c r="A3325" s="1" t="s">
        <v>7065</v>
      </c>
      <c r="B3325" s="1">
        <v>23</v>
      </c>
      <c r="C3325" s="1" t="s">
        <v>20</v>
      </c>
      <c r="D3325" s="1" t="s">
        <v>37</v>
      </c>
      <c r="E3325" s="1" t="s">
        <v>7066</v>
      </c>
      <c r="F3325" s="72">
        <v>41905</v>
      </c>
      <c r="G3325" s="1" t="s">
        <v>7067</v>
      </c>
      <c r="H3325" s="1" t="s">
        <v>285</v>
      </c>
      <c r="I3325" s="1" t="s">
        <v>73</v>
      </c>
      <c r="J3325" s="4" t="s">
        <v>7068</v>
      </c>
      <c r="K3325" s="1" t="s">
        <v>285</v>
      </c>
      <c r="L3325" s="1" t="s">
        <v>7069</v>
      </c>
      <c r="M3325" s="1" t="s">
        <v>5628</v>
      </c>
      <c r="N3325" s="1" t="s">
        <v>7070</v>
      </c>
      <c r="O3325" s="1" t="s">
        <v>1010</v>
      </c>
      <c r="P3325" s="1" t="s">
        <v>401</v>
      </c>
      <c r="Q3325" s="6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3325" s="1" t="s">
        <v>100</v>
      </c>
      <c r="S3325" s="13" t="s">
        <v>18</v>
      </c>
      <c r="AX3325" s="44"/>
      <c r="AY3325" s="44"/>
      <c r="AZ3325" s="44"/>
    </row>
    <row r="3326" spans="1:63" ht="12" customHeight="1" x14ac:dyDescent="0.15">
      <c r="A3326" s="1" t="s">
        <v>7071</v>
      </c>
      <c r="B3326" s="1">
        <v>57</v>
      </c>
      <c r="C3326" s="1" t="s">
        <v>20</v>
      </c>
      <c r="D3326" s="1" t="s">
        <v>37</v>
      </c>
      <c r="E3326" s="1" t="s">
        <v>7072</v>
      </c>
      <c r="F3326" s="72">
        <v>41905</v>
      </c>
      <c r="G3326" s="1" t="s">
        <v>7073</v>
      </c>
      <c r="H3326" s="1" t="s">
        <v>7074</v>
      </c>
      <c r="I3326" s="1" t="s">
        <v>32</v>
      </c>
      <c r="J3326" s="4" t="s">
        <v>7075</v>
      </c>
      <c r="K3326" s="1" t="s">
        <v>5329</v>
      </c>
      <c r="L3326" s="1" t="s">
        <v>7076</v>
      </c>
      <c r="M3326" s="1" t="s">
        <v>27</v>
      </c>
      <c r="N3326" s="1" t="s">
        <v>7077</v>
      </c>
      <c r="O3326" s="1" t="s">
        <v>4684</v>
      </c>
      <c r="P3326" s="1" t="s">
        <v>401</v>
      </c>
      <c r="Q3326" s="63" t="s">
        <v>7078</v>
      </c>
      <c r="R3326" s="1" t="s">
        <v>555</v>
      </c>
      <c r="S3326" s="13" t="s">
        <v>28</v>
      </c>
      <c r="BA3326" s="11"/>
      <c r="BB3326" s="11"/>
    </row>
    <row r="3327" spans="1:63" ht="12" customHeight="1" x14ac:dyDescent="0.15">
      <c r="A3327" s="1" t="s">
        <v>7059</v>
      </c>
      <c r="B3327" s="1">
        <v>39</v>
      </c>
      <c r="C3327" s="1" t="s">
        <v>20</v>
      </c>
      <c r="D3327" s="1" t="s">
        <v>37</v>
      </c>
      <c r="E3327" s="1" t="s">
        <v>7060</v>
      </c>
      <c r="F3327" s="72">
        <v>41905</v>
      </c>
      <c r="G3327" s="1" t="s">
        <v>7061</v>
      </c>
      <c r="H3327" s="1" t="s">
        <v>7062</v>
      </c>
      <c r="I3327" s="1" t="s">
        <v>669</v>
      </c>
      <c r="J3327" s="4">
        <v>39652</v>
      </c>
      <c r="K3327" s="1" t="s">
        <v>3223</v>
      </c>
      <c r="L3327" s="1" t="s">
        <v>3224</v>
      </c>
      <c r="M3327" s="1" t="s">
        <v>29</v>
      </c>
      <c r="N3327" s="1" t="s">
        <v>7063</v>
      </c>
      <c r="P3327" s="1" t="s">
        <v>401</v>
      </c>
      <c r="Q3327" s="63" t="s">
        <v>7064</v>
      </c>
      <c r="R3327" s="1" t="s">
        <v>29</v>
      </c>
      <c r="S3327" s="13" t="s">
        <v>28</v>
      </c>
      <c r="AU3327" s="44"/>
      <c r="AV3327" s="44"/>
      <c r="AW3327" s="44"/>
    </row>
    <row r="3328" spans="1:63" ht="12" customHeight="1" x14ac:dyDescent="0.15">
      <c r="A3328" s="1" t="s">
        <v>7092</v>
      </c>
      <c r="B3328" s="1">
        <v>39</v>
      </c>
      <c r="C3328" s="1" t="s">
        <v>20</v>
      </c>
      <c r="D3328" s="1" t="s">
        <v>37</v>
      </c>
      <c r="E3328" s="1" t="s">
        <v>7093</v>
      </c>
      <c r="F3328" s="72">
        <v>41904</v>
      </c>
      <c r="G3328" s="1" t="s">
        <v>7094</v>
      </c>
      <c r="H3328" s="1" t="s">
        <v>2588</v>
      </c>
      <c r="I3328" s="1" t="s">
        <v>69</v>
      </c>
      <c r="J3328" s="4" t="s">
        <v>7095</v>
      </c>
      <c r="K3328" s="1" t="s">
        <v>2589</v>
      </c>
      <c r="L3328" s="1" t="s">
        <v>2590</v>
      </c>
      <c r="M3328" s="1" t="s">
        <v>27</v>
      </c>
      <c r="N3328" s="1" t="s">
        <v>7096</v>
      </c>
      <c r="O3328" s="1" t="s">
        <v>550</v>
      </c>
      <c r="P3328" s="1" t="s">
        <v>401</v>
      </c>
      <c r="Q3328" s="63" t="s">
        <v>7097</v>
      </c>
      <c r="R3328" s="1" t="s">
        <v>100</v>
      </c>
      <c r="S3328" s="13" t="s">
        <v>35</v>
      </c>
      <c r="BK3328" s="11"/>
    </row>
    <row r="3329" spans="1:63" ht="12" customHeight="1" x14ac:dyDescent="0.15">
      <c r="A3329" s="1" t="s">
        <v>7086</v>
      </c>
      <c r="B3329" s="1">
        <v>36</v>
      </c>
      <c r="C3329" s="1" t="s">
        <v>20</v>
      </c>
      <c r="D3329" s="1" t="s">
        <v>48</v>
      </c>
      <c r="E3329" s="1" t="s">
        <v>7087</v>
      </c>
      <c r="F3329" s="72">
        <v>41904</v>
      </c>
      <c r="G3329" s="1" t="s">
        <v>7088</v>
      </c>
      <c r="H3329" s="1" t="s">
        <v>200</v>
      </c>
      <c r="I3329" s="1" t="s">
        <v>45</v>
      </c>
      <c r="J3329" s="4" t="s">
        <v>7089</v>
      </c>
      <c r="K3329" s="1" t="s">
        <v>200</v>
      </c>
      <c r="L3329" s="1" t="s">
        <v>201</v>
      </c>
      <c r="M3329" s="1" t="s">
        <v>27</v>
      </c>
      <c r="N3329" s="1" t="s">
        <v>7090</v>
      </c>
      <c r="O3329" s="1" t="s">
        <v>550</v>
      </c>
      <c r="P3329" s="1" t="s">
        <v>401</v>
      </c>
      <c r="Q3329" s="63" t="s">
        <v>7091</v>
      </c>
      <c r="R3329" s="1" t="s">
        <v>555</v>
      </c>
      <c r="S3329" s="13" t="s">
        <v>28</v>
      </c>
      <c r="BA3329" s="11"/>
      <c r="BB3329" s="11"/>
    </row>
    <row r="3330" spans="1:63" ht="12" customHeight="1" x14ac:dyDescent="0.15">
      <c r="A3330" s="1" t="s">
        <v>7098</v>
      </c>
      <c r="B3330" s="1">
        <v>29</v>
      </c>
      <c r="C3330" s="1" t="s">
        <v>20</v>
      </c>
      <c r="D3330" s="1" t="s">
        <v>48</v>
      </c>
      <c r="F3330" s="72">
        <v>41903</v>
      </c>
      <c r="G3330" s="1" t="s">
        <v>7099</v>
      </c>
      <c r="H3330" s="1" t="s">
        <v>2049</v>
      </c>
      <c r="I3330" s="1" t="s">
        <v>117</v>
      </c>
      <c r="J3330" s="4" t="s">
        <v>7100</v>
      </c>
      <c r="K3330" s="1" t="s">
        <v>1537</v>
      </c>
      <c r="L3330" s="1" t="s">
        <v>7101</v>
      </c>
      <c r="M3330" s="1" t="s">
        <v>27</v>
      </c>
      <c r="N3330" s="1" t="s">
        <v>7102</v>
      </c>
      <c r="O3330" s="1" t="s">
        <v>1010</v>
      </c>
      <c r="P3330" s="1" t="s">
        <v>401</v>
      </c>
      <c r="Q3330" s="63" t="s">
        <v>7103</v>
      </c>
      <c r="R3330" s="1" t="s">
        <v>100</v>
      </c>
      <c r="S3330" s="13" t="s">
        <v>28</v>
      </c>
    </row>
    <row r="3331" spans="1:63" ht="12" customHeight="1" x14ac:dyDescent="0.15">
      <c r="A3331" s="1" t="s">
        <v>7104</v>
      </c>
      <c r="B3331" s="1">
        <v>43</v>
      </c>
      <c r="C3331" s="1" t="s">
        <v>20</v>
      </c>
      <c r="D3331" s="1" t="s">
        <v>37</v>
      </c>
      <c r="F3331" s="72">
        <v>41903</v>
      </c>
      <c r="G3331" s="1" t="s">
        <v>7105</v>
      </c>
      <c r="H3331" s="1" t="s">
        <v>1879</v>
      </c>
      <c r="I3331" s="1" t="s">
        <v>45</v>
      </c>
      <c r="J3331" s="4" t="s">
        <v>7106</v>
      </c>
      <c r="K3331" s="1" t="s">
        <v>1061</v>
      </c>
      <c r="L3331" s="1" t="s">
        <v>1881</v>
      </c>
      <c r="M3331" s="1" t="s">
        <v>27</v>
      </c>
      <c r="N3331" s="1" t="s">
        <v>7107</v>
      </c>
      <c r="O3331" s="1" t="s">
        <v>1010</v>
      </c>
      <c r="P3331" s="1" t="s">
        <v>401</v>
      </c>
      <c r="Q3331" s="63" t="s">
        <v>7108</v>
      </c>
      <c r="R3331" s="1" t="s">
        <v>100</v>
      </c>
      <c r="S3331" s="13" t="s">
        <v>28</v>
      </c>
    </row>
    <row r="3332" spans="1:63" ht="12" customHeight="1" x14ac:dyDescent="0.15">
      <c r="A3332" s="1" t="s">
        <v>7124</v>
      </c>
      <c r="B3332" s="1">
        <v>52</v>
      </c>
      <c r="C3332" s="1" t="s">
        <v>20</v>
      </c>
      <c r="D3332" s="1" t="s">
        <v>37</v>
      </c>
      <c r="E3332" s="1" t="s">
        <v>7125</v>
      </c>
      <c r="F3332" s="72">
        <v>41902</v>
      </c>
      <c r="G3332" s="1" t="s">
        <v>7126</v>
      </c>
      <c r="H3332" s="1" t="s">
        <v>7127</v>
      </c>
      <c r="I3332" s="1" t="s">
        <v>62</v>
      </c>
      <c r="J3332" s="4" t="s">
        <v>7128</v>
      </c>
      <c r="K3332" s="1" t="s">
        <v>3891</v>
      </c>
      <c r="L3332" s="1" t="s">
        <v>261</v>
      </c>
      <c r="M3332" s="1" t="s">
        <v>27</v>
      </c>
      <c r="N3332" s="1" t="s">
        <v>7129</v>
      </c>
      <c r="O3332" s="1" t="s">
        <v>1010</v>
      </c>
      <c r="P3332" s="1" t="s">
        <v>401</v>
      </c>
      <c r="Q3332" s="63" t="s">
        <v>7130</v>
      </c>
      <c r="R3332" s="1" t="s">
        <v>100</v>
      </c>
      <c r="S3332" s="13" t="s">
        <v>28</v>
      </c>
    </row>
    <row r="3333" spans="1:63" ht="12" customHeight="1" x14ac:dyDescent="0.15">
      <c r="A3333" s="1" t="s">
        <v>7109</v>
      </c>
      <c r="B3333" s="1">
        <v>43</v>
      </c>
      <c r="C3333" s="1" t="s">
        <v>20</v>
      </c>
      <c r="D3333" s="1" t="s">
        <v>37</v>
      </c>
      <c r="F3333" s="72">
        <v>41902</v>
      </c>
      <c r="G3333" s="1" t="s">
        <v>7110</v>
      </c>
      <c r="H3333" s="1" t="s">
        <v>7111</v>
      </c>
      <c r="I3333" s="1" t="s">
        <v>423</v>
      </c>
      <c r="J3333" s="4" t="s">
        <v>7112</v>
      </c>
      <c r="K3333" s="1" t="s">
        <v>7113</v>
      </c>
      <c r="L3333" s="1" t="s">
        <v>7114</v>
      </c>
      <c r="M3333" s="1" t="s">
        <v>391</v>
      </c>
      <c r="N3333" s="1" t="s">
        <v>7115</v>
      </c>
      <c r="O3333" s="1" t="s">
        <v>1010</v>
      </c>
      <c r="P3333" s="1" t="s">
        <v>401</v>
      </c>
      <c r="Q3333" s="63" t="s">
        <v>7116</v>
      </c>
      <c r="R3333" s="1" t="s">
        <v>29</v>
      </c>
      <c r="S3333" s="13" t="s">
        <v>18</v>
      </c>
      <c r="AU3333" s="11"/>
      <c r="AV3333" s="11"/>
      <c r="AW3333" s="11"/>
    </row>
    <row r="3334" spans="1:63" ht="12" customHeight="1" x14ac:dyDescent="0.15">
      <c r="A3334" s="1" t="s">
        <v>7117</v>
      </c>
      <c r="B3334" s="1">
        <v>49</v>
      </c>
      <c r="C3334" s="1" t="s">
        <v>114</v>
      </c>
      <c r="D3334" s="1" t="s">
        <v>37</v>
      </c>
      <c r="E3334" s="1" t="s">
        <v>7118</v>
      </c>
      <c r="F3334" s="72">
        <v>41902</v>
      </c>
      <c r="G3334" s="1" t="s">
        <v>7119</v>
      </c>
      <c r="H3334" s="1" t="s">
        <v>7120</v>
      </c>
      <c r="I3334" s="1" t="s">
        <v>62</v>
      </c>
      <c r="J3334" s="4" t="s">
        <v>7121</v>
      </c>
      <c r="K3334" s="1" t="s">
        <v>5988</v>
      </c>
      <c r="L3334" s="1" t="s">
        <v>5989</v>
      </c>
      <c r="M3334" s="1" t="s">
        <v>27</v>
      </c>
      <c r="N3334" s="1" t="s">
        <v>7122</v>
      </c>
      <c r="O3334" s="1" t="s">
        <v>4684</v>
      </c>
      <c r="P3334" s="1" t="s">
        <v>401</v>
      </c>
      <c r="Q3334" s="63" t="s">
        <v>7123</v>
      </c>
      <c r="R3334" s="1" t="s">
        <v>555</v>
      </c>
      <c r="S3334" s="13" t="s">
        <v>28</v>
      </c>
      <c r="BA3334" s="11"/>
      <c r="BB3334" s="11"/>
    </row>
    <row r="3335" spans="1:63" ht="12" customHeight="1" x14ac:dyDescent="0.2">
      <c r="A3335" s="1" t="s">
        <v>785</v>
      </c>
      <c r="B3335" s="1">
        <v>33</v>
      </c>
      <c r="C3335" s="1" t="s">
        <v>20</v>
      </c>
      <c r="D3335" s="1" t="s">
        <v>21</v>
      </c>
      <c r="E3335" s="1" t="s">
        <v>7131</v>
      </c>
      <c r="F3335" s="72">
        <v>41901</v>
      </c>
      <c r="G3335" s="1" t="s">
        <v>7132</v>
      </c>
      <c r="H3335" s="1" t="s">
        <v>971</v>
      </c>
      <c r="I3335" s="1" t="s">
        <v>195</v>
      </c>
      <c r="J3335" s="4" t="s">
        <v>7133</v>
      </c>
      <c r="K3335" s="1" t="s">
        <v>6410</v>
      </c>
      <c r="L3335" s="1" t="s">
        <v>7134</v>
      </c>
      <c r="M3335" s="1" t="s">
        <v>27</v>
      </c>
      <c r="N3335" s="1" t="s">
        <v>7135</v>
      </c>
      <c r="O3335" s="1" t="s">
        <v>1010</v>
      </c>
      <c r="P3335" s="1" t="s">
        <v>401</v>
      </c>
      <c r="Q3335" s="6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3335" s="1" t="s">
        <v>100</v>
      </c>
      <c r="S3335" s="13" t="s">
        <v>28</v>
      </c>
      <c r="AX3335" s="70"/>
      <c r="AY3335" s="70"/>
      <c r="BC3335" s="70"/>
      <c r="BD3335" s="70"/>
      <c r="BE3335" s="70"/>
      <c r="BF3335" s="70"/>
      <c r="BG3335" s="70"/>
      <c r="BH3335" s="70"/>
      <c r="BI3335" s="70"/>
      <c r="BJ3335" s="70"/>
    </row>
    <row r="3336" spans="1:63" ht="12" customHeight="1" x14ac:dyDescent="0.15">
      <c r="A3336" s="1" t="s">
        <v>7136</v>
      </c>
      <c r="B3336" s="1">
        <v>66</v>
      </c>
      <c r="C3336" s="1" t="s">
        <v>20</v>
      </c>
      <c r="D3336" s="1" t="s">
        <v>30</v>
      </c>
      <c r="F3336" s="72">
        <v>41901</v>
      </c>
      <c r="G3336" s="1" t="s">
        <v>7137</v>
      </c>
      <c r="H3336" s="1" t="s">
        <v>7138</v>
      </c>
      <c r="I3336" s="1" t="s">
        <v>123</v>
      </c>
      <c r="J3336" s="4" t="s">
        <v>7139</v>
      </c>
      <c r="K3336" s="1" t="s">
        <v>7140</v>
      </c>
      <c r="L3336" s="1" t="s">
        <v>19412</v>
      </c>
      <c r="M3336" s="1" t="s">
        <v>27</v>
      </c>
      <c r="N3336" s="1" t="s">
        <v>7141</v>
      </c>
      <c r="O3336" s="1" t="s">
        <v>1010</v>
      </c>
      <c r="P3336" s="1" t="s">
        <v>401</v>
      </c>
      <c r="Q3336" s="63" t="s">
        <v>7142</v>
      </c>
      <c r="R3336" s="1" t="s">
        <v>100</v>
      </c>
      <c r="S3336" s="13" t="s">
        <v>28</v>
      </c>
    </row>
    <row r="3337" spans="1:63" ht="12" customHeight="1" x14ac:dyDescent="0.2">
      <c r="A3337" s="1" t="s">
        <v>7143</v>
      </c>
      <c r="B3337" s="1">
        <v>18</v>
      </c>
      <c r="C3337" s="1" t="s">
        <v>20</v>
      </c>
      <c r="D3337" s="1" t="s">
        <v>37</v>
      </c>
      <c r="F3337" s="72">
        <v>41901</v>
      </c>
      <c r="G3337" s="1" t="s">
        <v>7144</v>
      </c>
      <c r="H3337" s="1" t="s">
        <v>7145</v>
      </c>
      <c r="I3337" s="1" t="s">
        <v>173</v>
      </c>
      <c r="J3337" s="4" t="s">
        <v>7146</v>
      </c>
      <c r="K3337" s="1" t="s">
        <v>1864</v>
      </c>
      <c r="L3337" s="1" t="s">
        <v>7147</v>
      </c>
      <c r="M3337" s="1" t="s">
        <v>27</v>
      </c>
      <c r="N3337" s="1" t="s">
        <v>7148</v>
      </c>
      <c r="O3337" s="1" t="s">
        <v>1010</v>
      </c>
      <c r="P3337" s="1" t="s">
        <v>401</v>
      </c>
      <c r="Q3337" s="6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3337" s="1" t="s">
        <v>29</v>
      </c>
      <c r="S3337" s="13" t="s">
        <v>28</v>
      </c>
      <c r="BA3337" s="70"/>
      <c r="BB3337" s="70"/>
    </row>
    <row r="3338" spans="1:63" ht="12" customHeight="1" x14ac:dyDescent="0.15">
      <c r="A3338" s="1" t="s">
        <v>7149</v>
      </c>
      <c r="B3338" s="1">
        <v>49</v>
      </c>
      <c r="C3338" s="1" t="s">
        <v>20</v>
      </c>
      <c r="D3338" s="1" t="s">
        <v>37</v>
      </c>
      <c r="E3338" s="1" t="s">
        <v>7150</v>
      </c>
      <c r="F3338" s="72">
        <v>41901</v>
      </c>
      <c r="G3338" s="1" t="s">
        <v>7151</v>
      </c>
      <c r="H3338" s="1" t="s">
        <v>7152</v>
      </c>
      <c r="I3338" s="1" t="s">
        <v>133</v>
      </c>
      <c r="J3338" s="4">
        <v>55811</v>
      </c>
      <c r="K3338" s="1" t="s">
        <v>709</v>
      </c>
      <c r="L3338" s="1" t="s">
        <v>7153</v>
      </c>
      <c r="M3338" s="1" t="s">
        <v>391</v>
      </c>
      <c r="N3338" s="1" t="s">
        <v>7154</v>
      </c>
      <c r="P3338" s="1" t="s">
        <v>401</v>
      </c>
      <c r="Q3338" s="63" t="str">
        <f>HYPERLINK("http://www.twincities.com/localnews/ci_26675527/hermantown-man-dies-after-police-use-taser","http://www.twincities.com/localnews/ci_26675527/hermantown-man-dies-after-police-use-taser")</f>
        <v>http://www.twincities.com/localnews/ci_26675527/hermantown-man-dies-after-police-use-taser</v>
      </c>
      <c r="R3338" s="1" t="s">
        <v>555</v>
      </c>
      <c r="S3338" s="13" t="s">
        <v>35</v>
      </c>
      <c r="AU3338" s="11"/>
      <c r="AV3338" s="11"/>
      <c r="AW3338" s="11"/>
      <c r="BK3338" s="11"/>
    </row>
    <row r="3339" spans="1:63" ht="12" customHeight="1" x14ac:dyDescent="0.15">
      <c r="A3339" s="1" t="s">
        <v>7155</v>
      </c>
      <c r="B3339" s="1">
        <v>42</v>
      </c>
      <c r="C3339" s="1" t="s">
        <v>20</v>
      </c>
      <c r="D3339" s="1" t="s">
        <v>85</v>
      </c>
      <c r="E3339" s="1" t="s">
        <v>7156</v>
      </c>
      <c r="F3339" s="72">
        <v>41900</v>
      </c>
      <c r="G3339" s="1" t="s">
        <v>7157</v>
      </c>
      <c r="H3339" s="1" t="s">
        <v>2797</v>
      </c>
      <c r="I3339" s="1" t="s">
        <v>431</v>
      </c>
      <c r="J3339" s="4" t="s">
        <v>2798</v>
      </c>
      <c r="K3339" s="1" t="s">
        <v>709</v>
      </c>
      <c r="L3339" s="1" t="s">
        <v>7158</v>
      </c>
      <c r="M3339" s="1" t="s">
        <v>27</v>
      </c>
      <c r="N3339" s="1" t="s">
        <v>7159</v>
      </c>
      <c r="O3339" s="1" t="s">
        <v>4684</v>
      </c>
      <c r="P3339" s="1" t="s">
        <v>401</v>
      </c>
      <c r="Q3339" s="63" t="s">
        <v>7160</v>
      </c>
      <c r="R3339" s="1" t="s">
        <v>100</v>
      </c>
      <c r="S3339" s="13" t="s">
        <v>28</v>
      </c>
      <c r="AX3339" s="44"/>
      <c r="AY3339" s="44"/>
      <c r="BC3339" s="11"/>
      <c r="BD3339" s="11"/>
      <c r="BE3339" s="11"/>
      <c r="BF3339" s="11"/>
      <c r="BG3339" s="11"/>
      <c r="BH3339" s="11"/>
      <c r="BI3339" s="11"/>
      <c r="BJ3339" s="11"/>
    </row>
    <row r="3340" spans="1:63" ht="12" customHeight="1" x14ac:dyDescent="0.15">
      <c r="A3340" s="1" t="s">
        <v>7167</v>
      </c>
      <c r="B3340" s="1">
        <v>40</v>
      </c>
      <c r="C3340" s="1" t="s">
        <v>20</v>
      </c>
      <c r="D3340" s="1" t="s">
        <v>37</v>
      </c>
      <c r="E3340" s="1" t="s">
        <v>7168</v>
      </c>
      <c r="F3340" s="72">
        <v>41900</v>
      </c>
      <c r="G3340" s="1" t="s">
        <v>7169</v>
      </c>
      <c r="H3340" s="1" t="s">
        <v>7170</v>
      </c>
      <c r="I3340" s="1" t="s">
        <v>319</v>
      </c>
      <c r="J3340" s="4" t="s">
        <v>7171</v>
      </c>
      <c r="K3340" s="1" t="s">
        <v>7172</v>
      </c>
      <c r="L3340" s="1" t="s">
        <v>7173</v>
      </c>
      <c r="M3340" s="1" t="s">
        <v>27</v>
      </c>
      <c r="N3340" s="1" t="s">
        <v>7174</v>
      </c>
      <c r="O3340" s="1" t="s">
        <v>4684</v>
      </c>
      <c r="P3340" s="1" t="s">
        <v>401</v>
      </c>
      <c r="Q3340" s="63" t="s">
        <v>7175</v>
      </c>
      <c r="R3340" s="1" t="s">
        <v>100</v>
      </c>
      <c r="S3340" s="13" t="s">
        <v>28</v>
      </c>
    </row>
    <row r="3341" spans="1:63" ht="12" customHeight="1" x14ac:dyDescent="0.15">
      <c r="A3341" s="1" t="s">
        <v>7161</v>
      </c>
      <c r="B3341" s="1">
        <v>29</v>
      </c>
      <c r="C3341" s="1" t="s">
        <v>20</v>
      </c>
      <c r="D3341" s="1" t="s">
        <v>85</v>
      </c>
      <c r="E3341" s="1" t="s">
        <v>7162</v>
      </c>
      <c r="F3341" s="72">
        <v>41900</v>
      </c>
      <c r="G3341" s="1" t="s">
        <v>7163</v>
      </c>
      <c r="H3341" s="1" t="s">
        <v>5158</v>
      </c>
      <c r="I3341" s="1" t="s">
        <v>173</v>
      </c>
      <c r="J3341" s="4" t="s">
        <v>7164</v>
      </c>
      <c r="K3341" s="1" t="s">
        <v>3736</v>
      </c>
      <c r="L3341" s="1" t="s">
        <v>7165</v>
      </c>
      <c r="M3341" s="1" t="s">
        <v>27</v>
      </c>
      <c r="N3341" s="1" t="s">
        <v>7166</v>
      </c>
      <c r="O3341" s="1" t="s">
        <v>400</v>
      </c>
      <c r="P3341" s="1" t="s">
        <v>401</v>
      </c>
      <c r="Q3341" s="63" t="str">
        <f>HYPERLINK("http://www.ajc.com/news/news/man-fatally-shot-by-police-on-savannah-street/nhP97/","http://www.ajc.com/news/news/man-fatally-shot-by-police-on-savannah-street/nhP97/")</f>
        <v>http://www.ajc.com/news/news/man-fatally-shot-by-police-on-savannah-street/nhP97/</v>
      </c>
      <c r="R3341" s="1" t="s">
        <v>29</v>
      </c>
      <c r="S3341" s="13" t="s">
        <v>35</v>
      </c>
      <c r="AX3341" s="44"/>
      <c r="AY3341" s="44"/>
      <c r="BC3341" s="11"/>
      <c r="BD3341" s="11"/>
      <c r="BE3341" s="11"/>
      <c r="BF3341" s="11"/>
      <c r="BG3341" s="11"/>
      <c r="BH3341" s="11"/>
      <c r="BI3341" s="11"/>
      <c r="BJ3341" s="11"/>
      <c r="BK3341" s="11"/>
    </row>
    <row r="3342" spans="1:63" ht="12" customHeight="1" x14ac:dyDescent="0.15">
      <c r="A3342" s="1" t="s">
        <v>7182</v>
      </c>
      <c r="B3342" s="1">
        <v>22</v>
      </c>
      <c r="C3342" s="1" t="s">
        <v>20</v>
      </c>
      <c r="D3342" s="1" t="s">
        <v>37</v>
      </c>
      <c r="E3342" s="1" t="s">
        <v>7183</v>
      </c>
      <c r="F3342" s="72">
        <v>41899</v>
      </c>
      <c r="G3342" s="1" t="s">
        <v>7184</v>
      </c>
      <c r="H3342" s="1" t="s">
        <v>7185</v>
      </c>
      <c r="I3342" s="1" t="s">
        <v>45</v>
      </c>
      <c r="J3342" s="4" t="s">
        <v>7186</v>
      </c>
      <c r="K3342" s="1" t="s">
        <v>5410</v>
      </c>
      <c r="L3342" s="1" t="s">
        <v>7187</v>
      </c>
      <c r="M3342" s="1" t="s">
        <v>27</v>
      </c>
      <c r="N3342" s="1" t="s">
        <v>7188</v>
      </c>
      <c r="O3342" s="1" t="s">
        <v>400</v>
      </c>
      <c r="P3342" s="1" t="s">
        <v>401</v>
      </c>
      <c r="Q3342" s="63" t="s">
        <v>7189</v>
      </c>
      <c r="R3342" s="1" t="s">
        <v>100</v>
      </c>
      <c r="S3342" s="13" t="s">
        <v>28</v>
      </c>
    </row>
    <row r="3343" spans="1:63" ht="12" customHeight="1" x14ac:dyDescent="0.15">
      <c r="A3343" s="1" t="s">
        <v>7176</v>
      </c>
      <c r="B3343" s="1">
        <v>41</v>
      </c>
      <c r="C3343" s="1" t="s">
        <v>20</v>
      </c>
      <c r="D3343" s="1" t="s">
        <v>37</v>
      </c>
      <c r="E3343" s="1" t="s">
        <v>7177</v>
      </c>
      <c r="F3343" s="72">
        <v>41899</v>
      </c>
      <c r="G3343" s="1" t="s">
        <v>7178</v>
      </c>
      <c r="H3343" s="1" t="s">
        <v>1862</v>
      </c>
      <c r="I3343" s="1" t="s">
        <v>370</v>
      </c>
      <c r="J3343" s="4" t="s">
        <v>7179</v>
      </c>
      <c r="K3343" s="1" t="s">
        <v>1864</v>
      </c>
      <c r="L3343" s="1" t="s">
        <v>1865</v>
      </c>
      <c r="M3343" s="1" t="s">
        <v>27</v>
      </c>
      <c r="N3343" s="1" t="s">
        <v>7180</v>
      </c>
      <c r="O3343" s="1" t="s">
        <v>4684</v>
      </c>
      <c r="P3343" s="1" t="s">
        <v>401</v>
      </c>
      <c r="Q3343" s="63" t="s">
        <v>7181</v>
      </c>
      <c r="R3343" s="1" t="s">
        <v>100</v>
      </c>
      <c r="S3343" s="13" t="s">
        <v>28</v>
      </c>
    </row>
    <row r="3344" spans="1:63" ht="12" customHeight="1" x14ac:dyDescent="0.15">
      <c r="A3344" s="1" t="s">
        <v>7190</v>
      </c>
      <c r="B3344" s="1">
        <v>23</v>
      </c>
      <c r="C3344" s="1" t="s">
        <v>20</v>
      </c>
      <c r="D3344" s="1" t="s">
        <v>85</v>
      </c>
      <c r="E3344" s="1" t="s">
        <v>7191</v>
      </c>
      <c r="F3344" s="72">
        <v>41898</v>
      </c>
      <c r="G3344" s="1" t="s">
        <v>7192</v>
      </c>
      <c r="H3344" s="1" t="s">
        <v>7193</v>
      </c>
      <c r="I3344" s="1" t="s">
        <v>81</v>
      </c>
      <c r="J3344" s="4" t="s">
        <v>7194</v>
      </c>
      <c r="K3344" s="1" t="s">
        <v>1833</v>
      </c>
      <c r="L3344" s="1" t="s">
        <v>7195</v>
      </c>
      <c r="M3344" s="1" t="s">
        <v>27</v>
      </c>
      <c r="N3344" s="1" t="s">
        <v>7196</v>
      </c>
      <c r="O3344" s="1" t="s">
        <v>4684</v>
      </c>
      <c r="P3344" s="1" t="s">
        <v>401</v>
      </c>
      <c r="Q3344" s="63" t="s">
        <v>7197</v>
      </c>
      <c r="R3344" s="1" t="s">
        <v>100</v>
      </c>
      <c r="S3344" s="13" t="s">
        <v>28</v>
      </c>
      <c r="AX3344" s="44"/>
      <c r="AY3344" s="44"/>
      <c r="BC3344" s="11"/>
      <c r="BD3344" s="11"/>
      <c r="BE3344" s="11"/>
      <c r="BF3344" s="11"/>
      <c r="BG3344" s="11"/>
      <c r="BH3344" s="11"/>
      <c r="BI3344" s="11"/>
      <c r="BJ3344" s="11"/>
    </row>
    <row r="3345" spans="1:63" ht="12" customHeight="1" x14ac:dyDescent="0.15">
      <c r="A3345" s="1" t="s">
        <v>7203</v>
      </c>
      <c r="B3345" s="1">
        <v>40</v>
      </c>
      <c r="C3345" s="1" t="s">
        <v>20</v>
      </c>
      <c r="D3345" s="1" t="s">
        <v>37</v>
      </c>
      <c r="E3345" s="1" t="s">
        <v>7204</v>
      </c>
      <c r="F3345" s="72">
        <v>41898</v>
      </c>
      <c r="G3345" s="1" t="s">
        <v>7205</v>
      </c>
      <c r="H3345" s="1" t="s">
        <v>7206</v>
      </c>
      <c r="I3345" s="1" t="s">
        <v>669</v>
      </c>
      <c r="J3345" s="4" t="s">
        <v>7207</v>
      </c>
      <c r="K3345" s="1" t="s">
        <v>5749</v>
      </c>
      <c r="L3345" s="1" t="s">
        <v>7208</v>
      </c>
      <c r="M3345" s="1" t="s">
        <v>27</v>
      </c>
      <c r="N3345" s="1" t="s">
        <v>7209</v>
      </c>
      <c r="O3345" s="1" t="s">
        <v>4684</v>
      </c>
      <c r="P3345" s="1" t="s">
        <v>401</v>
      </c>
      <c r="Q3345" s="63" t="s">
        <v>7210</v>
      </c>
      <c r="R3345" s="1" t="s">
        <v>100</v>
      </c>
      <c r="S3345" s="13" t="s">
        <v>28</v>
      </c>
    </row>
    <row r="3346" spans="1:63" ht="12" customHeight="1" x14ac:dyDescent="0.15">
      <c r="A3346" s="1" t="s">
        <v>7198</v>
      </c>
      <c r="B3346" s="1">
        <v>21</v>
      </c>
      <c r="C3346" s="1" t="s">
        <v>20</v>
      </c>
      <c r="D3346" s="1" t="s">
        <v>48</v>
      </c>
      <c r="E3346" s="1" t="s">
        <v>7199</v>
      </c>
      <c r="F3346" s="72">
        <v>41898</v>
      </c>
      <c r="G3346" s="1" t="s">
        <v>7200</v>
      </c>
      <c r="H3346" s="1" t="s">
        <v>200</v>
      </c>
      <c r="I3346" s="1" t="s">
        <v>45</v>
      </c>
      <c r="J3346" s="4" t="s">
        <v>7201</v>
      </c>
      <c r="K3346" s="1" t="s">
        <v>200</v>
      </c>
      <c r="L3346" s="1" t="s">
        <v>201</v>
      </c>
      <c r="M3346" s="1" t="s">
        <v>27</v>
      </c>
      <c r="N3346" s="1" t="s">
        <v>7202</v>
      </c>
      <c r="O3346" s="1" t="s">
        <v>1010</v>
      </c>
      <c r="P3346" s="1" t="s">
        <v>401</v>
      </c>
      <c r="Q3346" s="63" t="s">
        <v>20989</v>
      </c>
      <c r="R3346" s="1" t="s">
        <v>100</v>
      </c>
      <c r="S3346" s="13" t="s">
        <v>18</v>
      </c>
    </row>
    <row r="3347" spans="1:63" ht="12" customHeight="1" x14ac:dyDescent="0.15">
      <c r="A3347" s="1" t="s">
        <v>7211</v>
      </c>
      <c r="B3347" s="1">
        <v>23</v>
      </c>
      <c r="C3347" s="1" t="s">
        <v>20</v>
      </c>
      <c r="D3347" s="1" t="s">
        <v>85</v>
      </c>
      <c r="E3347" s="1" t="s">
        <v>7212</v>
      </c>
      <c r="F3347" s="72">
        <v>41897</v>
      </c>
      <c r="G3347" s="1" t="s">
        <v>7213</v>
      </c>
      <c r="H3347" s="1" t="s">
        <v>7214</v>
      </c>
      <c r="I3347" s="1" t="s">
        <v>330</v>
      </c>
      <c r="J3347" s="4" t="s">
        <v>7215</v>
      </c>
      <c r="K3347" s="1" t="s">
        <v>7216</v>
      </c>
      <c r="L3347" s="1" t="s">
        <v>7217</v>
      </c>
      <c r="M3347" s="1" t="s">
        <v>27</v>
      </c>
      <c r="N3347" s="1" t="s">
        <v>7218</v>
      </c>
      <c r="O3347" s="1" t="s">
        <v>4684</v>
      </c>
      <c r="P3347" s="1" t="s">
        <v>401</v>
      </c>
      <c r="Q3347" s="63" t="s">
        <v>7219</v>
      </c>
      <c r="R3347" s="1" t="s">
        <v>29</v>
      </c>
      <c r="S3347" s="13" t="s">
        <v>28</v>
      </c>
      <c r="AX3347" s="11"/>
      <c r="AY3347" s="11"/>
      <c r="BC3347" s="11"/>
      <c r="BD3347" s="11"/>
      <c r="BE3347" s="11"/>
      <c r="BF3347" s="11"/>
      <c r="BG3347" s="11"/>
      <c r="BH3347" s="11"/>
      <c r="BI3347" s="11"/>
      <c r="BJ3347" s="11"/>
    </row>
    <row r="3348" spans="1:63" ht="12" customHeight="1" x14ac:dyDescent="0.15">
      <c r="A3348" s="1" t="s">
        <v>7220</v>
      </c>
      <c r="B3348" s="1">
        <v>26</v>
      </c>
      <c r="C3348" s="1" t="s">
        <v>20</v>
      </c>
      <c r="D3348" s="1" t="s">
        <v>85</v>
      </c>
      <c r="E3348" s="1" t="s">
        <v>7221</v>
      </c>
      <c r="F3348" s="72">
        <v>41897</v>
      </c>
      <c r="G3348" s="1" t="s">
        <v>7222</v>
      </c>
      <c r="H3348" s="1" t="s">
        <v>7223</v>
      </c>
      <c r="I3348" s="1" t="s">
        <v>303</v>
      </c>
      <c r="J3348" s="4" t="s">
        <v>7224</v>
      </c>
      <c r="K3348" s="1" t="s">
        <v>7225</v>
      </c>
      <c r="L3348" s="1" t="s">
        <v>7226</v>
      </c>
      <c r="M3348" s="1" t="s">
        <v>27</v>
      </c>
      <c r="N3348" s="1" t="s">
        <v>7227</v>
      </c>
      <c r="O3348" s="1" t="s">
        <v>4684</v>
      </c>
      <c r="P3348" s="1" t="s">
        <v>401</v>
      </c>
      <c r="Q3348" s="63" t="s">
        <v>7228</v>
      </c>
      <c r="R3348" s="1" t="s">
        <v>555</v>
      </c>
      <c r="S3348" s="13" t="s">
        <v>28</v>
      </c>
      <c r="AX3348" s="11"/>
      <c r="AY3348" s="11"/>
      <c r="BC3348" s="11"/>
      <c r="BD3348" s="11"/>
      <c r="BE3348" s="11"/>
      <c r="BF3348" s="11"/>
      <c r="BG3348" s="11"/>
      <c r="BH3348" s="11"/>
      <c r="BI3348" s="11"/>
      <c r="BJ3348" s="11"/>
    </row>
    <row r="3349" spans="1:63" ht="12" customHeight="1" x14ac:dyDescent="0.15">
      <c r="A3349" s="1" t="s">
        <v>7233</v>
      </c>
      <c r="B3349" s="1">
        <v>24</v>
      </c>
      <c r="C3349" s="1" t="s">
        <v>20</v>
      </c>
      <c r="D3349" s="1" t="s">
        <v>48</v>
      </c>
      <c r="E3349" s="1" t="s">
        <v>7234</v>
      </c>
      <c r="F3349" s="72">
        <v>41896</v>
      </c>
      <c r="G3349" s="1" t="s">
        <v>7235</v>
      </c>
      <c r="H3349" s="1" t="s">
        <v>874</v>
      </c>
      <c r="I3349" s="1" t="s">
        <v>45</v>
      </c>
      <c r="J3349" s="4" t="s">
        <v>7236</v>
      </c>
      <c r="K3349" s="1" t="s">
        <v>4500</v>
      </c>
      <c r="L3349" s="1" t="s">
        <v>19409</v>
      </c>
      <c r="M3349" s="1" t="s">
        <v>27</v>
      </c>
      <c r="N3349" s="1" t="s">
        <v>7237</v>
      </c>
      <c r="O3349" s="1" t="s">
        <v>1010</v>
      </c>
      <c r="P3349" s="1" t="s">
        <v>401</v>
      </c>
      <c r="Q3349" s="63" t="s">
        <v>7238</v>
      </c>
      <c r="R3349" s="11" t="s">
        <v>964</v>
      </c>
      <c r="S3349" s="13" t="s">
        <v>28</v>
      </c>
    </row>
    <row r="3350" spans="1:63" ht="12" customHeight="1" x14ac:dyDescent="0.15">
      <c r="A3350" s="1" t="s">
        <v>7229</v>
      </c>
      <c r="B3350" s="1">
        <v>36</v>
      </c>
      <c r="C3350" s="1" t="s">
        <v>20</v>
      </c>
      <c r="D3350" s="1" t="s">
        <v>85</v>
      </c>
      <c r="F3350" s="72">
        <v>41896</v>
      </c>
      <c r="G3350" s="1" t="s">
        <v>7230</v>
      </c>
      <c r="H3350" s="1" t="s">
        <v>6374</v>
      </c>
      <c r="I3350" s="1" t="s">
        <v>25</v>
      </c>
      <c r="J3350" s="4" t="s">
        <v>7231</v>
      </c>
      <c r="K3350" s="1" t="s">
        <v>1778</v>
      </c>
      <c r="L3350" s="1" t="s">
        <v>1041</v>
      </c>
      <c r="M3350" s="1" t="s">
        <v>27</v>
      </c>
      <c r="N3350" s="1" t="s">
        <v>7232</v>
      </c>
      <c r="O3350" s="1" t="s">
        <v>550</v>
      </c>
      <c r="P3350" s="1" t="s">
        <v>401</v>
      </c>
      <c r="Q3350" s="63" t="str">
        <f>HYPERLINK("http://www.wwltv.com/story/news/local/orleans/2014/09/15/officer-shot-on-duty-in-good-spirits/15700815/","http://www.wwltv.com/story/news/local/orleans/2014/09/15/officer-shot-on-duty-in-good-spirits/15700815/")</f>
        <v>http://www.wwltv.com/story/news/local/orleans/2014/09/15/officer-shot-on-duty-in-good-spirits/15700815/</v>
      </c>
      <c r="R3350" s="1" t="s">
        <v>100</v>
      </c>
      <c r="S3350" s="13" t="s">
        <v>28</v>
      </c>
      <c r="AX3350" s="11"/>
      <c r="AY3350" s="11"/>
      <c r="BC3350" s="11"/>
      <c r="BD3350" s="11"/>
      <c r="BE3350" s="11"/>
      <c r="BF3350" s="11"/>
      <c r="BG3350" s="11"/>
      <c r="BH3350" s="11"/>
      <c r="BI3350" s="11"/>
      <c r="BJ3350" s="11"/>
    </row>
    <row r="3351" spans="1:63" ht="12" customHeight="1" x14ac:dyDescent="0.2">
      <c r="A3351" s="1" t="s">
        <v>7239</v>
      </c>
      <c r="B3351" s="1">
        <v>20</v>
      </c>
      <c r="C3351" s="1" t="s">
        <v>20</v>
      </c>
      <c r="D3351" s="1" t="s">
        <v>48</v>
      </c>
      <c r="E3351" s="1" t="s">
        <v>7240</v>
      </c>
      <c r="F3351" s="72">
        <v>41896</v>
      </c>
      <c r="G3351" s="1" t="s">
        <v>7241</v>
      </c>
      <c r="H3351" s="1" t="s">
        <v>7242</v>
      </c>
      <c r="I3351" s="1" t="s">
        <v>44</v>
      </c>
      <c r="J3351" s="4" t="s">
        <v>7243</v>
      </c>
      <c r="K3351" s="1" t="s">
        <v>88</v>
      </c>
      <c r="L3351" s="1" t="s">
        <v>7244</v>
      </c>
      <c r="M3351" s="1" t="s">
        <v>379</v>
      </c>
      <c r="N3351" s="1" t="s">
        <v>7245</v>
      </c>
      <c r="O3351" s="1" t="s">
        <v>1010</v>
      </c>
      <c r="P3351" s="1" t="s">
        <v>401</v>
      </c>
      <c r="Q3351" s="63" t="s">
        <v>7246</v>
      </c>
      <c r="R3351" s="1" t="s">
        <v>100</v>
      </c>
      <c r="S3351" s="13" t="s">
        <v>18</v>
      </c>
      <c r="BK3351" s="70"/>
    </row>
    <row r="3352" spans="1:63" ht="12" customHeight="1" x14ac:dyDescent="0.15">
      <c r="A3352" s="1" t="s">
        <v>3732</v>
      </c>
      <c r="B3352" s="1">
        <v>37</v>
      </c>
      <c r="C3352" s="1" t="s">
        <v>20</v>
      </c>
      <c r="D3352" s="1" t="s">
        <v>37</v>
      </c>
      <c r="F3352" s="72">
        <v>41896</v>
      </c>
      <c r="G3352" s="1" t="s">
        <v>7247</v>
      </c>
      <c r="H3352" s="1" t="s">
        <v>547</v>
      </c>
      <c r="I3352" s="1" t="s">
        <v>69</v>
      </c>
      <c r="J3352" s="4" t="s">
        <v>7248</v>
      </c>
      <c r="K3352" s="1" t="s">
        <v>548</v>
      </c>
      <c r="L3352" s="1" t="s">
        <v>549</v>
      </c>
      <c r="M3352" s="1" t="s">
        <v>27</v>
      </c>
      <c r="N3352" s="1" t="s">
        <v>7249</v>
      </c>
      <c r="O3352" s="1" t="s">
        <v>550</v>
      </c>
      <c r="P3352" s="1" t="s">
        <v>401</v>
      </c>
      <c r="Q3352" s="63" t="s">
        <v>7250</v>
      </c>
      <c r="R3352" s="1" t="s">
        <v>555</v>
      </c>
      <c r="S3352" s="13" t="s">
        <v>28</v>
      </c>
      <c r="BA3352" s="11"/>
      <c r="BB3352" s="11"/>
    </row>
    <row r="3353" spans="1:63" ht="12" customHeight="1" x14ac:dyDescent="0.15">
      <c r="A3353" s="1" t="s">
        <v>7261</v>
      </c>
      <c r="B3353" s="1">
        <v>29</v>
      </c>
      <c r="C3353" s="1" t="s">
        <v>20</v>
      </c>
      <c r="D3353" s="1" t="s">
        <v>37</v>
      </c>
      <c r="E3353" s="1" t="s">
        <v>7262</v>
      </c>
      <c r="F3353" s="72">
        <v>41895</v>
      </c>
      <c r="G3353" s="1" t="s">
        <v>7263</v>
      </c>
      <c r="H3353" s="1" t="s">
        <v>1007</v>
      </c>
      <c r="I3353" s="1" t="s">
        <v>315</v>
      </c>
      <c r="J3353" s="4" t="s">
        <v>7264</v>
      </c>
      <c r="K3353" s="1" t="s">
        <v>1516</v>
      </c>
      <c r="L3353" s="1" t="s">
        <v>15777</v>
      </c>
      <c r="M3353" s="1" t="s">
        <v>27</v>
      </c>
      <c r="N3353" s="1" t="s">
        <v>7265</v>
      </c>
      <c r="O3353" s="1" t="s">
        <v>1010</v>
      </c>
      <c r="P3353" s="1" t="s">
        <v>401</v>
      </c>
      <c r="Q3353" s="6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3353" s="1" t="s">
        <v>100</v>
      </c>
      <c r="S3353" s="13" t="s">
        <v>28</v>
      </c>
    </row>
    <row r="3354" spans="1:63" ht="12" customHeight="1" x14ac:dyDescent="0.15">
      <c r="A3354" s="1" t="s">
        <v>7251</v>
      </c>
      <c r="B3354" s="1">
        <v>25</v>
      </c>
      <c r="C3354" s="1" t="s">
        <v>20</v>
      </c>
      <c r="D3354" s="1" t="s">
        <v>85</v>
      </c>
      <c r="E3354" s="1" t="s">
        <v>7252</v>
      </c>
      <c r="F3354" s="72">
        <v>41895</v>
      </c>
      <c r="G3354" s="1" t="s">
        <v>7253</v>
      </c>
      <c r="H3354" s="1" t="s">
        <v>4952</v>
      </c>
      <c r="I3354" s="1" t="s">
        <v>240</v>
      </c>
      <c r="J3354" s="4" t="s">
        <v>4953</v>
      </c>
      <c r="K3354" s="1" t="s">
        <v>611</v>
      </c>
      <c r="L3354" s="1" t="s">
        <v>7254</v>
      </c>
      <c r="M3354" s="1" t="s">
        <v>5628</v>
      </c>
      <c r="N3354" s="1" t="s">
        <v>7255</v>
      </c>
      <c r="O3354" s="1" t="s">
        <v>550</v>
      </c>
      <c r="P3354" s="1" t="s">
        <v>401</v>
      </c>
      <c r="Q3354" s="63" t="s">
        <v>7256</v>
      </c>
      <c r="R3354" s="1" t="s">
        <v>100</v>
      </c>
      <c r="S3354" s="13" t="s">
        <v>18</v>
      </c>
      <c r="AX3354" s="44"/>
      <c r="AY3354" s="44"/>
      <c r="BC3354" s="11"/>
      <c r="BD3354" s="11"/>
      <c r="BE3354" s="11"/>
      <c r="BF3354" s="11"/>
      <c r="BG3354" s="11"/>
      <c r="BH3354" s="11"/>
      <c r="BI3354" s="11"/>
      <c r="BJ3354" s="11"/>
    </row>
    <row r="3355" spans="1:63" ht="12" customHeight="1" x14ac:dyDescent="0.15">
      <c r="A3355" s="1" t="s">
        <v>7266</v>
      </c>
      <c r="B3355" s="1">
        <v>43</v>
      </c>
      <c r="C3355" s="1" t="s">
        <v>20</v>
      </c>
      <c r="D3355" s="1" t="s">
        <v>37</v>
      </c>
      <c r="E3355" s="1" t="s">
        <v>7267</v>
      </c>
      <c r="F3355" s="72">
        <v>41895</v>
      </c>
      <c r="G3355" s="1" t="s">
        <v>7268</v>
      </c>
      <c r="H3355" s="1" t="s">
        <v>7269</v>
      </c>
      <c r="I3355" s="1" t="s">
        <v>319</v>
      </c>
      <c r="J3355" s="4" t="s">
        <v>7270</v>
      </c>
      <c r="K3355" s="1" t="s">
        <v>5502</v>
      </c>
      <c r="L3355" s="1" t="s">
        <v>7271</v>
      </c>
      <c r="M3355" s="1" t="s">
        <v>27</v>
      </c>
      <c r="N3355" s="1" t="s">
        <v>7272</v>
      </c>
      <c r="O3355" s="1" t="s">
        <v>550</v>
      </c>
      <c r="P3355" s="1" t="s">
        <v>401</v>
      </c>
      <c r="Q3355" s="63" t="s">
        <v>7273</v>
      </c>
      <c r="R3355" s="1" t="s">
        <v>100</v>
      </c>
      <c r="S3355" s="13" t="s">
        <v>18</v>
      </c>
    </row>
    <row r="3356" spans="1:63" ht="12" customHeight="1" x14ac:dyDescent="0.15">
      <c r="A3356" s="1" t="s">
        <v>7257</v>
      </c>
      <c r="B3356" s="1">
        <v>47</v>
      </c>
      <c r="C3356" s="1" t="s">
        <v>20</v>
      </c>
      <c r="D3356" s="1" t="s">
        <v>85</v>
      </c>
      <c r="E3356" s="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3356" s="72">
        <v>41895</v>
      </c>
      <c r="G3356" s="1" t="s">
        <v>7258</v>
      </c>
      <c r="H3356" s="1" t="s">
        <v>4144</v>
      </c>
      <c r="I3356" s="1" t="s">
        <v>94</v>
      </c>
      <c r="J3356" s="4">
        <v>35203</v>
      </c>
      <c r="K3356" s="1" t="s">
        <v>1778</v>
      </c>
      <c r="L3356" s="1" t="s">
        <v>7259</v>
      </c>
      <c r="M3356" s="1" t="s">
        <v>391</v>
      </c>
      <c r="N3356" s="1" t="s">
        <v>7260</v>
      </c>
      <c r="O3356" s="1" t="s">
        <v>1010</v>
      </c>
      <c r="P3356" s="1" t="s">
        <v>401</v>
      </c>
      <c r="Q3356" s="63" t="str">
        <f>HYPERLINK("http://www.al.com/news/birmingham/index.ssf/2014/09/jefferson_county_inmate_dies_a.html","http://www.al.com/news/birmingham/index.ssf/2014/09/jefferson_county_inmate_dies_a.html")</f>
        <v>http://www.al.com/news/birmingham/index.ssf/2014/09/jefferson_county_inmate_dies_a.html</v>
      </c>
      <c r="R3356" s="1" t="s">
        <v>29</v>
      </c>
      <c r="S3356" s="13" t="s">
        <v>18</v>
      </c>
      <c r="AU3356" s="11"/>
      <c r="AV3356" s="11"/>
      <c r="AW3356" s="11"/>
      <c r="AX3356" s="11"/>
      <c r="AY3356" s="11"/>
      <c r="BC3356" s="11"/>
      <c r="BD3356" s="11"/>
      <c r="BE3356" s="11"/>
      <c r="BF3356" s="11"/>
      <c r="BG3356" s="11"/>
      <c r="BH3356" s="11"/>
      <c r="BI3356" s="11"/>
      <c r="BJ3356" s="11"/>
    </row>
    <row r="3357" spans="1:63" ht="12" customHeight="1" x14ac:dyDescent="0.15">
      <c r="A3357" s="1" t="s">
        <v>7274</v>
      </c>
      <c r="B3357" s="1">
        <v>22</v>
      </c>
      <c r="C3357" s="1" t="s">
        <v>20</v>
      </c>
      <c r="D3357" s="1" t="s">
        <v>85</v>
      </c>
      <c r="E3357" s="1" t="s">
        <v>7275</v>
      </c>
      <c r="F3357" s="72">
        <v>41894</v>
      </c>
      <c r="G3357" s="1" t="s">
        <v>7276</v>
      </c>
      <c r="H3357" s="1" t="s">
        <v>7277</v>
      </c>
      <c r="I3357" s="1" t="s">
        <v>240</v>
      </c>
      <c r="J3357" s="4" t="s">
        <v>7278</v>
      </c>
      <c r="K3357" s="1" t="s">
        <v>590</v>
      </c>
      <c r="L3357" s="1" t="s">
        <v>7279</v>
      </c>
      <c r="M3357" s="1" t="s">
        <v>27</v>
      </c>
      <c r="N3357" s="1" t="s">
        <v>7280</v>
      </c>
      <c r="O3357" s="1" t="s">
        <v>400</v>
      </c>
      <c r="P3357" s="1" t="s">
        <v>401</v>
      </c>
      <c r="Q3357" s="63" t="s">
        <v>7281</v>
      </c>
      <c r="R3357" s="1" t="s">
        <v>100</v>
      </c>
      <c r="S3357" s="13" t="s">
        <v>18</v>
      </c>
      <c r="AX3357" s="11"/>
      <c r="AY3357" s="11"/>
      <c r="BC3357" s="11"/>
      <c r="BD3357" s="11"/>
      <c r="BE3357" s="11"/>
      <c r="BF3357" s="11"/>
      <c r="BG3357" s="11"/>
      <c r="BH3357" s="11"/>
      <c r="BI3357" s="11"/>
      <c r="BJ3357" s="11"/>
    </row>
    <row r="3358" spans="1:63" ht="12" customHeight="1" x14ac:dyDescent="0.15">
      <c r="A3358" s="1" t="s">
        <v>7282</v>
      </c>
      <c r="B3358" s="1">
        <v>33</v>
      </c>
      <c r="C3358" s="1" t="s">
        <v>20</v>
      </c>
      <c r="D3358" s="1" t="s">
        <v>85</v>
      </c>
      <c r="E3358" s="1" t="s">
        <v>7283</v>
      </c>
      <c r="F3358" s="72">
        <v>41894</v>
      </c>
      <c r="G3358" s="1" t="s">
        <v>7284</v>
      </c>
      <c r="H3358" s="1" t="s">
        <v>387</v>
      </c>
      <c r="I3358" s="1" t="s">
        <v>319</v>
      </c>
      <c r="J3358" s="4" t="s">
        <v>7285</v>
      </c>
      <c r="K3358" s="1" t="s">
        <v>2681</v>
      </c>
      <c r="L3358" s="1" t="s">
        <v>2682</v>
      </c>
      <c r="M3358" s="1" t="s">
        <v>27</v>
      </c>
      <c r="N3358" s="1" t="s">
        <v>7286</v>
      </c>
      <c r="O3358" s="1" t="s">
        <v>1010</v>
      </c>
      <c r="P3358" s="1" t="s">
        <v>401</v>
      </c>
      <c r="Q3358" s="63" t="s">
        <v>7287</v>
      </c>
      <c r="R3358" s="1" t="s">
        <v>100</v>
      </c>
      <c r="S3358" s="13" t="s">
        <v>379</v>
      </c>
      <c r="AX3358" s="11"/>
      <c r="AY3358" s="11"/>
      <c r="BC3358" s="11"/>
      <c r="BD3358" s="11"/>
      <c r="BE3358" s="11"/>
      <c r="BF3358" s="11"/>
      <c r="BG3358" s="11"/>
      <c r="BH3358" s="11"/>
      <c r="BI3358" s="11"/>
      <c r="BJ3358" s="11"/>
      <c r="BK3358" s="44"/>
    </row>
    <row r="3359" spans="1:63" ht="12" customHeight="1" x14ac:dyDescent="0.15">
      <c r="A3359" s="1" t="s">
        <v>7288</v>
      </c>
      <c r="B3359" s="1">
        <v>33</v>
      </c>
      <c r="C3359" s="1" t="s">
        <v>20</v>
      </c>
      <c r="D3359" s="1" t="s">
        <v>37</v>
      </c>
      <c r="E3359" s="1" t="s">
        <v>7289</v>
      </c>
      <c r="F3359" s="72">
        <v>41894</v>
      </c>
      <c r="G3359" s="1" t="s">
        <v>7290</v>
      </c>
      <c r="H3359" s="1" t="s">
        <v>7291</v>
      </c>
      <c r="I3359" s="1" t="s">
        <v>73</v>
      </c>
      <c r="J3359" s="4" t="s">
        <v>7292</v>
      </c>
      <c r="K3359" s="1" t="s">
        <v>7293</v>
      </c>
      <c r="L3359" s="1" t="s">
        <v>7294</v>
      </c>
      <c r="M3359" s="1" t="s">
        <v>27</v>
      </c>
      <c r="N3359" s="1" t="s">
        <v>7295</v>
      </c>
      <c r="O3359" s="1" t="s">
        <v>1010</v>
      </c>
      <c r="P3359" s="1" t="s">
        <v>401</v>
      </c>
      <c r="Q3359" s="63" t="s">
        <v>7296</v>
      </c>
      <c r="R3359" s="1" t="s">
        <v>555</v>
      </c>
      <c r="S3359" s="13" t="s">
        <v>28</v>
      </c>
      <c r="BA3359" s="11"/>
      <c r="BB3359" s="11"/>
    </row>
    <row r="3360" spans="1:63" ht="12" customHeight="1" x14ac:dyDescent="0.15">
      <c r="A3360" s="1" t="s">
        <v>7297</v>
      </c>
      <c r="B3360" s="1">
        <v>54</v>
      </c>
      <c r="C3360" s="1" t="s">
        <v>20</v>
      </c>
      <c r="D3360" s="1" t="s">
        <v>37</v>
      </c>
      <c r="F3360" s="72">
        <v>41893</v>
      </c>
      <c r="G3360" s="1" t="s">
        <v>7298</v>
      </c>
      <c r="H3360" s="1" t="s">
        <v>7299</v>
      </c>
      <c r="I3360" s="1" t="s">
        <v>73</v>
      </c>
      <c r="J3360" s="4" t="s">
        <v>7300</v>
      </c>
      <c r="K3360" s="1" t="s">
        <v>7301</v>
      </c>
      <c r="L3360" s="1" t="s">
        <v>7302</v>
      </c>
      <c r="M3360" s="1" t="s">
        <v>27</v>
      </c>
      <c r="N3360" s="1" t="s">
        <v>7303</v>
      </c>
      <c r="O3360" s="1" t="s">
        <v>4684</v>
      </c>
      <c r="P3360" s="1" t="s">
        <v>401</v>
      </c>
      <c r="Q3360" s="63" t="s">
        <v>7304</v>
      </c>
      <c r="R3360" s="1" t="s">
        <v>100</v>
      </c>
      <c r="S3360" s="13" t="s">
        <v>28</v>
      </c>
    </row>
    <row r="3361" spans="1:62" ht="12" customHeight="1" x14ac:dyDescent="0.15">
      <c r="A3361" s="1" t="s">
        <v>7312</v>
      </c>
      <c r="B3361" s="1">
        <v>40</v>
      </c>
      <c r="C3361" s="1" t="s">
        <v>20</v>
      </c>
      <c r="D3361" s="1" t="s">
        <v>37</v>
      </c>
      <c r="E3361" s="1" t="s">
        <v>7313</v>
      </c>
      <c r="F3361" s="72">
        <v>41893</v>
      </c>
      <c r="G3361" s="1" t="s">
        <v>7314</v>
      </c>
      <c r="H3361" s="1" t="s">
        <v>7315</v>
      </c>
      <c r="I3361" s="1" t="s">
        <v>73</v>
      </c>
      <c r="J3361" s="4" t="s">
        <v>2869</v>
      </c>
      <c r="K3361" s="1" t="s">
        <v>558</v>
      </c>
      <c r="L3361" s="1" t="s">
        <v>5634</v>
      </c>
      <c r="M3361" s="1" t="s">
        <v>27</v>
      </c>
      <c r="N3361" s="1" t="s">
        <v>7316</v>
      </c>
      <c r="O3361" s="1" t="s">
        <v>1010</v>
      </c>
      <c r="P3361" s="1" t="s">
        <v>401</v>
      </c>
      <c r="Q3361" s="63" t="s">
        <v>7317</v>
      </c>
      <c r="R3361" s="1" t="s">
        <v>100</v>
      </c>
      <c r="S3361" s="13" t="s">
        <v>28</v>
      </c>
    </row>
    <row r="3362" spans="1:62" ht="12" customHeight="1" x14ac:dyDescent="0.15">
      <c r="A3362" s="1" t="s">
        <v>7305</v>
      </c>
      <c r="B3362" s="1">
        <v>37</v>
      </c>
      <c r="C3362" s="1" t="s">
        <v>20</v>
      </c>
      <c r="D3362" s="1" t="s">
        <v>37</v>
      </c>
      <c r="E3362" s="1" t="s">
        <v>7306</v>
      </c>
      <c r="F3362" s="72">
        <v>41893</v>
      </c>
      <c r="G3362" s="1" t="s">
        <v>7307</v>
      </c>
      <c r="H3362" s="1" t="s">
        <v>7308</v>
      </c>
      <c r="I3362" s="1" t="s">
        <v>240</v>
      </c>
      <c r="J3362" s="4" t="s">
        <v>7309</v>
      </c>
      <c r="K3362" s="1" t="s">
        <v>118</v>
      </c>
      <c r="L3362" s="1" t="s">
        <v>7310</v>
      </c>
      <c r="M3362" s="1" t="s">
        <v>27</v>
      </c>
      <c r="N3362" s="1" t="s">
        <v>7311</v>
      </c>
      <c r="O3362" s="1" t="s">
        <v>550</v>
      </c>
      <c r="P3362" s="1" t="s">
        <v>401</v>
      </c>
      <c r="Q3362" s="63" t="s">
        <v>5260</v>
      </c>
      <c r="R3362" s="1" t="s">
        <v>100</v>
      </c>
      <c r="S3362" s="13" t="s">
        <v>28</v>
      </c>
    </row>
    <row r="3363" spans="1:62" ht="12" customHeight="1" x14ac:dyDescent="0.15">
      <c r="A3363" s="1" t="s">
        <v>7318</v>
      </c>
      <c r="B3363" s="1">
        <v>20</v>
      </c>
      <c r="C3363" s="1" t="s">
        <v>20</v>
      </c>
      <c r="D3363" s="1" t="s">
        <v>85</v>
      </c>
      <c r="F3363" s="72">
        <v>41891</v>
      </c>
      <c r="G3363" s="1" t="s">
        <v>7319</v>
      </c>
      <c r="H3363" s="1" t="s">
        <v>1399</v>
      </c>
      <c r="I3363" s="1" t="s">
        <v>81</v>
      </c>
      <c r="J3363" s="4" t="s">
        <v>7320</v>
      </c>
      <c r="K3363" s="1" t="s">
        <v>1400</v>
      </c>
      <c r="L3363" s="1" t="s">
        <v>1401</v>
      </c>
      <c r="M3363" s="1" t="s">
        <v>27</v>
      </c>
      <c r="N3363" s="1" t="s">
        <v>7321</v>
      </c>
      <c r="O3363" s="1" t="s">
        <v>1010</v>
      </c>
      <c r="P3363" s="1" t="s">
        <v>401</v>
      </c>
      <c r="Q3363" s="63" t="s">
        <v>7322</v>
      </c>
      <c r="R3363" s="1" t="s">
        <v>100</v>
      </c>
      <c r="S3363" s="13" t="s">
        <v>28</v>
      </c>
      <c r="AX3363" s="11"/>
      <c r="AY3363" s="11"/>
      <c r="BC3363" s="11"/>
      <c r="BD3363" s="11"/>
      <c r="BE3363" s="11"/>
      <c r="BF3363" s="11"/>
      <c r="BG3363" s="11"/>
      <c r="BH3363" s="11"/>
      <c r="BI3363" s="11"/>
      <c r="BJ3363" s="11"/>
    </row>
    <row r="3364" spans="1:62" ht="12" customHeight="1" x14ac:dyDescent="0.15">
      <c r="A3364" s="1" t="s">
        <v>7323</v>
      </c>
      <c r="B3364" s="1">
        <v>38</v>
      </c>
      <c r="C3364" s="1" t="s">
        <v>20</v>
      </c>
      <c r="D3364" s="1" t="s">
        <v>37</v>
      </c>
      <c r="E3364" s="1" t="s">
        <v>7324</v>
      </c>
      <c r="F3364" s="72">
        <v>41891</v>
      </c>
      <c r="G3364" s="1" t="s">
        <v>7325</v>
      </c>
      <c r="H3364" s="1" t="s">
        <v>1446</v>
      </c>
      <c r="I3364" s="1" t="s">
        <v>240</v>
      </c>
      <c r="J3364" s="4" t="s">
        <v>7326</v>
      </c>
      <c r="K3364" s="1" t="s">
        <v>1447</v>
      </c>
      <c r="L3364" s="1" t="s">
        <v>7327</v>
      </c>
      <c r="M3364" s="1" t="s">
        <v>27</v>
      </c>
      <c r="N3364" s="1" t="s">
        <v>7328</v>
      </c>
      <c r="O3364" s="1" t="s">
        <v>4684</v>
      </c>
      <c r="P3364" s="1" t="s">
        <v>401</v>
      </c>
      <c r="Q3364" s="63" t="s">
        <v>7329</v>
      </c>
      <c r="R3364" s="1" t="s">
        <v>100</v>
      </c>
      <c r="S3364" s="13" t="s">
        <v>28</v>
      </c>
    </row>
    <row r="3365" spans="1:62" ht="12" customHeight="1" x14ac:dyDescent="0.15">
      <c r="A3365" s="1" t="s">
        <v>7342</v>
      </c>
      <c r="B3365" s="1">
        <v>40</v>
      </c>
      <c r="C3365" s="1" t="s">
        <v>20</v>
      </c>
      <c r="D3365" s="1" t="s">
        <v>37</v>
      </c>
      <c r="E3365" s="1" t="s">
        <v>7343</v>
      </c>
      <c r="F3365" s="72">
        <v>41890</v>
      </c>
      <c r="G3365" s="1" t="s">
        <v>7344</v>
      </c>
      <c r="H3365" s="1" t="s">
        <v>3125</v>
      </c>
      <c r="I3365" s="1" t="s">
        <v>25</v>
      </c>
      <c r="J3365" s="4" t="s">
        <v>3126</v>
      </c>
      <c r="K3365" s="1" t="s">
        <v>3127</v>
      </c>
      <c r="L3365" s="1" t="s">
        <v>7345</v>
      </c>
      <c r="M3365" s="1" t="s">
        <v>27</v>
      </c>
      <c r="N3365" s="1" t="s">
        <v>7346</v>
      </c>
      <c r="O3365" s="1" t="s">
        <v>550</v>
      </c>
      <c r="P3365" s="1" t="s">
        <v>401</v>
      </c>
      <c r="Q3365" s="63" t="s">
        <v>7347</v>
      </c>
      <c r="R3365" s="11" t="s">
        <v>964</v>
      </c>
      <c r="S3365" s="13" t="s">
        <v>28</v>
      </c>
    </row>
    <row r="3366" spans="1:62" ht="12" customHeight="1" x14ac:dyDescent="0.15">
      <c r="A3366" s="1" t="s">
        <v>7348</v>
      </c>
      <c r="B3366" s="1">
        <v>38</v>
      </c>
      <c r="C3366" s="1" t="s">
        <v>20</v>
      </c>
      <c r="D3366" s="1" t="s">
        <v>37</v>
      </c>
      <c r="E3366" s="1" t="s">
        <v>7349</v>
      </c>
      <c r="F3366" s="72">
        <v>41890</v>
      </c>
      <c r="G3366" s="1" t="s">
        <v>7350</v>
      </c>
      <c r="H3366" s="1" t="s">
        <v>2216</v>
      </c>
      <c r="I3366" s="1" t="s">
        <v>32</v>
      </c>
      <c r="J3366" s="4" t="s">
        <v>7351</v>
      </c>
      <c r="K3366" s="1" t="s">
        <v>2216</v>
      </c>
      <c r="L3366" s="1" t="s">
        <v>7352</v>
      </c>
      <c r="M3366" s="1" t="s">
        <v>27</v>
      </c>
      <c r="N3366" s="1" t="s">
        <v>7353</v>
      </c>
      <c r="O3366" s="1" t="s">
        <v>1010</v>
      </c>
      <c r="P3366" s="1" t="s">
        <v>401</v>
      </c>
      <c r="Q3366" s="63" t="s">
        <v>7354</v>
      </c>
      <c r="R3366" s="11" t="s">
        <v>964</v>
      </c>
      <c r="S3366" s="13" t="s">
        <v>28</v>
      </c>
    </row>
    <row r="3367" spans="1:62" ht="12" customHeight="1" x14ac:dyDescent="0.15">
      <c r="A3367" s="1" t="s">
        <v>7330</v>
      </c>
      <c r="B3367" s="1">
        <v>50</v>
      </c>
      <c r="C3367" s="1" t="s">
        <v>20</v>
      </c>
      <c r="D3367" s="1" t="s">
        <v>85</v>
      </c>
      <c r="F3367" s="72">
        <v>41890</v>
      </c>
      <c r="G3367" s="1" t="s">
        <v>7331</v>
      </c>
      <c r="H3367" s="1" t="s">
        <v>98</v>
      </c>
      <c r="I3367" s="1" t="s">
        <v>45</v>
      </c>
      <c r="J3367" s="4" t="s">
        <v>3302</v>
      </c>
      <c r="K3367" s="1" t="s">
        <v>98</v>
      </c>
      <c r="L3367" s="1" t="s">
        <v>99</v>
      </c>
      <c r="M3367" s="1" t="s">
        <v>27</v>
      </c>
      <c r="N3367" s="1" t="s">
        <v>7332</v>
      </c>
      <c r="O3367" s="1" t="s">
        <v>1010</v>
      </c>
      <c r="P3367" s="1" t="s">
        <v>401</v>
      </c>
      <c r="Q3367" s="63" t="s">
        <v>7333</v>
      </c>
      <c r="R3367" s="1" t="s">
        <v>100</v>
      </c>
      <c r="S3367" s="13" t="s">
        <v>28</v>
      </c>
      <c r="AI3367" s="11"/>
      <c r="AJ3367" s="11"/>
      <c r="AK3367" s="11"/>
      <c r="AL3367" s="11"/>
      <c r="AX3367" s="11"/>
      <c r="AY3367" s="11"/>
      <c r="BC3367" s="11"/>
      <c r="BD3367" s="11"/>
      <c r="BE3367" s="11"/>
      <c r="BF3367" s="11"/>
      <c r="BG3367" s="11"/>
      <c r="BH3367" s="11"/>
      <c r="BI3367" s="11"/>
      <c r="BJ3367" s="11"/>
    </row>
    <row r="3368" spans="1:62" ht="12" customHeight="1" x14ac:dyDescent="0.15">
      <c r="A3368" s="1" t="s">
        <v>7334</v>
      </c>
      <c r="B3368" s="1">
        <v>45</v>
      </c>
      <c r="C3368" s="1" t="s">
        <v>20</v>
      </c>
      <c r="D3368" s="1" t="s">
        <v>48</v>
      </c>
      <c r="F3368" s="72">
        <v>41890</v>
      </c>
      <c r="G3368" s="1" t="s">
        <v>7335</v>
      </c>
      <c r="H3368" s="1" t="s">
        <v>7336</v>
      </c>
      <c r="I3368" s="1" t="s">
        <v>73</v>
      </c>
      <c r="J3368" s="4" t="s">
        <v>7337</v>
      </c>
      <c r="K3368" s="1" t="s">
        <v>7338</v>
      </c>
      <c r="L3368" s="1" t="s">
        <v>7339</v>
      </c>
      <c r="M3368" s="1" t="s">
        <v>27</v>
      </c>
      <c r="N3368" s="1" t="s">
        <v>7340</v>
      </c>
      <c r="O3368" s="1" t="s">
        <v>1010</v>
      </c>
      <c r="P3368" s="1" t="s">
        <v>401</v>
      </c>
      <c r="Q3368" s="63" t="s">
        <v>7341</v>
      </c>
      <c r="R3368" s="1" t="s">
        <v>100</v>
      </c>
      <c r="S3368" s="13" t="s">
        <v>28</v>
      </c>
    </row>
    <row r="3369" spans="1:62" ht="12" customHeight="1" x14ac:dyDescent="0.15">
      <c r="A3369" s="1" t="s">
        <v>7360</v>
      </c>
      <c r="B3369" s="1">
        <v>24</v>
      </c>
      <c r="C3369" s="1" t="s">
        <v>20</v>
      </c>
      <c r="D3369" s="1" t="s">
        <v>37</v>
      </c>
      <c r="E3369" s="1" t="s">
        <v>7361</v>
      </c>
      <c r="F3369" s="72">
        <v>41890</v>
      </c>
      <c r="G3369" s="1" t="s">
        <v>7362</v>
      </c>
      <c r="H3369" s="1" t="s">
        <v>1313</v>
      </c>
      <c r="I3369" s="1" t="s">
        <v>73</v>
      </c>
      <c r="J3369" s="4" t="s">
        <v>7363</v>
      </c>
      <c r="K3369" s="1" t="s">
        <v>1314</v>
      </c>
      <c r="L3369" s="1" t="s">
        <v>1315</v>
      </c>
      <c r="M3369" s="1" t="s">
        <v>27</v>
      </c>
      <c r="N3369" s="1" t="s">
        <v>7364</v>
      </c>
      <c r="O3369" s="1" t="s">
        <v>4684</v>
      </c>
      <c r="P3369" s="1" t="s">
        <v>401</v>
      </c>
      <c r="Q3369" s="63" t="s">
        <v>7365</v>
      </c>
      <c r="R3369" s="1" t="s">
        <v>100</v>
      </c>
      <c r="S3369" s="13" t="s">
        <v>28</v>
      </c>
    </row>
    <row r="3370" spans="1:62" ht="12" customHeight="1" x14ac:dyDescent="0.15">
      <c r="A3370" s="1" t="s">
        <v>7355</v>
      </c>
      <c r="B3370" s="1">
        <v>35</v>
      </c>
      <c r="C3370" s="1" t="s">
        <v>20</v>
      </c>
      <c r="D3370" s="1" t="s">
        <v>37</v>
      </c>
      <c r="F3370" s="72">
        <v>41890</v>
      </c>
      <c r="G3370" s="1" t="s">
        <v>7356</v>
      </c>
      <c r="H3370" s="1" t="s">
        <v>285</v>
      </c>
      <c r="I3370" s="1" t="s">
        <v>73</v>
      </c>
      <c r="J3370" s="4" t="s">
        <v>7357</v>
      </c>
      <c r="K3370" s="1" t="s">
        <v>285</v>
      </c>
      <c r="L3370" s="1" t="s">
        <v>286</v>
      </c>
      <c r="M3370" s="1" t="s">
        <v>27</v>
      </c>
      <c r="N3370" s="1" t="s">
        <v>7358</v>
      </c>
      <c r="O3370" s="1" t="s">
        <v>4684</v>
      </c>
      <c r="P3370" s="1" t="s">
        <v>401</v>
      </c>
      <c r="Q3370" s="63" t="s">
        <v>7359</v>
      </c>
      <c r="R3370" s="1" t="s">
        <v>100</v>
      </c>
      <c r="S3370" s="13" t="s">
        <v>28</v>
      </c>
    </row>
    <row r="3371" spans="1:62" ht="12" customHeight="1" x14ac:dyDescent="0.15">
      <c r="A3371" s="1" t="s">
        <v>7366</v>
      </c>
      <c r="B3371" s="1">
        <v>50</v>
      </c>
      <c r="C3371" s="1" t="s">
        <v>20</v>
      </c>
      <c r="D3371" s="1" t="s">
        <v>37</v>
      </c>
      <c r="E3371" s="1" t="s">
        <v>7367</v>
      </c>
      <c r="F3371" s="72">
        <v>41889</v>
      </c>
      <c r="G3371" s="1" t="s">
        <v>7368</v>
      </c>
      <c r="H3371" s="1" t="s">
        <v>7369</v>
      </c>
      <c r="I3371" s="1" t="s">
        <v>62</v>
      </c>
      <c r="J3371" s="4" t="s">
        <v>2197</v>
      </c>
      <c r="K3371" s="1" t="s">
        <v>1123</v>
      </c>
      <c r="L3371" s="1" t="s">
        <v>7370</v>
      </c>
      <c r="M3371" s="1" t="s">
        <v>27</v>
      </c>
      <c r="N3371" s="1" t="s">
        <v>7371</v>
      </c>
      <c r="O3371" s="1" t="s">
        <v>1010</v>
      </c>
      <c r="P3371" s="1" t="s">
        <v>401</v>
      </c>
      <c r="Q3371" s="63" t="s">
        <v>7372</v>
      </c>
      <c r="R3371" s="11" t="s">
        <v>964</v>
      </c>
      <c r="S3371" s="13" t="s">
        <v>28</v>
      </c>
    </row>
    <row r="3372" spans="1:62" ht="12" customHeight="1" x14ac:dyDescent="0.2">
      <c r="A3372" s="1" t="s">
        <v>7373</v>
      </c>
      <c r="B3372" s="1">
        <v>43</v>
      </c>
      <c r="C3372" s="1" t="s">
        <v>20</v>
      </c>
      <c r="D3372" s="1" t="s">
        <v>37</v>
      </c>
      <c r="E3372" s="1" t="s">
        <v>7374</v>
      </c>
      <c r="F3372" s="72">
        <v>41888</v>
      </c>
      <c r="G3372" s="1" t="s">
        <v>7375</v>
      </c>
      <c r="H3372" s="1" t="s">
        <v>2397</v>
      </c>
      <c r="I3372" s="1" t="s">
        <v>62</v>
      </c>
      <c r="J3372" s="4" t="s">
        <v>7376</v>
      </c>
      <c r="K3372" s="1" t="s">
        <v>2397</v>
      </c>
      <c r="L3372" s="1" t="s">
        <v>5230</v>
      </c>
      <c r="M3372" s="1" t="s">
        <v>27</v>
      </c>
      <c r="N3372" s="1" t="s">
        <v>7377</v>
      </c>
      <c r="O3372" s="1" t="s">
        <v>1010</v>
      </c>
      <c r="P3372" s="1" t="s">
        <v>401</v>
      </c>
      <c r="Q3372" s="63" t="s">
        <v>7378</v>
      </c>
      <c r="R3372" s="1" t="s">
        <v>29</v>
      </c>
      <c r="S3372" s="13" t="s">
        <v>28</v>
      </c>
      <c r="BA3372" s="70"/>
      <c r="BB3372" s="70"/>
    </row>
    <row r="3373" spans="1:62" ht="12" customHeight="1" x14ac:dyDescent="0.15">
      <c r="A3373" s="1" t="s">
        <v>7387</v>
      </c>
      <c r="B3373" s="1">
        <v>44</v>
      </c>
      <c r="C3373" s="1" t="s">
        <v>20</v>
      </c>
      <c r="D3373" s="1" t="s">
        <v>37</v>
      </c>
      <c r="E3373" s="1" t="s">
        <v>7388</v>
      </c>
      <c r="F3373" s="72">
        <v>41887</v>
      </c>
      <c r="G3373" s="1" t="s">
        <v>7389</v>
      </c>
      <c r="H3373" s="1" t="s">
        <v>7390</v>
      </c>
      <c r="I3373" s="1" t="s">
        <v>870</v>
      </c>
      <c r="J3373" s="4" t="s">
        <v>7391</v>
      </c>
      <c r="K3373" s="1" t="s">
        <v>2362</v>
      </c>
      <c r="L3373" s="1" t="s">
        <v>3582</v>
      </c>
      <c r="M3373" s="1" t="s">
        <v>379</v>
      </c>
      <c r="N3373" s="1" t="s">
        <v>7392</v>
      </c>
      <c r="O3373" s="1" t="s">
        <v>1010</v>
      </c>
      <c r="P3373" s="1" t="s">
        <v>401</v>
      </c>
      <c r="Q3373" s="63" t="s">
        <v>7393</v>
      </c>
      <c r="R3373" s="1" t="s">
        <v>100</v>
      </c>
      <c r="S3373" s="13" t="s">
        <v>18</v>
      </c>
    </row>
    <row r="3374" spans="1:62" ht="12" customHeight="1" x14ac:dyDescent="0.2">
      <c r="A3374" s="1" t="s">
        <v>7379</v>
      </c>
      <c r="B3374" s="1">
        <v>23</v>
      </c>
      <c r="C3374" s="1" t="s">
        <v>20</v>
      </c>
      <c r="D3374" s="1" t="s">
        <v>37</v>
      </c>
      <c r="E3374" s="1" t="s">
        <v>7380</v>
      </c>
      <c r="F3374" s="72">
        <v>41887</v>
      </c>
      <c r="G3374" s="1" t="s">
        <v>7381</v>
      </c>
      <c r="H3374" s="1" t="s">
        <v>1055</v>
      </c>
      <c r="I3374" s="1" t="s">
        <v>319</v>
      </c>
      <c r="J3374" s="4" t="s">
        <v>7382</v>
      </c>
      <c r="K3374" s="1" t="s">
        <v>7383</v>
      </c>
      <c r="L3374" s="1" t="s">
        <v>7384</v>
      </c>
      <c r="M3374" s="1" t="s">
        <v>27</v>
      </c>
      <c r="N3374" s="1" t="s">
        <v>7385</v>
      </c>
      <c r="O3374" s="1" t="s">
        <v>1010</v>
      </c>
      <c r="P3374" s="1" t="s">
        <v>401</v>
      </c>
      <c r="Q3374" s="63" t="s">
        <v>7386</v>
      </c>
      <c r="R3374" s="1" t="s">
        <v>29</v>
      </c>
      <c r="S3374" s="13" t="s">
        <v>28</v>
      </c>
      <c r="BA3374" s="70"/>
      <c r="BB3374" s="70"/>
    </row>
    <row r="3375" spans="1:62" ht="12" customHeight="1" x14ac:dyDescent="0.15">
      <c r="A3375" s="1" t="s">
        <v>7413</v>
      </c>
      <c r="B3375" s="1">
        <v>48</v>
      </c>
      <c r="C3375" s="1" t="s">
        <v>20</v>
      </c>
      <c r="D3375" s="1" t="s">
        <v>37</v>
      </c>
      <c r="E3375" s="1" t="s">
        <v>7414</v>
      </c>
      <c r="F3375" s="72">
        <v>41885</v>
      </c>
      <c r="G3375" s="1" t="s">
        <v>7415</v>
      </c>
      <c r="H3375" s="1" t="s">
        <v>775</v>
      </c>
      <c r="I3375" s="1" t="s">
        <v>69</v>
      </c>
      <c r="J3375" s="4" t="s">
        <v>7416</v>
      </c>
      <c r="K3375" s="1" t="s">
        <v>776</v>
      </c>
      <c r="L3375" s="1" t="s">
        <v>777</v>
      </c>
      <c r="M3375" s="1" t="s">
        <v>27</v>
      </c>
      <c r="N3375" s="1" t="s">
        <v>7417</v>
      </c>
      <c r="O3375" s="1" t="s">
        <v>550</v>
      </c>
      <c r="P3375" s="1" t="s">
        <v>401</v>
      </c>
      <c r="Q3375" s="63" t="s">
        <v>7418</v>
      </c>
      <c r="R3375" s="11" t="s">
        <v>964</v>
      </c>
      <c r="S3375" s="13" t="s">
        <v>28</v>
      </c>
    </row>
    <row r="3376" spans="1:62" ht="12" customHeight="1" x14ac:dyDescent="0.15">
      <c r="A3376" s="1" t="s">
        <v>7398</v>
      </c>
      <c r="B3376" s="1">
        <v>19</v>
      </c>
      <c r="C3376" s="1" t="s">
        <v>114</v>
      </c>
      <c r="D3376" s="1" t="s">
        <v>48</v>
      </c>
      <c r="F3376" s="72">
        <v>41885</v>
      </c>
      <c r="G3376" s="1" t="s">
        <v>7399</v>
      </c>
      <c r="H3376" s="1" t="s">
        <v>1094</v>
      </c>
      <c r="I3376" s="1" t="s">
        <v>395</v>
      </c>
      <c r="J3376" s="4" t="s">
        <v>7400</v>
      </c>
      <c r="K3376" s="1" t="s">
        <v>1095</v>
      </c>
      <c r="L3376" s="1" t="s">
        <v>1096</v>
      </c>
      <c r="M3376" s="1" t="s">
        <v>27</v>
      </c>
      <c r="N3376" s="1" t="s">
        <v>7401</v>
      </c>
      <c r="O3376" s="1" t="s">
        <v>400</v>
      </c>
      <c r="P3376" s="1" t="s">
        <v>401</v>
      </c>
      <c r="Q3376" s="63" t="s">
        <v>7402</v>
      </c>
      <c r="R3376" s="1" t="s">
        <v>100</v>
      </c>
      <c r="S3376" s="13" t="s">
        <v>28</v>
      </c>
    </row>
    <row r="3377" spans="1:63" ht="12" customHeight="1" x14ac:dyDescent="0.2">
      <c r="A3377" s="1" t="s">
        <v>7408</v>
      </c>
      <c r="B3377" s="1">
        <v>43</v>
      </c>
      <c r="C3377" s="1" t="s">
        <v>20</v>
      </c>
      <c r="D3377" s="1" t="s">
        <v>37</v>
      </c>
      <c r="F3377" s="72">
        <v>41885</v>
      </c>
      <c r="G3377" s="1" t="s">
        <v>7409</v>
      </c>
      <c r="H3377" s="1" t="s">
        <v>1611</v>
      </c>
      <c r="I3377" s="1" t="s">
        <v>269</v>
      </c>
      <c r="J3377" s="4" t="s">
        <v>7410</v>
      </c>
      <c r="K3377" s="1" t="s">
        <v>6245</v>
      </c>
      <c r="L3377" s="1" t="s">
        <v>7411</v>
      </c>
      <c r="M3377" s="1" t="s">
        <v>27</v>
      </c>
      <c r="N3377" s="1" t="s">
        <v>7412</v>
      </c>
      <c r="O3377" s="1" t="s">
        <v>400</v>
      </c>
      <c r="P3377" s="1" t="s">
        <v>401</v>
      </c>
      <c r="Q3377" s="6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3377" s="1" t="s">
        <v>29</v>
      </c>
      <c r="S3377" s="13" t="s">
        <v>35</v>
      </c>
      <c r="BA3377" s="70"/>
      <c r="BB3377" s="70"/>
    </row>
    <row r="3378" spans="1:63" ht="12" customHeight="1" x14ac:dyDescent="0.15">
      <c r="A3378" s="1" t="s">
        <v>7403</v>
      </c>
      <c r="B3378" s="1">
        <v>58</v>
      </c>
      <c r="C3378" s="1" t="s">
        <v>20</v>
      </c>
      <c r="D3378" s="1" t="s">
        <v>30</v>
      </c>
      <c r="F3378" s="72">
        <v>41885</v>
      </c>
      <c r="G3378" s="1" t="s">
        <v>7404</v>
      </c>
      <c r="H3378" s="1" t="s">
        <v>561</v>
      </c>
      <c r="I3378" s="1" t="s">
        <v>123</v>
      </c>
      <c r="J3378" s="4" t="s">
        <v>7405</v>
      </c>
      <c r="K3378" s="1" t="s">
        <v>562</v>
      </c>
      <c r="L3378" s="1" t="s">
        <v>563</v>
      </c>
      <c r="M3378" s="1" t="s">
        <v>27</v>
      </c>
      <c r="N3378" s="1" t="s">
        <v>7406</v>
      </c>
      <c r="O3378" s="1" t="s">
        <v>1010</v>
      </c>
      <c r="P3378" s="1" t="s">
        <v>401</v>
      </c>
      <c r="Q3378" s="63" t="s">
        <v>7407</v>
      </c>
      <c r="R3378" s="1" t="s">
        <v>555</v>
      </c>
      <c r="S3378" s="13" t="s">
        <v>28</v>
      </c>
      <c r="BA3378" s="11"/>
      <c r="BB3378" s="11"/>
    </row>
    <row r="3379" spans="1:63" ht="12" customHeight="1" x14ac:dyDescent="0.2">
      <c r="A3379" s="1" t="s">
        <v>7394</v>
      </c>
      <c r="B3379" s="1">
        <v>58</v>
      </c>
      <c r="C3379" s="1" t="s">
        <v>20</v>
      </c>
      <c r="D3379" s="1" t="s">
        <v>21</v>
      </c>
      <c r="F3379" s="72">
        <v>41885</v>
      </c>
      <c r="G3379" s="1" t="s">
        <v>7395</v>
      </c>
      <c r="H3379" s="1" t="s">
        <v>601</v>
      </c>
      <c r="I3379" s="1" t="s">
        <v>45</v>
      </c>
      <c r="J3379" s="4">
        <v>94606</v>
      </c>
      <c r="K3379" s="1" t="s">
        <v>602</v>
      </c>
      <c r="L3379" s="1" t="s">
        <v>603</v>
      </c>
      <c r="M3379" s="1" t="s">
        <v>379</v>
      </c>
      <c r="N3379" s="1" t="s">
        <v>7396</v>
      </c>
      <c r="P3379" s="1" t="s">
        <v>401</v>
      </c>
      <c r="Q3379" s="63" t="s">
        <v>7397</v>
      </c>
      <c r="R3379" s="1" t="s">
        <v>29</v>
      </c>
      <c r="S3379" s="13" t="s">
        <v>18</v>
      </c>
      <c r="AX3379" s="70"/>
      <c r="AY3379" s="70"/>
      <c r="BC3379" s="70"/>
      <c r="BD3379" s="70"/>
      <c r="BE3379" s="70"/>
      <c r="BF3379" s="70"/>
      <c r="BG3379" s="70"/>
      <c r="BH3379" s="70"/>
      <c r="BI3379" s="70"/>
      <c r="BJ3379" s="70"/>
      <c r="BK3379" s="70"/>
    </row>
    <row r="3380" spans="1:63" ht="12" customHeight="1" x14ac:dyDescent="0.15">
      <c r="A3380" s="1" t="s">
        <v>7429</v>
      </c>
      <c r="B3380" s="1">
        <v>64</v>
      </c>
      <c r="C3380" s="1" t="s">
        <v>20</v>
      </c>
      <c r="D3380" s="1" t="s">
        <v>37</v>
      </c>
      <c r="F3380" s="72">
        <v>41884</v>
      </c>
      <c r="G3380" s="1" t="s">
        <v>1022</v>
      </c>
      <c r="H3380" s="1" t="s">
        <v>775</v>
      </c>
      <c r="I3380" s="1" t="s">
        <v>69</v>
      </c>
      <c r="J3380" s="4" t="s">
        <v>7416</v>
      </c>
      <c r="K3380" s="1" t="s">
        <v>776</v>
      </c>
      <c r="L3380" s="1" t="s">
        <v>777</v>
      </c>
      <c r="M3380" s="1" t="s">
        <v>379</v>
      </c>
      <c r="N3380" s="1" t="s">
        <v>7430</v>
      </c>
      <c r="O3380" s="1" t="s">
        <v>550</v>
      </c>
      <c r="P3380" s="1" t="s">
        <v>401</v>
      </c>
      <c r="Q3380" s="63" t="s">
        <v>7431</v>
      </c>
      <c r="R3380" s="1" t="s">
        <v>100</v>
      </c>
      <c r="S3380" s="66" t="s">
        <v>379</v>
      </c>
      <c r="T3380" s="66" t="s">
        <v>30738</v>
      </c>
    </row>
    <row r="3381" spans="1:63" ht="12" customHeight="1" x14ac:dyDescent="0.15">
      <c r="A3381" s="1" t="s">
        <v>7419</v>
      </c>
      <c r="B3381" s="1">
        <v>35</v>
      </c>
      <c r="C3381" s="1" t="s">
        <v>20</v>
      </c>
      <c r="D3381" s="1" t="s">
        <v>85</v>
      </c>
      <c r="E3381" s="1" t="s">
        <v>7420</v>
      </c>
      <c r="F3381" s="72">
        <v>41884</v>
      </c>
      <c r="G3381" s="1" t="s">
        <v>7421</v>
      </c>
      <c r="H3381" s="1" t="s">
        <v>984</v>
      </c>
      <c r="I3381" s="1" t="s">
        <v>69</v>
      </c>
      <c r="J3381" s="4" t="s">
        <v>7422</v>
      </c>
      <c r="K3381" s="1" t="s">
        <v>105</v>
      </c>
      <c r="L3381" s="1" t="s">
        <v>3452</v>
      </c>
      <c r="M3381" s="1" t="s">
        <v>27</v>
      </c>
      <c r="N3381" s="1" t="s">
        <v>7423</v>
      </c>
      <c r="O3381" s="1" t="s">
        <v>400</v>
      </c>
      <c r="P3381" s="1" t="s">
        <v>401</v>
      </c>
      <c r="Q3381" s="63" t="str">
        <f>HYPERLINK("http://www.cleveland.com/metro/index.ssf/2014/09/man_shot_killed_by_cleveland_p.html","http://www.cleveland.com/metro/index.ssf/2014/09/man_shot_killed_by_cleveland_p.html")</f>
        <v>http://www.cleveland.com/metro/index.ssf/2014/09/man_shot_killed_by_cleveland_p.html</v>
      </c>
      <c r="R3381" s="1" t="s">
        <v>29</v>
      </c>
      <c r="S3381" s="13" t="s">
        <v>28</v>
      </c>
      <c r="AX3381" s="11"/>
      <c r="AY3381" s="11"/>
      <c r="BC3381" s="11"/>
      <c r="BD3381" s="11"/>
      <c r="BE3381" s="11"/>
      <c r="BF3381" s="11"/>
      <c r="BG3381" s="11"/>
      <c r="BH3381" s="11"/>
      <c r="BI3381" s="11"/>
      <c r="BJ3381" s="11"/>
    </row>
    <row r="3382" spans="1:63" ht="12" customHeight="1" x14ac:dyDescent="0.15">
      <c r="A3382" s="1" t="s">
        <v>7424</v>
      </c>
      <c r="B3382" s="1">
        <v>45</v>
      </c>
      <c r="C3382" s="1" t="s">
        <v>20</v>
      </c>
      <c r="D3382" s="1" t="s">
        <v>37</v>
      </c>
      <c r="E3382" s="1" t="s">
        <v>7425</v>
      </c>
      <c r="F3382" s="72">
        <v>41884</v>
      </c>
      <c r="G3382" s="1" t="s">
        <v>7426</v>
      </c>
      <c r="H3382" s="1" t="s">
        <v>2487</v>
      </c>
      <c r="I3382" s="1" t="s">
        <v>395</v>
      </c>
      <c r="J3382" s="4" t="s">
        <v>4152</v>
      </c>
      <c r="K3382" s="1" t="s">
        <v>2487</v>
      </c>
      <c r="L3382" s="1" t="s">
        <v>3379</v>
      </c>
      <c r="M3382" s="1" t="s">
        <v>27</v>
      </c>
      <c r="N3382" s="1" t="s">
        <v>7427</v>
      </c>
      <c r="O3382" s="1" t="s">
        <v>550</v>
      </c>
      <c r="P3382" s="1" t="s">
        <v>401</v>
      </c>
      <c r="Q3382" s="63" t="s">
        <v>7428</v>
      </c>
      <c r="R3382" s="1" t="s">
        <v>555</v>
      </c>
      <c r="S3382" s="13" t="s">
        <v>28</v>
      </c>
      <c r="BA3382" s="11"/>
      <c r="BB3382" s="11"/>
    </row>
    <row r="3383" spans="1:63" ht="12" customHeight="1" x14ac:dyDescent="0.15">
      <c r="A3383" s="1" t="s">
        <v>7432</v>
      </c>
      <c r="B3383" s="1">
        <v>45</v>
      </c>
      <c r="C3383" s="1" t="s">
        <v>20</v>
      </c>
      <c r="D3383" s="1" t="s">
        <v>48</v>
      </c>
      <c r="F3383" s="72">
        <v>41883</v>
      </c>
      <c r="G3383" s="1" t="s">
        <v>7433</v>
      </c>
      <c r="H3383" s="1" t="s">
        <v>7434</v>
      </c>
      <c r="I3383" s="1" t="s">
        <v>395</v>
      </c>
      <c r="J3383" s="4" t="s">
        <v>7435</v>
      </c>
      <c r="K3383" s="1" t="s">
        <v>7436</v>
      </c>
      <c r="L3383" s="1" t="s">
        <v>7437</v>
      </c>
      <c r="M3383" s="1" t="s">
        <v>27</v>
      </c>
      <c r="N3383" s="1" t="s">
        <v>7438</v>
      </c>
      <c r="O3383" s="1" t="s">
        <v>1010</v>
      </c>
      <c r="P3383" s="1" t="s">
        <v>401</v>
      </c>
      <c r="Q3383" s="63" t="s">
        <v>7439</v>
      </c>
      <c r="R3383" s="1" t="s">
        <v>100</v>
      </c>
      <c r="S3383" s="13" t="s">
        <v>35</v>
      </c>
      <c r="BK3383" s="11"/>
    </row>
    <row r="3384" spans="1:63" ht="12" customHeight="1" x14ac:dyDescent="0.2">
      <c r="A3384" s="1" t="s">
        <v>7440</v>
      </c>
      <c r="B3384" s="1">
        <v>55</v>
      </c>
      <c r="C3384" s="1" t="s">
        <v>20</v>
      </c>
      <c r="D3384" s="1" t="s">
        <v>37</v>
      </c>
      <c r="E3384" s="1" t="s">
        <v>7441</v>
      </c>
      <c r="F3384" s="72">
        <v>41883</v>
      </c>
      <c r="G3384" s="1" t="s">
        <v>7442</v>
      </c>
      <c r="H3384" s="1" t="s">
        <v>632</v>
      </c>
      <c r="I3384" s="1" t="s">
        <v>123</v>
      </c>
      <c r="J3384" s="4" t="s">
        <v>7443</v>
      </c>
      <c r="K3384" s="1" t="s">
        <v>633</v>
      </c>
      <c r="L3384" s="1" t="s">
        <v>634</v>
      </c>
      <c r="M3384" s="1" t="s">
        <v>27</v>
      </c>
      <c r="N3384" s="1" t="s">
        <v>7444</v>
      </c>
      <c r="O3384" s="1" t="s">
        <v>1010</v>
      </c>
      <c r="P3384" s="1" t="s">
        <v>401</v>
      </c>
      <c r="Q3384" s="63" t="s">
        <v>7445</v>
      </c>
      <c r="R3384" s="1" t="s">
        <v>29</v>
      </c>
      <c r="S3384" s="13" t="s">
        <v>28</v>
      </c>
      <c r="BA3384" s="70"/>
      <c r="BB3384" s="70"/>
    </row>
    <row r="3385" spans="1:63" ht="12" customHeight="1" x14ac:dyDescent="0.15">
      <c r="A3385" s="1" t="s">
        <v>7457</v>
      </c>
      <c r="B3385" s="1">
        <v>52</v>
      </c>
      <c r="C3385" s="1" t="s">
        <v>20</v>
      </c>
      <c r="D3385" s="1" t="s">
        <v>37</v>
      </c>
      <c r="E3385" s="1" t="s">
        <v>7458</v>
      </c>
      <c r="F3385" s="72">
        <v>41882</v>
      </c>
      <c r="G3385" s="1" t="s">
        <v>7459</v>
      </c>
      <c r="H3385" s="1" t="s">
        <v>7460</v>
      </c>
      <c r="I3385" s="1" t="s">
        <v>73</v>
      </c>
      <c r="J3385" s="4" t="s">
        <v>7461</v>
      </c>
      <c r="K3385" s="1" t="s">
        <v>7462</v>
      </c>
      <c r="L3385" s="1" t="s">
        <v>7463</v>
      </c>
      <c r="M3385" s="1" t="s">
        <v>27</v>
      </c>
      <c r="N3385" s="1" t="s">
        <v>7464</v>
      </c>
      <c r="O3385" s="1" t="s">
        <v>550</v>
      </c>
      <c r="P3385" s="1" t="s">
        <v>401</v>
      </c>
      <c r="Q3385" s="63" t="s">
        <v>7465</v>
      </c>
      <c r="R3385" s="11" t="s">
        <v>964</v>
      </c>
      <c r="S3385" s="13" t="s">
        <v>28</v>
      </c>
    </row>
    <row r="3386" spans="1:63" ht="12" customHeight="1" x14ac:dyDescent="0.15">
      <c r="A3386" s="1" t="s">
        <v>7446</v>
      </c>
      <c r="B3386" s="1">
        <v>28</v>
      </c>
      <c r="C3386" s="1" t="s">
        <v>20</v>
      </c>
      <c r="D3386" s="1" t="s">
        <v>85</v>
      </c>
      <c r="E3386" s="1" t="s">
        <v>7447</v>
      </c>
      <c r="F3386" s="72">
        <v>41882</v>
      </c>
      <c r="G3386" s="1" t="s">
        <v>7448</v>
      </c>
      <c r="H3386" s="1" t="s">
        <v>430</v>
      </c>
      <c r="I3386" s="1" t="s">
        <v>431</v>
      </c>
      <c r="J3386" s="4" t="s">
        <v>7449</v>
      </c>
      <c r="K3386" s="1" t="s">
        <v>433</v>
      </c>
      <c r="L3386" s="1" t="s">
        <v>434</v>
      </c>
      <c r="M3386" s="1" t="s">
        <v>27</v>
      </c>
      <c r="N3386" s="1" t="s">
        <v>7450</v>
      </c>
      <c r="O3386" s="1" t="s">
        <v>400</v>
      </c>
      <c r="P3386" s="1" t="s">
        <v>401</v>
      </c>
      <c r="Q3386" s="63" t="s">
        <v>7451</v>
      </c>
      <c r="R3386" s="1" t="s">
        <v>100</v>
      </c>
      <c r="S3386" s="13" t="s">
        <v>28</v>
      </c>
      <c r="AX3386" s="11"/>
      <c r="AY3386" s="11"/>
      <c r="BC3386" s="11"/>
      <c r="BD3386" s="11"/>
      <c r="BE3386" s="11"/>
      <c r="BF3386" s="11"/>
      <c r="BG3386" s="11"/>
      <c r="BH3386" s="11"/>
      <c r="BI3386" s="11"/>
      <c r="BJ3386" s="11"/>
    </row>
    <row r="3387" spans="1:63" ht="12" customHeight="1" x14ac:dyDescent="0.15">
      <c r="A3387" s="1" t="s">
        <v>7452</v>
      </c>
      <c r="B3387" s="1">
        <v>22</v>
      </c>
      <c r="C3387" s="1" t="s">
        <v>20</v>
      </c>
      <c r="D3387" s="1" t="s">
        <v>85</v>
      </c>
      <c r="E3387" s="1" t="s">
        <v>7453</v>
      </c>
      <c r="F3387" s="72">
        <v>41882</v>
      </c>
      <c r="G3387" s="1" t="s">
        <v>7454</v>
      </c>
      <c r="H3387" s="1" t="s">
        <v>754</v>
      </c>
      <c r="I3387" s="1" t="s">
        <v>423</v>
      </c>
      <c r="J3387" s="4" t="s">
        <v>7455</v>
      </c>
      <c r="K3387" s="1" t="s">
        <v>754</v>
      </c>
      <c r="L3387" s="1" t="s">
        <v>582</v>
      </c>
      <c r="M3387" s="1" t="s">
        <v>27</v>
      </c>
      <c r="N3387" s="1" t="s">
        <v>7456</v>
      </c>
      <c r="O3387" s="1" t="s">
        <v>1010</v>
      </c>
      <c r="P3387" s="1" t="s">
        <v>401</v>
      </c>
      <c r="Q3387" s="63" t="str">
        <f>HYPERLINK("http://nypost.com/2014/09/06/man-who-shot-nypd-cop-dies-after-surgery/","http://nypost.com/2014/09/06/man-who-shot-nypd-cop-dies-after-surgery/")</f>
        <v>http://nypost.com/2014/09/06/man-who-shot-nypd-cop-dies-after-surgery/</v>
      </c>
      <c r="R3387" s="1" t="s">
        <v>100</v>
      </c>
      <c r="S3387" s="13" t="s">
        <v>28</v>
      </c>
      <c r="AX3387" s="11"/>
      <c r="AY3387" s="11"/>
      <c r="BC3387" s="11"/>
      <c r="BD3387" s="11"/>
      <c r="BE3387" s="11"/>
      <c r="BF3387" s="11"/>
      <c r="BG3387" s="11"/>
      <c r="BH3387" s="11"/>
      <c r="BI3387" s="11"/>
      <c r="BJ3387" s="11"/>
    </row>
    <row r="3388" spans="1:63" ht="12" customHeight="1" x14ac:dyDescent="0.15">
      <c r="A3388" s="1" t="s">
        <v>7466</v>
      </c>
      <c r="B3388" s="1">
        <v>42</v>
      </c>
      <c r="C3388" s="1" t="s">
        <v>20</v>
      </c>
      <c r="D3388" s="1" t="s">
        <v>37</v>
      </c>
      <c r="F3388" s="72">
        <v>41882</v>
      </c>
      <c r="G3388" s="1" t="s">
        <v>7467</v>
      </c>
      <c r="H3388" s="1" t="s">
        <v>1611</v>
      </c>
      <c r="I3388" s="1" t="s">
        <v>269</v>
      </c>
      <c r="J3388" s="4" t="s">
        <v>7468</v>
      </c>
      <c r="K3388" s="1" t="s">
        <v>6245</v>
      </c>
      <c r="L3388" s="1" t="s">
        <v>7469</v>
      </c>
      <c r="M3388" s="1" t="s">
        <v>27</v>
      </c>
      <c r="N3388" s="1" t="s">
        <v>7470</v>
      </c>
      <c r="O3388" s="1" t="s">
        <v>400</v>
      </c>
      <c r="P3388" s="1" t="s">
        <v>401</v>
      </c>
      <c r="Q3388" s="63" t="s">
        <v>7471</v>
      </c>
      <c r="R3388" s="1" t="s">
        <v>100</v>
      </c>
      <c r="S3388" s="13" t="s">
        <v>28</v>
      </c>
    </row>
    <row r="3389" spans="1:63" ht="12" customHeight="1" x14ac:dyDescent="0.15">
      <c r="A3389" s="1" t="s">
        <v>7476</v>
      </c>
      <c r="B3389" s="1">
        <v>71</v>
      </c>
      <c r="C3389" s="1" t="s">
        <v>20</v>
      </c>
      <c r="D3389" s="1" t="s">
        <v>37</v>
      </c>
      <c r="F3389" s="72">
        <v>41881</v>
      </c>
      <c r="G3389" s="1" t="s">
        <v>7477</v>
      </c>
      <c r="H3389" s="1" t="s">
        <v>7478</v>
      </c>
      <c r="I3389" s="1" t="s">
        <v>363</v>
      </c>
      <c r="J3389" s="4" t="s">
        <v>7479</v>
      </c>
      <c r="K3389" s="1" t="s">
        <v>7480</v>
      </c>
      <c r="L3389" s="1" t="s">
        <v>7481</v>
      </c>
      <c r="M3389" s="1" t="s">
        <v>27</v>
      </c>
      <c r="N3389" s="1" t="s">
        <v>7482</v>
      </c>
      <c r="O3389" s="1" t="s">
        <v>400</v>
      </c>
      <c r="P3389" s="1" t="s">
        <v>401</v>
      </c>
      <c r="Q3389" s="63" t="s">
        <v>7483</v>
      </c>
      <c r="R3389" s="1" t="s">
        <v>100</v>
      </c>
      <c r="S3389" s="13" t="s">
        <v>28</v>
      </c>
    </row>
    <row r="3390" spans="1:63" ht="12" customHeight="1" x14ac:dyDescent="0.15">
      <c r="A3390" s="1" t="s">
        <v>7484</v>
      </c>
      <c r="B3390" s="1">
        <v>21</v>
      </c>
      <c r="C3390" s="1" t="s">
        <v>20</v>
      </c>
      <c r="D3390" s="1" t="s">
        <v>37</v>
      </c>
      <c r="F3390" s="72">
        <v>41881</v>
      </c>
      <c r="G3390" s="1" t="s">
        <v>7485</v>
      </c>
      <c r="H3390" s="1" t="s">
        <v>7486</v>
      </c>
      <c r="I3390" s="1" t="s">
        <v>669</v>
      </c>
      <c r="J3390" s="4" t="s">
        <v>7487</v>
      </c>
      <c r="K3390" s="1" t="s">
        <v>420</v>
      </c>
      <c r="L3390" s="1" t="s">
        <v>7488</v>
      </c>
      <c r="M3390" s="1" t="s">
        <v>27</v>
      </c>
      <c r="N3390" s="1" t="s">
        <v>7489</v>
      </c>
      <c r="O3390" s="1" t="s">
        <v>1010</v>
      </c>
      <c r="P3390" s="1" t="s">
        <v>401</v>
      </c>
      <c r="Q3390" s="63" t="s">
        <v>7490</v>
      </c>
      <c r="R3390" s="1" t="s">
        <v>100</v>
      </c>
      <c r="S3390" s="13" t="s">
        <v>28</v>
      </c>
    </row>
    <row r="3391" spans="1:63" ht="12" customHeight="1" x14ac:dyDescent="0.15">
      <c r="A3391" s="1" t="s">
        <v>7491</v>
      </c>
      <c r="B3391" s="1">
        <v>51</v>
      </c>
      <c r="C3391" s="1" t="s">
        <v>20</v>
      </c>
      <c r="D3391" s="1" t="s">
        <v>37</v>
      </c>
      <c r="F3391" s="72">
        <v>41881</v>
      </c>
      <c r="G3391" s="1" t="s">
        <v>7492</v>
      </c>
      <c r="H3391" s="1" t="s">
        <v>1208</v>
      </c>
      <c r="I3391" s="1" t="s">
        <v>303</v>
      </c>
      <c r="J3391" s="4" t="s">
        <v>7493</v>
      </c>
      <c r="K3391" s="1" t="s">
        <v>1209</v>
      </c>
      <c r="L3391" s="1" t="s">
        <v>1210</v>
      </c>
      <c r="M3391" s="1" t="s">
        <v>27</v>
      </c>
      <c r="N3391" s="1" t="s">
        <v>7494</v>
      </c>
      <c r="O3391" s="1" t="s">
        <v>1010</v>
      </c>
      <c r="P3391" s="1" t="s">
        <v>401</v>
      </c>
      <c r="Q3391" s="6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3391" s="1" t="s">
        <v>100</v>
      </c>
      <c r="S3391" s="13" t="s">
        <v>28</v>
      </c>
    </row>
    <row r="3392" spans="1:63" ht="12" customHeight="1" x14ac:dyDescent="0.15">
      <c r="A3392" s="1" t="s">
        <v>7472</v>
      </c>
      <c r="B3392" s="1">
        <v>30</v>
      </c>
      <c r="C3392" s="1" t="s">
        <v>20</v>
      </c>
      <c r="D3392" s="1" t="s">
        <v>48</v>
      </c>
      <c r="F3392" s="72">
        <v>41881</v>
      </c>
      <c r="G3392" s="1" t="s">
        <v>7473</v>
      </c>
      <c r="H3392" s="1" t="s">
        <v>4279</v>
      </c>
      <c r="I3392" s="1" t="s">
        <v>73</v>
      </c>
      <c r="J3392" s="4" t="s">
        <v>4280</v>
      </c>
      <c r="K3392" s="1" t="s">
        <v>4281</v>
      </c>
      <c r="L3392" s="1" t="s">
        <v>4282</v>
      </c>
      <c r="M3392" s="1" t="s">
        <v>27</v>
      </c>
      <c r="N3392" s="1" t="s">
        <v>7474</v>
      </c>
      <c r="O3392" s="1" t="s">
        <v>550</v>
      </c>
      <c r="P3392" s="1" t="s">
        <v>401</v>
      </c>
      <c r="Q3392" s="63" t="s">
        <v>7475</v>
      </c>
      <c r="R3392" s="1" t="s">
        <v>100</v>
      </c>
      <c r="S3392" s="13" t="s">
        <v>18</v>
      </c>
    </row>
    <row r="3393" spans="1:63" ht="12" customHeight="1" x14ac:dyDescent="0.15">
      <c r="A3393" s="1" t="s">
        <v>7495</v>
      </c>
      <c r="B3393" s="1">
        <v>45</v>
      </c>
      <c r="C3393" s="1" t="s">
        <v>20</v>
      </c>
      <c r="D3393" s="1" t="s">
        <v>85</v>
      </c>
      <c r="E3393" s="1" t="str">
        <f>HYPERLINK("https://cbsnewyork.files.wordpress.com/2014/08/singelton2.jpg?w=620&amp;h=349&amp;crop=1","https://cbsnewyork.files.wordpress.com/2014/08/singelton2.jpg?w=620&amp;h=349&amp;crop=1")</f>
        <v>https://cbsnewyork.files.wordpress.com/2014/08/singelton2.jpg?w=620&amp;h=349&amp;crop=1</v>
      </c>
      <c r="F3393" s="72">
        <v>41880</v>
      </c>
      <c r="G3393" s="1" t="s">
        <v>7496</v>
      </c>
      <c r="H3393" s="1" t="s">
        <v>754</v>
      </c>
      <c r="I3393" s="1" t="s">
        <v>423</v>
      </c>
      <c r="J3393" s="4">
        <v>10111</v>
      </c>
      <c r="K3393" s="1" t="s">
        <v>754</v>
      </c>
      <c r="L3393" s="1" t="s">
        <v>582</v>
      </c>
      <c r="M3393" s="1" t="s">
        <v>2291</v>
      </c>
      <c r="N3393" s="1" t="s">
        <v>7497</v>
      </c>
      <c r="O3393" s="1" t="s">
        <v>400</v>
      </c>
      <c r="P3393" s="1" t="s">
        <v>401</v>
      </c>
      <c r="Q3393" s="63"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3393" s="11" t="s">
        <v>964</v>
      </c>
      <c r="S3393" s="13" t="s">
        <v>18</v>
      </c>
      <c r="AX3393" s="44"/>
      <c r="AY3393" s="44"/>
      <c r="BC3393" s="11"/>
      <c r="BD3393" s="11"/>
      <c r="BE3393" s="11"/>
      <c r="BF3393" s="11"/>
      <c r="BG3393" s="11"/>
      <c r="BH3393" s="11"/>
      <c r="BI3393" s="11"/>
      <c r="BJ3393" s="11"/>
    </row>
    <row r="3394" spans="1:63" ht="12" customHeight="1" x14ac:dyDescent="0.15">
      <c r="A3394" s="1" t="s">
        <v>7498</v>
      </c>
      <c r="B3394" s="1">
        <v>33</v>
      </c>
      <c r="C3394" s="1" t="s">
        <v>20</v>
      </c>
      <c r="D3394" s="1" t="s">
        <v>85</v>
      </c>
      <c r="E3394" s="1" t="s">
        <v>7499</v>
      </c>
      <c r="F3394" s="72">
        <v>41880</v>
      </c>
      <c r="G3394" s="1" t="s">
        <v>7500</v>
      </c>
      <c r="H3394" s="1" t="s">
        <v>1060</v>
      </c>
      <c r="I3394" s="1" t="s">
        <v>62</v>
      </c>
      <c r="J3394" s="4" t="s">
        <v>7501</v>
      </c>
      <c r="K3394" s="1" t="s">
        <v>1061</v>
      </c>
      <c r="L3394" s="1" t="s">
        <v>4424</v>
      </c>
      <c r="M3394" s="1" t="s">
        <v>27</v>
      </c>
      <c r="N3394" s="1" t="s">
        <v>7502</v>
      </c>
      <c r="O3394" s="1" t="s">
        <v>1010</v>
      </c>
      <c r="P3394" s="1" t="s">
        <v>401</v>
      </c>
      <c r="Q3394" s="63" t="s">
        <v>7503</v>
      </c>
      <c r="R3394" s="1" t="s">
        <v>100</v>
      </c>
      <c r="S3394" s="13" t="s">
        <v>28</v>
      </c>
      <c r="AX3394" s="11"/>
      <c r="AY3394" s="11"/>
      <c r="BC3394" s="11"/>
      <c r="BD3394" s="11"/>
      <c r="BE3394" s="11"/>
      <c r="BF3394" s="11"/>
      <c r="BG3394" s="11"/>
      <c r="BH3394" s="11"/>
      <c r="BI3394" s="11"/>
      <c r="BJ3394" s="11"/>
    </row>
    <row r="3395" spans="1:63" ht="12" customHeight="1" x14ac:dyDescent="0.15">
      <c r="A3395" s="1" t="s">
        <v>7504</v>
      </c>
      <c r="B3395" s="1">
        <v>45</v>
      </c>
      <c r="C3395" s="1" t="s">
        <v>20</v>
      </c>
      <c r="D3395" s="1" t="s">
        <v>48</v>
      </c>
      <c r="E3395" s="1" t="s">
        <v>7505</v>
      </c>
      <c r="F3395" s="72">
        <v>41880</v>
      </c>
      <c r="G3395" s="1" t="s">
        <v>7506</v>
      </c>
      <c r="H3395" s="1" t="s">
        <v>7507</v>
      </c>
      <c r="I3395" s="1" t="s">
        <v>73</v>
      </c>
      <c r="J3395" s="4" t="s">
        <v>7508</v>
      </c>
      <c r="K3395" s="1" t="s">
        <v>6698</v>
      </c>
      <c r="L3395" s="1" t="s">
        <v>7509</v>
      </c>
      <c r="M3395" s="1" t="s">
        <v>27</v>
      </c>
      <c r="N3395" s="1" t="s">
        <v>7510</v>
      </c>
      <c r="O3395" s="1" t="s">
        <v>1010</v>
      </c>
      <c r="P3395" s="1" t="s">
        <v>401</v>
      </c>
      <c r="Q3395" s="63" t="s">
        <v>7511</v>
      </c>
      <c r="R3395" s="1" t="s">
        <v>100</v>
      </c>
      <c r="S3395" s="13" t="s">
        <v>28</v>
      </c>
    </row>
    <row r="3396" spans="1:63" ht="12" customHeight="1" x14ac:dyDescent="0.15">
      <c r="A3396" s="1" t="s">
        <v>7520</v>
      </c>
      <c r="B3396" s="1">
        <v>44</v>
      </c>
      <c r="C3396" s="1" t="s">
        <v>20</v>
      </c>
      <c r="D3396" s="1" t="s">
        <v>37</v>
      </c>
      <c r="E3396" s="1" t="s">
        <v>7521</v>
      </c>
      <c r="F3396" s="72">
        <v>41880</v>
      </c>
      <c r="G3396" s="1" t="s">
        <v>7522</v>
      </c>
      <c r="H3396" s="1" t="s">
        <v>7523</v>
      </c>
      <c r="I3396" s="1" t="s">
        <v>123</v>
      </c>
      <c r="J3396" s="4" t="s">
        <v>7524</v>
      </c>
      <c r="K3396" s="1" t="s">
        <v>5836</v>
      </c>
      <c r="L3396" s="1" t="s">
        <v>19406</v>
      </c>
      <c r="M3396" s="1" t="s">
        <v>391</v>
      </c>
      <c r="N3396" s="1" t="s">
        <v>7525</v>
      </c>
      <c r="O3396" s="1" t="s">
        <v>1010</v>
      </c>
      <c r="P3396" s="1" t="s">
        <v>401</v>
      </c>
      <c r="Q3396" s="63" t="s">
        <v>7526</v>
      </c>
      <c r="R3396" s="1" t="s">
        <v>100</v>
      </c>
      <c r="S3396" s="13" t="s">
        <v>18</v>
      </c>
      <c r="AU3396" s="11"/>
      <c r="AV3396" s="11"/>
      <c r="AW3396" s="11"/>
    </row>
    <row r="3397" spans="1:63" ht="12" customHeight="1" x14ac:dyDescent="0.15">
      <c r="A3397" s="1" t="s">
        <v>7512</v>
      </c>
      <c r="B3397" s="1">
        <v>26</v>
      </c>
      <c r="C3397" s="1" t="s">
        <v>20</v>
      </c>
      <c r="D3397" s="1" t="s">
        <v>37</v>
      </c>
      <c r="E3397" s="1" t="s">
        <v>7513</v>
      </c>
      <c r="F3397" s="72">
        <v>41880</v>
      </c>
      <c r="G3397" s="1" t="s">
        <v>7514</v>
      </c>
      <c r="H3397" s="1" t="s">
        <v>7515</v>
      </c>
      <c r="I3397" s="1" t="s">
        <v>117</v>
      </c>
      <c r="J3397" s="4">
        <v>97801</v>
      </c>
      <c r="K3397" s="1" t="s">
        <v>7516</v>
      </c>
      <c r="L3397" s="1" t="s">
        <v>7517</v>
      </c>
      <c r="M3397" s="1" t="s">
        <v>27</v>
      </c>
      <c r="N3397" s="1" t="s">
        <v>7518</v>
      </c>
      <c r="P3397" s="1" t="s">
        <v>401</v>
      </c>
      <c r="Q3397" s="63" t="s">
        <v>7519</v>
      </c>
      <c r="R3397" s="1" t="s">
        <v>29</v>
      </c>
      <c r="S3397" s="13" t="s">
        <v>35</v>
      </c>
      <c r="BK3397" s="11"/>
    </row>
    <row r="3398" spans="1:63" ht="12" customHeight="1" x14ac:dyDescent="0.15">
      <c r="A3398" s="1" t="s">
        <v>7527</v>
      </c>
      <c r="B3398" s="1">
        <v>36</v>
      </c>
      <c r="C3398" s="1" t="s">
        <v>20</v>
      </c>
      <c r="D3398" s="1" t="s">
        <v>48</v>
      </c>
      <c r="F3398" s="72">
        <v>41879</v>
      </c>
      <c r="G3398" s="1" t="s">
        <v>7528</v>
      </c>
      <c r="H3398" s="1" t="s">
        <v>3592</v>
      </c>
      <c r="I3398" s="1" t="s">
        <v>133</v>
      </c>
      <c r="J3398" s="4" t="s">
        <v>7529</v>
      </c>
      <c r="K3398" s="1" t="s">
        <v>3594</v>
      </c>
      <c r="L3398" s="1" t="s">
        <v>4914</v>
      </c>
      <c r="M3398" s="1" t="s">
        <v>27</v>
      </c>
      <c r="N3398" s="1" t="s">
        <v>7530</v>
      </c>
      <c r="O3398" s="1" t="s">
        <v>400</v>
      </c>
      <c r="P3398" s="1" t="s">
        <v>401</v>
      </c>
      <c r="Q3398" s="63" t="s">
        <v>7531</v>
      </c>
      <c r="R3398" s="1" t="s">
        <v>100</v>
      </c>
      <c r="S3398" s="13" t="s">
        <v>28</v>
      </c>
    </row>
    <row r="3399" spans="1:63" ht="12" customHeight="1" x14ac:dyDescent="0.15">
      <c r="A3399" s="1" t="s">
        <v>7545</v>
      </c>
      <c r="B3399" s="1">
        <v>31</v>
      </c>
      <c r="C3399" s="1" t="s">
        <v>20</v>
      </c>
      <c r="D3399" s="1" t="s">
        <v>37</v>
      </c>
      <c r="E3399" s="1" t="s">
        <v>7546</v>
      </c>
      <c r="F3399" s="72">
        <v>41879</v>
      </c>
      <c r="G3399" s="1" t="s">
        <v>7547</v>
      </c>
      <c r="H3399" s="1" t="s">
        <v>3572</v>
      </c>
      <c r="I3399" s="1" t="s">
        <v>62</v>
      </c>
      <c r="J3399" s="4" t="s">
        <v>7548</v>
      </c>
      <c r="K3399" s="1" t="s">
        <v>3574</v>
      </c>
      <c r="L3399" s="1" t="s">
        <v>7549</v>
      </c>
      <c r="M3399" s="1" t="s">
        <v>27</v>
      </c>
      <c r="N3399" s="1" t="s">
        <v>7550</v>
      </c>
      <c r="O3399" s="1" t="s">
        <v>1010</v>
      </c>
      <c r="P3399" s="1" t="s">
        <v>401</v>
      </c>
      <c r="Q3399" s="63" t="s">
        <v>7551</v>
      </c>
      <c r="R3399" s="1" t="s">
        <v>100</v>
      </c>
      <c r="S3399" s="13" t="s">
        <v>28</v>
      </c>
    </row>
    <row r="3400" spans="1:63" ht="12" customHeight="1" x14ac:dyDescent="0.15">
      <c r="A3400" s="1" t="s">
        <v>7532</v>
      </c>
      <c r="B3400" s="1">
        <v>21</v>
      </c>
      <c r="C3400" s="1" t="s">
        <v>20</v>
      </c>
      <c r="D3400" s="1" t="s">
        <v>37</v>
      </c>
      <c r="E3400" s="1" t="s">
        <v>7533</v>
      </c>
      <c r="F3400" s="72">
        <v>41879</v>
      </c>
      <c r="G3400" s="1" t="s">
        <v>7534</v>
      </c>
      <c r="H3400" s="1" t="s">
        <v>3594</v>
      </c>
      <c r="I3400" s="1" t="s">
        <v>133</v>
      </c>
      <c r="J3400" s="4" t="s">
        <v>7535</v>
      </c>
      <c r="K3400" s="1" t="s">
        <v>2417</v>
      </c>
      <c r="L3400" s="1" t="s">
        <v>7536</v>
      </c>
      <c r="M3400" s="1" t="s">
        <v>27</v>
      </c>
      <c r="N3400" s="1" t="s">
        <v>7537</v>
      </c>
      <c r="O3400" s="1" t="s">
        <v>550</v>
      </c>
      <c r="P3400" s="1" t="s">
        <v>401</v>
      </c>
      <c r="Q3400" s="63" t="str">
        <f>HYPERLINK("http://www.mprnews.org/story/2014/11/17/police-justified-in-ramsey-shooting","http://www.mprnews.org/story/2014/11/17/police-justified-in-ramsey-shooting")</f>
        <v>http://www.mprnews.org/story/2014/11/17/police-justified-in-ramsey-shooting</v>
      </c>
      <c r="R3400" s="1" t="s">
        <v>100</v>
      </c>
      <c r="S3400" s="13" t="s">
        <v>28</v>
      </c>
    </row>
    <row r="3401" spans="1:63" ht="12" customHeight="1" x14ac:dyDescent="0.15">
      <c r="A3401" s="1" t="s">
        <v>7538</v>
      </c>
      <c r="B3401" s="1">
        <v>32</v>
      </c>
      <c r="C3401" s="1" t="s">
        <v>20</v>
      </c>
      <c r="D3401" s="1" t="s">
        <v>37</v>
      </c>
      <c r="F3401" s="72">
        <v>41879</v>
      </c>
      <c r="G3401" s="1" t="s">
        <v>7539</v>
      </c>
      <c r="H3401" s="1" t="s">
        <v>7540</v>
      </c>
      <c r="I3401" s="1" t="s">
        <v>45</v>
      </c>
      <c r="J3401" s="4" t="s">
        <v>7541</v>
      </c>
      <c r="K3401" s="1" t="s">
        <v>7542</v>
      </c>
      <c r="L3401" s="1" t="s">
        <v>7543</v>
      </c>
      <c r="M3401" s="1" t="s">
        <v>27</v>
      </c>
      <c r="N3401" s="1" t="s">
        <v>7544</v>
      </c>
      <c r="O3401" s="1" t="s">
        <v>400</v>
      </c>
      <c r="P3401" s="1" t="s">
        <v>401</v>
      </c>
      <c r="Q3401" s="63" t="str">
        <f>HYPERLINK("http://www.redding.com/news/local-news/deputies-person-shot-on-fig-tree-lane","http://www.redding.com/news/local-news/deputies-person-shot-on-fig-tree-lane")</f>
        <v>http://www.redding.com/news/local-news/deputies-person-shot-on-fig-tree-lane</v>
      </c>
      <c r="R3401" s="1" t="s">
        <v>555</v>
      </c>
      <c r="S3401" s="13" t="s">
        <v>28</v>
      </c>
      <c r="BA3401" s="11"/>
      <c r="BB3401" s="11"/>
    </row>
    <row r="3402" spans="1:63" ht="12" customHeight="1" x14ac:dyDescent="0.15">
      <c r="A3402" s="1" t="s">
        <v>7552</v>
      </c>
      <c r="B3402" s="1">
        <v>45</v>
      </c>
      <c r="C3402" s="1" t="s">
        <v>20</v>
      </c>
      <c r="D3402" s="1" t="s">
        <v>85</v>
      </c>
      <c r="F3402" s="72">
        <v>41878</v>
      </c>
      <c r="G3402" s="1" t="s">
        <v>7553</v>
      </c>
      <c r="H3402" s="1" t="s">
        <v>7554</v>
      </c>
      <c r="I3402" s="1" t="s">
        <v>45</v>
      </c>
      <c r="J3402" s="4" t="s">
        <v>7555</v>
      </c>
      <c r="K3402" s="1" t="s">
        <v>98</v>
      </c>
      <c r="L3402" s="1" t="s">
        <v>99</v>
      </c>
      <c r="M3402" s="1" t="s">
        <v>27</v>
      </c>
      <c r="N3402" s="1" t="s">
        <v>7556</v>
      </c>
      <c r="O3402" s="1" t="s">
        <v>550</v>
      </c>
      <c r="P3402" s="1" t="s">
        <v>401</v>
      </c>
      <c r="Q3402" s="63" t="s">
        <v>7557</v>
      </c>
      <c r="R3402" s="1" t="s">
        <v>100</v>
      </c>
      <c r="S3402" s="13" t="s">
        <v>28</v>
      </c>
      <c r="AX3402" s="11"/>
      <c r="AY3402" s="11"/>
      <c r="BC3402" s="11"/>
      <c r="BD3402" s="11"/>
      <c r="BE3402" s="11"/>
      <c r="BF3402" s="11"/>
      <c r="BG3402" s="11"/>
      <c r="BH3402" s="11"/>
      <c r="BI3402" s="11"/>
      <c r="BJ3402" s="11"/>
    </row>
    <row r="3403" spans="1:63" ht="12" customHeight="1" x14ac:dyDescent="0.15">
      <c r="A3403" s="1" t="s">
        <v>7558</v>
      </c>
      <c r="B3403" s="1">
        <v>18</v>
      </c>
      <c r="C3403" s="1" t="s">
        <v>20</v>
      </c>
      <c r="D3403" s="1" t="s">
        <v>48</v>
      </c>
      <c r="E3403" s="1" t="s">
        <v>7559</v>
      </c>
      <c r="F3403" s="72">
        <v>41878</v>
      </c>
      <c r="G3403" s="1" t="s">
        <v>7560</v>
      </c>
      <c r="H3403" s="1" t="s">
        <v>285</v>
      </c>
      <c r="I3403" s="1" t="s">
        <v>73</v>
      </c>
      <c r="J3403" s="4" t="s">
        <v>7561</v>
      </c>
      <c r="K3403" s="1" t="s">
        <v>285</v>
      </c>
      <c r="L3403" s="1" t="s">
        <v>286</v>
      </c>
      <c r="M3403" s="1" t="s">
        <v>27</v>
      </c>
      <c r="N3403" s="1" t="s">
        <v>7562</v>
      </c>
      <c r="O3403" s="1" t="s">
        <v>1010</v>
      </c>
      <c r="P3403" s="1" t="s">
        <v>401</v>
      </c>
      <c r="Q3403" s="63" t="s">
        <v>7563</v>
      </c>
      <c r="R3403" s="1" t="s">
        <v>100</v>
      </c>
      <c r="S3403" s="13" t="s">
        <v>28</v>
      </c>
    </row>
    <row r="3404" spans="1:63" ht="12" customHeight="1" x14ac:dyDescent="0.15">
      <c r="A3404" s="1" t="s">
        <v>7580</v>
      </c>
      <c r="B3404" s="1">
        <v>48</v>
      </c>
      <c r="C3404" s="1" t="s">
        <v>20</v>
      </c>
      <c r="D3404" s="1" t="s">
        <v>37</v>
      </c>
      <c r="E3404" s="1" t="s">
        <v>7581</v>
      </c>
      <c r="F3404" s="72">
        <v>41878</v>
      </c>
      <c r="G3404" s="1" t="s">
        <v>7582</v>
      </c>
      <c r="H3404" s="1" t="s">
        <v>7583</v>
      </c>
      <c r="I3404" s="1" t="s">
        <v>25</v>
      </c>
      <c r="J3404" s="4" t="s">
        <v>7584</v>
      </c>
      <c r="K3404" s="1" t="s">
        <v>4078</v>
      </c>
      <c r="L3404" s="1" t="s">
        <v>7585</v>
      </c>
      <c r="M3404" s="1" t="s">
        <v>27</v>
      </c>
      <c r="N3404" s="1" t="s">
        <v>7586</v>
      </c>
      <c r="O3404" s="1" t="s">
        <v>1010</v>
      </c>
      <c r="P3404" s="1" t="s">
        <v>401</v>
      </c>
      <c r="Q3404" s="63" t="s">
        <v>7587</v>
      </c>
      <c r="R3404" s="1" t="s">
        <v>100</v>
      </c>
      <c r="S3404" s="13" t="s">
        <v>28</v>
      </c>
    </row>
    <row r="3405" spans="1:63" ht="12" customHeight="1" x14ac:dyDescent="0.15">
      <c r="A3405" s="1" t="s">
        <v>7564</v>
      </c>
      <c r="B3405" s="1">
        <v>61</v>
      </c>
      <c r="C3405" s="1" t="s">
        <v>20</v>
      </c>
      <c r="D3405" s="1" t="s">
        <v>139</v>
      </c>
      <c r="E3405" s="1" t="s">
        <v>7565</v>
      </c>
      <c r="F3405" s="72">
        <v>41878</v>
      </c>
      <c r="G3405" s="1" t="s">
        <v>7566</v>
      </c>
      <c r="H3405" s="1" t="s">
        <v>7567</v>
      </c>
      <c r="I3405" s="1" t="s">
        <v>195</v>
      </c>
      <c r="J3405" s="4" t="s">
        <v>7568</v>
      </c>
      <c r="K3405" s="1" t="s">
        <v>5736</v>
      </c>
      <c r="L3405" s="1" t="s">
        <v>7569</v>
      </c>
      <c r="M3405" s="1" t="s">
        <v>27</v>
      </c>
      <c r="N3405" s="1" t="s">
        <v>7570</v>
      </c>
      <c r="O3405" s="1" t="s">
        <v>1010</v>
      </c>
      <c r="P3405" s="1" t="s">
        <v>401</v>
      </c>
      <c r="Q3405" s="63" t="s">
        <v>7571</v>
      </c>
      <c r="R3405" s="1" t="s">
        <v>100</v>
      </c>
      <c r="S3405" s="13" t="s">
        <v>35</v>
      </c>
      <c r="BK3405" s="11"/>
    </row>
    <row r="3406" spans="1:63" ht="12" customHeight="1" x14ac:dyDescent="0.15">
      <c r="A3406" s="1" t="s">
        <v>7572</v>
      </c>
      <c r="B3406" s="1">
        <v>54</v>
      </c>
      <c r="C3406" s="1" t="s">
        <v>20</v>
      </c>
      <c r="D3406" s="1" t="s">
        <v>30</v>
      </c>
      <c r="F3406" s="72">
        <v>41878</v>
      </c>
      <c r="G3406" s="1" t="s">
        <v>7573</v>
      </c>
      <c r="H3406" s="1" t="s">
        <v>7574</v>
      </c>
      <c r="I3406" s="1" t="s">
        <v>45</v>
      </c>
      <c r="J3406" s="4" t="s">
        <v>7575</v>
      </c>
      <c r="K3406" s="1" t="s">
        <v>7576</v>
      </c>
      <c r="L3406" s="1" t="s">
        <v>7577</v>
      </c>
      <c r="M3406" s="1" t="s">
        <v>27</v>
      </c>
      <c r="N3406" s="1" t="s">
        <v>7578</v>
      </c>
      <c r="O3406" s="1" t="s">
        <v>400</v>
      </c>
      <c r="P3406" s="1" t="s">
        <v>401</v>
      </c>
      <c r="Q3406" s="63" t="s">
        <v>7579</v>
      </c>
      <c r="R3406" s="1" t="s">
        <v>555</v>
      </c>
      <c r="S3406" s="13" t="s">
        <v>28</v>
      </c>
      <c r="BA3406" s="11"/>
      <c r="BB3406" s="11"/>
    </row>
    <row r="3407" spans="1:63" ht="12" customHeight="1" x14ac:dyDescent="0.15">
      <c r="A3407" s="1" t="s">
        <v>7594</v>
      </c>
      <c r="B3407" s="1">
        <v>18</v>
      </c>
      <c r="C3407" s="1" t="s">
        <v>20</v>
      </c>
      <c r="D3407" s="1" t="s">
        <v>85</v>
      </c>
      <c r="E3407" s="1" t="s">
        <v>7595</v>
      </c>
      <c r="F3407" s="72">
        <v>41877</v>
      </c>
      <c r="G3407" s="1" t="s">
        <v>7596</v>
      </c>
      <c r="H3407" s="1" t="s">
        <v>87</v>
      </c>
      <c r="I3407" s="1" t="s">
        <v>44</v>
      </c>
      <c r="J3407" s="4" t="s">
        <v>7597</v>
      </c>
      <c r="K3407" s="1" t="s">
        <v>88</v>
      </c>
      <c r="L3407" s="1" t="s">
        <v>89</v>
      </c>
      <c r="M3407" s="1" t="s">
        <v>27</v>
      </c>
      <c r="N3407" s="1" t="s">
        <v>7598</v>
      </c>
      <c r="O3407" s="1" t="s">
        <v>400</v>
      </c>
      <c r="P3407" s="1" t="s">
        <v>401</v>
      </c>
      <c r="Q3407" s="63" t="s">
        <v>7599</v>
      </c>
      <c r="R3407" s="1" t="s">
        <v>100</v>
      </c>
      <c r="S3407" s="13" t="s">
        <v>28</v>
      </c>
      <c r="AX3407" s="11"/>
      <c r="AY3407" s="11"/>
      <c r="BC3407" s="11"/>
      <c r="BD3407" s="11"/>
      <c r="BE3407" s="11"/>
      <c r="BF3407" s="11"/>
      <c r="BG3407" s="11"/>
      <c r="BH3407" s="11"/>
      <c r="BI3407" s="11"/>
      <c r="BJ3407" s="11"/>
    </row>
    <row r="3408" spans="1:63" ht="12" customHeight="1" x14ac:dyDescent="0.15">
      <c r="A3408" s="1" t="s">
        <v>7600</v>
      </c>
      <c r="B3408" s="1">
        <v>38</v>
      </c>
      <c r="C3408" s="1" t="s">
        <v>20</v>
      </c>
      <c r="D3408" s="1" t="s">
        <v>37</v>
      </c>
      <c r="E3408" s="1" t="s">
        <v>7601</v>
      </c>
      <c r="F3408" s="72">
        <v>41877</v>
      </c>
      <c r="G3408" s="1" t="s">
        <v>7602</v>
      </c>
      <c r="H3408" s="1" t="s">
        <v>1627</v>
      </c>
      <c r="I3408" s="1" t="s">
        <v>463</v>
      </c>
      <c r="J3408" s="4" t="s">
        <v>7591</v>
      </c>
      <c r="K3408" s="1" t="s">
        <v>938</v>
      </c>
      <c r="L3408" s="1" t="s">
        <v>2253</v>
      </c>
      <c r="M3408" s="1" t="s">
        <v>27</v>
      </c>
      <c r="N3408" s="1" t="s">
        <v>7603</v>
      </c>
      <c r="O3408" s="1" t="s">
        <v>400</v>
      </c>
      <c r="P3408" s="1" t="s">
        <v>401</v>
      </c>
      <c r="Q3408" s="63" t="s">
        <v>7604</v>
      </c>
      <c r="R3408" s="1" t="s">
        <v>100</v>
      </c>
      <c r="S3408" s="13" t="s">
        <v>28</v>
      </c>
    </row>
    <row r="3409" spans="1:62" ht="12" customHeight="1" x14ac:dyDescent="0.2">
      <c r="A3409" s="1" t="s">
        <v>7605</v>
      </c>
      <c r="B3409" s="1">
        <v>20</v>
      </c>
      <c r="C3409" s="1" t="s">
        <v>20</v>
      </c>
      <c r="D3409" s="1" t="s">
        <v>37</v>
      </c>
      <c r="E3409" s="1" t="s">
        <v>7606</v>
      </c>
      <c r="F3409" s="72">
        <v>41877</v>
      </c>
      <c r="G3409" s="1" t="s">
        <v>7607</v>
      </c>
      <c r="H3409" s="1" t="s">
        <v>7608</v>
      </c>
      <c r="I3409" s="1" t="s">
        <v>150</v>
      </c>
      <c r="J3409" s="4" t="s">
        <v>7609</v>
      </c>
      <c r="K3409" s="1" t="s">
        <v>3395</v>
      </c>
      <c r="L3409" s="1" t="s">
        <v>7610</v>
      </c>
      <c r="M3409" s="1" t="s">
        <v>27</v>
      </c>
      <c r="N3409" s="1" t="s">
        <v>7611</v>
      </c>
      <c r="O3409" s="1" t="s">
        <v>550</v>
      </c>
      <c r="P3409" s="1" t="s">
        <v>401</v>
      </c>
      <c r="Q3409" s="63" t="s">
        <v>7612</v>
      </c>
      <c r="R3409" s="1" t="s">
        <v>29</v>
      </c>
      <c r="S3409" s="13" t="s">
        <v>28</v>
      </c>
      <c r="BA3409" s="70"/>
      <c r="BB3409" s="70"/>
    </row>
    <row r="3410" spans="1:62" ht="12" customHeight="1" x14ac:dyDescent="0.15">
      <c r="A3410" s="1" t="s">
        <v>7588</v>
      </c>
      <c r="B3410" s="1">
        <v>32</v>
      </c>
      <c r="C3410" s="1" t="s">
        <v>20</v>
      </c>
      <c r="D3410" s="1" t="s">
        <v>85</v>
      </c>
      <c r="E3410" s="1" t="s">
        <v>7589</v>
      </c>
      <c r="F3410" s="72">
        <v>41877</v>
      </c>
      <c r="G3410" s="1" t="s">
        <v>7590</v>
      </c>
      <c r="H3410" s="1" t="s">
        <v>1627</v>
      </c>
      <c r="I3410" s="1" t="s">
        <v>463</v>
      </c>
      <c r="J3410" s="4" t="s">
        <v>7591</v>
      </c>
      <c r="K3410" s="1" t="s">
        <v>938</v>
      </c>
      <c r="L3410" s="1" t="s">
        <v>2253</v>
      </c>
      <c r="M3410" s="1" t="s">
        <v>27</v>
      </c>
      <c r="N3410" s="1" t="s">
        <v>7592</v>
      </c>
      <c r="O3410" s="1" t="s">
        <v>1010</v>
      </c>
      <c r="P3410" s="1" t="s">
        <v>401</v>
      </c>
      <c r="Q3410" s="63" t="s">
        <v>7593</v>
      </c>
      <c r="R3410" s="1" t="s">
        <v>29</v>
      </c>
      <c r="S3410" s="13" t="s">
        <v>18</v>
      </c>
      <c r="AX3410" s="11"/>
      <c r="AY3410" s="11"/>
      <c r="BC3410" s="11"/>
      <c r="BD3410" s="11"/>
      <c r="BE3410" s="11"/>
      <c r="BF3410" s="11"/>
      <c r="BG3410" s="11"/>
      <c r="BH3410" s="11"/>
      <c r="BI3410" s="11"/>
      <c r="BJ3410" s="11"/>
    </row>
    <row r="3411" spans="1:62" ht="12" customHeight="1" x14ac:dyDescent="0.15">
      <c r="A3411" s="1" t="s">
        <v>7613</v>
      </c>
      <c r="B3411" s="1">
        <v>20</v>
      </c>
      <c r="C3411" s="1" t="s">
        <v>20</v>
      </c>
      <c r="D3411" s="1" t="s">
        <v>85</v>
      </c>
      <c r="E3411" s="1" t="s">
        <v>7614</v>
      </c>
      <c r="F3411" s="72">
        <v>41876</v>
      </c>
      <c r="G3411" s="1" t="s">
        <v>7596</v>
      </c>
      <c r="H3411" s="1" t="s">
        <v>87</v>
      </c>
      <c r="I3411" s="1" t="s">
        <v>44</v>
      </c>
      <c r="J3411" s="4" t="s">
        <v>7597</v>
      </c>
      <c r="K3411" s="1" t="s">
        <v>88</v>
      </c>
      <c r="L3411" s="1" t="s">
        <v>89</v>
      </c>
      <c r="M3411" s="1" t="s">
        <v>27</v>
      </c>
      <c r="N3411" s="1" t="s">
        <v>7615</v>
      </c>
      <c r="O3411" s="1" t="s">
        <v>1010</v>
      </c>
      <c r="P3411" s="1" t="s">
        <v>401</v>
      </c>
      <c r="Q3411" s="63" t="s">
        <v>7616</v>
      </c>
      <c r="R3411" s="1" t="s">
        <v>100</v>
      </c>
      <c r="S3411" s="13" t="s">
        <v>28</v>
      </c>
      <c r="AX3411" s="11"/>
      <c r="AY3411" s="11"/>
      <c r="BC3411" s="11"/>
      <c r="BD3411" s="11"/>
      <c r="BE3411" s="11"/>
      <c r="BF3411" s="11"/>
      <c r="BG3411" s="11"/>
      <c r="BH3411" s="11"/>
      <c r="BI3411" s="11"/>
      <c r="BJ3411" s="11"/>
    </row>
    <row r="3412" spans="1:62" ht="12" customHeight="1" x14ac:dyDescent="0.15">
      <c r="A3412" s="1" t="s">
        <v>7617</v>
      </c>
      <c r="B3412" s="1">
        <v>29</v>
      </c>
      <c r="C3412" s="1" t="s">
        <v>20</v>
      </c>
      <c r="D3412" s="1" t="s">
        <v>85</v>
      </c>
      <c r="E3412" s="1" t="s">
        <v>7618</v>
      </c>
      <c r="F3412" s="72">
        <v>41876</v>
      </c>
      <c r="G3412" s="1" t="s">
        <v>7619</v>
      </c>
      <c r="H3412" s="1" t="s">
        <v>285</v>
      </c>
      <c r="I3412" s="1" t="s">
        <v>73</v>
      </c>
      <c r="J3412" s="4" t="s">
        <v>7620</v>
      </c>
      <c r="K3412" s="1" t="s">
        <v>285</v>
      </c>
      <c r="L3412" s="1" t="s">
        <v>286</v>
      </c>
      <c r="M3412" s="1" t="s">
        <v>27</v>
      </c>
      <c r="N3412" s="1" t="s">
        <v>7621</v>
      </c>
      <c r="O3412" s="1" t="s">
        <v>400</v>
      </c>
      <c r="P3412" s="1" t="s">
        <v>401</v>
      </c>
      <c r="Q3412" s="63" t="s">
        <v>7622</v>
      </c>
      <c r="R3412" s="1" t="s">
        <v>100</v>
      </c>
      <c r="S3412" s="13" t="s">
        <v>28</v>
      </c>
      <c r="AX3412" s="11"/>
      <c r="AY3412" s="11"/>
      <c r="BC3412" s="11"/>
      <c r="BD3412" s="11"/>
      <c r="BE3412" s="11"/>
      <c r="BF3412" s="11"/>
      <c r="BG3412" s="11"/>
      <c r="BH3412" s="11"/>
      <c r="BI3412" s="11"/>
      <c r="BJ3412" s="11"/>
    </row>
    <row r="3413" spans="1:62" ht="12" customHeight="1" x14ac:dyDescent="0.15">
      <c r="A3413" s="1" t="s">
        <v>7623</v>
      </c>
      <c r="B3413" s="1">
        <v>51</v>
      </c>
      <c r="C3413" s="1" t="s">
        <v>20</v>
      </c>
      <c r="D3413" s="1" t="s">
        <v>48</v>
      </c>
      <c r="E3413" s="1" t="s">
        <v>7624</v>
      </c>
      <c r="F3413" s="72">
        <v>41876</v>
      </c>
      <c r="G3413" s="1" t="s">
        <v>7625</v>
      </c>
      <c r="H3413" s="1" t="s">
        <v>6636</v>
      </c>
      <c r="I3413" s="1" t="s">
        <v>73</v>
      </c>
      <c r="J3413" s="4" t="s">
        <v>7626</v>
      </c>
      <c r="K3413" s="1" t="s">
        <v>6636</v>
      </c>
      <c r="L3413" s="1" t="s">
        <v>7627</v>
      </c>
      <c r="M3413" s="1" t="s">
        <v>27</v>
      </c>
      <c r="N3413" s="1" t="s">
        <v>7628</v>
      </c>
      <c r="O3413" s="1" t="s">
        <v>1010</v>
      </c>
      <c r="P3413" s="1" t="s">
        <v>401</v>
      </c>
      <c r="Q3413" s="63" t="s">
        <v>7629</v>
      </c>
      <c r="R3413" s="1" t="s">
        <v>100</v>
      </c>
      <c r="S3413" s="13" t="s">
        <v>28</v>
      </c>
    </row>
    <row r="3414" spans="1:62" ht="12" customHeight="1" x14ac:dyDescent="0.15">
      <c r="A3414" s="1" t="s">
        <v>7630</v>
      </c>
      <c r="B3414" s="1">
        <v>29</v>
      </c>
      <c r="C3414" s="1" t="s">
        <v>20</v>
      </c>
      <c r="D3414" s="1" t="s">
        <v>37</v>
      </c>
      <c r="F3414" s="72">
        <v>41876</v>
      </c>
      <c r="G3414" s="1" t="s">
        <v>7631</v>
      </c>
      <c r="H3414" s="1" t="s">
        <v>2282</v>
      </c>
      <c r="I3414" s="1" t="s">
        <v>209</v>
      </c>
      <c r="J3414" s="4" t="s">
        <v>2283</v>
      </c>
      <c r="K3414" s="1" t="s">
        <v>1428</v>
      </c>
      <c r="L3414" s="1" t="s">
        <v>2284</v>
      </c>
      <c r="M3414" s="1" t="s">
        <v>27</v>
      </c>
      <c r="N3414" s="1" t="s">
        <v>7632</v>
      </c>
      <c r="O3414" s="1" t="s">
        <v>550</v>
      </c>
      <c r="P3414" s="1" t="s">
        <v>401</v>
      </c>
      <c r="Q3414" s="63" t="s">
        <v>7633</v>
      </c>
      <c r="R3414" s="1" t="s">
        <v>100</v>
      </c>
      <c r="S3414" s="13" t="s">
        <v>28</v>
      </c>
    </row>
    <row r="3415" spans="1:62" ht="12" customHeight="1" x14ac:dyDescent="0.15">
      <c r="A3415" s="1" t="s">
        <v>7640</v>
      </c>
      <c r="B3415" s="1">
        <v>22</v>
      </c>
      <c r="C3415" s="1" t="s">
        <v>20</v>
      </c>
      <c r="D3415" s="1" t="s">
        <v>48</v>
      </c>
      <c r="E3415" s="1" t="s">
        <v>7641</v>
      </c>
      <c r="F3415" s="72">
        <v>41875</v>
      </c>
      <c r="G3415" s="1" t="s">
        <v>7642</v>
      </c>
      <c r="H3415" s="1" t="s">
        <v>1094</v>
      </c>
      <c r="I3415" s="1" t="s">
        <v>395</v>
      </c>
      <c r="J3415" s="4" t="s">
        <v>7643</v>
      </c>
      <c r="K3415" s="1" t="s">
        <v>1095</v>
      </c>
      <c r="L3415" s="1" t="s">
        <v>1096</v>
      </c>
      <c r="M3415" s="1" t="s">
        <v>27</v>
      </c>
      <c r="N3415" s="1" t="s">
        <v>7644</v>
      </c>
      <c r="O3415" s="1" t="s">
        <v>400</v>
      </c>
      <c r="P3415" s="1" t="s">
        <v>401</v>
      </c>
      <c r="Q3415" s="63" t="s">
        <v>7645</v>
      </c>
      <c r="R3415" s="1" t="s">
        <v>100</v>
      </c>
      <c r="S3415" s="13" t="s">
        <v>28</v>
      </c>
    </row>
    <row r="3416" spans="1:62" ht="12" customHeight="1" x14ac:dyDescent="0.15">
      <c r="A3416" s="1" t="s">
        <v>7659</v>
      </c>
      <c r="B3416" s="1">
        <v>31</v>
      </c>
      <c r="C3416" s="1" t="s">
        <v>20</v>
      </c>
      <c r="D3416" s="1" t="s">
        <v>37</v>
      </c>
      <c r="F3416" s="72">
        <v>41875</v>
      </c>
      <c r="G3416" s="1" t="s">
        <v>7660</v>
      </c>
      <c r="H3416" s="1" t="s">
        <v>7661</v>
      </c>
      <c r="I3416" s="1" t="s">
        <v>150</v>
      </c>
      <c r="J3416" s="4" t="s">
        <v>7662</v>
      </c>
      <c r="K3416" s="1" t="s">
        <v>7663</v>
      </c>
      <c r="L3416" s="1" t="s">
        <v>17262</v>
      </c>
      <c r="M3416" s="1" t="s">
        <v>27</v>
      </c>
      <c r="N3416" s="1" t="s">
        <v>7664</v>
      </c>
      <c r="O3416" s="1" t="s">
        <v>29</v>
      </c>
      <c r="P3416" s="1" t="s">
        <v>401</v>
      </c>
      <c r="Q3416" s="63" t="s">
        <v>7665</v>
      </c>
      <c r="R3416" s="1" t="s">
        <v>100</v>
      </c>
      <c r="S3416" s="13" t="s">
        <v>28</v>
      </c>
    </row>
    <row r="3417" spans="1:62" ht="12" customHeight="1" x14ac:dyDescent="0.15">
      <c r="A3417" s="1" t="s">
        <v>7651</v>
      </c>
      <c r="B3417" s="1">
        <v>41</v>
      </c>
      <c r="C3417" s="1" t="s">
        <v>20</v>
      </c>
      <c r="D3417" s="1" t="s">
        <v>37</v>
      </c>
      <c r="E3417" s="1" t="s">
        <v>7652</v>
      </c>
      <c r="F3417" s="72">
        <v>41875</v>
      </c>
      <c r="G3417" s="1" t="s">
        <v>7653</v>
      </c>
      <c r="H3417" s="1" t="s">
        <v>7654</v>
      </c>
      <c r="I3417" s="1" t="s">
        <v>62</v>
      </c>
      <c r="J3417" s="4" t="s">
        <v>7655</v>
      </c>
      <c r="K3417" s="1" t="s">
        <v>51</v>
      </c>
      <c r="L3417" s="1" t="s">
        <v>7656</v>
      </c>
      <c r="M3417" s="1" t="s">
        <v>391</v>
      </c>
      <c r="N3417" s="1" t="s">
        <v>7657</v>
      </c>
      <c r="O3417" s="1" t="s">
        <v>1010</v>
      </c>
      <c r="P3417" s="1" t="s">
        <v>401</v>
      </c>
      <c r="Q3417" s="63" t="s">
        <v>7658</v>
      </c>
      <c r="R3417" s="1" t="s">
        <v>100</v>
      </c>
      <c r="S3417" s="13" t="s">
        <v>28</v>
      </c>
      <c r="AU3417" s="11"/>
      <c r="AV3417" s="11"/>
      <c r="AW3417" s="11"/>
    </row>
    <row r="3418" spans="1:62" ht="12" customHeight="1" x14ac:dyDescent="0.15">
      <c r="A3418" s="1" t="s">
        <v>7634</v>
      </c>
      <c r="B3418" s="1">
        <v>38</v>
      </c>
      <c r="C3418" s="1" t="s">
        <v>20</v>
      </c>
      <c r="D3418" s="1" t="s">
        <v>85</v>
      </c>
      <c r="E3418" s="1" t="s">
        <v>7635</v>
      </c>
      <c r="F3418" s="72">
        <v>41875</v>
      </c>
      <c r="G3418" s="1" t="s">
        <v>7636</v>
      </c>
      <c r="H3418" s="1" t="s">
        <v>816</v>
      </c>
      <c r="I3418" s="1" t="s">
        <v>395</v>
      </c>
      <c r="J3418" s="4" t="s">
        <v>7637</v>
      </c>
      <c r="K3418" s="1" t="s">
        <v>817</v>
      </c>
      <c r="L3418" s="1" t="s">
        <v>818</v>
      </c>
      <c r="M3418" s="1" t="s">
        <v>29</v>
      </c>
      <c r="N3418" s="1" t="s">
        <v>7638</v>
      </c>
      <c r="O3418" s="1" t="s">
        <v>1010</v>
      </c>
      <c r="P3418" s="1" t="s">
        <v>401</v>
      </c>
      <c r="Q3418" s="63" t="s">
        <v>7639</v>
      </c>
      <c r="R3418" s="1" t="s">
        <v>100</v>
      </c>
      <c r="S3418" s="13" t="s">
        <v>18</v>
      </c>
      <c r="AU3418" s="44"/>
      <c r="AV3418" s="44"/>
      <c r="AW3418" s="44"/>
      <c r="AX3418" s="44"/>
      <c r="AY3418" s="44"/>
      <c r="BC3418" s="11"/>
      <c r="BD3418" s="11"/>
      <c r="BE3418" s="11"/>
      <c r="BF3418" s="11"/>
      <c r="BG3418" s="11"/>
      <c r="BH3418" s="11"/>
      <c r="BI3418" s="11"/>
      <c r="BJ3418" s="11"/>
    </row>
    <row r="3419" spans="1:62" ht="12" customHeight="1" x14ac:dyDescent="0.15">
      <c r="A3419" s="1" t="s">
        <v>7646</v>
      </c>
      <c r="B3419" s="1">
        <v>52</v>
      </c>
      <c r="C3419" s="1" t="s">
        <v>20</v>
      </c>
      <c r="D3419" s="1" t="s">
        <v>37</v>
      </c>
      <c r="E3419" s="1" t="s">
        <v>7647</v>
      </c>
      <c r="F3419" s="72">
        <v>41875</v>
      </c>
      <c r="G3419" s="1" t="s">
        <v>7648</v>
      </c>
      <c r="H3419" s="1" t="s">
        <v>2020</v>
      </c>
      <c r="I3419" s="1" t="s">
        <v>117</v>
      </c>
      <c r="J3419" s="4" t="s">
        <v>3553</v>
      </c>
      <c r="K3419" s="1" t="s">
        <v>433</v>
      </c>
      <c r="L3419" s="1" t="s">
        <v>2022</v>
      </c>
      <c r="M3419" s="1" t="s">
        <v>27</v>
      </c>
      <c r="N3419" s="1" t="s">
        <v>7649</v>
      </c>
      <c r="O3419" s="1" t="s">
        <v>1010</v>
      </c>
      <c r="P3419" s="1" t="s">
        <v>401</v>
      </c>
      <c r="Q3419" s="63" t="s">
        <v>7650</v>
      </c>
      <c r="R3419" s="1" t="s">
        <v>555</v>
      </c>
      <c r="S3419" s="13" t="s">
        <v>28</v>
      </c>
      <c r="BA3419" s="11"/>
      <c r="BB3419" s="11"/>
    </row>
    <row r="3420" spans="1:62" ht="12" customHeight="1" x14ac:dyDescent="0.15">
      <c r="A3420" s="1" t="s">
        <v>7666</v>
      </c>
      <c r="B3420" s="1">
        <v>39</v>
      </c>
      <c r="C3420" s="1" t="s">
        <v>20</v>
      </c>
      <c r="D3420" s="1" t="s">
        <v>85</v>
      </c>
      <c r="E3420" s="1" t="s">
        <v>7667</v>
      </c>
      <c r="F3420" s="72">
        <v>41874</v>
      </c>
      <c r="G3420" s="1" t="s">
        <v>7668</v>
      </c>
      <c r="H3420" s="1" t="s">
        <v>61</v>
      </c>
      <c r="I3420" s="1" t="s">
        <v>62</v>
      </c>
      <c r="J3420" s="4" t="s">
        <v>7669</v>
      </c>
      <c r="K3420" s="1" t="s">
        <v>5318</v>
      </c>
      <c r="L3420" s="1" t="s">
        <v>7670</v>
      </c>
      <c r="M3420" s="1" t="s">
        <v>27</v>
      </c>
      <c r="N3420" s="1" t="s">
        <v>7671</v>
      </c>
      <c r="O3420" s="1" t="s">
        <v>1010</v>
      </c>
      <c r="P3420" s="1" t="s">
        <v>401</v>
      </c>
      <c r="Q3420" s="63" t="s">
        <v>7672</v>
      </c>
      <c r="R3420" s="1" t="s">
        <v>100</v>
      </c>
      <c r="S3420" s="13" t="s">
        <v>28</v>
      </c>
      <c r="AX3420" s="11"/>
      <c r="AY3420" s="11"/>
      <c r="BC3420" s="11"/>
      <c r="BD3420" s="11"/>
      <c r="BE3420" s="11"/>
      <c r="BF3420" s="11"/>
      <c r="BG3420" s="11"/>
      <c r="BH3420" s="11"/>
      <c r="BI3420" s="11"/>
      <c r="BJ3420" s="11"/>
    </row>
    <row r="3421" spans="1:62" ht="12" customHeight="1" x14ac:dyDescent="0.15">
      <c r="A3421" s="1" t="s">
        <v>7687</v>
      </c>
      <c r="B3421" s="1">
        <v>39</v>
      </c>
      <c r="C3421" s="1" t="s">
        <v>20</v>
      </c>
      <c r="D3421" s="1" t="s">
        <v>48</v>
      </c>
      <c r="F3421" s="72">
        <v>41874</v>
      </c>
      <c r="G3421" s="1" t="s">
        <v>7688</v>
      </c>
      <c r="H3421" s="1" t="s">
        <v>632</v>
      </c>
      <c r="I3421" s="1" t="s">
        <v>123</v>
      </c>
      <c r="J3421" s="4" t="s">
        <v>4614</v>
      </c>
      <c r="K3421" s="1" t="s">
        <v>633</v>
      </c>
      <c r="L3421" s="1" t="s">
        <v>634</v>
      </c>
      <c r="M3421" s="1" t="s">
        <v>27</v>
      </c>
      <c r="N3421" s="1" t="s">
        <v>7689</v>
      </c>
      <c r="O3421" s="1" t="s">
        <v>1010</v>
      </c>
      <c r="P3421" s="1" t="s">
        <v>401</v>
      </c>
      <c r="Q3421" s="63" t="s">
        <v>7690</v>
      </c>
      <c r="R3421" s="1" t="s">
        <v>100</v>
      </c>
      <c r="S3421" s="13" t="s">
        <v>28</v>
      </c>
    </row>
    <row r="3422" spans="1:62" ht="12" customHeight="1" x14ac:dyDescent="0.15">
      <c r="A3422" s="1" t="s">
        <v>7699</v>
      </c>
      <c r="B3422" s="1">
        <v>44</v>
      </c>
      <c r="C3422" s="1" t="s">
        <v>20</v>
      </c>
      <c r="D3422" s="1" t="s">
        <v>37</v>
      </c>
      <c r="F3422" s="72">
        <v>41874</v>
      </c>
      <c r="G3422" s="1" t="s">
        <v>7700</v>
      </c>
      <c r="H3422" s="1" t="s">
        <v>7701</v>
      </c>
      <c r="I3422" s="1" t="s">
        <v>73</v>
      </c>
      <c r="J3422" s="4" t="s">
        <v>7702</v>
      </c>
      <c r="K3422" s="1" t="s">
        <v>7338</v>
      </c>
      <c r="L3422" s="1" t="s">
        <v>7703</v>
      </c>
      <c r="M3422" s="1" t="s">
        <v>27</v>
      </c>
      <c r="N3422" s="1" t="s">
        <v>7704</v>
      </c>
      <c r="O3422" s="1" t="s">
        <v>1010</v>
      </c>
      <c r="P3422" s="1" t="s">
        <v>401</v>
      </c>
      <c r="Q3422" s="63" t="s">
        <v>7705</v>
      </c>
      <c r="R3422" s="1" t="s">
        <v>100</v>
      </c>
      <c r="S3422" s="13" t="s">
        <v>28</v>
      </c>
    </row>
    <row r="3423" spans="1:62" ht="12" customHeight="1" x14ac:dyDescent="0.15">
      <c r="A3423" s="1" t="s">
        <v>7673</v>
      </c>
      <c r="B3423" s="1">
        <v>26</v>
      </c>
      <c r="C3423" s="1" t="s">
        <v>20</v>
      </c>
      <c r="D3423" s="1" t="s">
        <v>85</v>
      </c>
      <c r="E3423" s="1" t="s">
        <v>7674</v>
      </c>
      <c r="F3423" s="72">
        <v>41874</v>
      </c>
      <c r="G3423" s="1" t="s">
        <v>7675</v>
      </c>
      <c r="H3423" s="1" t="s">
        <v>7676</v>
      </c>
      <c r="I3423" s="1" t="s">
        <v>46</v>
      </c>
      <c r="J3423" s="4" t="s">
        <v>7677</v>
      </c>
      <c r="K3423" s="1" t="s">
        <v>528</v>
      </c>
      <c r="L3423" s="1" t="s">
        <v>7678</v>
      </c>
      <c r="M3423" s="1" t="s">
        <v>379</v>
      </c>
      <c r="N3423" s="1" t="s">
        <v>7679</v>
      </c>
      <c r="O3423" s="1" t="s">
        <v>29634</v>
      </c>
      <c r="P3423" s="1" t="s">
        <v>29635</v>
      </c>
      <c r="Q3423" s="63" t="s">
        <v>7680</v>
      </c>
      <c r="R3423" s="1" t="s">
        <v>100</v>
      </c>
      <c r="S3423" s="66" t="s">
        <v>379</v>
      </c>
      <c r="T3423" s="66" t="s">
        <v>30738</v>
      </c>
      <c r="AX3423" s="44"/>
      <c r="AY3423" s="44"/>
      <c r="BC3423" s="11"/>
      <c r="BD3423" s="11"/>
      <c r="BE3423" s="11"/>
      <c r="BF3423" s="11"/>
      <c r="BG3423" s="11"/>
      <c r="BH3423" s="11"/>
      <c r="BI3423" s="11"/>
      <c r="BJ3423" s="11"/>
    </row>
    <row r="3424" spans="1:62" ht="12" customHeight="1" x14ac:dyDescent="0.15">
      <c r="A3424" s="1" t="s">
        <v>7681</v>
      </c>
      <c r="B3424" s="1">
        <v>61</v>
      </c>
      <c r="C3424" s="1" t="s">
        <v>20</v>
      </c>
      <c r="D3424" s="1" t="s">
        <v>48</v>
      </c>
      <c r="F3424" s="72">
        <v>41874</v>
      </c>
      <c r="G3424" s="1" t="s">
        <v>7682</v>
      </c>
      <c r="H3424" s="1" t="s">
        <v>7683</v>
      </c>
      <c r="I3424" s="1" t="s">
        <v>52</v>
      </c>
      <c r="J3424" s="4" t="s">
        <v>7684</v>
      </c>
      <c r="K3424" s="1" t="s">
        <v>53</v>
      </c>
      <c r="L3424" s="1" t="s">
        <v>54</v>
      </c>
      <c r="M3424" s="1" t="s">
        <v>27</v>
      </c>
      <c r="N3424" s="1" t="s">
        <v>7685</v>
      </c>
      <c r="O3424" s="1" t="s">
        <v>1010</v>
      </c>
      <c r="P3424" s="1" t="s">
        <v>401</v>
      </c>
      <c r="Q3424" s="63" t="s">
        <v>7686</v>
      </c>
      <c r="R3424" s="1" t="s">
        <v>555</v>
      </c>
      <c r="S3424" s="13" t="s">
        <v>28</v>
      </c>
      <c r="BA3424" s="11"/>
      <c r="BB3424" s="11"/>
    </row>
    <row r="3425" spans="1:63" ht="12" customHeight="1" x14ac:dyDescent="0.15">
      <c r="A3425" s="1" t="s">
        <v>7691</v>
      </c>
      <c r="B3425" s="1">
        <v>18</v>
      </c>
      <c r="C3425" s="1" t="s">
        <v>20</v>
      </c>
      <c r="D3425" s="1" t="s">
        <v>37</v>
      </c>
      <c r="E3425" s="1" t="s">
        <v>7692</v>
      </c>
      <c r="F3425" s="72">
        <v>41874</v>
      </c>
      <c r="G3425" s="1" t="s">
        <v>7693</v>
      </c>
      <c r="H3425" s="1" t="s">
        <v>7694</v>
      </c>
      <c r="I3425" s="1" t="s">
        <v>363</v>
      </c>
      <c r="J3425" s="4" t="s">
        <v>7695</v>
      </c>
      <c r="K3425" s="1" t="s">
        <v>1288</v>
      </c>
      <c r="L3425" s="1" t="s">
        <v>7696</v>
      </c>
      <c r="M3425" s="1" t="s">
        <v>27</v>
      </c>
      <c r="N3425" s="1" t="s">
        <v>7697</v>
      </c>
      <c r="O3425" s="1" t="s">
        <v>400</v>
      </c>
      <c r="P3425" s="1" t="s">
        <v>401</v>
      </c>
      <c r="Q3425" s="63" t="s">
        <v>7698</v>
      </c>
      <c r="R3425" s="1" t="s">
        <v>555</v>
      </c>
      <c r="S3425" s="13" t="s">
        <v>28</v>
      </c>
      <c r="BA3425" s="11"/>
      <c r="BB3425" s="11"/>
    </row>
    <row r="3426" spans="1:63" ht="12" customHeight="1" x14ac:dyDescent="0.15">
      <c r="A3426" s="1" t="s">
        <v>7713</v>
      </c>
      <c r="B3426" s="1">
        <v>38</v>
      </c>
      <c r="C3426" s="1" t="s">
        <v>20</v>
      </c>
      <c r="D3426" s="1" t="s">
        <v>48</v>
      </c>
      <c r="E3426" s="1" t="s">
        <v>7714</v>
      </c>
      <c r="F3426" s="72">
        <v>41873</v>
      </c>
      <c r="G3426" s="1" t="s">
        <v>7715</v>
      </c>
      <c r="H3426" s="1" t="s">
        <v>309</v>
      </c>
      <c r="I3426" s="1" t="s">
        <v>45</v>
      </c>
      <c r="J3426" s="4" t="s">
        <v>7716</v>
      </c>
      <c r="K3426" s="1" t="s">
        <v>309</v>
      </c>
      <c r="L3426" s="1" t="s">
        <v>4320</v>
      </c>
      <c r="M3426" s="1" t="s">
        <v>27</v>
      </c>
      <c r="N3426" s="1" t="s">
        <v>7717</v>
      </c>
      <c r="O3426" s="1" t="s">
        <v>400</v>
      </c>
      <c r="P3426" s="1" t="s">
        <v>401</v>
      </c>
      <c r="Q3426" s="63" t="s">
        <v>7718</v>
      </c>
      <c r="R3426" s="1" t="s">
        <v>100</v>
      </c>
      <c r="S3426" s="13" t="s">
        <v>28</v>
      </c>
    </row>
    <row r="3427" spans="1:63" ht="12" customHeight="1" x14ac:dyDescent="0.15">
      <c r="A3427" s="1" t="s">
        <v>7706</v>
      </c>
      <c r="B3427" s="1">
        <v>26</v>
      </c>
      <c r="C3427" s="1" t="s">
        <v>114</v>
      </c>
      <c r="D3427" s="1" t="s">
        <v>85</v>
      </c>
      <c r="E3427" s="1" t="s">
        <v>7707</v>
      </c>
      <c r="F3427" s="72">
        <v>41873</v>
      </c>
      <c r="G3427" s="1" t="s">
        <v>7708</v>
      </c>
      <c r="H3427" s="1" t="s">
        <v>7709</v>
      </c>
      <c r="I3427" s="1" t="s">
        <v>173</v>
      </c>
      <c r="J3427" s="4" t="s">
        <v>7710</v>
      </c>
      <c r="K3427" s="1" t="s">
        <v>1556</v>
      </c>
      <c r="L3427" s="1" t="s">
        <v>2540</v>
      </c>
      <c r="M3427" s="1" t="s">
        <v>27</v>
      </c>
      <c r="N3427" s="1" t="s">
        <v>7711</v>
      </c>
      <c r="O3427" s="1" t="s">
        <v>29636</v>
      </c>
      <c r="P3427" s="1" t="s">
        <v>29637</v>
      </c>
      <c r="Q3427" s="63" t="s">
        <v>7712</v>
      </c>
      <c r="R3427" s="1" t="s">
        <v>100</v>
      </c>
      <c r="S3427" s="13" t="s">
        <v>18</v>
      </c>
      <c r="AX3427" s="11"/>
      <c r="AY3427" s="11"/>
      <c r="BC3427" s="11"/>
      <c r="BD3427" s="11"/>
      <c r="BE3427" s="11"/>
      <c r="BF3427" s="11"/>
      <c r="BG3427" s="11"/>
      <c r="BH3427" s="11"/>
      <c r="BI3427" s="11"/>
      <c r="BJ3427" s="11"/>
    </row>
    <row r="3428" spans="1:63" ht="12" customHeight="1" x14ac:dyDescent="0.2">
      <c r="A3428" s="1" t="s">
        <v>7719</v>
      </c>
      <c r="B3428" s="1">
        <v>15</v>
      </c>
      <c r="C3428" s="1" t="s">
        <v>20</v>
      </c>
      <c r="D3428" s="1" t="s">
        <v>37</v>
      </c>
      <c r="E3428" s="1" t="s">
        <v>7720</v>
      </c>
      <c r="F3428" s="72">
        <v>41873</v>
      </c>
      <c r="G3428" s="1" t="s">
        <v>7721</v>
      </c>
      <c r="H3428" s="1" t="s">
        <v>7722</v>
      </c>
      <c r="I3428" s="1" t="s">
        <v>62</v>
      </c>
      <c r="J3428" s="4" t="s">
        <v>7723</v>
      </c>
      <c r="K3428" s="1" t="s">
        <v>5538</v>
      </c>
      <c r="L3428" s="1" t="s">
        <v>7724</v>
      </c>
      <c r="M3428" s="1" t="s">
        <v>379</v>
      </c>
      <c r="N3428" s="1" t="s">
        <v>7725</v>
      </c>
      <c r="O3428" s="1" t="s">
        <v>7726</v>
      </c>
      <c r="P3428" s="1" t="s">
        <v>20489</v>
      </c>
      <c r="Q3428" s="63" t="s">
        <v>7728</v>
      </c>
      <c r="R3428" s="1" t="s">
        <v>100</v>
      </c>
      <c r="S3428" s="13" t="s">
        <v>18</v>
      </c>
      <c r="BK3428" s="70"/>
    </row>
    <row r="3429" spans="1:63" ht="12" customHeight="1" x14ac:dyDescent="0.15">
      <c r="A3429" s="1" t="s">
        <v>7729</v>
      </c>
      <c r="B3429" s="1">
        <v>30</v>
      </c>
      <c r="C3429" s="1" t="s">
        <v>20</v>
      </c>
      <c r="D3429" s="1" t="s">
        <v>85</v>
      </c>
      <c r="E3429" s="1" t="s">
        <v>7730</v>
      </c>
      <c r="F3429" s="72">
        <v>41871</v>
      </c>
      <c r="G3429" s="1" t="s">
        <v>7731</v>
      </c>
      <c r="H3429" s="1" t="s">
        <v>7732</v>
      </c>
      <c r="I3429" s="1" t="s">
        <v>52</v>
      </c>
      <c r="J3429" s="4" t="s">
        <v>7733</v>
      </c>
      <c r="K3429" s="1" t="s">
        <v>1592</v>
      </c>
      <c r="L3429" s="1" t="s">
        <v>231</v>
      </c>
      <c r="M3429" s="1" t="s">
        <v>391</v>
      </c>
      <c r="N3429" s="1" t="s">
        <v>7734</v>
      </c>
      <c r="O3429" s="1" t="s">
        <v>1010</v>
      </c>
      <c r="P3429" s="1" t="s">
        <v>401</v>
      </c>
      <c r="Q3429" s="6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3429" s="11" t="s">
        <v>964</v>
      </c>
      <c r="S3429" s="13" t="s">
        <v>18</v>
      </c>
      <c r="AU3429" s="11"/>
      <c r="AV3429" s="11"/>
      <c r="AW3429" s="11"/>
      <c r="AX3429" s="11"/>
      <c r="AY3429" s="11"/>
      <c r="BC3429" s="11"/>
      <c r="BD3429" s="11"/>
      <c r="BE3429" s="11"/>
      <c r="BF3429" s="11"/>
      <c r="BG3429" s="11"/>
      <c r="BH3429" s="11"/>
      <c r="BI3429" s="11"/>
      <c r="BJ3429" s="11"/>
    </row>
    <row r="3430" spans="1:63" ht="12" customHeight="1" x14ac:dyDescent="0.15">
      <c r="A3430" s="1" t="s">
        <v>7735</v>
      </c>
      <c r="B3430" s="1">
        <v>25</v>
      </c>
      <c r="C3430" s="1" t="s">
        <v>20</v>
      </c>
      <c r="D3430" s="1" t="s">
        <v>48</v>
      </c>
      <c r="E3430" s="1" t="s">
        <v>7736</v>
      </c>
      <c r="F3430" s="72">
        <v>41871</v>
      </c>
      <c r="G3430" s="1" t="s">
        <v>7737</v>
      </c>
      <c r="H3430" s="1" t="s">
        <v>7738</v>
      </c>
      <c r="I3430" s="1" t="s">
        <v>25</v>
      </c>
      <c r="J3430" s="4" t="s">
        <v>7739</v>
      </c>
      <c r="K3430" s="1" t="s">
        <v>7740</v>
      </c>
      <c r="L3430" s="1" t="s">
        <v>7741</v>
      </c>
      <c r="M3430" s="1" t="s">
        <v>27</v>
      </c>
      <c r="N3430" s="1" t="s">
        <v>7742</v>
      </c>
      <c r="O3430" s="1" t="s">
        <v>1010</v>
      </c>
      <c r="P3430" s="1" t="s">
        <v>401</v>
      </c>
      <c r="Q3430" s="63" t="s">
        <v>7743</v>
      </c>
      <c r="R3430" s="1" t="s">
        <v>100</v>
      </c>
      <c r="S3430" s="13" t="s">
        <v>379</v>
      </c>
      <c r="BK3430" s="44"/>
    </row>
    <row r="3431" spans="1:63" ht="12" customHeight="1" x14ac:dyDescent="0.15">
      <c r="A3431" s="1" t="s">
        <v>7744</v>
      </c>
      <c r="B3431" s="1">
        <v>45</v>
      </c>
      <c r="C3431" s="1" t="s">
        <v>20</v>
      </c>
      <c r="D3431" s="1" t="s">
        <v>37</v>
      </c>
      <c r="F3431" s="72">
        <v>41871</v>
      </c>
      <c r="G3431" s="1" t="s">
        <v>7745</v>
      </c>
      <c r="H3431" s="1" t="s">
        <v>7683</v>
      </c>
      <c r="I3431" s="1" t="s">
        <v>52</v>
      </c>
      <c r="J3431" s="4" t="s">
        <v>7684</v>
      </c>
      <c r="K3431" s="1" t="s">
        <v>53</v>
      </c>
      <c r="L3431" s="1" t="s">
        <v>54</v>
      </c>
      <c r="M3431" s="1" t="s">
        <v>27</v>
      </c>
      <c r="N3431" s="1" t="s">
        <v>7746</v>
      </c>
      <c r="O3431" s="1" t="s">
        <v>1010</v>
      </c>
      <c r="P3431" s="1" t="s">
        <v>401</v>
      </c>
      <c r="Q3431" s="63" t="s">
        <v>7747</v>
      </c>
      <c r="R3431" s="1" t="s">
        <v>555</v>
      </c>
      <c r="S3431" s="13" t="s">
        <v>28</v>
      </c>
      <c r="BA3431" s="11"/>
      <c r="BB3431" s="11"/>
    </row>
    <row r="3432" spans="1:63" ht="12" customHeight="1" x14ac:dyDescent="0.15">
      <c r="A3432" s="1" t="s">
        <v>7760</v>
      </c>
      <c r="B3432" s="1">
        <v>29</v>
      </c>
      <c r="C3432" s="1" t="s">
        <v>20</v>
      </c>
      <c r="D3432" s="1" t="s">
        <v>85</v>
      </c>
      <c r="F3432" s="72">
        <v>41870</v>
      </c>
      <c r="G3432" s="1" t="s">
        <v>7761</v>
      </c>
      <c r="H3432" s="1" t="s">
        <v>1100</v>
      </c>
      <c r="I3432" s="1" t="s">
        <v>404</v>
      </c>
      <c r="J3432" s="4" t="s">
        <v>7762</v>
      </c>
      <c r="K3432" s="1" t="s">
        <v>1100</v>
      </c>
      <c r="L3432" s="1" t="s">
        <v>1101</v>
      </c>
      <c r="M3432" s="1" t="s">
        <v>27</v>
      </c>
      <c r="N3432" s="1" t="s">
        <v>7763</v>
      </c>
      <c r="O3432" s="1" t="s">
        <v>400</v>
      </c>
      <c r="P3432" s="1" t="s">
        <v>401</v>
      </c>
      <c r="Q3432" s="63" t="str">
        <f>HYPERLINK("http://www.philly.com/philly/news/20140820_Cop_grazed_by_bullet__suspect_killed.html","http://www.philly.com/philly/news/20140820_Cop_grazed_by_bullet__suspect_killed.html")</f>
        <v>http://www.philly.com/philly/news/20140820_Cop_grazed_by_bullet__suspect_killed.html</v>
      </c>
      <c r="R3432" s="1" t="s">
        <v>100</v>
      </c>
      <c r="S3432" s="13" t="s">
        <v>28</v>
      </c>
      <c r="AX3432" s="11"/>
      <c r="AY3432" s="11"/>
      <c r="BC3432" s="11"/>
      <c r="BD3432" s="11"/>
      <c r="BE3432" s="11"/>
      <c r="BF3432" s="11"/>
      <c r="BG3432" s="11"/>
      <c r="BH3432" s="11"/>
      <c r="BI3432" s="11"/>
      <c r="BJ3432" s="11"/>
    </row>
    <row r="3433" spans="1:63" ht="12" customHeight="1" x14ac:dyDescent="0.15">
      <c r="A3433" s="1" t="s">
        <v>7777</v>
      </c>
      <c r="B3433" s="1">
        <v>28</v>
      </c>
      <c r="C3433" s="1" t="s">
        <v>114</v>
      </c>
      <c r="D3433" s="1" t="s">
        <v>37</v>
      </c>
      <c r="E3433" s="1" t="s">
        <v>7778</v>
      </c>
      <c r="F3433" s="72">
        <v>41870</v>
      </c>
      <c r="G3433" s="1" t="s">
        <v>7779</v>
      </c>
      <c r="H3433" s="1" t="s">
        <v>7780</v>
      </c>
      <c r="I3433" s="1" t="s">
        <v>319</v>
      </c>
      <c r="J3433" s="4" t="s">
        <v>7781</v>
      </c>
      <c r="K3433" s="1" t="s">
        <v>7782</v>
      </c>
      <c r="L3433" s="1" t="s">
        <v>7783</v>
      </c>
      <c r="M3433" s="1" t="s">
        <v>27</v>
      </c>
      <c r="N3433" s="1" t="s">
        <v>7784</v>
      </c>
      <c r="O3433" s="1" t="s">
        <v>1010</v>
      </c>
      <c r="P3433" s="1" t="s">
        <v>401</v>
      </c>
      <c r="Q3433" s="63" t="s">
        <v>7785</v>
      </c>
      <c r="R3433" s="1" t="s">
        <v>100</v>
      </c>
      <c r="S3433" s="13" t="s">
        <v>28</v>
      </c>
    </row>
    <row r="3434" spans="1:63" ht="12" customHeight="1" x14ac:dyDescent="0.15">
      <c r="A3434" s="1" t="s">
        <v>7764</v>
      </c>
      <c r="B3434" s="1">
        <v>22</v>
      </c>
      <c r="C3434" s="1" t="s">
        <v>114</v>
      </c>
      <c r="D3434" s="1" t="s">
        <v>48</v>
      </c>
      <c r="E3434" s="1" t="s">
        <v>7765</v>
      </c>
      <c r="F3434" s="72">
        <v>41870</v>
      </c>
      <c r="G3434" s="1" t="s">
        <v>7766</v>
      </c>
      <c r="H3434" s="1" t="s">
        <v>1060</v>
      </c>
      <c r="I3434" s="1" t="s">
        <v>62</v>
      </c>
      <c r="J3434" s="4" t="s">
        <v>7767</v>
      </c>
      <c r="K3434" s="1" t="s">
        <v>1061</v>
      </c>
      <c r="L3434" s="1" t="s">
        <v>1062</v>
      </c>
      <c r="M3434" s="1" t="s">
        <v>27</v>
      </c>
      <c r="N3434" s="1" t="s">
        <v>7768</v>
      </c>
      <c r="O3434" s="1" t="s">
        <v>550</v>
      </c>
      <c r="P3434" s="1" t="s">
        <v>401</v>
      </c>
      <c r="Q3434" s="63" t="s">
        <v>7769</v>
      </c>
      <c r="R3434" s="1" t="s">
        <v>100</v>
      </c>
      <c r="S3434" s="13" t="s">
        <v>18</v>
      </c>
    </row>
    <row r="3435" spans="1:63" ht="12" customHeight="1" x14ac:dyDescent="0.15">
      <c r="A3435" s="1" t="s">
        <v>7748</v>
      </c>
      <c r="B3435" s="1">
        <v>21</v>
      </c>
      <c r="C3435" s="1" t="s">
        <v>20</v>
      </c>
      <c r="D3435" s="1" t="s">
        <v>85</v>
      </c>
      <c r="E3435" s="1" t="s">
        <v>7749</v>
      </c>
      <c r="F3435" s="72">
        <v>41870</v>
      </c>
      <c r="G3435" s="1" t="s">
        <v>7750</v>
      </c>
      <c r="H3435" s="1" t="s">
        <v>87</v>
      </c>
      <c r="I3435" s="1" t="s">
        <v>44</v>
      </c>
      <c r="J3435" s="4" t="s">
        <v>7751</v>
      </c>
      <c r="K3435" s="1" t="s">
        <v>88</v>
      </c>
      <c r="L3435" s="1" t="s">
        <v>89</v>
      </c>
      <c r="M3435" s="1" t="s">
        <v>27</v>
      </c>
      <c r="N3435" s="1" t="s">
        <v>7752</v>
      </c>
      <c r="O3435" s="1" t="s">
        <v>1010</v>
      </c>
      <c r="P3435" s="1" t="s">
        <v>401</v>
      </c>
      <c r="Q3435" s="63" t="s">
        <v>7753</v>
      </c>
      <c r="R3435" s="1" t="s">
        <v>29</v>
      </c>
      <c r="S3435" s="13" t="s">
        <v>28</v>
      </c>
      <c r="AX3435" s="11"/>
      <c r="AY3435" s="11"/>
      <c r="BC3435" s="11"/>
      <c r="BD3435" s="11"/>
      <c r="BE3435" s="11"/>
      <c r="BF3435" s="11"/>
      <c r="BG3435" s="11"/>
      <c r="BH3435" s="11"/>
      <c r="BI3435" s="11"/>
      <c r="BJ3435" s="11"/>
    </row>
    <row r="3436" spans="1:63" ht="12" customHeight="1" x14ac:dyDescent="0.2">
      <c r="A3436" s="1" t="s">
        <v>7770</v>
      </c>
      <c r="B3436" s="1">
        <v>40</v>
      </c>
      <c r="C3436" s="1" t="s">
        <v>20</v>
      </c>
      <c r="D3436" s="1" t="s">
        <v>37</v>
      </c>
      <c r="E3436" s="1" t="s">
        <v>7771</v>
      </c>
      <c r="F3436" s="72">
        <v>41870</v>
      </c>
      <c r="G3436" s="1" t="s">
        <v>7772</v>
      </c>
      <c r="H3436" s="1" t="s">
        <v>7773</v>
      </c>
      <c r="I3436" s="1" t="s">
        <v>363</v>
      </c>
      <c r="J3436" s="4">
        <v>67060</v>
      </c>
      <c r="K3436" s="1" t="s">
        <v>684</v>
      </c>
      <c r="L3436" s="1" t="s">
        <v>7774</v>
      </c>
      <c r="M3436" s="1" t="s">
        <v>27</v>
      </c>
      <c r="N3436" s="1" t="s">
        <v>7775</v>
      </c>
      <c r="O3436" s="1" t="s">
        <v>29</v>
      </c>
      <c r="P3436" s="1" t="s">
        <v>401</v>
      </c>
      <c r="Q3436" s="63" t="s">
        <v>7776</v>
      </c>
      <c r="R3436" s="1" t="s">
        <v>29</v>
      </c>
      <c r="S3436" s="13" t="s">
        <v>28</v>
      </c>
      <c r="BA3436" s="70"/>
      <c r="BB3436" s="70"/>
    </row>
    <row r="3437" spans="1:63" ht="12" customHeight="1" x14ac:dyDescent="0.15">
      <c r="A3437" s="1" t="s">
        <v>7754</v>
      </c>
      <c r="B3437" s="1">
        <v>25</v>
      </c>
      <c r="C3437" s="1" t="s">
        <v>20</v>
      </c>
      <c r="D3437" s="1" t="s">
        <v>85</v>
      </c>
      <c r="E3437" s="1" t="s">
        <v>7755</v>
      </c>
      <c r="F3437" s="72">
        <v>41870</v>
      </c>
      <c r="G3437" s="1" t="s">
        <v>7756</v>
      </c>
      <c r="H3437" s="1" t="s">
        <v>709</v>
      </c>
      <c r="I3437" s="1" t="s">
        <v>431</v>
      </c>
      <c r="J3437" s="4" t="s">
        <v>7757</v>
      </c>
      <c r="K3437" s="1" t="s">
        <v>709</v>
      </c>
      <c r="L3437" s="1" t="s">
        <v>4516</v>
      </c>
      <c r="M3437" s="1" t="s">
        <v>27</v>
      </c>
      <c r="N3437" s="1" t="s">
        <v>7758</v>
      </c>
      <c r="O3437" s="1" t="s">
        <v>29</v>
      </c>
      <c r="P3437" s="1" t="s">
        <v>401</v>
      </c>
      <c r="Q3437" s="63" t="s">
        <v>7759</v>
      </c>
      <c r="R3437" s="1" t="s">
        <v>555</v>
      </c>
      <c r="S3437" s="13" t="s">
        <v>28</v>
      </c>
      <c r="AX3437" s="11"/>
      <c r="AY3437" s="11"/>
      <c r="BC3437" s="11"/>
      <c r="BD3437" s="11"/>
      <c r="BE3437" s="11"/>
      <c r="BF3437" s="11"/>
      <c r="BG3437" s="11"/>
      <c r="BH3437" s="11"/>
      <c r="BI3437" s="11"/>
      <c r="BJ3437" s="11"/>
    </row>
    <row r="3438" spans="1:63" ht="12" customHeight="1" x14ac:dyDescent="0.15">
      <c r="A3438" s="1" t="s">
        <v>7786</v>
      </c>
      <c r="B3438" s="1">
        <v>38</v>
      </c>
      <c r="C3438" s="1" t="s">
        <v>20</v>
      </c>
      <c r="D3438" s="1" t="s">
        <v>85</v>
      </c>
      <c r="F3438" s="72">
        <v>41869</v>
      </c>
      <c r="G3438" s="1" t="s">
        <v>7787</v>
      </c>
      <c r="H3438" s="1" t="s">
        <v>7788</v>
      </c>
      <c r="I3438" s="1" t="s">
        <v>45</v>
      </c>
      <c r="J3438" s="4" t="s">
        <v>7789</v>
      </c>
      <c r="K3438" s="1" t="s">
        <v>98</v>
      </c>
      <c r="L3438" s="11" t="s">
        <v>414</v>
      </c>
      <c r="M3438" s="1" t="s">
        <v>27</v>
      </c>
      <c r="N3438" s="1" t="s">
        <v>7790</v>
      </c>
      <c r="O3438" s="1" t="s">
        <v>1010</v>
      </c>
      <c r="P3438" s="1" t="s">
        <v>401</v>
      </c>
      <c r="Q3438" s="63" t="s">
        <v>7791</v>
      </c>
      <c r="R3438" s="1" t="s">
        <v>100</v>
      </c>
      <c r="S3438" s="13" t="s">
        <v>28</v>
      </c>
      <c r="AX3438" s="11"/>
      <c r="AY3438" s="11"/>
      <c r="BC3438" s="11"/>
      <c r="BD3438" s="11"/>
      <c r="BE3438" s="11"/>
      <c r="BF3438" s="11"/>
      <c r="BG3438" s="11"/>
      <c r="BH3438" s="11"/>
      <c r="BI3438" s="11"/>
      <c r="BJ3438" s="11"/>
    </row>
    <row r="3439" spans="1:63" ht="12" customHeight="1" x14ac:dyDescent="0.15">
      <c r="A3439" s="1" t="s">
        <v>7792</v>
      </c>
      <c r="B3439" s="1">
        <v>37</v>
      </c>
      <c r="C3439" s="1" t="s">
        <v>20</v>
      </c>
      <c r="D3439" s="1" t="s">
        <v>85</v>
      </c>
      <c r="E3439" s="1" t="s">
        <v>7793</v>
      </c>
      <c r="F3439" s="72">
        <v>41869</v>
      </c>
      <c r="G3439" s="1" t="s">
        <v>7794</v>
      </c>
      <c r="H3439" s="1" t="s">
        <v>98</v>
      </c>
      <c r="I3439" s="1" t="s">
        <v>45</v>
      </c>
      <c r="J3439" s="4" t="s">
        <v>3672</v>
      </c>
      <c r="K3439" s="1" t="s">
        <v>98</v>
      </c>
      <c r="L3439" s="1" t="s">
        <v>99</v>
      </c>
      <c r="M3439" s="1" t="s">
        <v>27</v>
      </c>
      <c r="N3439" s="1" t="s">
        <v>7795</v>
      </c>
      <c r="O3439" s="1" t="s">
        <v>1010</v>
      </c>
      <c r="P3439" s="1" t="s">
        <v>401</v>
      </c>
      <c r="Q3439" s="63" t="str">
        <f>HYPERLINK("http://homicide.latimes.com/post/andre-maurice-jones/","http://homicide.latimes.com/post/andre-maurice-jones/")</f>
        <v>http://homicide.latimes.com/post/andre-maurice-jones/</v>
      </c>
      <c r="R3439" s="1" t="s">
        <v>100</v>
      </c>
      <c r="S3439" s="13" t="s">
        <v>28</v>
      </c>
      <c r="AX3439" s="11"/>
      <c r="AY3439" s="11"/>
      <c r="BC3439" s="11"/>
      <c r="BD3439" s="11"/>
      <c r="BE3439" s="11"/>
      <c r="BF3439" s="11"/>
      <c r="BG3439" s="11"/>
      <c r="BH3439" s="11"/>
      <c r="BI3439" s="11"/>
      <c r="BJ3439" s="11"/>
    </row>
    <row r="3440" spans="1:63" ht="12" customHeight="1" x14ac:dyDescent="0.15">
      <c r="A3440" s="1" t="s">
        <v>7796</v>
      </c>
      <c r="B3440" s="1">
        <v>31</v>
      </c>
      <c r="C3440" s="1" t="s">
        <v>20</v>
      </c>
      <c r="D3440" s="1" t="s">
        <v>37</v>
      </c>
      <c r="E3440" s="1" t="s">
        <v>7797</v>
      </c>
      <c r="F3440" s="72">
        <v>41869</v>
      </c>
      <c r="G3440" s="1" t="s">
        <v>7798</v>
      </c>
      <c r="H3440" s="1" t="s">
        <v>7799</v>
      </c>
      <c r="I3440" s="1" t="s">
        <v>44</v>
      </c>
      <c r="J3440" s="4" t="s">
        <v>7800</v>
      </c>
      <c r="K3440" s="1" t="s">
        <v>7801</v>
      </c>
      <c r="L3440" s="1" t="s">
        <v>7802</v>
      </c>
      <c r="M3440" s="1" t="s">
        <v>2291</v>
      </c>
      <c r="N3440" s="1" t="s">
        <v>7803</v>
      </c>
      <c r="O3440" s="1" t="s">
        <v>550</v>
      </c>
      <c r="P3440" s="1" t="s">
        <v>401</v>
      </c>
      <c r="Q3440" s="63" t="s">
        <v>7804</v>
      </c>
      <c r="R3440" s="1" t="s">
        <v>100</v>
      </c>
      <c r="S3440" s="13" t="s">
        <v>18</v>
      </c>
    </row>
    <row r="3441" spans="1:62" ht="12" customHeight="1" x14ac:dyDescent="0.15">
      <c r="A3441" s="1" t="s">
        <v>7805</v>
      </c>
      <c r="B3441" s="1">
        <v>53</v>
      </c>
      <c r="C3441" s="1" t="s">
        <v>20</v>
      </c>
      <c r="D3441" s="1" t="s">
        <v>37</v>
      </c>
      <c r="F3441" s="72">
        <v>41869</v>
      </c>
      <c r="G3441" s="1" t="s">
        <v>7806</v>
      </c>
      <c r="H3441" s="1" t="s">
        <v>1907</v>
      </c>
      <c r="I3441" s="1" t="s">
        <v>45</v>
      </c>
      <c r="J3441" s="4" t="s">
        <v>7807</v>
      </c>
      <c r="K3441" s="1" t="s">
        <v>7808</v>
      </c>
      <c r="L3441" s="1" t="s">
        <v>1909</v>
      </c>
      <c r="M3441" s="1" t="s">
        <v>27</v>
      </c>
      <c r="N3441" s="1" t="s">
        <v>7809</v>
      </c>
      <c r="O3441" s="1" t="s">
        <v>550</v>
      </c>
      <c r="P3441" s="1" t="s">
        <v>401</v>
      </c>
      <c r="Q3441" s="63" t="s">
        <v>7810</v>
      </c>
      <c r="R3441" s="1" t="s">
        <v>555</v>
      </c>
      <c r="S3441" s="13" t="s">
        <v>28</v>
      </c>
      <c r="BA3441" s="11"/>
      <c r="BB3441" s="11"/>
    </row>
    <row r="3442" spans="1:62" ht="12" customHeight="1" x14ac:dyDescent="0.15">
      <c r="A3442" s="1" t="s">
        <v>7815</v>
      </c>
      <c r="B3442" s="1">
        <v>52</v>
      </c>
      <c r="C3442" s="1" t="s">
        <v>20</v>
      </c>
      <c r="D3442" s="1" t="s">
        <v>37</v>
      </c>
      <c r="E3442" s="1" t="s">
        <v>7816</v>
      </c>
      <c r="F3442" s="72">
        <v>41868</v>
      </c>
      <c r="G3442" s="1" t="s">
        <v>7817</v>
      </c>
      <c r="H3442" s="1" t="s">
        <v>7818</v>
      </c>
      <c r="I3442" s="1" t="s">
        <v>4371</v>
      </c>
      <c r="J3442" s="4" t="s">
        <v>7819</v>
      </c>
      <c r="K3442" s="1" t="s">
        <v>7820</v>
      </c>
      <c r="L3442" s="1" t="s">
        <v>4374</v>
      </c>
      <c r="M3442" s="1" t="s">
        <v>27</v>
      </c>
      <c r="N3442" s="1" t="s">
        <v>7821</v>
      </c>
      <c r="O3442" s="1" t="s">
        <v>1010</v>
      </c>
      <c r="P3442" s="1" t="s">
        <v>401</v>
      </c>
      <c r="Q3442" s="63" t="s">
        <v>7822</v>
      </c>
      <c r="R3442" s="1" t="s">
        <v>100</v>
      </c>
      <c r="S3442" s="13" t="s">
        <v>28</v>
      </c>
    </row>
    <row r="3443" spans="1:62" ht="12" customHeight="1" x14ac:dyDescent="0.15">
      <c r="A3443" s="1" t="s">
        <v>7811</v>
      </c>
      <c r="B3443" s="1">
        <v>44</v>
      </c>
      <c r="C3443" s="1" t="s">
        <v>20</v>
      </c>
      <c r="D3443" s="1" t="s">
        <v>85</v>
      </c>
      <c r="F3443" s="72">
        <v>41868</v>
      </c>
      <c r="G3443" s="1" t="s">
        <v>7812</v>
      </c>
      <c r="H3443" s="1" t="s">
        <v>575</v>
      </c>
      <c r="I3443" s="1" t="s">
        <v>73</v>
      </c>
      <c r="J3443" s="4" t="s">
        <v>3018</v>
      </c>
      <c r="K3443" s="1" t="s">
        <v>576</v>
      </c>
      <c r="L3443" s="1" t="s">
        <v>577</v>
      </c>
      <c r="M3443" s="1" t="s">
        <v>391</v>
      </c>
      <c r="N3443" s="1" t="s">
        <v>7813</v>
      </c>
      <c r="O3443" s="1" t="s">
        <v>4684</v>
      </c>
      <c r="P3443" s="1" t="s">
        <v>401</v>
      </c>
      <c r="Q3443" s="63" t="s">
        <v>7814</v>
      </c>
      <c r="R3443" s="1" t="s">
        <v>100</v>
      </c>
      <c r="S3443" s="13" t="s">
        <v>18</v>
      </c>
      <c r="AU3443" s="11"/>
      <c r="AV3443" s="11"/>
      <c r="AW3443" s="11"/>
      <c r="AX3443" s="11"/>
      <c r="AY3443" s="11"/>
      <c r="BC3443" s="11"/>
      <c r="BD3443" s="11"/>
      <c r="BE3443" s="11"/>
      <c r="BF3443" s="11"/>
      <c r="BG3443" s="11"/>
      <c r="BH3443" s="11"/>
      <c r="BI3443" s="11"/>
      <c r="BJ3443" s="11"/>
    </row>
    <row r="3444" spans="1:62" ht="12" customHeight="1" x14ac:dyDescent="0.15">
      <c r="A3444" s="1" t="s">
        <v>7823</v>
      </c>
      <c r="B3444" s="1">
        <v>38</v>
      </c>
      <c r="C3444" s="1" t="s">
        <v>20</v>
      </c>
      <c r="D3444" s="1" t="s">
        <v>85</v>
      </c>
      <c r="F3444" s="72">
        <v>41867</v>
      </c>
      <c r="G3444" s="1" t="s">
        <v>7824</v>
      </c>
      <c r="H3444" s="1" t="s">
        <v>7825</v>
      </c>
      <c r="I3444" s="1" t="s">
        <v>52</v>
      </c>
      <c r="J3444" s="4" t="s">
        <v>7826</v>
      </c>
      <c r="K3444" s="1" t="s">
        <v>2377</v>
      </c>
      <c r="L3444" s="1" t="s">
        <v>7827</v>
      </c>
      <c r="M3444" s="1" t="s">
        <v>27</v>
      </c>
      <c r="N3444" s="1" t="s">
        <v>7828</v>
      </c>
      <c r="O3444" s="1" t="s">
        <v>1010</v>
      </c>
      <c r="P3444" s="1" t="s">
        <v>401</v>
      </c>
      <c r="Q3444" s="63" t="s">
        <v>7829</v>
      </c>
      <c r="R3444" s="1" t="s">
        <v>100</v>
      </c>
      <c r="S3444" s="13" t="s">
        <v>28</v>
      </c>
      <c r="AX3444" s="11"/>
      <c r="AY3444" s="11"/>
      <c r="BC3444" s="11"/>
      <c r="BD3444" s="11"/>
      <c r="BE3444" s="11"/>
      <c r="BF3444" s="11"/>
      <c r="BG3444" s="11"/>
      <c r="BH3444" s="11"/>
      <c r="BI3444" s="11"/>
      <c r="BJ3444" s="11"/>
    </row>
    <row r="3445" spans="1:62" ht="12" customHeight="1" x14ac:dyDescent="0.15">
      <c r="A3445" s="1" t="s">
        <v>7830</v>
      </c>
      <c r="B3445" s="1">
        <v>28</v>
      </c>
      <c r="C3445" s="1" t="s">
        <v>20</v>
      </c>
      <c r="D3445" s="1" t="s">
        <v>37</v>
      </c>
      <c r="E3445" s="1" t="s">
        <v>7831</v>
      </c>
      <c r="F3445" s="72">
        <v>41866</v>
      </c>
      <c r="G3445" s="1" t="s">
        <v>7832</v>
      </c>
      <c r="H3445" s="1" t="s">
        <v>387</v>
      </c>
      <c r="I3445" s="1" t="s">
        <v>319</v>
      </c>
      <c r="J3445" s="4" t="s">
        <v>7833</v>
      </c>
      <c r="K3445" s="1" t="s">
        <v>2681</v>
      </c>
      <c r="L3445" s="1" t="s">
        <v>7834</v>
      </c>
      <c r="M3445" s="1" t="s">
        <v>27</v>
      </c>
      <c r="N3445" s="1" t="s">
        <v>7835</v>
      </c>
      <c r="O3445" s="1" t="s">
        <v>1010</v>
      </c>
      <c r="P3445" s="1" t="s">
        <v>401</v>
      </c>
      <c r="Q3445" s="63" t="s">
        <v>7836</v>
      </c>
      <c r="R3445" s="1" t="s">
        <v>555</v>
      </c>
      <c r="S3445" s="13" t="s">
        <v>18</v>
      </c>
      <c r="BA3445" s="11"/>
      <c r="BB3445" s="11"/>
    </row>
    <row r="3446" spans="1:62" ht="12" customHeight="1" x14ac:dyDescent="0.15">
      <c r="A3446" s="1" t="s">
        <v>7837</v>
      </c>
      <c r="B3446" s="1">
        <v>16</v>
      </c>
      <c r="C3446" s="1" t="s">
        <v>20</v>
      </c>
      <c r="D3446" s="1" t="s">
        <v>85</v>
      </c>
      <c r="E3446" s="1" t="str">
        <f>HYPERLINK("http://homicides.suntimes.com/victims/wally-flex/","http://homicides.suntimes.com/victims/wally-flex/")</f>
        <v>http://homicides.suntimes.com/victims/wally-flex/</v>
      </c>
      <c r="F3446" s="72">
        <v>41865</v>
      </c>
      <c r="G3446" s="1" t="s">
        <v>7838</v>
      </c>
      <c r="H3446" s="1" t="s">
        <v>87</v>
      </c>
      <c r="I3446" s="1" t="s">
        <v>44</v>
      </c>
      <c r="J3446" s="4" t="s">
        <v>7839</v>
      </c>
      <c r="K3446" s="1" t="s">
        <v>88</v>
      </c>
      <c r="L3446" s="1" t="s">
        <v>89</v>
      </c>
      <c r="M3446" s="1" t="s">
        <v>379</v>
      </c>
      <c r="N3446" s="1" t="s">
        <v>7840</v>
      </c>
      <c r="O3446" s="1" t="s">
        <v>1010</v>
      </c>
      <c r="P3446" s="1" t="s">
        <v>401</v>
      </c>
      <c r="Q3446" s="63" t="str">
        <f>HYPERLINK("http://homicides.suntimes.com/2014/08/18/gabriel-johnson-charged-with-reckless-homicide-in-crash-that-killed-wally-flex/","http://homicides.suntimes.com/2014/08/18/gabriel-johnson-charged-with-reckless-homicide-in-crash-that-killed-wally-flex/")</f>
        <v>http://homicides.suntimes.com/2014/08/18/gabriel-johnson-charged-with-reckless-homicide-in-crash-that-killed-wally-flex/</v>
      </c>
      <c r="R3446" s="1" t="s">
        <v>100</v>
      </c>
      <c r="S3446" s="66" t="s">
        <v>379</v>
      </c>
      <c r="T3446" s="66" t="s">
        <v>30738</v>
      </c>
      <c r="AX3446" s="44"/>
      <c r="AY3446" s="44"/>
      <c r="BC3446" s="11"/>
      <c r="BD3446" s="11"/>
      <c r="BE3446" s="11"/>
      <c r="BF3446" s="11"/>
      <c r="BG3446" s="11"/>
      <c r="BH3446" s="11"/>
      <c r="BI3446" s="11"/>
      <c r="BJ3446" s="11"/>
    </row>
    <row r="3447" spans="1:62" ht="12" customHeight="1" x14ac:dyDescent="0.2">
      <c r="A3447" s="1" t="s">
        <v>7852</v>
      </c>
      <c r="B3447" s="1">
        <v>52</v>
      </c>
      <c r="C3447" s="1" t="s">
        <v>20</v>
      </c>
      <c r="D3447" s="1" t="s">
        <v>37</v>
      </c>
      <c r="E3447" s="1" t="s">
        <v>7853</v>
      </c>
      <c r="F3447" s="72">
        <v>41865</v>
      </c>
      <c r="G3447" s="1" t="s">
        <v>7854</v>
      </c>
      <c r="H3447" s="1" t="s">
        <v>1338</v>
      </c>
      <c r="I3447" s="1" t="s">
        <v>363</v>
      </c>
      <c r="J3447" s="4" t="s">
        <v>7855</v>
      </c>
      <c r="K3447" s="1" t="s">
        <v>2295</v>
      </c>
      <c r="L3447" s="1" t="s">
        <v>7856</v>
      </c>
      <c r="M3447" s="1" t="s">
        <v>27</v>
      </c>
      <c r="N3447" s="1" t="s">
        <v>7857</v>
      </c>
      <c r="O3447" s="1" t="s">
        <v>29</v>
      </c>
      <c r="P3447" s="1" t="s">
        <v>401</v>
      </c>
      <c r="Q3447" s="63" t="s">
        <v>7858</v>
      </c>
      <c r="R3447" s="1" t="s">
        <v>29</v>
      </c>
      <c r="S3447" s="13" t="s">
        <v>28</v>
      </c>
      <c r="BA3447" s="70"/>
      <c r="BB3447" s="70"/>
    </row>
    <row r="3448" spans="1:62" ht="12" customHeight="1" x14ac:dyDescent="0.15">
      <c r="A3448" s="1" t="s">
        <v>7841</v>
      </c>
      <c r="B3448" s="1">
        <v>50</v>
      </c>
      <c r="C3448" s="1" t="s">
        <v>114</v>
      </c>
      <c r="D3448" s="1" t="s">
        <v>85</v>
      </c>
      <c r="E3448" s="1" t="s">
        <v>7842</v>
      </c>
      <c r="F3448" s="72">
        <v>41865</v>
      </c>
      <c r="G3448" s="1" t="s">
        <v>7843</v>
      </c>
      <c r="H3448" s="1" t="s">
        <v>632</v>
      </c>
      <c r="I3448" s="1" t="s">
        <v>123</v>
      </c>
      <c r="J3448" s="4" t="s">
        <v>7844</v>
      </c>
      <c r="K3448" s="1" t="s">
        <v>633</v>
      </c>
      <c r="L3448" s="1" t="s">
        <v>634</v>
      </c>
      <c r="M3448" s="1" t="s">
        <v>27</v>
      </c>
      <c r="N3448" s="1" t="s">
        <v>7845</v>
      </c>
      <c r="O3448" s="1" t="s">
        <v>400</v>
      </c>
      <c r="P3448" s="1" t="s">
        <v>401</v>
      </c>
      <c r="Q3448" s="63" t="s">
        <v>7846</v>
      </c>
      <c r="R3448" s="1" t="s">
        <v>555</v>
      </c>
      <c r="S3448" s="13" t="s">
        <v>28</v>
      </c>
      <c r="AX3448" s="11"/>
      <c r="AY3448" s="11"/>
      <c r="BC3448" s="11"/>
      <c r="BD3448" s="11"/>
      <c r="BE3448" s="11"/>
      <c r="BF3448" s="11"/>
      <c r="BG3448" s="11"/>
      <c r="BH3448" s="11"/>
      <c r="BI3448" s="11"/>
      <c r="BJ3448" s="11"/>
    </row>
    <row r="3449" spans="1:62" ht="12" customHeight="1" x14ac:dyDescent="0.15">
      <c r="A3449" s="1" t="s">
        <v>7847</v>
      </c>
      <c r="B3449" s="1">
        <v>19</v>
      </c>
      <c r="C3449" s="1" t="s">
        <v>114</v>
      </c>
      <c r="D3449" s="1" t="s">
        <v>37</v>
      </c>
      <c r="E3449" s="1" t="s">
        <v>7848</v>
      </c>
      <c r="F3449" s="72">
        <v>41865</v>
      </c>
      <c r="G3449" s="1" t="s">
        <v>7849</v>
      </c>
      <c r="H3449" s="1" t="s">
        <v>606</v>
      </c>
      <c r="I3449" s="1" t="s">
        <v>45</v>
      </c>
      <c r="J3449" s="4" t="s">
        <v>7850</v>
      </c>
      <c r="K3449" s="1" t="s">
        <v>607</v>
      </c>
      <c r="L3449" s="1" t="s">
        <v>727</v>
      </c>
      <c r="M3449" s="1" t="s">
        <v>27</v>
      </c>
      <c r="N3449" s="1" t="s">
        <v>21173</v>
      </c>
      <c r="O3449" s="1" t="s">
        <v>1010</v>
      </c>
      <c r="P3449" s="1" t="s">
        <v>401</v>
      </c>
      <c r="Q3449" s="63" t="s">
        <v>7851</v>
      </c>
      <c r="R3449" s="1" t="s">
        <v>555</v>
      </c>
      <c r="S3449" s="13" t="s">
        <v>18</v>
      </c>
      <c r="BA3449" s="11"/>
      <c r="BB3449" s="11"/>
    </row>
    <row r="3450" spans="1:62" ht="12" customHeight="1" x14ac:dyDescent="0.15">
      <c r="A3450" s="1" t="s">
        <v>7866</v>
      </c>
      <c r="B3450" s="1">
        <v>40</v>
      </c>
      <c r="C3450" s="1" t="s">
        <v>20</v>
      </c>
      <c r="D3450" s="1" t="s">
        <v>48</v>
      </c>
      <c r="E3450" s="1" t="s">
        <v>7867</v>
      </c>
      <c r="F3450" s="72">
        <v>41864</v>
      </c>
      <c r="G3450" s="1" t="s">
        <v>7868</v>
      </c>
      <c r="H3450" s="1" t="s">
        <v>723</v>
      </c>
      <c r="I3450" s="1" t="s">
        <v>73</v>
      </c>
      <c r="J3450" s="4" t="s">
        <v>7869</v>
      </c>
      <c r="K3450" s="1" t="s">
        <v>558</v>
      </c>
      <c r="L3450" s="1" t="s">
        <v>724</v>
      </c>
      <c r="M3450" s="1" t="s">
        <v>27</v>
      </c>
      <c r="N3450" s="1" t="s">
        <v>7870</v>
      </c>
      <c r="P3450" s="1" t="s">
        <v>401</v>
      </c>
      <c r="Q3450" s="63" t="s">
        <v>7871</v>
      </c>
      <c r="R3450" s="11" t="s">
        <v>964</v>
      </c>
      <c r="S3450" s="13" t="s">
        <v>28</v>
      </c>
    </row>
    <row r="3451" spans="1:62" ht="12" customHeight="1" x14ac:dyDescent="0.15">
      <c r="A3451" s="1" t="s">
        <v>7875</v>
      </c>
      <c r="B3451" s="1">
        <v>30</v>
      </c>
      <c r="C3451" s="1" t="s">
        <v>20</v>
      </c>
      <c r="D3451" s="1" t="s">
        <v>48</v>
      </c>
      <c r="E3451" s="1" t="s">
        <v>7876</v>
      </c>
      <c r="F3451" s="72">
        <v>41864</v>
      </c>
      <c r="G3451" s="1" t="s">
        <v>7877</v>
      </c>
      <c r="H3451" s="1" t="s">
        <v>723</v>
      </c>
      <c r="I3451" s="1" t="s">
        <v>73</v>
      </c>
      <c r="J3451" s="4" t="s">
        <v>2925</v>
      </c>
      <c r="K3451" s="1" t="s">
        <v>558</v>
      </c>
      <c r="L3451" s="1" t="s">
        <v>724</v>
      </c>
      <c r="M3451" s="1" t="s">
        <v>27</v>
      </c>
      <c r="N3451" s="1" t="s">
        <v>7878</v>
      </c>
      <c r="O3451" s="1" t="s">
        <v>4684</v>
      </c>
      <c r="P3451" s="1" t="s">
        <v>401</v>
      </c>
      <c r="Q3451" s="63" t="s">
        <v>7879</v>
      </c>
      <c r="R3451" s="1" t="s">
        <v>100</v>
      </c>
      <c r="S3451" s="13" t="s">
        <v>28</v>
      </c>
    </row>
    <row r="3452" spans="1:62" ht="12" customHeight="1" x14ac:dyDescent="0.15">
      <c r="A3452" s="1" t="s">
        <v>7859</v>
      </c>
      <c r="B3452" s="1">
        <v>24</v>
      </c>
      <c r="C3452" s="1" t="s">
        <v>20</v>
      </c>
      <c r="D3452" s="1" t="s">
        <v>85</v>
      </c>
      <c r="E3452" s="1" t="s">
        <v>7860</v>
      </c>
      <c r="F3452" s="72">
        <v>41864</v>
      </c>
      <c r="G3452" s="1" t="s">
        <v>7861</v>
      </c>
      <c r="H3452" s="1" t="s">
        <v>7862</v>
      </c>
      <c r="I3452" s="1" t="s">
        <v>62</v>
      </c>
      <c r="J3452" s="4" t="s">
        <v>7863</v>
      </c>
      <c r="K3452" s="1" t="s">
        <v>7864</v>
      </c>
      <c r="L3452" s="1" t="s">
        <v>5634</v>
      </c>
      <c r="M3452" s="1" t="s">
        <v>27</v>
      </c>
      <c r="N3452" s="1" t="s">
        <v>7865</v>
      </c>
      <c r="O3452" s="1" t="s">
        <v>550</v>
      </c>
      <c r="P3452" s="1" t="s">
        <v>401</v>
      </c>
      <c r="Q3452" s="63" t="s">
        <v>20993</v>
      </c>
      <c r="R3452" s="1" t="s">
        <v>100</v>
      </c>
      <c r="S3452" s="13" t="s">
        <v>18</v>
      </c>
      <c r="AX3452" s="11"/>
      <c r="AY3452" s="11"/>
      <c r="BC3452" s="11"/>
      <c r="BD3452" s="11"/>
      <c r="BE3452" s="11"/>
      <c r="BF3452" s="11"/>
      <c r="BG3452" s="11"/>
      <c r="BH3452" s="11"/>
      <c r="BI3452" s="11"/>
      <c r="BJ3452" s="11"/>
    </row>
    <row r="3453" spans="1:62" ht="12" customHeight="1" x14ac:dyDescent="0.15">
      <c r="A3453" s="1" t="s">
        <v>7885</v>
      </c>
      <c r="B3453" s="1">
        <v>21</v>
      </c>
      <c r="C3453" s="1" t="s">
        <v>20</v>
      </c>
      <c r="D3453" s="1" t="s">
        <v>37</v>
      </c>
      <c r="E3453" s="1" t="s">
        <v>7886</v>
      </c>
      <c r="F3453" s="72">
        <v>41864</v>
      </c>
      <c r="G3453" s="1" t="s">
        <v>7887</v>
      </c>
      <c r="H3453" s="1" t="s">
        <v>430</v>
      </c>
      <c r="I3453" s="1" t="s">
        <v>431</v>
      </c>
      <c r="J3453" s="4" t="s">
        <v>7888</v>
      </c>
      <c r="K3453" s="1" t="s">
        <v>433</v>
      </c>
      <c r="L3453" s="1" t="s">
        <v>1412</v>
      </c>
      <c r="M3453" s="1" t="s">
        <v>379</v>
      </c>
      <c r="N3453" s="1" t="s">
        <v>7889</v>
      </c>
      <c r="O3453" s="1" t="s">
        <v>1010</v>
      </c>
      <c r="P3453" s="1" t="s">
        <v>401</v>
      </c>
      <c r="Q3453" s="63" t="s">
        <v>7890</v>
      </c>
      <c r="R3453" s="1" t="s">
        <v>100</v>
      </c>
      <c r="S3453" s="13" t="s">
        <v>379</v>
      </c>
    </row>
    <row r="3454" spans="1:62" ht="12" customHeight="1" x14ac:dyDescent="0.15">
      <c r="A3454" s="1" t="s">
        <v>7897</v>
      </c>
      <c r="B3454" s="1">
        <v>20</v>
      </c>
      <c r="C3454" s="1" t="s">
        <v>114</v>
      </c>
      <c r="D3454" s="1" t="s">
        <v>37</v>
      </c>
      <c r="E3454" s="1" t="s">
        <v>7898</v>
      </c>
      <c r="F3454" s="72">
        <v>41864</v>
      </c>
      <c r="G3454" s="1" t="s">
        <v>7899</v>
      </c>
      <c r="H3454" s="1" t="s">
        <v>6636</v>
      </c>
      <c r="I3454" s="1" t="s">
        <v>73</v>
      </c>
      <c r="J3454" s="4" t="s">
        <v>7626</v>
      </c>
      <c r="K3454" s="1" t="s">
        <v>6636</v>
      </c>
      <c r="L3454" s="1" t="s">
        <v>7627</v>
      </c>
      <c r="M3454" s="1" t="s">
        <v>379</v>
      </c>
      <c r="N3454" s="1" t="s">
        <v>7900</v>
      </c>
      <c r="O3454" s="1" t="s">
        <v>3381</v>
      </c>
      <c r="P3454" s="1" t="s">
        <v>401</v>
      </c>
      <c r="Q3454" s="63" t="s">
        <v>7901</v>
      </c>
      <c r="R3454" s="1" t="s">
        <v>100</v>
      </c>
      <c r="S3454" s="66" t="s">
        <v>379</v>
      </c>
      <c r="T3454" s="66" t="s">
        <v>30738</v>
      </c>
    </row>
    <row r="3455" spans="1:62" ht="12" customHeight="1" x14ac:dyDescent="0.15">
      <c r="A3455" s="1" t="s">
        <v>7891</v>
      </c>
      <c r="B3455" s="1">
        <v>35</v>
      </c>
      <c r="C3455" s="1" t="s">
        <v>20</v>
      </c>
      <c r="D3455" s="1" t="s">
        <v>37</v>
      </c>
      <c r="F3455" s="72">
        <v>41864</v>
      </c>
      <c r="G3455" s="1" t="s">
        <v>7892</v>
      </c>
      <c r="H3455" s="1" t="s">
        <v>93</v>
      </c>
      <c r="I3455" s="1" t="s">
        <v>94</v>
      </c>
      <c r="J3455" s="4" t="s">
        <v>7893</v>
      </c>
      <c r="K3455" s="1" t="s">
        <v>95</v>
      </c>
      <c r="L3455" s="1" t="s">
        <v>7894</v>
      </c>
      <c r="M3455" s="1" t="s">
        <v>27</v>
      </c>
      <c r="N3455" s="1" t="s">
        <v>7895</v>
      </c>
      <c r="O3455" s="1" t="s">
        <v>400</v>
      </c>
      <c r="P3455" s="1" t="s">
        <v>401</v>
      </c>
      <c r="Q3455" s="63" t="s">
        <v>7896</v>
      </c>
      <c r="R3455" s="1" t="s">
        <v>555</v>
      </c>
      <c r="S3455" s="13" t="s">
        <v>28</v>
      </c>
      <c r="BA3455" s="11"/>
      <c r="BB3455" s="11"/>
    </row>
    <row r="3456" spans="1:62" ht="12" customHeight="1" x14ac:dyDescent="0.15">
      <c r="A3456" s="1" t="s">
        <v>7880</v>
      </c>
      <c r="B3456" s="1">
        <v>61</v>
      </c>
      <c r="C3456" s="1" t="s">
        <v>20</v>
      </c>
      <c r="D3456" s="1" t="s">
        <v>37</v>
      </c>
      <c r="E3456" s="1" t="s">
        <v>7881</v>
      </c>
      <c r="F3456" s="72">
        <v>41864</v>
      </c>
      <c r="G3456" s="1" t="s">
        <v>7882</v>
      </c>
      <c r="H3456" s="1" t="s">
        <v>7053</v>
      </c>
      <c r="I3456" s="1" t="s">
        <v>370</v>
      </c>
      <c r="J3456" s="4" t="s">
        <v>7054</v>
      </c>
      <c r="K3456" s="1" t="s">
        <v>7055</v>
      </c>
      <c r="L3456" s="1" t="s">
        <v>7056</v>
      </c>
      <c r="M3456" s="1" t="s">
        <v>27</v>
      </c>
      <c r="N3456" s="1" t="s">
        <v>7883</v>
      </c>
      <c r="O3456" s="1" t="s">
        <v>29</v>
      </c>
      <c r="P3456" s="1" t="s">
        <v>401</v>
      </c>
      <c r="Q3456" s="63" t="s">
        <v>7884</v>
      </c>
      <c r="R3456" s="1" t="s">
        <v>555</v>
      </c>
      <c r="S3456" s="13" t="s">
        <v>28</v>
      </c>
      <c r="BA3456" s="11"/>
      <c r="BB3456" s="11"/>
    </row>
    <row r="3457" spans="1:63" ht="12" customHeight="1" x14ac:dyDescent="0.15">
      <c r="A3457" s="1" t="s">
        <v>7872</v>
      </c>
      <c r="B3457" s="1">
        <v>21</v>
      </c>
      <c r="C3457" s="1" t="s">
        <v>20</v>
      </c>
      <c r="D3457" s="1" t="s">
        <v>48</v>
      </c>
      <c r="F3457" s="72">
        <v>41864</v>
      </c>
      <c r="G3457" s="1" t="s">
        <v>7873</v>
      </c>
      <c r="H3457" s="1" t="s">
        <v>1703</v>
      </c>
      <c r="I3457" s="1" t="s">
        <v>209</v>
      </c>
      <c r="J3457" s="4" t="s">
        <v>1704</v>
      </c>
      <c r="K3457" s="1" t="s">
        <v>1705</v>
      </c>
      <c r="L3457" s="1" t="s">
        <v>1706</v>
      </c>
      <c r="M3457" s="1" t="s">
        <v>27</v>
      </c>
      <c r="N3457" s="1" t="s">
        <v>7874</v>
      </c>
      <c r="O3457" s="1" t="s">
        <v>1010</v>
      </c>
      <c r="P3457" s="1" t="s">
        <v>401</v>
      </c>
      <c r="Q3457" s="6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3457" s="1" t="s">
        <v>555</v>
      </c>
      <c r="S3457" s="13" t="s">
        <v>35</v>
      </c>
      <c r="BA3457" s="44"/>
      <c r="BB3457" s="44"/>
      <c r="BK3457" s="11"/>
    </row>
    <row r="3458" spans="1:63" ht="12" customHeight="1" x14ac:dyDescent="0.15">
      <c r="A3458" s="1" t="s">
        <v>7910</v>
      </c>
      <c r="B3458" s="1">
        <v>22</v>
      </c>
      <c r="C3458" s="1" t="s">
        <v>20</v>
      </c>
      <c r="D3458" s="1" t="s">
        <v>48</v>
      </c>
      <c r="E3458" s="1" t="s">
        <v>7911</v>
      </c>
      <c r="F3458" s="72">
        <v>41863</v>
      </c>
      <c r="G3458" s="1" t="s">
        <v>7912</v>
      </c>
      <c r="H3458" s="1" t="s">
        <v>7913</v>
      </c>
      <c r="I3458" s="1" t="s">
        <v>45</v>
      </c>
      <c r="J3458" s="4" t="s">
        <v>7914</v>
      </c>
      <c r="K3458" s="1" t="s">
        <v>98</v>
      </c>
      <c r="L3458" s="1" t="s">
        <v>99</v>
      </c>
      <c r="M3458" s="1" t="s">
        <v>27</v>
      </c>
      <c r="N3458" s="1" t="s">
        <v>7915</v>
      </c>
      <c r="O3458" s="1" t="s">
        <v>4684</v>
      </c>
      <c r="P3458" s="1" t="s">
        <v>401</v>
      </c>
      <c r="Q3458" s="63" t="s">
        <v>7916</v>
      </c>
      <c r="R3458" s="1" t="s">
        <v>100</v>
      </c>
      <c r="S3458" s="13" t="s">
        <v>28</v>
      </c>
    </row>
    <row r="3459" spans="1:63" ht="12" customHeight="1" x14ac:dyDescent="0.15">
      <c r="A3459" s="1" t="s">
        <v>7931</v>
      </c>
      <c r="B3459" s="1">
        <v>59</v>
      </c>
      <c r="C3459" s="1" t="s">
        <v>20</v>
      </c>
      <c r="D3459" s="1" t="s">
        <v>37</v>
      </c>
      <c r="E3459" s="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3459" s="72">
        <v>41863</v>
      </c>
      <c r="G3459" s="1" t="s">
        <v>7932</v>
      </c>
      <c r="H3459" s="1" t="s">
        <v>7933</v>
      </c>
      <c r="I3459" s="1" t="s">
        <v>423</v>
      </c>
      <c r="J3459" s="4" t="s">
        <v>7934</v>
      </c>
      <c r="K3459" s="1" t="s">
        <v>4405</v>
      </c>
      <c r="L3459" s="1" t="s">
        <v>582</v>
      </c>
      <c r="M3459" s="1" t="s">
        <v>379</v>
      </c>
      <c r="N3459" s="1" t="s">
        <v>7935</v>
      </c>
      <c r="O3459" s="1" t="s">
        <v>1010</v>
      </c>
      <c r="P3459" s="1" t="s">
        <v>401</v>
      </c>
      <c r="Q3459" s="63" t="s">
        <v>7936</v>
      </c>
      <c r="R3459" s="1" t="s">
        <v>100</v>
      </c>
      <c r="S3459" s="13" t="s">
        <v>28</v>
      </c>
    </row>
    <row r="3460" spans="1:63" ht="12" customHeight="1" x14ac:dyDescent="0.15">
      <c r="A3460" s="1" t="s">
        <v>7902</v>
      </c>
      <c r="B3460" s="1">
        <v>36</v>
      </c>
      <c r="C3460" s="1" t="s">
        <v>20</v>
      </c>
      <c r="D3460" s="1" t="s">
        <v>85</v>
      </c>
      <c r="E3460" s="1" t="s">
        <v>7903</v>
      </c>
      <c r="F3460" s="72">
        <v>41863</v>
      </c>
      <c r="G3460" s="1" t="s">
        <v>7904</v>
      </c>
      <c r="H3460" s="1" t="s">
        <v>7905</v>
      </c>
      <c r="I3460" s="1" t="s">
        <v>45</v>
      </c>
      <c r="J3460" s="4" t="s">
        <v>7906</v>
      </c>
      <c r="K3460" s="1" t="s">
        <v>309</v>
      </c>
      <c r="L3460" s="1" t="s">
        <v>7907</v>
      </c>
      <c r="M3460" s="1" t="s">
        <v>391</v>
      </c>
      <c r="N3460" s="1" t="s">
        <v>7908</v>
      </c>
      <c r="O3460" s="1" t="s">
        <v>1010</v>
      </c>
      <c r="P3460" s="1" t="s">
        <v>401</v>
      </c>
      <c r="Q3460" s="63" t="s">
        <v>7909</v>
      </c>
      <c r="R3460" s="1" t="s">
        <v>100</v>
      </c>
      <c r="S3460" s="13" t="s">
        <v>18</v>
      </c>
      <c r="AW3460" s="11"/>
      <c r="AX3460" s="11"/>
      <c r="AY3460" s="11"/>
      <c r="BC3460" s="11"/>
      <c r="BD3460" s="11"/>
      <c r="BE3460" s="11"/>
      <c r="BF3460" s="11"/>
      <c r="BG3460" s="11"/>
      <c r="BH3460" s="11"/>
      <c r="BI3460" s="11"/>
      <c r="BJ3460" s="11"/>
    </row>
    <row r="3461" spans="1:63" ht="12" customHeight="1" x14ac:dyDescent="0.15">
      <c r="A3461" s="1" t="s">
        <v>7917</v>
      </c>
      <c r="B3461" s="1">
        <v>30</v>
      </c>
      <c r="C3461" s="1" t="s">
        <v>20</v>
      </c>
      <c r="D3461" s="1" t="s">
        <v>139</v>
      </c>
      <c r="F3461" s="72">
        <v>41863</v>
      </c>
      <c r="G3461" s="1" t="s">
        <v>7918</v>
      </c>
      <c r="H3461" s="1" t="s">
        <v>1145</v>
      </c>
      <c r="I3461" s="1" t="s">
        <v>669</v>
      </c>
      <c r="J3461" s="4" t="s">
        <v>7919</v>
      </c>
      <c r="K3461" s="1" t="s">
        <v>7920</v>
      </c>
      <c r="L3461" s="1" t="s">
        <v>7921</v>
      </c>
      <c r="M3461" s="1" t="s">
        <v>27</v>
      </c>
      <c r="N3461" s="1" t="s">
        <v>7922</v>
      </c>
      <c r="O3461" s="1" t="s">
        <v>1010</v>
      </c>
      <c r="P3461" s="1" t="s">
        <v>401</v>
      </c>
      <c r="Q3461" s="63" t="str">
        <f>HYPERLINK("http://neshobademocrat.com/main.asp?SectionID=2&amp;SubSectionID=297&amp;ArticleID=33427","http://neshobademocrat.com/main.asp?SectionID=2&amp;SubSectionID=297&amp;ArticleID=33427")</f>
        <v>http://neshobademocrat.com/main.asp?SectionID=2&amp;SubSectionID=297&amp;ArticleID=33427</v>
      </c>
      <c r="R3461" s="1" t="s">
        <v>29</v>
      </c>
      <c r="S3461" s="13" t="s">
        <v>28</v>
      </c>
    </row>
    <row r="3462" spans="1:63" ht="12" customHeight="1" x14ac:dyDescent="0.15">
      <c r="A3462" s="1" t="s">
        <v>7923</v>
      </c>
      <c r="B3462" s="1">
        <v>54</v>
      </c>
      <c r="C3462" s="1" t="s">
        <v>20</v>
      </c>
      <c r="D3462" s="1" t="s">
        <v>37</v>
      </c>
      <c r="F3462" s="72">
        <v>41863</v>
      </c>
      <c r="G3462" s="1" t="s">
        <v>7924</v>
      </c>
      <c r="H3462" s="1" t="s">
        <v>7925</v>
      </c>
      <c r="I3462" s="1" t="s">
        <v>57</v>
      </c>
      <c r="J3462" s="4" t="s">
        <v>7926</v>
      </c>
      <c r="K3462" s="1" t="s">
        <v>7927</v>
      </c>
      <c r="L3462" s="1" t="s">
        <v>7928</v>
      </c>
      <c r="M3462" s="1" t="s">
        <v>27</v>
      </c>
      <c r="N3462" s="1" t="s">
        <v>7929</v>
      </c>
      <c r="O3462" s="1" t="s">
        <v>550</v>
      </c>
      <c r="P3462" s="1" t="s">
        <v>401</v>
      </c>
      <c r="Q3462" s="63" t="s">
        <v>7930</v>
      </c>
      <c r="R3462" s="1" t="s">
        <v>555</v>
      </c>
      <c r="S3462" s="13" t="s">
        <v>28</v>
      </c>
      <c r="BA3462" s="11"/>
      <c r="BB3462" s="11"/>
    </row>
    <row r="3463" spans="1:63" ht="12" customHeight="1" x14ac:dyDescent="0.15">
      <c r="A3463" s="1" t="s">
        <v>7937</v>
      </c>
      <c r="B3463" s="1">
        <v>27</v>
      </c>
      <c r="C3463" s="1" t="s">
        <v>20</v>
      </c>
      <c r="D3463" s="1" t="s">
        <v>85</v>
      </c>
      <c r="E3463" s="1" t="str">
        <f>HYPERLINK("http://kbmt.images.worldnow.com/images/4452029_G.jpg","http://kbmt.images.worldnow.com/images/4452029_G.jpg")</f>
        <v>http://kbmt.images.worldnow.com/images/4452029_G.jpg</v>
      </c>
      <c r="F3463" s="72">
        <v>41862</v>
      </c>
      <c r="G3463" s="1" t="s">
        <v>7938</v>
      </c>
      <c r="H3463" s="1" t="s">
        <v>7939</v>
      </c>
      <c r="I3463" s="1" t="s">
        <v>73</v>
      </c>
      <c r="J3463" s="4">
        <v>77640</v>
      </c>
      <c r="K3463" s="1" t="s">
        <v>1778</v>
      </c>
      <c r="L3463" s="1" t="s">
        <v>7940</v>
      </c>
      <c r="M3463" s="1" t="s">
        <v>391</v>
      </c>
      <c r="N3463" s="1" t="s">
        <v>7941</v>
      </c>
      <c r="O3463" s="1" t="s">
        <v>400</v>
      </c>
      <c r="P3463" s="1" t="s">
        <v>401</v>
      </c>
      <c r="Q3463" s="6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3463" s="11" t="s">
        <v>964</v>
      </c>
      <c r="S3463" s="13" t="s">
        <v>18</v>
      </c>
      <c r="AU3463" s="11"/>
      <c r="AV3463" s="11"/>
      <c r="AW3463" s="11"/>
      <c r="AX3463" s="44"/>
      <c r="AY3463" s="44"/>
      <c r="BC3463" s="11"/>
      <c r="BD3463" s="11"/>
      <c r="BE3463" s="11"/>
      <c r="BF3463" s="11"/>
      <c r="BG3463" s="11"/>
      <c r="BH3463" s="11"/>
      <c r="BI3463" s="11"/>
      <c r="BJ3463" s="11"/>
    </row>
    <row r="3464" spans="1:63" ht="12" customHeight="1" x14ac:dyDescent="0.15">
      <c r="A3464" s="1" t="s">
        <v>7955</v>
      </c>
      <c r="B3464" s="1">
        <v>52</v>
      </c>
      <c r="C3464" s="1" t="s">
        <v>20</v>
      </c>
      <c r="D3464" s="1" t="s">
        <v>85</v>
      </c>
      <c r="E3464" s="1" t="s">
        <v>7956</v>
      </c>
      <c r="F3464" s="72">
        <v>41862</v>
      </c>
      <c r="G3464" s="1" t="s">
        <v>7957</v>
      </c>
      <c r="H3464" s="1" t="s">
        <v>7958</v>
      </c>
      <c r="I3464" s="1" t="s">
        <v>669</v>
      </c>
      <c r="J3464" s="4" t="s">
        <v>7959</v>
      </c>
      <c r="K3464" s="1" t="s">
        <v>2160</v>
      </c>
      <c r="L3464" s="1" t="s">
        <v>7960</v>
      </c>
      <c r="M3464" s="1" t="s">
        <v>27</v>
      </c>
      <c r="N3464" s="1" t="s">
        <v>7961</v>
      </c>
      <c r="O3464" s="1" t="s">
        <v>1010</v>
      </c>
      <c r="P3464" s="1" t="s">
        <v>401</v>
      </c>
      <c r="Q3464" s="63" t="s">
        <v>7962</v>
      </c>
      <c r="R3464" s="1" t="s">
        <v>100</v>
      </c>
      <c r="S3464" s="13" t="s">
        <v>28</v>
      </c>
      <c r="AX3464" s="11"/>
      <c r="AY3464" s="11"/>
      <c r="BC3464" s="11"/>
      <c r="BD3464" s="11"/>
      <c r="BE3464" s="11"/>
      <c r="BF3464" s="11"/>
      <c r="BG3464" s="11"/>
      <c r="BH3464" s="11"/>
      <c r="BI3464" s="11"/>
      <c r="BJ3464" s="11"/>
    </row>
    <row r="3465" spans="1:63" ht="12" customHeight="1" x14ac:dyDescent="0.15">
      <c r="A3465" s="1" t="s">
        <v>7969</v>
      </c>
      <c r="B3465" s="1">
        <v>18</v>
      </c>
      <c r="C3465" s="1" t="s">
        <v>20</v>
      </c>
      <c r="D3465" s="1" t="s">
        <v>48</v>
      </c>
      <c r="F3465" s="72">
        <v>41862</v>
      </c>
      <c r="G3465" s="1" t="s">
        <v>7970</v>
      </c>
      <c r="H3465" s="1" t="s">
        <v>285</v>
      </c>
      <c r="I3465" s="1" t="s">
        <v>73</v>
      </c>
      <c r="J3465" s="4" t="s">
        <v>7971</v>
      </c>
      <c r="K3465" s="1" t="s">
        <v>285</v>
      </c>
      <c r="L3465" s="1" t="s">
        <v>286</v>
      </c>
      <c r="M3465" s="1" t="s">
        <v>27</v>
      </c>
      <c r="N3465" s="1" t="s">
        <v>7972</v>
      </c>
      <c r="O3465" s="1" t="s">
        <v>4684</v>
      </c>
      <c r="P3465" s="1" t="s">
        <v>401</v>
      </c>
      <c r="Q3465" s="63" t="s">
        <v>7973</v>
      </c>
      <c r="R3465" s="1" t="s">
        <v>100</v>
      </c>
      <c r="S3465" s="13" t="s">
        <v>28</v>
      </c>
    </row>
    <row r="3466" spans="1:63" ht="12" customHeight="1" x14ac:dyDescent="0.15">
      <c r="A3466" s="1" t="s">
        <v>7974</v>
      </c>
      <c r="B3466" s="1">
        <v>53</v>
      </c>
      <c r="C3466" s="1" t="s">
        <v>20</v>
      </c>
      <c r="D3466" s="1" t="s">
        <v>30</v>
      </c>
      <c r="F3466" s="72">
        <v>41862</v>
      </c>
      <c r="G3466" s="1" t="s">
        <v>7975</v>
      </c>
      <c r="H3466" s="1" t="s">
        <v>7976</v>
      </c>
      <c r="I3466" s="1" t="s">
        <v>25</v>
      </c>
      <c r="J3466" s="4" t="s">
        <v>7977</v>
      </c>
      <c r="K3466" s="1" t="s">
        <v>7978</v>
      </c>
      <c r="L3466" s="1" t="s">
        <v>7979</v>
      </c>
      <c r="M3466" s="1" t="s">
        <v>27</v>
      </c>
      <c r="N3466" s="1" t="s">
        <v>7980</v>
      </c>
      <c r="O3466" s="1" t="s">
        <v>1010</v>
      </c>
      <c r="P3466" s="1" t="s">
        <v>401</v>
      </c>
      <c r="Q3466" s="63" t="str">
        <f>HYPERLINK("http://kpel965.com/la-state-police-handling-shooting-involving-crowley-police-officers/","http://kpel965.com/la-state-police-handling-shooting-involving-crowley-police-officers/")</f>
        <v>http://kpel965.com/la-state-police-handling-shooting-involving-crowley-police-officers/</v>
      </c>
      <c r="R3466" s="1" t="s">
        <v>100</v>
      </c>
      <c r="S3466" s="13" t="s">
        <v>28</v>
      </c>
    </row>
    <row r="3467" spans="1:63" ht="12" customHeight="1" x14ac:dyDescent="0.15">
      <c r="A3467" s="1" t="s">
        <v>7948</v>
      </c>
      <c r="B3467" s="1">
        <v>34</v>
      </c>
      <c r="C3467" s="1" t="s">
        <v>20</v>
      </c>
      <c r="D3467" s="1" t="s">
        <v>85</v>
      </c>
      <c r="E3467" s="1" t="s">
        <v>7949</v>
      </c>
      <c r="F3467" s="72">
        <v>41862</v>
      </c>
      <c r="G3467" s="1" t="s">
        <v>7950</v>
      </c>
      <c r="H3467" s="1" t="s">
        <v>7951</v>
      </c>
      <c r="I3467" s="1" t="s">
        <v>25</v>
      </c>
      <c r="J3467" s="4">
        <v>71040</v>
      </c>
      <c r="K3467" s="1" t="s">
        <v>7952</v>
      </c>
      <c r="L3467" s="1" t="s">
        <v>7953</v>
      </c>
      <c r="M3467" s="1" t="s">
        <v>2291</v>
      </c>
      <c r="N3467" s="1" t="s">
        <v>7954</v>
      </c>
      <c r="O3467" s="1" t="s">
        <v>400</v>
      </c>
      <c r="P3467" s="1" t="s">
        <v>401</v>
      </c>
      <c r="Q3467" s="63"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3467" s="1" t="s">
        <v>100</v>
      </c>
      <c r="S3467" s="13" t="s">
        <v>18</v>
      </c>
      <c r="AX3467" s="44"/>
      <c r="AY3467" s="44"/>
      <c r="BC3467" s="11"/>
      <c r="BD3467" s="11"/>
      <c r="BE3467" s="11"/>
      <c r="BF3467" s="11"/>
      <c r="BG3467" s="11"/>
      <c r="BH3467" s="11"/>
      <c r="BI3467" s="11"/>
      <c r="BJ3467" s="11"/>
    </row>
    <row r="3468" spans="1:63" ht="12" customHeight="1" x14ac:dyDescent="0.15">
      <c r="A3468" s="1" t="s">
        <v>7963</v>
      </c>
      <c r="B3468" s="1">
        <v>67</v>
      </c>
      <c r="C3468" s="1" t="s">
        <v>20</v>
      </c>
      <c r="D3468" s="1" t="s">
        <v>85</v>
      </c>
      <c r="E3468" s="1" t="s">
        <v>7964</v>
      </c>
      <c r="F3468" s="72">
        <v>41862</v>
      </c>
      <c r="G3468" s="1" t="s">
        <v>7965</v>
      </c>
      <c r="H3468" s="1" t="s">
        <v>1304</v>
      </c>
      <c r="I3468" s="1" t="s">
        <v>73</v>
      </c>
      <c r="J3468" s="4" t="s">
        <v>7966</v>
      </c>
      <c r="K3468" s="1" t="s">
        <v>5474</v>
      </c>
      <c r="L3468" s="1" t="s">
        <v>7967</v>
      </c>
      <c r="M3468" s="1" t="s">
        <v>27</v>
      </c>
      <c r="N3468" s="1" t="s">
        <v>7968</v>
      </c>
      <c r="O3468" s="1" t="s">
        <v>29</v>
      </c>
      <c r="P3468" s="1" t="s">
        <v>401</v>
      </c>
      <c r="Q3468" s="6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3468" s="1" t="s">
        <v>29</v>
      </c>
      <c r="S3468" s="13" t="s">
        <v>28</v>
      </c>
      <c r="AX3468" s="11"/>
      <c r="AY3468" s="11"/>
      <c r="BC3468" s="11"/>
      <c r="BD3468" s="11"/>
      <c r="BE3468" s="11"/>
      <c r="BF3468" s="11"/>
      <c r="BG3468" s="11"/>
      <c r="BH3468" s="11"/>
      <c r="BI3468" s="11"/>
      <c r="BJ3468" s="11"/>
    </row>
    <row r="3469" spans="1:63" ht="12" customHeight="1" x14ac:dyDescent="0.15">
      <c r="A3469" s="1" t="s">
        <v>7942</v>
      </c>
      <c r="B3469" s="1">
        <v>25</v>
      </c>
      <c r="C3469" s="1" t="s">
        <v>20</v>
      </c>
      <c r="D3469" s="1" t="s">
        <v>85</v>
      </c>
      <c r="E3469" s="1" t="s">
        <v>7943</v>
      </c>
      <c r="F3469" s="72">
        <v>41862</v>
      </c>
      <c r="G3469" s="1" t="s">
        <v>7944</v>
      </c>
      <c r="H3469" s="1" t="s">
        <v>98</v>
      </c>
      <c r="I3469" s="1" t="s">
        <v>45</v>
      </c>
      <c r="J3469" s="4" t="s">
        <v>7945</v>
      </c>
      <c r="K3469" s="1" t="s">
        <v>98</v>
      </c>
      <c r="L3469" s="1" t="s">
        <v>99</v>
      </c>
      <c r="M3469" s="1" t="s">
        <v>27</v>
      </c>
      <c r="N3469" s="1" t="s">
        <v>7946</v>
      </c>
      <c r="O3469" s="1" t="s">
        <v>4684</v>
      </c>
      <c r="P3469" s="1" t="s">
        <v>401</v>
      </c>
      <c r="Q3469" s="63" t="s">
        <v>7947</v>
      </c>
      <c r="R3469" s="1" t="s">
        <v>555</v>
      </c>
      <c r="S3469" s="13" t="s">
        <v>18</v>
      </c>
      <c r="AX3469" s="11"/>
      <c r="AY3469" s="11"/>
      <c r="BC3469" s="11"/>
      <c r="BD3469" s="11"/>
      <c r="BE3469" s="11"/>
      <c r="BF3469" s="11"/>
      <c r="BG3469" s="11"/>
      <c r="BH3469" s="11"/>
      <c r="BI3469" s="11"/>
      <c r="BJ3469" s="11"/>
    </row>
    <row r="3470" spans="1:63" ht="12" customHeight="1" x14ac:dyDescent="0.15">
      <c r="A3470" s="1" t="s">
        <v>7981</v>
      </c>
      <c r="B3470" s="1">
        <v>26</v>
      </c>
      <c r="C3470" s="1" t="s">
        <v>20</v>
      </c>
      <c r="D3470" s="1" t="s">
        <v>37</v>
      </c>
      <c r="E3470" s="1" t="s">
        <v>7982</v>
      </c>
      <c r="F3470" s="72">
        <v>41862</v>
      </c>
      <c r="G3470" s="1" t="s">
        <v>7983</v>
      </c>
      <c r="H3470" s="1" t="s">
        <v>285</v>
      </c>
      <c r="I3470" s="1" t="s">
        <v>73</v>
      </c>
      <c r="J3470" s="4" t="s">
        <v>7984</v>
      </c>
      <c r="K3470" s="1" t="s">
        <v>285</v>
      </c>
      <c r="L3470" s="1" t="s">
        <v>286</v>
      </c>
      <c r="M3470" s="1" t="s">
        <v>27</v>
      </c>
      <c r="N3470" s="1" t="s">
        <v>7985</v>
      </c>
      <c r="O3470" s="1" t="s">
        <v>29</v>
      </c>
      <c r="P3470" s="1" t="s">
        <v>401</v>
      </c>
      <c r="Q3470" s="63" t="s">
        <v>7986</v>
      </c>
      <c r="R3470" s="1" t="s">
        <v>555</v>
      </c>
      <c r="S3470" s="13" t="s">
        <v>18</v>
      </c>
      <c r="BA3470" s="11"/>
      <c r="BB3470" s="11"/>
    </row>
    <row r="3471" spans="1:63" ht="12" customHeight="1" x14ac:dyDescent="0.15">
      <c r="A3471" s="1" t="s">
        <v>7995</v>
      </c>
      <c r="B3471" s="1">
        <v>45</v>
      </c>
      <c r="C3471" s="1" t="s">
        <v>20</v>
      </c>
      <c r="D3471" s="1" t="s">
        <v>37</v>
      </c>
      <c r="F3471" s="72">
        <v>41861</v>
      </c>
      <c r="G3471" s="1" t="s">
        <v>7996</v>
      </c>
      <c r="H3471" s="1" t="s">
        <v>7997</v>
      </c>
      <c r="I3471" s="1" t="s">
        <v>303</v>
      </c>
      <c r="J3471" s="4" t="s">
        <v>7998</v>
      </c>
      <c r="K3471" s="1" t="s">
        <v>1209</v>
      </c>
      <c r="L3471" s="1" t="s">
        <v>7999</v>
      </c>
      <c r="M3471" s="1" t="s">
        <v>27</v>
      </c>
      <c r="N3471" s="1" t="s">
        <v>8000</v>
      </c>
      <c r="O3471" s="1" t="s">
        <v>4684</v>
      </c>
      <c r="P3471" s="1" t="s">
        <v>401</v>
      </c>
      <c r="Q3471" s="63" t="s">
        <v>8001</v>
      </c>
      <c r="R3471" s="11" t="s">
        <v>964</v>
      </c>
      <c r="S3471" s="13" t="s">
        <v>28</v>
      </c>
    </row>
    <row r="3472" spans="1:63" ht="12" customHeight="1" x14ac:dyDescent="0.15">
      <c r="A3472" s="1" t="s">
        <v>7987</v>
      </c>
      <c r="B3472" s="1">
        <v>23</v>
      </c>
      <c r="C3472" s="1" t="s">
        <v>20</v>
      </c>
      <c r="D3472" s="1" t="s">
        <v>48</v>
      </c>
      <c r="E3472" s="1" t="s">
        <v>7988</v>
      </c>
      <c r="F3472" s="72">
        <v>41861</v>
      </c>
      <c r="G3472" s="1" t="s">
        <v>7989</v>
      </c>
      <c r="H3472" s="1" t="s">
        <v>7990</v>
      </c>
      <c r="I3472" s="1" t="s">
        <v>73</v>
      </c>
      <c r="J3472" s="4" t="s">
        <v>7991</v>
      </c>
      <c r="K3472" s="1" t="s">
        <v>5282</v>
      </c>
      <c r="L3472" s="1" t="s">
        <v>7992</v>
      </c>
      <c r="M3472" s="1" t="s">
        <v>379</v>
      </c>
      <c r="N3472" s="1" t="s">
        <v>21188</v>
      </c>
      <c r="O3472" s="1" t="s">
        <v>1010</v>
      </c>
      <c r="P3472" s="1" t="s">
        <v>401</v>
      </c>
      <c r="Q3472" s="63" t="s">
        <v>7993</v>
      </c>
      <c r="R3472" s="1" t="s">
        <v>100</v>
      </c>
      <c r="S3472" s="66" t="s">
        <v>379</v>
      </c>
      <c r="T3472" s="66" t="s">
        <v>30738</v>
      </c>
    </row>
    <row r="3473" spans="1:63" ht="12" customHeight="1" x14ac:dyDescent="0.15">
      <c r="A3473" s="1" t="s">
        <v>7994</v>
      </c>
      <c r="B3473" s="1" t="s">
        <v>29</v>
      </c>
      <c r="C3473" s="1" t="s">
        <v>20</v>
      </c>
      <c r="D3473" s="1" t="s">
        <v>48</v>
      </c>
      <c r="F3473" s="72">
        <v>41861</v>
      </c>
      <c r="G3473" s="1" t="s">
        <v>7989</v>
      </c>
      <c r="H3473" s="1" t="s">
        <v>7990</v>
      </c>
      <c r="I3473" s="1" t="s">
        <v>73</v>
      </c>
      <c r="J3473" s="4" t="s">
        <v>7991</v>
      </c>
      <c r="K3473" s="1" t="s">
        <v>5282</v>
      </c>
      <c r="L3473" s="1" t="s">
        <v>7992</v>
      </c>
      <c r="M3473" s="1" t="s">
        <v>379</v>
      </c>
      <c r="N3473" s="1" t="s">
        <v>21189</v>
      </c>
      <c r="O3473" s="1" t="s">
        <v>1010</v>
      </c>
      <c r="P3473" s="1" t="s">
        <v>401</v>
      </c>
      <c r="Q3473" s="63" t="s">
        <v>7993</v>
      </c>
      <c r="R3473" s="1" t="s">
        <v>100</v>
      </c>
      <c r="S3473" s="13" t="s">
        <v>379</v>
      </c>
    </row>
    <row r="3474" spans="1:63" ht="12" customHeight="1" x14ac:dyDescent="0.2">
      <c r="A3474" s="1" t="s">
        <v>8010</v>
      </c>
      <c r="B3474" s="1">
        <v>51</v>
      </c>
      <c r="C3474" s="1" t="s">
        <v>20</v>
      </c>
      <c r="D3474" s="1" t="s">
        <v>37</v>
      </c>
      <c r="E3474" s="1" t="s">
        <v>8011</v>
      </c>
      <c r="F3474" s="72">
        <v>41861</v>
      </c>
      <c r="G3474" s="1" t="s">
        <v>8004</v>
      </c>
      <c r="H3474" s="1" t="s">
        <v>8005</v>
      </c>
      <c r="I3474" s="1" t="s">
        <v>423</v>
      </c>
      <c r="J3474" s="4" t="s">
        <v>8006</v>
      </c>
      <c r="K3474" s="1" t="s">
        <v>4946</v>
      </c>
      <c r="L3474" s="1" t="s">
        <v>8007</v>
      </c>
      <c r="M3474" s="1" t="s">
        <v>27</v>
      </c>
      <c r="N3474" s="1" t="s">
        <v>8008</v>
      </c>
      <c r="O3474" s="1" t="s">
        <v>1010</v>
      </c>
      <c r="P3474" s="1" t="s">
        <v>401</v>
      </c>
      <c r="Q3474" s="63" t="s">
        <v>8009</v>
      </c>
      <c r="R3474" s="1" t="s">
        <v>29</v>
      </c>
      <c r="S3474" s="13" t="s">
        <v>18</v>
      </c>
      <c r="BA3474" s="70"/>
      <c r="BB3474" s="70"/>
    </row>
    <row r="3475" spans="1:63" ht="12" customHeight="1" x14ac:dyDescent="0.2">
      <c r="A3475" s="1" t="s">
        <v>8002</v>
      </c>
      <c r="B3475" s="1">
        <v>49</v>
      </c>
      <c r="C3475" s="1" t="s">
        <v>114</v>
      </c>
      <c r="D3475" s="1" t="s">
        <v>37</v>
      </c>
      <c r="E3475" s="1" t="s">
        <v>8003</v>
      </c>
      <c r="F3475" s="72">
        <v>41861</v>
      </c>
      <c r="G3475" s="1" t="s">
        <v>8004</v>
      </c>
      <c r="H3475" s="1" t="s">
        <v>8005</v>
      </c>
      <c r="I3475" s="1" t="s">
        <v>423</v>
      </c>
      <c r="J3475" s="4" t="s">
        <v>8006</v>
      </c>
      <c r="K3475" s="1" t="s">
        <v>4946</v>
      </c>
      <c r="L3475" s="1" t="s">
        <v>8007</v>
      </c>
      <c r="M3475" s="1" t="s">
        <v>27</v>
      </c>
      <c r="N3475" s="1" t="s">
        <v>8008</v>
      </c>
      <c r="O3475" s="1" t="s">
        <v>1010</v>
      </c>
      <c r="P3475" s="1" t="s">
        <v>401</v>
      </c>
      <c r="Q3475" s="63" t="s">
        <v>8009</v>
      </c>
      <c r="R3475" s="1" t="s">
        <v>29</v>
      </c>
      <c r="S3475" s="13" t="s">
        <v>18</v>
      </c>
      <c r="BA3475" s="70"/>
      <c r="BB3475" s="70"/>
    </row>
    <row r="3476" spans="1:63" ht="12" customHeight="1" x14ac:dyDescent="0.15">
      <c r="A3476" s="1" t="s">
        <v>8024</v>
      </c>
      <c r="B3476" s="1">
        <v>41</v>
      </c>
      <c r="C3476" s="1" t="s">
        <v>20</v>
      </c>
      <c r="D3476" s="1" t="s">
        <v>48</v>
      </c>
      <c r="F3476" s="72">
        <v>41860</v>
      </c>
      <c r="G3476" s="1" t="s">
        <v>8025</v>
      </c>
      <c r="H3476" s="1" t="s">
        <v>8026</v>
      </c>
      <c r="I3476" s="1" t="s">
        <v>45</v>
      </c>
      <c r="J3476" s="4" t="s">
        <v>8027</v>
      </c>
      <c r="K3476" s="1" t="s">
        <v>98</v>
      </c>
      <c r="L3476" s="11" t="s">
        <v>414</v>
      </c>
      <c r="M3476" s="1" t="s">
        <v>27</v>
      </c>
      <c r="N3476" s="1" t="s">
        <v>8028</v>
      </c>
      <c r="O3476" s="1" t="s">
        <v>1010</v>
      </c>
      <c r="P3476" s="1" t="s">
        <v>401</v>
      </c>
      <c r="Q3476" s="63" t="s">
        <v>8029</v>
      </c>
      <c r="R3476" s="1" t="s">
        <v>100</v>
      </c>
      <c r="S3476" s="13" t="s">
        <v>28</v>
      </c>
    </row>
    <row r="3477" spans="1:63" ht="12" customHeight="1" x14ac:dyDescent="0.15">
      <c r="A3477" s="1" t="s">
        <v>8043</v>
      </c>
      <c r="B3477" s="1">
        <v>23</v>
      </c>
      <c r="C3477" s="1" t="s">
        <v>20</v>
      </c>
      <c r="D3477" s="1" t="s">
        <v>37</v>
      </c>
      <c r="E3477" s="1" t="s">
        <v>8044</v>
      </c>
      <c r="F3477" s="72">
        <v>41860</v>
      </c>
      <c r="G3477" s="1" t="s">
        <v>8045</v>
      </c>
      <c r="H3477" s="1" t="s">
        <v>8046</v>
      </c>
      <c r="I3477" s="1" t="s">
        <v>978</v>
      </c>
      <c r="J3477" s="4" t="s">
        <v>8047</v>
      </c>
      <c r="K3477" s="1" t="s">
        <v>8048</v>
      </c>
      <c r="L3477" s="1" t="s">
        <v>8049</v>
      </c>
      <c r="M3477" s="1" t="s">
        <v>27</v>
      </c>
      <c r="N3477" s="1" t="s">
        <v>8050</v>
      </c>
      <c r="O3477" s="1" t="s">
        <v>1010</v>
      </c>
      <c r="P3477" s="1" t="s">
        <v>401</v>
      </c>
      <c r="Q3477" s="63" t="s">
        <v>8051</v>
      </c>
      <c r="R3477" s="1" t="s">
        <v>100</v>
      </c>
      <c r="S3477" s="13" t="s">
        <v>28</v>
      </c>
    </row>
    <row r="3478" spans="1:63" ht="12" customHeight="1" x14ac:dyDescent="0.15">
      <c r="A3478" s="1" t="s">
        <v>8036</v>
      </c>
      <c r="B3478" s="1">
        <v>40</v>
      </c>
      <c r="C3478" s="1" t="s">
        <v>20</v>
      </c>
      <c r="D3478" s="1" t="s">
        <v>37</v>
      </c>
      <c r="E3478" s="1" t="s">
        <v>8037</v>
      </c>
      <c r="F3478" s="72">
        <v>41860</v>
      </c>
      <c r="G3478" s="1" t="s">
        <v>8038</v>
      </c>
      <c r="H3478" s="1" t="s">
        <v>8039</v>
      </c>
      <c r="I3478" s="1" t="s">
        <v>404</v>
      </c>
      <c r="J3478" s="4" t="s">
        <v>8040</v>
      </c>
      <c r="K3478" s="1" t="s">
        <v>1604</v>
      </c>
      <c r="L3478" s="1" t="s">
        <v>9350</v>
      </c>
      <c r="M3478" s="1" t="s">
        <v>27</v>
      </c>
      <c r="N3478" s="1" t="s">
        <v>8041</v>
      </c>
      <c r="O3478" s="1" t="s">
        <v>1010</v>
      </c>
      <c r="P3478" s="1" t="s">
        <v>401</v>
      </c>
      <c r="Q3478" s="63" t="s">
        <v>8042</v>
      </c>
      <c r="R3478" s="1" t="s">
        <v>100</v>
      </c>
      <c r="S3478" s="13" t="s">
        <v>28</v>
      </c>
    </row>
    <row r="3479" spans="1:63" ht="12" customHeight="1" x14ac:dyDescent="0.15">
      <c r="A3479" s="1" t="s">
        <v>8017</v>
      </c>
      <c r="B3479" s="1">
        <v>18</v>
      </c>
      <c r="C3479" s="1" t="s">
        <v>20</v>
      </c>
      <c r="D3479" s="1" t="s">
        <v>85</v>
      </c>
      <c r="E3479" s="1" t="s">
        <v>8018</v>
      </c>
      <c r="F3479" s="72">
        <v>41860</v>
      </c>
      <c r="G3479" s="1" t="s">
        <v>8019</v>
      </c>
      <c r="H3479" s="1" t="s">
        <v>8020</v>
      </c>
      <c r="I3479" s="1" t="s">
        <v>431</v>
      </c>
      <c r="J3479" s="4" t="s">
        <v>2798</v>
      </c>
      <c r="K3479" s="1" t="s">
        <v>709</v>
      </c>
      <c r="L3479" s="1" t="s">
        <v>8021</v>
      </c>
      <c r="M3479" s="1" t="s">
        <v>27</v>
      </c>
      <c r="N3479" s="1" t="s">
        <v>8022</v>
      </c>
      <c r="O3479" s="1" t="s">
        <v>550</v>
      </c>
      <c r="P3479" s="1" t="s">
        <v>401</v>
      </c>
      <c r="Q3479" s="63" t="s">
        <v>8023</v>
      </c>
      <c r="R3479" s="1" t="s">
        <v>100</v>
      </c>
      <c r="S3479" s="13" t="s">
        <v>18</v>
      </c>
      <c r="AX3479" s="11"/>
      <c r="AY3479" s="11"/>
      <c r="BC3479" s="11"/>
      <c r="BD3479" s="11"/>
      <c r="BE3479" s="11"/>
      <c r="BF3479" s="11"/>
      <c r="BG3479" s="11"/>
      <c r="BH3479" s="11"/>
      <c r="BI3479" s="11"/>
      <c r="BJ3479" s="11"/>
    </row>
    <row r="3480" spans="1:63" ht="12" customHeight="1" x14ac:dyDescent="0.15">
      <c r="A3480" s="1" t="s">
        <v>8030</v>
      </c>
      <c r="B3480" s="1">
        <v>20</v>
      </c>
      <c r="C3480" s="1" t="s">
        <v>20</v>
      </c>
      <c r="D3480" s="1" t="s">
        <v>37</v>
      </c>
      <c r="E3480" s="1" t="s">
        <v>8031</v>
      </c>
      <c r="F3480" s="72">
        <v>41860</v>
      </c>
      <c r="G3480" s="1" t="s">
        <v>8032</v>
      </c>
      <c r="H3480" s="1" t="s">
        <v>239</v>
      </c>
      <c r="I3480" s="1" t="s">
        <v>240</v>
      </c>
      <c r="J3480" s="4" t="s">
        <v>8033</v>
      </c>
      <c r="K3480" s="1" t="s">
        <v>611</v>
      </c>
      <c r="L3480" s="1" t="s">
        <v>241</v>
      </c>
      <c r="M3480" s="1" t="s">
        <v>27</v>
      </c>
      <c r="N3480" s="1" t="s">
        <v>8034</v>
      </c>
      <c r="O3480" s="1" t="s">
        <v>400</v>
      </c>
      <c r="P3480" s="1" t="s">
        <v>401</v>
      </c>
      <c r="Q3480" s="63" t="s">
        <v>8035</v>
      </c>
      <c r="R3480" s="1" t="s">
        <v>100</v>
      </c>
      <c r="S3480" s="13" t="s">
        <v>18</v>
      </c>
    </row>
    <row r="3481" spans="1:63" ht="12" customHeight="1" x14ac:dyDescent="0.15">
      <c r="A3481" s="1" t="s">
        <v>8012</v>
      </c>
      <c r="B3481" s="1">
        <v>22</v>
      </c>
      <c r="C3481" s="1" t="s">
        <v>20</v>
      </c>
      <c r="D3481" s="1" t="s">
        <v>85</v>
      </c>
      <c r="F3481" s="72">
        <v>41860</v>
      </c>
      <c r="G3481" s="1" t="s">
        <v>24471</v>
      </c>
      <c r="H3481" s="1" t="s">
        <v>8013</v>
      </c>
      <c r="I3481" s="1" t="s">
        <v>44</v>
      </c>
      <c r="J3481" s="4" t="s">
        <v>8014</v>
      </c>
      <c r="K3481" s="1" t="s">
        <v>88</v>
      </c>
      <c r="L3481" s="1" t="s">
        <v>89</v>
      </c>
      <c r="M3481" s="1" t="s">
        <v>27</v>
      </c>
      <c r="N3481" s="1" t="s">
        <v>8015</v>
      </c>
      <c r="O3481" s="1" t="s">
        <v>550</v>
      </c>
      <c r="P3481" s="1" t="s">
        <v>401</v>
      </c>
      <c r="Q3481" s="63" t="s">
        <v>8016</v>
      </c>
      <c r="R3481" s="1" t="s">
        <v>29</v>
      </c>
      <c r="S3481" s="13" t="s">
        <v>28</v>
      </c>
      <c r="AX3481" s="11"/>
      <c r="AY3481" s="11"/>
      <c r="BC3481" s="11"/>
      <c r="BD3481" s="11"/>
      <c r="BE3481" s="11"/>
      <c r="BF3481" s="11"/>
      <c r="BG3481" s="11"/>
      <c r="BH3481" s="11"/>
      <c r="BI3481" s="11"/>
      <c r="BJ3481" s="11"/>
    </row>
    <row r="3482" spans="1:63" ht="12" customHeight="1" x14ac:dyDescent="0.15">
      <c r="A3482" s="1" t="s">
        <v>3252</v>
      </c>
      <c r="B3482" s="1">
        <v>31</v>
      </c>
      <c r="C3482" s="1" t="s">
        <v>20</v>
      </c>
      <c r="D3482" s="1" t="s">
        <v>30</v>
      </c>
      <c r="F3482" s="72">
        <v>41859</v>
      </c>
      <c r="G3482" s="1" t="s">
        <v>8060</v>
      </c>
      <c r="H3482" s="1" t="s">
        <v>444</v>
      </c>
      <c r="I3482" s="1" t="s">
        <v>57</v>
      </c>
      <c r="J3482" s="4" t="s">
        <v>8061</v>
      </c>
      <c r="K3482" s="1" t="s">
        <v>1128</v>
      </c>
      <c r="L3482" s="1" t="s">
        <v>2177</v>
      </c>
      <c r="M3482" s="1" t="s">
        <v>27</v>
      </c>
      <c r="N3482" s="1" t="s">
        <v>8062</v>
      </c>
      <c r="O3482" s="1" t="s">
        <v>1010</v>
      </c>
      <c r="P3482" s="1" t="s">
        <v>401</v>
      </c>
      <c r="Q3482" s="63" t="s">
        <v>8063</v>
      </c>
      <c r="R3482" s="1" t="s">
        <v>100</v>
      </c>
      <c r="S3482" s="13" t="s">
        <v>28</v>
      </c>
    </row>
    <row r="3483" spans="1:63" ht="12" customHeight="1" x14ac:dyDescent="0.15">
      <c r="A3483" s="1" t="s">
        <v>8064</v>
      </c>
      <c r="B3483" s="1">
        <v>26</v>
      </c>
      <c r="C3483" s="1" t="s">
        <v>20</v>
      </c>
      <c r="D3483" s="1" t="s">
        <v>37</v>
      </c>
      <c r="E3483" s="1" t="s">
        <v>8065</v>
      </c>
      <c r="F3483" s="72">
        <v>41859</v>
      </c>
      <c r="G3483" s="1" t="s">
        <v>8066</v>
      </c>
      <c r="H3483" s="1" t="s">
        <v>1298</v>
      </c>
      <c r="I3483" s="1" t="s">
        <v>209</v>
      </c>
      <c r="J3483" s="4" t="s">
        <v>8067</v>
      </c>
      <c r="K3483" s="1" t="s">
        <v>1298</v>
      </c>
      <c r="L3483" s="1" t="s">
        <v>8068</v>
      </c>
      <c r="M3483" s="1" t="s">
        <v>27</v>
      </c>
      <c r="N3483" s="1" t="s">
        <v>8069</v>
      </c>
      <c r="O3483" s="1" t="s">
        <v>550</v>
      </c>
      <c r="P3483" s="1" t="s">
        <v>401</v>
      </c>
      <c r="Q3483" s="63" t="s">
        <v>8070</v>
      </c>
      <c r="R3483" s="1" t="s">
        <v>100</v>
      </c>
      <c r="S3483" s="13" t="s">
        <v>28</v>
      </c>
    </row>
    <row r="3484" spans="1:63" ht="12" customHeight="1" x14ac:dyDescent="0.15">
      <c r="A3484" s="1" t="s">
        <v>8052</v>
      </c>
      <c r="B3484" s="1">
        <v>38</v>
      </c>
      <c r="C3484" s="1" t="s">
        <v>20</v>
      </c>
      <c r="D3484" s="1" t="s">
        <v>48</v>
      </c>
      <c r="F3484" s="72">
        <v>41859</v>
      </c>
      <c r="G3484" s="1" t="s">
        <v>8053</v>
      </c>
      <c r="H3484" s="1" t="s">
        <v>8054</v>
      </c>
      <c r="I3484" s="1" t="s">
        <v>404</v>
      </c>
      <c r="J3484" s="4" t="s">
        <v>8055</v>
      </c>
      <c r="K3484" s="1" t="s">
        <v>8056</v>
      </c>
      <c r="L3484" s="1" t="s">
        <v>8057</v>
      </c>
      <c r="M3484" s="1" t="s">
        <v>391</v>
      </c>
      <c r="N3484" s="1" t="s">
        <v>8058</v>
      </c>
      <c r="O3484" s="1" t="s">
        <v>400</v>
      </c>
      <c r="P3484" s="1" t="s">
        <v>401</v>
      </c>
      <c r="Q3484" s="63" t="s">
        <v>8059</v>
      </c>
      <c r="R3484" s="1" t="s">
        <v>100</v>
      </c>
      <c r="S3484" s="13" t="s">
        <v>18</v>
      </c>
      <c r="AU3484" s="11"/>
      <c r="AV3484" s="11"/>
      <c r="AW3484" s="11"/>
    </row>
    <row r="3485" spans="1:63" ht="12" customHeight="1" x14ac:dyDescent="0.15">
      <c r="A3485" s="1" t="s">
        <v>8071</v>
      </c>
      <c r="B3485" s="1">
        <v>23</v>
      </c>
      <c r="C3485" s="1" t="s">
        <v>20</v>
      </c>
      <c r="D3485" s="1" t="s">
        <v>37</v>
      </c>
      <c r="E3485" s="1" t="s">
        <v>8072</v>
      </c>
      <c r="F3485" s="72">
        <v>41859</v>
      </c>
      <c r="G3485" s="1" t="s">
        <v>8073</v>
      </c>
      <c r="H3485" s="1" t="s">
        <v>593</v>
      </c>
      <c r="I3485" s="1" t="s">
        <v>73</v>
      </c>
      <c r="J3485" s="4" t="s">
        <v>8074</v>
      </c>
      <c r="K3485" s="1" t="s">
        <v>594</v>
      </c>
      <c r="L3485" s="1" t="s">
        <v>595</v>
      </c>
      <c r="M3485" s="1" t="s">
        <v>27</v>
      </c>
      <c r="N3485" s="1" t="s">
        <v>8075</v>
      </c>
      <c r="O3485" s="1" t="s">
        <v>400</v>
      </c>
      <c r="P3485" s="1" t="s">
        <v>401</v>
      </c>
      <c r="Q3485" s="63" t="s">
        <v>8076</v>
      </c>
      <c r="R3485" s="1" t="s">
        <v>555</v>
      </c>
      <c r="S3485" s="13" t="s">
        <v>28</v>
      </c>
      <c r="BA3485" s="11"/>
      <c r="BB3485" s="11"/>
    </row>
    <row r="3486" spans="1:63" ht="12" customHeight="1" x14ac:dyDescent="0.15">
      <c r="A3486" s="1" t="s">
        <v>8077</v>
      </c>
      <c r="B3486" s="1">
        <v>17</v>
      </c>
      <c r="C3486" s="1" t="s">
        <v>20</v>
      </c>
      <c r="D3486" s="1" t="s">
        <v>85</v>
      </c>
      <c r="E3486" s="1" t="s">
        <v>8078</v>
      </c>
      <c r="F3486" s="72">
        <v>41858</v>
      </c>
      <c r="G3486" s="1" t="s">
        <v>8079</v>
      </c>
      <c r="H3486" s="1" t="s">
        <v>8080</v>
      </c>
      <c r="I3486" s="1" t="s">
        <v>57</v>
      </c>
      <c r="J3486" s="4" t="s">
        <v>8081</v>
      </c>
      <c r="K3486" s="1" t="s">
        <v>601</v>
      </c>
      <c r="L3486" s="1" t="s">
        <v>8082</v>
      </c>
      <c r="M3486" s="1" t="s">
        <v>379</v>
      </c>
      <c r="N3486" s="1" t="s">
        <v>8083</v>
      </c>
      <c r="O3486" s="1" t="s">
        <v>1010</v>
      </c>
      <c r="P3486" s="1" t="s">
        <v>401</v>
      </c>
      <c r="Q3486" s="63" t="s">
        <v>8084</v>
      </c>
      <c r="R3486" s="1" t="s">
        <v>100</v>
      </c>
      <c r="S3486" s="13" t="s">
        <v>379</v>
      </c>
      <c r="AX3486" s="44"/>
      <c r="AY3486" s="44"/>
      <c r="BC3486" s="11"/>
      <c r="BD3486" s="11"/>
      <c r="BE3486" s="11"/>
      <c r="BF3486" s="11"/>
      <c r="BG3486" s="11"/>
      <c r="BH3486" s="11"/>
      <c r="BI3486" s="11"/>
      <c r="BJ3486" s="11"/>
    </row>
    <row r="3487" spans="1:63" ht="12" customHeight="1" x14ac:dyDescent="0.15">
      <c r="A3487" s="1" t="s">
        <v>8085</v>
      </c>
      <c r="B3487" s="1">
        <v>20</v>
      </c>
      <c r="C3487" s="1" t="s">
        <v>20</v>
      </c>
      <c r="D3487" s="1" t="s">
        <v>48</v>
      </c>
      <c r="F3487" s="72">
        <v>41858</v>
      </c>
      <c r="G3487" s="1" t="s">
        <v>8086</v>
      </c>
      <c r="H3487" s="1" t="s">
        <v>8087</v>
      </c>
      <c r="I3487" s="1" t="s">
        <v>45</v>
      </c>
      <c r="J3487" s="4" t="s">
        <v>8088</v>
      </c>
      <c r="K3487" s="1" t="s">
        <v>1642</v>
      </c>
      <c r="L3487" s="1" t="s">
        <v>8089</v>
      </c>
      <c r="M3487" s="1" t="s">
        <v>27</v>
      </c>
      <c r="N3487" s="1" t="s">
        <v>8090</v>
      </c>
      <c r="O3487" s="1" t="s">
        <v>1010</v>
      </c>
      <c r="P3487" s="1" t="s">
        <v>401</v>
      </c>
      <c r="Q3487" s="63" t="s">
        <v>8091</v>
      </c>
      <c r="R3487" s="1" t="s">
        <v>29</v>
      </c>
      <c r="S3487" s="13" t="s">
        <v>28</v>
      </c>
    </row>
    <row r="3488" spans="1:63" ht="12" customHeight="1" x14ac:dyDescent="0.15">
      <c r="A3488" s="1" t="s">
        <v>8098</v>
      </c>
      <c r="B3488" s="1">
        <v>51</v>
      </c>
      <c r="C3488" s="1" t="s">
        <v>20</v>
      </c>
      <c r="D3488" s="1" t="s">
        <v>48</v>
      </c>
      <c r="E3488" s="1" t="s">
        <v>8099</v>
      </c>
      <c r="F3488" s="72">
        <v>41857</v>
      </c>
      <c r="G3488" s="1" t="s">
        <v>8100</v>
      </c>
      <c r="H3488" s="1" t="s">
        <v>8101</v>
      </c>
      <c r="I3488" s="1" t="s">
        <v>870</v>
      </c>
      <c r="J3488" s="4" t="s">
        <v>8102</v>
      </c>
      <c r="K3488" s="1" t="s">
        <v>2362</v>
      </c>
      <c r="L3488" s="1" t="s">
        <v>3582</v>
      </c>
      <c r="M3488" s="1" t="s">
        <v>27</v>
      </c>
      <c r="N3488" s="1" t="s">
        <v>8103</v>
      </c>
      <c r="O3488" s="1" t="s">
        <v>1010</v>
      </c>
      <c r="P3488" s="1" t="s">
        <v>401</v>
      </c>
      <c r="Q3488" s="63" t="s">
        <v>8104</v>
      </c>
      <c r="R3488" s="1" t="s">
        <v>100</v>
      </c>
      <c r="S3488" s="13" t="s">
        <v>379</v>
      </c>
      <c r="BK3488" s="44"/>
    </row>
    <row r="3489" spans="1:63" ht="12" customHeight="1" x14ac:dyDescent="0.15">
      <c r="A3489" s="1" t="s">
        <v>8092</v>
      </c>
      <c r="B3489" s="1">
        <v>26</v>
      </c>
      <c r="C3489" s="1" t="s">
        <v>20</v>
      </c>
      <c r="D3489" s="1" t="s">
        <v>85</v>
      </c>
      <c r="E3489" s="1" t="s">
        <v>8093</v>
      </c>
      <c r="F3489" s="72">
        <v>41857</v>
      </c>
      <c r="G3489" s="1" t="s">
        <v>8094</v>
      </c>
      <c r="H3489" s="1" t="s">
        <v>679</v>
      </c>
      <c r="I3489" s="1" t="s">
        <v>45</v>
      </c>
      <c r="J3489" s="4" t="s">
        <v>8095</v>
      </c>
      <c r="K3489" s="1" t="s">
        <v>680</v>
      </c>
      <c r="L3489" s="1" t="s">
        <v>681</v>
      </c>
      <c r="M3489" s="1" t="s">
        <v>27</v>
      </c>
      <c r="N3489" s="1" t="s">
        <v>8096</v>
      </c>
      <c r="O3489" s="1" t="s">
        <v>550</v>
      </c>
      <c r="P3489" s="1" t="s">
        <v>401</v>
      </c>
      <c r="Q3489" s="63" t="s">
        <v>8097</v>
      </c>
      <c r="R3489" s="1" t="s">
        <v>29</v>
      </c>
      <c r="S3489" s="13" t="s">
        <v>35</v>
      </c>
      <c r="AX3489" s="11"/>
      <c r="AY3489" s="11"/>
      <c r="BC3489" s="11"/>
      <c r="BD3489" s="11"/>
      <c r="BE3489" s="11"/>
      <c r="BF3489" s="11"/>
      <c r="BG3489" s="11"/>
      <c r="BH3489" s="11"/>
      <c r="BI3489" s="11"/>
      <c r="BJ3489" s="11"/>
      <c r="BK3489" s="11"/>
    </row>
    <row r="3490" spans="1:63" ht="12" customHeight="1" x14ac:dyDescent="0.15">
      <c r="A3490" s="1" t="s">
        <v>8129</v>
      </c>
      <c r="B3490" s="1">
        <v>37</v>
      </c>
      <c r="C3490" s="1" t="s">
        <v>20</v>
      </c>
      <c r="D3490" s="1" t="s">
        <v>85</v>
      </c>
      <c r="F3490" s="72">
        <v>41856</v>
      </c>
      <c r="G3490" s="1" t="s">
        <v>8130</v>
      </c>
      <c r="H3490" s="1" t="s">
        <v>547</v>
      </c>
      <c r="I3490" s="1" t="s">
        <v>69</v>
      </c>
      <c r="J3490" s="4" t="s">
        <v>8131</v>
      </c>
      <c r="K3490" s="1" t="s">
        <v>548</v>
      </c>
      <c r="L3490" s="1" t="s">
        <v>549</v>
      </c>
      <c r="M3490" s="1" t="s">
        <v>27</v>
      </c>
      <c r="N3490" s="1" t="s">
        <v>8132</v>
      </c>
      <c r="O3490" s="1" t="s">
        <v>1010</v>
      </c>
      <c r="P3490" s="1" t="s">
        <v>401</v>
      </c>
      <c r="Q3490" s="6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3490" s="1" t="s">
        <v>100</v>
      </c>
      <c r="S3490" s="13" t="s">
        <v>28</v>
      </c>
      <c r="AX3490" s="11"/>
      <c r="AY3490" s="11"/>
      <c r="BC3490" s="11"/>
      <c r="BD3490" s="11"/>
      <c r="BE3490" s="11"/>
      <c r="BF3490" s="11"/>
      <c r="BG3490" s="11"/>
      <c r="BH3490" s="11"/>
      <c r="BI3490" s="11"/>
      <c r="BJ3490" s="11"/>
    </row>
    <row r="3491" spans="1:63" ht="12" customHeight="1" x14ac:dyDescent="0.15">
      <c r="A3491" s="1" t="s">
        <v>8139</v>
      </c>
      <c r="B3491" s="1">
        <v>40</v>
      </c>
      <c r="C3491" s="1" t="s">
        <v>20</v>
      </c>
      <c r="D3491" s="1" t="s">
        <v>30</v>
      </c>
      <c r="F3491" s="72">
        <v>41856</v>
      </c>
      <c r="G3491" s="1" t="s">
        <v>8140</v>
      </c>
      <c r="H3491" s="1" t="s">
        <v>2809</v>
      </c>
      <c r="I3491" s="1" t="s">
        <v>62</v>
      </c>
      <c r="J3491" s="4" t="s">
        <v>2810</v>
      </c>
      <c r="K3491" s="1" t="s">
        <v>2811</v>
      </c>
      <c r="L3491" s="1" t="s">
        <v>8141</v>
      </c>
      <c r="M3491" s="1" t="s">
        <v>27</v>
      </c>
      <c r="N3491" s="1" t="s">
        <v>8142</v>
      </c>
      <c r="O3491" s="1" t="s">
        <v>1010</v>
      </c>
      <c r="P3491" s="1" t="s">
        <v>401</v>
      </c>
      <c r="Q3491" s="63" t="str">
        <f>HYPERLINK("http://www.newsherald.com/news/crime-public-safety/man-shot-during-standoff-dies-1.357594","http://www.newsherald.com/news/crime-public-safety/man-shot-during-standoff-dies-1.357594")</f>
        <v>http://www.newsherald.com/news/crime-public-safety/man-shot-during-standoff-dies-1.357594</v>
      </c>
      <c r="R3491" s="1" t="s">
        <v>100</v>
      </c>
      <c r="S3491" s="13" t="s">
        <v>28</v>
      </c>
    </row>
    <row r="3492" spans="1:63" ht="12" customHeight="1" x14ac:dyDescent="0.15">
      <c r="A3492" s="1" t="s">
        <v>8105</v>
      </c>
      <c r="B3492" s="1">
        <v>19</v>
      </c>
      <c r="C3492" s="1" t="s">
        <v>20</v>
      </c>
      <c r="D3492" s="1" t="s">
        <v>85</v>
      </c>
      <c r="E3492" s="1" t="s">
        <v>8106</v>
      </c>
      <c r="F3492" s="72">
        <v>41856</v>
      </c>
      <c r="G3492" s="1" t="s">
        <v>8107</v>
      </c>
      <c r="H3492" s="1" t="s">
        <v>2487</v>
      </c>
      <c r="I3492" s="1" t="s">
        <v>395</v>
      </c>
      <c r="J3492" s="4" t="s">
        <v>4152</v>
      </c>
      <c r="K3492" s="1" t="s">
        <v>2487</v>
      </c>
      <c r="L3492" s="1" t="s">
        <v>3379</v>
      </c>
      <c r="M3492" s="1" t="s">
        <v>27</v>
      </c>
      <c r="N3492" s="1" t="s">
        <v>8108</v>
      </c>
      <c r="O3492" s="1" t="s">
        <v>29638</v>
      </c>
      <c r="P3492" s="1" t="s">
        <v>29639</v>
      </c>
      <c r="Q3492" s="63" t="s">
        <v>8109</v>
      </c>
      <c r="R3492" s="1" t="s">
        <v>100</v>
      </c>
      <c r="S3492" s="13" t="s">
        <v>18</v>
      </c>
      <c r="AX3492" s="11"/>
      <c r="AY3492" s="11"/>
      <c r="BC3492" s="11"/>
      <c r="BD3492" s="11"/>
      <c r="BE3492" s="11"/>
      <c r="BF3492" s="11"/>
      <c r="BG3492" s="11"/>
      <c r="BH3492" s="11"/>
      <c r="BI3492" s="11"/>
      <c r="BJ3492" s="11"/>
    </row>
    <row r="3493" spans="1:63" ht="12" customHeight="1" x14ac:dyDescent="0.15">
      <c r="A3493" s="1" t="s">
        <v>8118</v>
      </c>
      <c r="B3493" s="1">
        <v>38</v>
      </c>
      <c r="C3493" s="1" t="s">
        <v>20</v>
      </c>
      <c r="D3493" s="1" t="s">
        <v>85</v>
      </c>
      <c r="E3493" s="1" t="s">
        <v>8119</v>
      </c>
      <c r="F3493" s="72">
        <v>41856</v>
      </c>
      <c r="G3493" s="1" t="s">
        <v>8120</v>
      </c>
      <c r="H3493" s="1" t="s">
        <v>1592</v>
      </c>
      <c r="I3493" s="1" t="s">
        <v>52</v>
      </c>
      <c r="J3493" s="4" t="s">
        <v>4696</v>
      </c>
      <c r="K3493" s="1" t="s">
        <v>4697</v>
      </c>
      <c r="L3493" s="1" t="s">
        <v>2770</v>
      </c>
      <c r="M3493" s="1" t="s">
        <v>27</v>
      </c>
      <c r="N3493" s="1" t="s">
        <v>8121</v>
      </c>
      <c r="P3493" s="1" t="s">
        <v>401</v>
      </c>
      <c r="Q3493" s="63" t="s">
        <v>8122</v>
      </c>
      <c r="R3493" s="1" t="s">
        <v>100</v>
      </c>
      <c r="S3493" s="13" t="s">
        <v>18</v>
      </c>
      <c r="AX3493" s="11"/>
      <c r="AY3493" s="11"/>
      <c r="BC3493" s="11"/>
      <c r="BD3493" s="11"/>
      <c r="BE3493" s="11"/>
      <c r="BF3493" s="11"/>
      <c r="BG3493" s="11"/>
      <c r="BH3493" s="11"/>
      <c r="BI3493" s="11"/>
      <c r="BJ3493" s="11"/>
    </row>
    <row r="3494" spans="1:63" ht="12" customHeight="1" x14ac:dyDescent="0.15">
      <c r="A3494" s="1" t="s">
        <v>8110</v>
      </c>
      <c r="B3494" s="1">
        <v>22</v>
      </c>
      <c r="C3494" s="1" t="s">
        <v>20</v>
      </c>
      <c r="D3494" s="1" t="s">
        <v>85</v>
      </c>
      <c r="E3494" s="1" t="s">
        <v>8111</v>
      </c>
      <c r="F3494" s="72">
        <v>41856</v>
      </c>
      <c r="G3494" s="1" t="s">
        <v>8112</v>
      </c>
      <c r="H3494" s="1" t="s">
        <v>8113</v>
      </c>
      <c r="I3494" s="1" t="s">
        <v>69</v>
      </c>
      <c r="J3494" s="4" t="s">
        <v>8114</v>
      </c>
      <c r="K3494" s="1" t="s">
        <v>4946</v>
      </c>
      <c r="L3494" s="1" t="s">
        <v>8115</v>
      </c>
      <c r="M3494" s="1" t="s">
        <v>27</v>
      </c>
      <c r="N3494" s="1" t="s">
        <v>8116</v>
      </c>
      <c r="O3494" s="1" t="s">
        <v>550</v>
      </c>
      <c r="P3494" s="1" t="s">
        <v>401</v>
      </c>
      <c r="Q3494" s="63" t="s">
        <v>8117</v>
      </c>
      <c r="R3494" s="1" t="s">
        <v>100</v>
      </c>
      <c r="S3494" s="13" t="s">
        <v>18</v>
      </c>
      <c r="AX3494" s="11"/>
      <c r="AY3494" s="11"/>
      <c r="BC3494" s="11"/>
      <c r="BD3494" s="11"/>
      <c r="BE3494" s="11"/>
      <c r="BF3494" s="11"/>
      <c r="BG3494" s="11"/>
      <c r="BH3494" s="11"/>
      <c r="BI3494" s="11"/>
      <c r="BJ3494" s="11"/>
    </row>
    <row r="3495" spans="1:63" ht="12" customHeight="1" x14ac:dyDescent="0.15">
      <c r="A3495" s="1" t="s">
        <v>8133</v>
      </c>
      <c r="B3495" s="1">
        <v>55</v>
      </c>
      <c r="C3495" s="1" t="s">
        <v>20</v>
      </c>
      <c r="D3495" s="1" t="s">
        <v>30</v>
      </c>
      <c r="F3495" s="72">
        <v>41856</v>
      </c>
      <c r="G3495" s="1" t="s">
        <v>8134</v>
      </c>
      <c r="H3495" s="1" t="s">
        <v>6567</v>
      </c>
      <c r="I3495" s="1" t="s">
        <v>244</v>
      </c>
      <c r="J3495" s="4" t="s">
        <v>8135</v>
      </c>
      <c r="K3495" s="1" t="s">
        <v>118</v>
      </c>
      <c r="L3495" s="1" t="s">
        <v>8136</v>
      </c>
      <c r="M3495" s="1" t="s">
        <v>27</v>
      </c>
      <c r="N3495" s="1" t="s">
        <v>8137</v>
      </c>
      <c r="O3495" s="1" t="s">
        <v>550</v>
      </c>
      <c r="P3495" s="1" t="s">
        <v>401</v>
      </c>
      <c r="Q3495" s="63" t="s">
        <v>8138</v>
      </c>
      <c r="R3495" s="1" t="s">
        <v>29</v>
      </c>
      <c r="S3495" s="13" t="s">
        <v>28</v>
      </c>
    </row>
    <row r="3496" spans="1:63" ht="12" customHeight="1" x14ac:dyDescent="0.15">
      <c r="A3496" s="1" t="s">
        <v>8123</v>
      </c>
      <c r="B3496" s="1">
        <v>35</v>
      </c>
      <c r="C3496" s="1" t="s">
        <v>20</v>
      </c>
      <c r="D3496" s="1" t="s">
        <v>85</v>
      </c>
      <c r="E3496" s="1" t="s">
        <v>8124</v>
      </c>
      <c r="F3496" s="72">
        <v>41856</v>
      </c>
      <c r="G3496" s="1" t="s">
        <v>8125</v>
      </c>
      <c r="H3496" s="1" t="s">
        <v>8126</v>
      </c>
      <c r="I3496" s="1" t="s">
        <v>62</v>
      </c>
      <c r="J3496" s="4" t="s">
        <v>8127</v>
      </c>
      <c r="K3496" s="1" t="s">
        <v>161</v>
      </c>
      <c r="L3496" s="1" t="s">
        <v>162</v>
      </c>
      <c r="M3496" s="1" t="s">
        <v>27</v>
      </c>
      <c r="N3496" s="1" t="s">
        <v>8128</v>
      </c>
      <c r="O3496" s="1" t="s">
        <v>1010</v>
      </c>
      <c r="P3496" s="1" t="s">
        <v>401</v>
      </c>
      <c r="Q3496" s="63" t="str">
        <f>HYPERLINK("http://www.local10.com/news/1-killed-in-policeinvolved-shooting-in-miami-springs/26847256","http://www.local10.com/news/1-killed-in-policeinvolved-shooting-in-miami-springs/26847256")</f>
        <v>http://www.local10.com/news/1-killed-in-policeinvolved-shooting-in-miami-springs/26847256</v>
      </c>
      <c r="R3496" s="1" t="s">
        <v>29</v>
      </c>
      <c r="S3496" s="13" t="s">
        <v>18</v>
      </c>
      <c r="AX3496" s="11"/>
      <c r="AY3496" s="11"/>
      <c r="BC3496" s="11"/>
      <c r="BD3496" s="11"/>
      <c r="BE3496" s="11"/>
      <c r="BF3496" s="11"/>
      <c r="BG3496" s="11"/>
      <c r="BH3496" s="11"/>
      <c r="BI3496" s="11"/>
      <c r="BJ3496" s="11"/>
    </row>
    <row r="3497" spans="1:63" ht="12" customHeight="1" x14ac:dyDescent="0.2">
      <c r="A3497" s="1" t="s">
        <v>8143</v>
      </c>
      <c r="B3497" s="1">
        <v>17</v>
      </c>
      <c r="C3497" s="1" t="s">
        <v>20</v>
      </c>
      <c r="D3497" s="1" t="s">
        <v>85</v>
      </c>
      <c r="E3497" s="1" t="s">
        <v>8144</v>
      </c>
      <c r="F3497" s="72">
        <v>41855</v>
      </c>
      <c r="G3497" s="1" t="s">
        <v>8145</v>
      </c>
      <c r="H3497" s="1" t="s">
        <v>118</v>
      </c>
      <c r="I3497" s="1" t="s">
        <v>3664</v>
      </c>
      <c r="J3497" s="4" t="s">
        <v>8146</v>
      </c>
      <c r="K3497" s="1" t="s">
        <v>3666</v>
      </c>
      <c r="L3497" s="1" t="s">
        <v>19405</v>
      </c>
      <c r="M3497" s="1" t="s">
        <v>379</v>
      </c>
      <c r="N3497" s="1" t="s">
        <v>8147</v>
      </c>
      <c r="O3497" s="1" t="s">
        <v>1010</v>
      </c>
      <c r="P3497" s="1" t="s">
        <v>401</v>
      </c>
      <c r="Q3497" s="63" t="s">
        <v>8148</v>
      </c>
      <c r="R3497" s="1" t="s">
        <v>100</v>
      </c>
      <c r="S3497" s="13" t="s">
        <v>18</v>
      </c>
      <c r="AX3497" s="44"/>
      <c r="AY3497" s="44"/>
      <c r="BC3497" s="11"/>
      <c r="BD3497" s="11"/>
      <c r="BE3497" s="11"/>
      <c r="BF3497" s="11"/>
      <c r="BG3497" s="11"/>
      <c r="BH3497" s="11"/>
      <c r="BI3497" s="11"/>
      <c r="BJ3497" s="11"/>
      <c r="BK3497" s="70"/>
    </row>
    <row r="3498" spans="1:63" ht="12" customHeight="1" x14ac:dyDescent="0.15">
      <c r="A3498" s="1" t="s">
        <v>8149</v>
      </c>
      <c r="B3498" s="1">
        <v>28</v>
      </c>
      <c r="C3498" s="1" t="s">
        <v>20</v>
      </c>
      <c r="D3498" s="1" t="s">
        <v>48</v>
      </c>
      <c r="E3498" s="1" t="s">
        <v>8150</v>
      </c>
      <c r="F3498" s="72">
        <v>41855</v>
      </c>
      <c r="G3498" s="1" t="s">
        <v>8151</v>
      </c>
      <c r="H3498" s="1" t="s">
        <v>922</v>
      </c>
      <c r="I3498" s="1" t="s">
        <v>195</v>
      </c>
      <c r="J3498" s="4" t="s">
        <v>5423</v>
      </c>
      <c r="K3498" s="1" t="s">
        <v>467</v>
      </c>
      <c r="L3498" s="1" t="s">
        <v>8152</v>
      </c>
      <c r="M3498" s="1" t="s">
        <v>27</v>
      </c>
      <c r="N3498" s="1" t="s">
        <v>8153</v>
      </c>
      <c r="O3498" s="1" t="s">
        <v>1010</v>
      </c>
      <c r="P3498" s="1" t="s">
        <v>401</v>
      </c>
      <c r="Q3498" s="63" t="s">
        <v>8154</v>
      </c>
      <c r="R3498" s="1" t="s">
        <v>100</v>
      </c>
      <c r="S3498" s="13" t="s">
        <v>379</v>
      </c>
      <c r="BK3498" s="44"/>
    </row>
    <row r="3499" spans="1:63" ht="12" customHeight="1" x14ac:dyDescent="0.2">
      <c r="A3499" s="1" t="s">
        <v>8155</v>
      </c>
      <c r="B3499" s="1">
        <v>20</v>
      </c>
      <c r="C3499" s="1" t="s">
        <v>20</v>
      </c>
      <c r="D3499" s="1" t="s">
        <v>21</v>
      </c>
      <c r="F3499" s="72">
        <v>41854</v>
      </c>
      <c r="G3499" s="1" t="s">
        <v>8156</v>
      </c>
      <c r="H3499" s="1" t="s">
        <v>3592</v>
      </c>
      <c r="I3499" s="1" t="s">
        <v>133</v>
      </c>
      <c r="J3499" s="4" t="s">
        <v>8157</v>
      </c>
      <c r="K3499" s="1" t="s">
        <v>3594</v>
      </c>
      <c r="L3499" s="1" t="s">
        <v>4914</v>
      </c>
      <c r="M3499" s="1" t="s">
        <v>27</v>
      </c>
      <c r="N3499" s="1" t="s">
        <v>8158</v>
      </c>
      <c r="O3499" s="1" t="s">
        <v>1010</v>
      </c>
      <c r="P3499" s="1" t="s">
        <v>401</v>
      </c>
      <c r="Q3499" s="63" t="s">
        <v>8159</v>
      </c>
      <c r="R3499" s="1" t="s">
        <v>100</v>
      </c>
      <c r="S3499" s="13" t="s">
        <v>28</v>
      </c>
      <c r="AX3499" s="70"/>
      <c r="AY3499" s="70"/>
      <c r="BC3499" s="70"/>
      <c r="BD3499" s="70"/>
      <c r="BE3499" s="70"/>
      <c r="BF3499" s="70"/>
      <c r="BG3499" s="70"/>
      <c r="BH3499" s="70"/>
      <c r="BI3499" s="70"/>
      <c r="BJ3499" s="70"/>
    </row>
    <row r="3500" spans="1:63" ht="12" customHeight="1" x14ac:dyDescent="0.15">
      <c r="A3500" s="1" t="s">
        <v>8169</v>
      </c>
      <c r="B3500" s="1">
        <v>27</v>
      </c>
      <c r="C3500" s="1" t="s">
        <v>20</v>
      </c>
      <c r="D3500" s="1" t="s">
        <v>37</v>
      </c>
      <c r="E3500" s="1" t="s">
        <v>8170</v>
      </c>
      <c r="F3500" s="72">
        <v>41854</v>
      </c>
      <c r="G3500" s="1" t="s">
        <v>8171</v>
      </c>
      <c r="H3500" s="1" t="s">
        <v>8172</v>
      </c>
      <c r="I3500" s="1" t="s">
        <v>370</v>
      </c>
      <c r="J3500" s="4" t="s">
        <v>8173</v>
      </c>
      <c r="K3500" s="1" t="s">
        <v>5538</v>
      </c>
      <c r="L3500" s="1" t="s">
        <v>8174</v>
      </c>
      <c r="M3500" s="1" t="s">
        <v>27</v>
      </c>
      <c r="N3500" s="1" t="s">
        <v>8175</v>
      </c>
      <c r="O3500" s="1" t="s">
        <v>1010</v>
      </c>
      <c r="P3500" s="1" t="s">
        <v>401</v>
      </c>
      <c r="Q3500" s="63" t="s">
        <v>8176</v>
      </c>
      <c r="R3500" s="1" t="s">
        <v>100</v>
      </c>
      <c r="S3500" s="13" t="s">
        <v>28</v>
      </c>
    </row>
    <row r="3501" spans="1:63" ht="12" customHeight="1" x14ac:dyDescent="0.15">
      <c r="A3501" s="1" t="s">
        <v>8187</v>
      </c>
      <c r="B3501" s="1">
        <v>49</v>
      </c>
      <c r="C3501" s="1" t="s">
        <v>20</v>
      </c>
      <c r="D3501" s="1" t="s">
        <v>37</v>
      </c>
      <c r="E3501" s="1" t="s">
        <v>8188</v>
      </c>
      <c r="F3501" s="72">
        <v>41854</v>
      </c>
      <c r="G3501" s="1" t="s">
        <v>8189</v>
      </c>
      <c r="H3501" s="1" t="s">
        <v>8190</v>
      </c>
      <c r="I3501" s="1" t="s">
        <v>4371</v>
      </c>
      <c r="J3501" s="4" t="s">
        <v>8191</v>
      </c>
      <c r="K3501" s="1" t="s">
        <v>6987</v>
      </c>
      <c r="L3501" s="1" t="s">
        <v>4374</v>
      </c>
      <c r="M3501" s="1" t="s">
        <v>27</v>
      </c>
      <c r="N3501" s="1" t="s">
        <v>8192</v>
      </c>
      <c r="O3501" s="1" t="s">
        <v>1010</v>
      </c>
      <c r="P3501" s="1" t="s">
        <v>401</v>
      </c>
      <c r="Q3501" s="6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3501" s="1" t="s">
        <v>100</v>
      </c>
      <c r="S3501" s="13" t="s">
        <v>28</v>
      </c>
    </row>
    <row r="3502" spans="1:63" ht="12" customHeight="1" x14ac:dyDescent="0.15">
      <c r="A3502" s="1" t="s">
        <v>8160</v>
      </c>
      <c r="B3502" s="1">
        <v>23</v>
      </c>
      <c r="C3502" s="1" t="s">
        <v>20</v>
      </c>
      <c r="D3502" s="1" t="s">
        <v>85</v>
      </c>
      <c r="E3502" s="1" t="s">
        <v>8161</v>
      </c>
      <c r="F3502" s="72">
        <v>41854</v>
      </c>
      <c r="G3502" s="1" t="s">
        <v>8162</v>
      </c>
      <c r="H3502" s="1" t="s">
        <v>601</v>
      </c>
      <c r="I3502" s="1" t="s">
        <v>45</v>
      </c>
      <c r="J3502" s="4" t="s">
        <v>5593</v>
      </c>
      <c r="K3502" s="1" t="s">
        <v>602</v>
      </c>
      <c r="L3502" s="1" t="s">
        <v>249</v>
      </c>
      <c r="M3502" s="1" t="s">
        <v>27</v>
      </c>
      <c r="N3502" s="1" t="s">
        <v>8163</v>
      </c>
      <c r="O3502" s="1" t="s">
        <v>1010</v>
      </c>
      <c r="P3502" s="1" t="s">
        <v>401</v>
      </c>
      <c r="Q3502" s="63" t="s">
        <v>20994</v>
      </c>
      <c r="R3502" s="1" t="s">
        <v>100</v>
      </c>
      <c r="S3502" s="13" t="s">
        <v>18</v>
      </c>
      <c r="AX3502" s="11"/>
      <c r="AY3502" s="11"/>
      <c r="BC3502" s="11"/>
      <c r="BD3502" s="11"/>
      <c r="BE3502" s="11"/>
      <c r="BF3502" s="11"/>
      <c r="BG3502" s="11"/>
      <c r="BH3502" s="11"/>
      <c r="BI3502" s="11"/>
      <c r="BJ3502" s="11"/>
    </row>
    <row r="3503" spans="1:63" ht="12" customHeight="1" x14ac:dyDescent="0.15">
      <c r="A3503" s="1" t="s">
        <v>8177</v>
      </c>
      <c r="B3503" s="1">
        <v>19</v>
      </c>
      <c r="C3503" s="1" t="s">
        <v>20</v>
      </c>
      <c r="D3503" s="1" t="s">
        <v>37</v>
      </c>
      <c r="E3503" s="1" t="str">
        <f>HYPERLINK("http://ak-cache.legacy.net/legacy/Images/Cobrands/DignityMemorial/Photos/0cde69ec-edda-421b-b501-5eebbf9d5797.jpg","http://ak-cache.legacy.net/legacy/Images/Cobrands/DignityMemorial/Photos/0cde69ec-edda-421b-b501-5eebbf9d5797.jpg")</f>
        <v>http://ak-cache.legacy.net/legacy/Images/Cobrands/DignityMemorial/Photos/0cde69ec-edda-421b-b501-5eebbf9d5797.jpg</v>
      </c>
      <c r="F3503" s="72">
        <v>41854</v>
      </c>
      <c r="G3503" s="1" t="s">
        <v>8178</v>
      </c>
      <c r="H3503" s="1" t="s">
        <v>651</v>
      </c>
      <c r="I3503" s="1" t="s">
        <v>62</v>
      </c>
      <c r="J3503" s="4" t="s">
        <v>8179</v>
      </c>
      <c r="K3503" s="1" t="s">
        <v>652</v>
      </c>
      <c r="L3503" s="11" t="s">
        <v>653</v>
      </c>
      <c r="M3503" s="1" t="s">
        <v>379</v>
      </c>
      <c r="N3503" s="1" t="s">
        <v>8180</v>
      </c>
      <c r="O3503" s="1" t="s">
        <v>1010</v>
      </c>
      <c r="P3503" s="1" t="s">
        <v>401</v>
      </c>
      <c r="Q3503" s="63" t="s">
        <v>8181</v>
      </c>
      <c r="R3503" s="1" t="s">
        <v>100</v>
      </c>
      <c r="S3503" s="13" t="s">
        <v>379</v>
      </c>
    </row>
    <row r="3504" spans="1:63" ht="12" customHeight="1" x14ac:dyDescent="0.15">
      <c r="A3504" s="1" t="s">
        <v>8164</v>
      </c>
      <c r="B3504" s="1">
        <v>42</v>
      </c>
      <c r="C3504" s="1" t="s">
        <v>114</v>
      </c>
      <c r="D3504" s="1" t="s">
        <v>48</v>
      </c>
      <c r="E3504" s="1" t="s">
        <v>8165</v>
      </c>
      <c r="F3504" s="72">
        <v>41854</v>
      </c>
      <c r="G3504" s="1" t="s">
        <v>8166</v>
      </c>
      <c r="H3504" s="1" t="s">
        <v>679</v>
      </c>
      <c r="I3504" s="1" t="s">
        <v>45</v>
      </c>
      <c r="J3504" s="4" t="s">
        <v>8095</v>
      </c>
      <c r="K3504" s="1" t="s">
        <v>680</v>
      </c>
      <c r="L3504" s="1" t="s">
        <v>747</v>
      </c>
      <c r="M3504" s="1" t="s">
        <v>27</v>
      </c>
      <c r="N3504" s="1" t="s">
        <v>8167</v>
      </c>
      <c r="P3504" s="1" t="s">
        <v>401</v>
      </c>
      <c r="Q3504" s="63" t="s">
        <v>8168</v>
      </c>
      <c r="R3504" s="1" t="s">
        <v>29</v>
      </c>
      <c r="S3504" s="13" t="s">
        <v>18</v>
      </c>
    </row>
    <row r="3505" spans="1:63" ht="12" customHeight="1" x14ac:dyDescent="0.15">
      <c r="A3505" s="1" t="s">
        <v>8182</v>
      </c>
      <c r="B3505" s="1">
        <v>49</v>
      </c>
      <c r="C3505" s="1" t="s">
        <v>20</v>
      </c>
      <c r="D3505" s="1" t="s">
        <v>37</v>
      </c>
      <c r="E3505" s="1" t="s">
        <v>8183</v>
      </c>
      <c r="F3505" s="72">
        <v>41854</v>
      </c>
      <c r="G3505" s="1" t="s">
        <v>8184</v>
      </c>
      <c r="H3505" s="1" t="s">
        <v>723</v>
      </c>
      <c r="I3505" s="1" t="s">
        <v>73</v>
      </c>
      <c r="J3505" s="4">
        <v>77041</v>
      </c>
      <c r="K3505" s="1" t="s">
        <v>558</v>
      </c>
      <c r="L3505" s="1" t="s">
        <v>559</v>
      </c>
      <c r="M3505" s="1" t="s">
        <v>27</v>
      </c>
      <c r="N3505" s="1" t="s">
        <v>8185</v>
      </c>
      <c r="O3505" s="1" t="s">
        <v>1010</v>
      </c>
      <c r="P3505" s="1" t="s">
        <v>401</v>
      </c>
      <c r="Q3505" s="63" t="s">
        <v>8186</v>
      </c>
      <c r="R3505" s="1" t="s">
        <v>29</v>
      </c>
      <c r="S3505" s="13" t="s">
        <v>28</v>
      </c>
    </row>
    <row r="3506" spans="1:63" ht="12" customHeight="1" x14ac:dyDescent="0.15">
      <c r="A3506" s="1" t="s">
        <v>8205</v>
      </c>
      <c r="B3506" s="1">
        <v>23</v>
      </c>
      <c r="C3506" s="1" t="s">
        <v>20</v>
      </c>
      <c r="D3506" s="1" t="s">
        <v>48</v>
      </c>
      <c r="F3506" s="72">
        <v>41853</v>
      </c>
      <c r="G3506" s="1" t="s">
        <v>8206</v>
      </c>
      <c r="H3506" s="1" t="s">
        <v>632</v>
      </c>
      <c r="I3506" s="1" t="s">
        <v>123</v>
      </c>
      <c r="J3506" s="4" t="s">
        <v>6168</v>
      </c>
      <c r="K3506" s="1" t="s">
        <v>633</v>
      </c>
      <c r="L3506" s="1" t="s">
        <v>634</v>
      </c>
      <c r="M3506" s="1" t="s">
        <v>27</v>
      </c>
      <c r="N3506" s="1" t="s">
        <v>8207</v>
      </c>
      <c r="O3506" s="1" t="s">
        <v>1010</v>
      </c>
      <c r="P3506" s="1" t="s">
        <v>401</v>
      </c>
      <c r="Q3506" s="63" t="s">
        <v>8208</v>
      </c>
      <c r="R3506" s="1" t="s">
        <v>100</v>
      </c>
      <c r="S3506" s="13" t="s">
        <v>28</v>
      </c>
    </row>
    <row r="3507" spans="1:63" ht="12" customHeight="1" x14ac:dyDescent="0.15">
      <c r="A3507" s="1" t="s">
        <v>8198</v>
      </c>
      <c r="B3507" s="1">
        <v>24</v>
      </c>
      <c r="C3507" s="1" t="s">
        <v>20</v>
      </c>
      <c r="D3507" s="1" t="s">
        <v>48</v>
      </c>
      <c r="E3507" s="1" t="s">
        <v>8199</v>
      </c>
      <c r="F3507" s="72">
        <v>41853</v>
      </c>
      <c r="G3507" s="1" t="s">
        <v>8200</v>
      </c>
      <c r="H3507" s="1" t="s">
        <v>8201</v>
      </c>
      <c r="I3507" s="1" t="s">
        <v>45</v>
      </c>
      <c r="J3507" s="4" t="s">
        <v>8202</v>
      </c>
      <c r="K3507" s="1" t="s">
        <v>98</v>
      </c>
      <c r="L3507" s="11" t="s">
        <v>414</v>
      </c>
      <c r="M3507" s="1" t="s">
        <v>27</v>
      </c>
      <c r="N3507" s="1" t="s">
        <v>8203</v>
      </c>
      <c r="O3507" s="1" t="s">
        <v>1010</v>
      </c>
      <c r="P3507" s="1" t="s">
        <v>401</v>
      </c>
      <c r="Q3507" s="63" t="s">
        <v>8204</v>
      </c>
      <c r="R3507" s="1" t="s">
        <v>100</v>
      </c>
      <c r="S3507" s="13" t="s">
        <v>28</v>
      </c>
    </row>
    <row r="3508" spans="1:63" ht="12" customHeight="1" x14ac:dyDescent="0.15">
      <c r="A3508" s="1" t="s">
        <v>8217</v>
      </c>
      <c r="B3508" s="1">
        <v>40</v>
      </c>
      <c r="C3508" s="1" t="s">
        <v>20</v>
      </c>
      <c r="D3508" s="1" t="s">
        <v>37</v>
      </c>
      <c r="F3508" s="72">
        <v>41853</v>
      </c>
      <c r="G3508" s="1" t="s">
        <v>8218</v>
      </c>
      <c r="H3508" s="1" t="s">
        <v>1760</v>
      </c>
      <c r="I3508" s="1" t="s">
        <v>45</v>
      </c>
      <c r="J3508" s="4" t="s">
        <v>8219</v>
      </c>
      <c r="K3508" s="1" t="s">
        <v>1762</v>
      </c>
      <c r="L3508" s="1" t="s">
        <v>957</v>
      </c>
      <c r="M3508" s="1" t="s">
        <v>27</v>
      </c>
      <c r="N3508" s="1" t="s">
        <v>8220</v>
      </c>
      <c r="O3508" s="1" t="s">
        <v>1010</v>
      </c>
      <c r="P3508" s="1" t="s">
        <v>401</v>
      </c>
      <c r="Q3508" s="63" t="s">
        <v>8221</v>
      </c>
      <c r="R3508" s="1" t="s">
        <v>100</v>
      </c>
      <c r="S3508" s="13" t="s">
        <v>28</v>
      </c>
    </row>
    <row r="3509" spans="1:63" ht="12" customHeight="1" x14ac:dyDescent="0.2">
      <c r="A3509" s="1" t="s">
        <v>8193</v>
      </c>
      <c r="B3509" s="1">
        <v>37</v>
      </c>
      <c r="C3509" s="1" t="s">
        <v>20</v>
      </c>
      <c r="D3509" s="1" t="s">
        <v>48</v>
      </c>
      <c r="E3509" s="1" t="s">
        <v>8194</v>
      </c>
      <c r="F3509" s="72">
        <v>41853</v>
      </c>
      <c r="G3509" s="1" t="s">
        <v>8195</v>
      </c>
      <c r="H3509" s="1" t="s">
        <v>98</v>
      </c>
      <c r="I3509" s="1" t="s">
        <v>45</v>
      </c>
      <c r="J3509" s="4" t="s">
        <v>7945</v>
      </c>
      <c r="K3509" s="1" t="s">
        <v>98</v>
      </c>
      <c r="L3509" s="1" t="s">
        <v>99</v>
      </c>
      <c r="M3509" s="1" t="s">
        <v>3154</v>
      </c>
      <c r="N3509" s="1" t="s">
        <v>8196</v>
      </c>
      <c r="O3509" s="1" t="s">
        <v>400</v>
      </c>
      <c r="P3509" s="1" t="s">
        <v>401</v>
      </c>
      <c r="Q3509" s="63" t="s">
        <v>8197</v>
      </c>
      <c r="R3509" s="1" t="s">
        <v>555</v>
      </c>
      <c r="S3509" s="13" t="s">
        <v>18</v>
      </c>
      <c r="AT3509" s="70"/>
      <c r="AU3509" s="70"/>
      <c r="AV3509" s="70"/>
      <c r="AZ3509" s="11"/>
      <c r="BA3509" s="11"/>
      <c r="BK3509" s="78"/>
    </row>
    <row r="3510" spans="1:63" ht="12" customHeight="1" x14ac:dyDescent="0.15">
      <c r="A3510" s="1" t="s">
        <v>8209</v>
      </c>
      <c r="B3510" s="1">
        <v>28</v>
      </c>
      <c r="C3510" s="1" t="s">
        <v>20</v>
      </c>
      <c r="D3510" s="1" t="s">
        <v>48</v>
      </c>
      <c r="F3510" s="72">
        <v>41853</v>
      </c>
      <c r="G3510" s="1" t="s">
        <v>8210</v>
      </c>
      <c r="H3510" s="1" t="s">
        <v>8211</v>
      </c>
      <c r="I3510" s="1" t="s">
        <v>123</v>
      </c>
      <c r="J3510" s="4" t="s">
        <v>8212</v>
      </c>
      <c r="K3510" s="1" t="s">
        <v>8213</v>
      </c>
      <c r="L3510" s="1" t="s">
        <v>8214</v>
      </c>
      <c r="M3510" s="1" t="s">
        <v>27</v>
      </c>
      <c r="N3510" s="1" t="s">
        <v>8215</v>
      </c>
      <c r="O3510" s="1" t="s">
        <v>1010</v>
      </c>
      <c r="P3510" s="1" t="s">
        <v>401</v>
      </c>
      <c r="Q3510" s="63" t="s">
        <v>8216</v>
      </c>
      <c r="R3510" s="1" t="s">
        <v>29</v>
      </c>
      <c r="S3510" s="13" t="s">
        <v>28</v>
      </c>
    </row>
    <row r="3511" spans="1:63" ht="12" customHeight="1" x14ac:dyDescent="0.15">
      <c r="A3511" s="1" t="s">
        <v>8222</v>
      </c>
      <c r="B3511" s="1">
        <v>27</v>
      </c>
      <c r="C3511" s="1" t="s">
        <v>20</v>
      </c>
      <c r="D3511" s="1" t="s">
        <v>85</v>
      </c>
      <c r="F3511" s="72">
        <v>41852</v>
      </c>
      <c r="G3511" s="1" t="s">
        <v>8223</v>
      </c>
      <c r="H3511" s="1" t="s">
        <v>8224</v>
      </c>
      <c r="I3511" s="1" t="s">
        <v>173</v>
      </c>
      <c r="J3511" s="4" t="s">
        <v>8225</v>
      </c>
      <c r="K3511" s="1" t="s">
        <v>1556</v>
      </c>
      <c r="L3511" s="1" t="s">
        <v>8226</v>
      </c>
      <c r="M3511" s="1" t="s">
        <v>27</v>
      </c>
      <c r="N3511" s="1" t="s">
        <v>8227</v>
      </c>
      <c r="O3511" s="1" t="s">
        <v>1010</v>
      </c>
      <c r="P3511" s="1" t="s">
        <v>401</v>
      </c>
      <c r="Q3511" s="63" t="str">
        <f>HYPERLINK("http://www.ajc.com/news/news/police-investigating-shooting-in-east-point/ngsX4/","http://www.ajc.com/news/news/police-investigating-shooting-in-east-point/ngsX4/")</f>
        <v>http://www.ajc.com/news/news/police-investigating-shooting-in-east-point/ngsX4/</v>
      </c>
      <c r="R3511" s="1" t="s">
        <v>100</v>
      </c>
      <c r="S3511" s="13" t="s">
        <v>28</v>
      </c>
      <c r="AX3511" s="11"/>
      <c r="AY3511" s="11"/>
      <c r="BC3511" s="11"/>
      <c r="BD3511" s="11"/>
      <c r="BE3511" s="11"/>
      <c r="BF3511" s="11"/>
      <c r="BG3511" s="11"/>
      <c r="BH3511" s="11"/>
      <c r="BI3511" s="11"/>
      <c r="BJ3511" s="11"/>
    </row>
    <row r="3512" spans="1:63" ht="12" customHeight="1" x14ac:dyDescent="0.15">
      <c r="A3512" s="1" t="s">
        <v>8239</v>
      </c>
      <c r="B3512" s="1">
        <v>54</v>
      </c>
      <c r="C3512" s="1" t="s">
        <v>20</v>
      </c>
      <c r="D3512" s="1" t="s">
        <v>48</v>
      </c>
      <c r="F3512" s="72">
        <v>41852</v>
      </c>
      <c r="G3512" s="1" t="s">
        <v>8240</v>
      </c>
      <c r="H3512" s="1" t="s">
        <v>493</v>
      </c>
      <c r="I3512" s="1" t="s">
        <v>366</v>
      </c>
      <c r="J3512" s="4" t="s">
        <v>8241</v>
      </c>
      <c r="K3512" s="1" t="s">
        <v>493</v>
      </c>
      <c r="L3512" s="1" t="s">
        <v>495</v>
      </c>
      <c r="M3512" s="1" t="s">
        <v>379</v>
      </c>
      <c r="N3512" s="1" t="s">
        <v>8242</v>
      </c>
      <c r="O3512" s="1" t="s">
        <v>1010</v>
      </c>
      <c r="P3512" s="1" t="s">
        <v>401</v>
      </c>
      <c r="Q3512" s="63" t="s">
        <v>8243</v>
      </c>
      <c r="R3512" s="1" t="s">
        <v>100</v>
      </c>
      <c r="S3512" s="13" t="s">
        <v>28</v>
      </c>
    </row>
    <row r="3513" spans="1:63" ht="12" customHeight="1" x14ac:dyDescent="0.15">
      <c r="A3513" s="1" t="s">
        <v>3252</v>
      </c>
      <c r="B3513" s="1">
        <v>41</v>
      </c>
      <c r="C3513" s="1" t="s">
        <v>20</v>
      </c>
      <c r="D3513" s="1" t="s">
        <v>30</v>
      </c>
      <c r="F3513" s="72">
        <v>41852</v>
      </c>
      <c r="G3513" s="1" t="s">
        <v>8244</v>
      </c>
      <c r="H3513" s="1" t="s">
        <v>1100</v>
      </c>
      <c r="I3513" s="1" t="s">
        <v>404</v>
      </c>
      <c r="J3513" s="4" t="s">
        <v>8245</v>
      </c>
      <c r="K3513" s="1" t="s">
        <v>1100</v>
      </c>
      <c r="L3513" s="1" t="s">
        <v>1101</v>
      </c>
      <c r="M3513" s="1" t="s">
        <v>27</v>
      </c>
      <c r="N3513" s="1" t="s">
        <v>8246</v>
      </c>
      <c r="O3513" s="1" t="s">
        <v>1010</v>
      </c>
      <c r="P3513" s="1" t="s">
        <v>401</v>
      </c>
      <c r="Q3513" s="63" t="s">
        <v>8247</v>
      </c>
      <c r="R3513" s="1" t="s">
        <v>100</v>
      </c>
      <c r="S3513" s="13" t="s">
        <v>28</v>
      </c>
    </row>
    <row r="3514" spans="1:63" ht="12" customHeight="1" x14ac:dyDescent="0.15">
      <c r="A3514" s="1" t="s">
        <v>8235</v>
      </c>
      <c r="B3514" s="1">
        <v>54</v>
      </c>
      <c r="C3514" s="1" t="s">
        <v>20</v>
      </c>
      <c r="D3514" s="1" t="s">
        <v>48</v>
      </c>
      <c r="E3514" s="1" t="s">
        <v>8236</v>
      </c>
      <c r="F3514" s="72">
        <v>41852</v>
      </c>
      <c r="G3514" s="1" t="s">
        <v>8237</v>
      </c>
      <c r="H3514" s="1" t="s">
        <v>8201</v>
      </c>
      <c r="I3514" s="1" t="s">
        <v>45</v>
      </c>
      <c r="J3514" s="4" t="s">
        <v>8202</v>
      </c>
      <c r="K3514" s="1" t="s">
        <v>98</v>
      </c>
      <c r="L3514" s="11" t="s">
        <v>414</v>
      </c>
      <c r="M3514" s="1" t="s">
        <v>27</v>
      </c>
      <c r="N3514" s="1" t="s">
        <v>20990</v>
      </c>
      <c r="O3514" s="1" t="s">
        <v>1010</v>
      </c>
      <c r="P3514" s="1" t="s">
        <v>401</v>
      </c>
      <c r="Q3514" s="63" t="s">
        <v>8238</v>
      </c>
      <c r="R3514" s="1" t="s">
        <v>100</v>
      </c>
      <c r="S3514" s="13" t="s">
        <v>18</v>
      </c>
    </row>
    <row r="3515" spans="1:63" ht="12" customHeight="1" x14ac:dyDescent="0.15">
      <c r="A3515" s="1" t="s">
        <v>8228</v>
      </c>
      <c r="B3515" s="1">
        <v>42</v>
      </c>
      <c r="C3515" s="1" t="s">
        <v>20</v>
      </c>
      <c r="D3515" s="1" t="s">
        <v>85</v>
      </c>
      <c r="F3515" s="72">
        <v>41852</v>
      </c>
      <c r="G3515" s="1" t="s">
        <v>8229</v>
      </c>
      <c r="H3515" s="1" t="s">
        <v>8230</v>
      </c>
      <c r="I3515" s="1" t="s">
        <v>81</v>
      </c>
      <c r="J3515" s="4" t="s">
        <v>8231</v>
      </c>
      <c r="K3515" s="1" t="s">
        <v>1505</v>
      </c>
      <c r="L3515" s="1" t="s">
        <v>8232</v>
      </c>
      <c r="M3515" s="1" t="s">
        <v>27</v>
      </c>
      <c r="N3515" s="1" t="s">
        <v>8233</v>
      </c>
      <c r="O3515" s="1" t="s">
        <v>1010</v>
      </c>
      <c r="P3515" s="1" t="s">
        <v>401</v>
      </c>
      <c r="Q3515" s="63" t="s">
        <v>8234</v>
      </c>
      <c r="R3515" s="1" t="s">
        <v>29</v>
      </c>
      <c r="S3515" s="13" t="s">
        <v>35</v>
      </c>
      <c r="AX3515" s="11"/>
      <c r="AY3515" s="11"/>
      <c r="BC3515" s="11"/>
      <c r="BD3515" s="11"/>
      <c r="BE3515" s="11"/>
      <c r="BF3515" s="11"/>
      <c r="BG3515" s="11"/>
      <c r="BH3515" s="11"/>
      <c r="BI3515" s="11"/>
      <c r="BJ3515" s="11"/>
      <c r="BK3515" s="11"/>
    </row>
    <row r="3516" spans="1:63" ht="12" customHeight="1" x14ac:dyDescent="0.15">
      <c r="A3516" s="1" t="s">
        <v>8248</v>
      </c>
      <c r="B3516" s="1">
        <v>50</v>
      </c>
      <c r="C3516" s="1" t="s">
        <v>20</v>
      </c>
      <c r="D3516" s="1" t="s">
        <v>37</v>
      </c>
      <c r="E3516" s="1" t="s">
        <v>8249</v>
      </c>
      <c r="F3516" s="72">
        <v>41851</v>
      </c>
      <c r="G3516" s="1" t="s">
        <v>8250</v>
      </c>
      <c r="H3516" s="1" t="s">
        <v>575</v>
      </c>
      <c r="I3516" s="1" t="s">
        <v>73</v>
      </c>
      <c r="J3516" s="4" t="s">
        <v>8251</v>
      </c>
      <c r="K3516" s="1" t="s">
        <v>576</v>
      </c>
      <c r="L3516" s="1" t="s">
        <v>577</v>
      </c>
      <c r="M3516" s="1" t="s">
        <v>27</v>
      </c>
      <c r="N3516" s="1" t="s">
        <v>8252</v>
      </c>
      <c r="O3516" s="1" t="s">
        <v>1010</v>
      </c>
      <c r="P3516" s="1" t="s">
        <v>401</v>
      </c>
      <c r="Q3516" s="63" t="s">
        <v>8253</v>
      </c>
      <c r="R3516" s="1" t="s">
        <v>100</v>
      </c>
      <c r="S3516" s="13" t="s">
        <v>28</v>
      </c>
    </row>
    <row r="3517" spans="1:63" ht="12" customHeight="1" x14ac:dyDescent="0.15">
      <c r="A3517" s="1" t="s">
        <v>8259</v>
      </c>
      <c r="B3517" s="1">
        <v>52</v>
      </c>
      <c r="C3517" s="1" t="s">
        <v>20</v>
      </c>
      <c r="D3517" s="1" t="s">
        <v>30</v>
      </c>
      <c r="F3517" s="72">
        <v>41850</v>
      </c>
      <c r="G3517" s="1" t="s">
        <v>8260</v>
      </c>
      <c r="H3517" s="1" t="s">
        <v>2362</v>
      </c>
      <c r="I3517" s="1" t="s">
        <v>870</v>
      </c>
      <c r="J3517" s="4" t="s">
        <v>8261</v>
      </c>
      <c r="K3517" s="1" t="s">
        <v>2362</v>
      </c>
      <c r="L3517" s="1" t="s">
        <v>3582</v>
      </c>
      <c r="M3517" s="1" t="s">
        <v>27</v>
      </c>
      <c r="N3517" s="1" t="s">
        <v>8262</v>
      </c>
      <c r="O3517" s="1" t="s">
        <v>400</v>
      </c>
      <c r="P3517" s="1" t="s">
        <v>401</v>
      </c>
      <c r="Q3517" s="63" t="s">
        <v>8263</v>
      </c>
      <c r="R3517" s="11" t="s">
        <v>964</v>
      </c>
      <c r="S3517" s="13" t="s">
        <v>28</v>
      </c>
    </row>
    <row r="3518" spans="1:63" ht="12" customHeight="1" x14ac:dyDescent="0.15">
      <c r="A3518" s="1" t="s">
        <v>8264</v>
      </c>
      <c r="B3518" s="1">
        <v>42</v>
      </c>
      <c r="C3518" s="1" t="s">
        <v>20</v>
      </c>
      <c r="D3518" s="1" t="s">
        <v>30</v>
      </c>
      <c r="F3518" s="72">
        <v>41850</v>
      </c>
      <c r="G3518" s="1" t="s">
        <v>8265</v>
      </c>
      <c r="H3518" s="1" t="s">
        <v>1208</v>
      </c>
      <c r="I3518" s="1" t="s">
        <v>303</v>
      </c>
      <c r="J3518" s="4" t="s">
        <v>8266</v>
      </c>
      <c r="K3518" s="1" t="s">
        <v>1209</v>
      </c>
      <c r="L3518" s="1" t="s">
        <v>1210</v>
      </c>
      <c r="M3518" s="1" t="s">
        <v>27</v>
      </c>
      <c r="N3518" s="1" t="s">
        <v>8267</v>
      </c>
      <c r="O3518" s="1" t="s">
        <v>29</v>
      </c>
      <c r="P3518" s="1" t="s">
        <v>401</v>
      </c>
      <c r="Q3518" s="63" t="s">
        <v>8268</v>
      </c>
      <c r="R3518" s="11" t="s">
        <v>964</v>
      </c>
      <c r="S3518" s="13" t="s">
        <v>28</v>
      </c>
    </row>
    <row r="3519" spans="1:63" ht="12" customHeight="1" x14ac:dyDescent="0.15">
      <c r="A3519" s="1" t="s">
        <v>8254</v>
      </c>
      <c r="B3519" s="1">
        <v>32</v>
      </c>
      <c r="C3519" s="1" t="s">
        <v>20</v>
      </c>
      <c r="D3519" s="1" t="s">
        <v>85</v>
      </c>
      <c r="F3519" s="72">
        <v>41850</v>
      </c>
      <c r="G3519" s="1" t="s">
        <v>8255</v>
      </c>
      <c r="H3519" s="1" t="s">
        <v>5288</v>
      </c>
      <c r="I3519" s="1" t="s">
        <v>244</v>
      </c>
      <c r="J3519" s="4" t="s">
        <v>6396</v>
      </c>
      <c r="K3519" s="1" t="s">
        <v>5288</v>
      </c>
      <c r="L3519" s="1" t="s">
        <v>8256</v>
      </c>
      <c r="M3519" s="1" t="s">
        <v>27</v>
      </c>
      <c r="N3519" s="1" t="s">
        <v>8257</v>
      </c>
      <c r="O3519" s="1" t="s">
        <v>550</v>
      </c>
      <c r="P3519" s="1" t="s">
        <v>401</v>
      </c>
      <c r="Q3519" s="63" t="s">
        <v>8258</v>
      </c>
      <c r="R3519" s="1" t="s">
        <v>100</v>
      </c>
      <c r="S3519" s="13" t="s">
        <v>379</v>
      </c>
      <c r="AX3519" s="11"/>
      <c r="AY3519" s="11"/>
      <c r="BC3519" s="11"/>
      <c r="BD3519" s="11"/>
      <c r="BE3519" s="11"/>
      <c r="BF3519" s="11"/>
      <c r="BG3519" s="11"/>
      <c r="BH3519" s="11"/>
      <c r="BI3519" s="11"/>
      <c r="BJ3519" s="11"/>
      <c r="BK3519" s="44"/>
    </row>
    <row r="3520" spans="1:63" ht="12" customHeight="1" x14ac:dyDescent="0.2">
      <c r="A3520" s="1" t="s">
        <v>8269</v>
      </c>
      <c r="B3520" s="1">
        <v>41</v>
      </c>
      <c r="C3520" s="1" t="s">
        <v>20</v>
      </c>
      <c r="D3520" s="1" t="s">
        <v>37</v>
      </c>
      <c r="E3520" s="1" t="s">
        <v>8270</v>
      </c>
      <c r="F3520" s="72">
        <v>41850</v>
      </c>
      <c r="G3520" s="1" t="s">
        <v>8271</v>
      </c>
      <c r="H3520" s="1" t="s">
        <v>5949</v>
      </c>
      <c r="I3520" s="1" t="s">
        <v>366</v>
      </c>
      <c r="J3520" s="4" t="s">
        <v>8272</v>
      </c>
      <c r="K3520" s="1" t="s">
        <v>3152</v>
      </c>
      <c r="L3520" s="1" t="s">
        <v>6495</v>
      </c>
      <c r="M3520" s="1" t="s">
        <v>27</v>
      </c>
      <c r="N3520" s="1" t="s">
        <v>8273</v>
      </c>
      <c r="O3520" s="1" t="s">
        <v>1010</v>
      </c>
      <c r="P3520" s="1" t="s">
        <v>401</v>
      </c>
      <c r="Q3520" s="63" t="s">
        <v>8274</v>
      </c>
      <c r="R3520" s="1" t="s">
        <v>29</v>
      </c>
      <c r="S3520" s="13" t="s">
        <v>28</v>
      </c>
      <c r="BA3520" s="70"/>
      <c r="BB3520" s="70"/>
    </row>
    <row r="3521" spans="1:63" ht="12" customHeight="1" x14ac:dyDescent="0.15">
      <c r="A3521" s="1" t="s">
        <v>8275</v>
      </c>
      <c r="B3521" s="1">
        <v>51</v>
      </c>
      <c r="C3521" s="1" t="s">
        <v>20</v>
      </c>
      <c r="D3521" s="1" t="s">
        <v>48</v>
      </c>
      <c r="F3521" s="72">
        <v>41849</v>
      </c>
      <c r="G3521" s="1" t="s">
        <v>8276</v>
      </c>
      <c r="H3521" s="1" t="s">
        <v>1277</v>
      </c>
      <c r="I3521" s="1" t="s">
        <v>269</v>
      </c>
      <c r="J3521" s="4" t="s">
        <v>8277</v>
      </c>
      <c r="K3521" s="1" t="s">
        <v>570</v>
      </c>
      <c r="L3521" s="1" t="s">
        <v>1482</v>
      </c>
      <c r="M3521" s="1" t="s">
        <v>27</v>
      </c>
      <c r="N3521" s="1" t="s">
        <v>8278</v>
      </c>
      <c r="O3521" s="1" t="s">
        <v>1010</v>
      </c>
      <c r="P3521" s="1" t="s">
        <v>401</v>
      </c>
      <c r="Q3521" s="63" t="str">
        <f>HYPERLINK("http://www.8newsnow.com/story/26137424/breaking-news-police-investigate-officer-involved-shooting","http://www.8newsnow.com/story/26137424/breaking-news-police-investigate-officer-involved-shooting")</f>
        <v>http://www.8newsnow.com/story/26137424/breaking-news-police-investigate-officer-involved-shooting</v>
      </c>
      <c r="R3521" s="1" t="s">
        <v>100</v>
      </c>
      <c r="S3521" s="13" t="s">
        <v>28</v>
      </c>
    </row>
    <row r="3522" spans="1:63" ht="12" customHeight="1" x14ac:dyDescent="0.15">
      <c r="A3522" s="1" t="s">
        <v>8295</v>
      </c>
      <c r="B3522" s="1">
        <v>26</v>
      </c>
      <c r="C3522" s="1" t="s">
        <v>20</v>
      </c>
      <c r="D3522" s="1" t="s">
        <v>37</v>
      </c>
      <c r="E3522" s="1" t="s">
        <v>8296</v>
      </c>
      <c r="F3522" s="72">
        <v>41849</v>
      </c>
      <c r="G3522" s="1" t="s">
        <v>8297</v>
      </c>
      <c r="H3522" s="1" t="s">
        <v>8298</v>
      </c>
      <c r="I3522" s="1" t="s">
        <v>1083</v>
      </c>
      <c r="J3522" s="4" t="s">
        <v>8299</v>
      </c>
      <c r="K3522" s="1" t="s">
        <v>1141</v>
      </c>
      <c r="L3522" s="1" t="s">
        <v>8300</v>
      </c>
      <c r="M3522" s="1" t="s">
        <v>27</v>
      </c>
      <c r="N3522" s="1" t="s">
        <v>8301</v>
      </c>
      <c r="O3522" s="1" t="s">
        <v>1010</v>
      </c>
      <c r="P3522" s="1" t="s">
        <v>401</v>
      </c>
      <c r="Q3522" s="63" t="s">
        <v>8302</v>
      </c>
      <c r="R3522" s="1" t="s">
        <v>100</v>
      </c>
      <c r="S3522" s="13" t="s">
        <v>28</v>
      </c>
    </row>
    <row r="3523" spans="1:63" ht="12" customHeight="1" x14ac:dyDescent="0.15">
      <c r="A3523" s="1" t="s">
        <v>8285</v>
      </c>
      <c r="B3523" s="1">
        <v>34</v>
      </c>
      <c r="C3523" s="1" t="s">
        <v>20</v>
      </c>
      <c r="D3523" s="1" t="s">
        <v>30</v>
      </c>
      <c r="F3523" s="72">
        <v>41849</v>
      </c>
      <c r="G3523" s="1" t="s">
        <v>8286</v>
      </c>
      <c r="H3523" s="1" t="s">
        <v>4353</v>
      </c>
      <c r="I3523" s="1" t="s">
        <v>303</v>
      </c>
      <c r="J3523" s="4" t="s">
        <v>4354</v>
      </c>
      <c r="K3523" s="1" t="s">
        <v>1288</v>
      </c>
      <c r="L3523" s="1" t="s">
        <v>4355</v>
      </c>
      <c r="M3523" s="1" t="s">
        <v>27</v>
      </c>
      <c r="N3523" s="1" t="s">
        <v>8287</v>
      </c>
      <c r="O3523" s="1" t="s">
        <v>1010</v>
      </c>
      <c r="P3523" s="1" t="s">
        <v>401</v>
      </c>
      <c r="Q3523" s="63" t="str">
        <f>HYPERLINK("http://www.tri-cityherald.com/2014/07/29/3083195_pasco-man-with-knife-killed-by.html?rh=1","http://www.tri-cityherald.com/2014/07/29/3083195_pasco-man-with-knife-killed-by.html?rh=1")</f>
        <v>http://www.tri-cityherald.com/2014/07/29/3083195_pasco-man-with-knife-killed-by.html?rh=1</v>
      </c>
      <c r="R3523" s="1" t="s">
        <v>29</v>
      </c>
      <c r="S3523" s="13" t="s">
        <v>28</v>
      </c>
    </row>
    <row r="3524" spans="1:63" ht="12" customHeight="1" x14ac:dyDescent="0.2">
      <c r="A3524" s="1" t="s">
        <v>8288</v>
      </c>
      <c r="B3524" s="1">
        <v>25</v>
      </c>
      <c r="C3524" s="1" t="s">
        <v>20</v>
      </c>
      <c r="D3524" s="1" t="s">
        <v>37</v>
      </c>
      <c r="F3524" s="72">
        <v>41849</v>
      </c>
      <c r="G3524" s="1" t="s">
        <v>8289</v>
      </c>
      <c r="H3524" s="1" t="s">
        <v>8290</v>
      </c>
      <c r="I3524" s="1" t="s">
        <v>44</v>
      </c>
      <c r="J3524" s="4" t="s">
        <v>8291</v>
      </c>
      <c r="K3524" s="1" t="s">
        <v>4184</v>
      </c>
      <c r="L3524" s="1" t="s">
        <v>8292</v>
      </c>
      <c r="M3524" s="1" t="s">
        <v>27</v>
      </c>
      <c r="N3524" s="1" t="s">
        <v>8293</v>
      </c>
      <c r="O3524" s="1" t="s">
        <v>1010</v>
      </c>
      <c r="P3524" s="1" t="s">
        <v>401</v>
      </c>
      <c r="Q3524" s="63" t="s">
        <v>8294</v>
      </c>
      <c r="R3524" s="1" t="s">
        <v>29</v>
      </c>
      <c r="S3524" s="13" t="s">
        <v>28</v>
      </c>
      <c r="BA3524" s="70"/>
      <c r="BB3524" s="70"/>
    </row>
    <row r="3525" spans="1:63" ht="12" customHeight="1" x14ac:dyDescent="0.2">
      <c r="A3525" s="1" t="s">
        <v>8303</v>
      </c>
      <c r="B3525" s="1">
        <v>27</v>
      </c>
      <c r="C3525" s="1" t="s">
        <v>20</v>
      </c>
      <c r="D3525" s="1" t="s">
        <v>37</v>
      </c>
      <c r="E3525" s="1" t="s">
        <v>8304</v>
      </c>
      <c r="F3525" s="72">
        <v>41849</v>
      </c>
      <c r="G3525" s="1" t="s">
        <v>8305</v>
      </c>
      <c r="H3525" s="1" t="s">
        <v>655</v>
      </c>
      <c r="I3525" s="1" t="s">
        <v>269</v>
      </c>
      <c r="J3525" s="4" t="s">
        <v>8306</v>
      </c>
      <c r="K3525" s="1" t="s">
        <v>570</v>
      </c>
      <c r="L3525" s="1" t="s">
        <v>571</v>
      </c>
      <c r="M3525" s="1" t="s">
        <v>27</v>
      </c>
      <c r="N3525" s="1" t="s">
        <v>8307</v>
      </c>
      <c r="O3525" s="1" t="s">
        <v>1010</v>
      </c>
      <c r="P3525" s="1" t="s">
        <v>401</v>
      </c>
      <c r="Q3525" s="63" t="s">
        <v>8308</v>
      </c>
      <c r="R3525" s="1" t="s">
        <v>29</v>
      </c>
      <c r="S3525" s="13" t="s">
        <v>28</v>
      </c>
      <c r="BA3525" s="70"/>
      <c r="BB3525" s="70"/>
    </row>
    <row r="3526" spans="1:63" ht="12" customHeight="1" x14ac:dyDescent="0.15">
      <c r="A3526" s="1" t="s">
        <v>8279</v>
      </c>
      <c r="B3526" s="1">
        <v>36</v>
      </c>
      <c r="C3526" s="1" t="s">
        <v>20</v>
      </c>
      <c r="D3526" s="1" t="s">
        <v>48</v>
      </c>
      <c r="E3526" s="1" t="s">
        <v>8280</v>
      </c>
      <c r="F3526" s="72">
        <v>41849</v>
      </c>
      <c r="H3526" s="1" t="s">
        <v>8281</v>
      </c>
      <c r="I3526" s="1" t="s">
        <v>73</v>
      </c>
      <c r="J3526" s="4">
        <v>77024</v>
      </c>
      <c r="K3526" s="1" t="s">
        <v>558</v>
      </c>
      <c r="L3526" s="1" t="s">
        <v>8282</v>
      </c>
      <c r="M3526" s="1" t="s">
        <v>27</v>
      </c>
      <c r="N3526" s="1" t="s">
        <v>8283</v>
      </c>
      <c r="P3526" s="1" t="s">
        <v>401</v>
      </c>
      <c r="Q3526" s="63" t="s">
        <v>8284</v>
      </c>
      <c r="R3526" s="1" t="s">
        <v>29</v>
      </c>
      <c r="S3526" s="13" t="s">
        <v>28</v>
      </c>
    </row>
    <row r="3527" spans="1:63" ht="12" customHeight="1" x14ac:dyDescent="0.15">
      <c r="A3527" s="1" t="s">
        <v>8315</v>
      </c>
      <c r="B3527" s="1">
        <v>27</v>
      </c>
      <c r="C3527" s="1" t="s">
        <v>20</v>
      </c>
      <c r="D3527" s="1" t="s">
        <v>85</v>
      </c>
      <c r="E3527" s="1" t="s">
        <v>8316</v>
      </c>
      <c r="F3527" s="72">
        <v>41848</v>
      </c>
      <c r="G3527" s="1" t="s">
        <v>8317</v>
      </c>
      <c r="H3527" s="1" t="s">
        <v>3296</v>
      </c>
      <c r="I3527" s="1" t="s">
        <v>32</v>
      </c>
      <c r="J3527" s="4" t="s">
        <v>8318</v>
      </c>
      <c r="K3527" s="1" t="s">
        <v>3296</v>
      </c>
      <c r="L3527" s="1" t="s">
        <v>8319</v>
      </c>
      <c r="M3527" s="1" t="s">
        <v>27</v>
      </c>
      <c r="N3527" s="1" t="s">
        <v>8320</v>
      </c>
      <c r="O3527" s="1" t="s">
        <v>1010</v>
      </c>
      <c r="P3527" s="1" t="s">
        <v>401</v>
      </c>
      <c r="Q3527" s="63" t="s">
        <v>8321</v>
      </c>
      <c r="R3527" s="1" t="s">
        <v>100</v>
      </c>
      <c r="S3527" s="13" t="s">
        <v>28</v>
      </c>
      <c r="AX3527" s="11"/>
      <c r="AY3527" s="11"/>
      <c r="BC3527" s="11"/>
      <c r="BD3527" s="11"/>
      <c r="BE3527" s="11"/>
      <c r="BF3527" s="11"/>
      <c r="BG3527" s="11"/>
      <c r="BH3527" s="11"/>
      <c r="BI3527" s="11"/>
      <c r="BJ3527" s="11"/>
    </row>
    <row r="3528" spans="1:63" ht="12" customHeight="1" x14ac:dyDescent="0.2">
      <c r="A3528" s="1" t="s">
        <v>8322</v>
      </c>
      <c r="B3528" s="1">
        <v>32</v>
      </c>
      <c r="C3528" s="1" t="s">
        <v>20</v>
      </c>
      <c r="D3528" s="1" t="s">
        <v>37</v>
      </c>
      <c r="E3528" s="1" t="s">
        <v>8323</v>
      </c>
      <c r="F3528" s="72">
        <v>41848</v>
      </c>
      <c r="G3528" s="1" t="s">
        <v>8324</v>
      </c>
      <c r="H3528" s="1" t="s">
        <v>754</v>
      </c>
      <c r="I3528" s="1" t="s">
        <v>423</v>
      </c>
      <c r="J3528" s="4" t="s">
        <v>8325</v>
      </c>
      <c r="K3528" s="1" t="s">
        <v>754</v>
      </c>
      <c r="L3528" s="1" t="s">
        <v>582</v>
      </c>
      <c r="M3528" s="1" t="s">
        <v>27</v>
      </c>
      <c r="N3528" s="1" t="s">
        <v>8326</v>
      </c>
      <c r="O3528" s="1" t="s">
        <v>1010</v>
      </c>
      <c r="P3528" s="1" t="s">
        <v>401</v>
      </c>
      <c r="Q3528" s="63" t="s">
        <v>8327</v>
      </c>
      <c r="R3528" s="1" t="s">
        <v>29</v>
      </c>
      <c r="S3528" s="13" t="s">
        <v>28</v>
      </c>
      <c r="BA3528" s="70"/>
      <c r="BB3528" s="70"/>
    </row>
    <row r="3529" spans="1:63" ht="12" customHeight="1" x14ac:dyDescent="0.15">
      <c r="A3529" s="1" t="s">
        <v>8309</v>
      </c>
      <c r="B3529" s="1">
        <v>53</v>
      </c>
      <c r="C3529" s="1" t="s">
        <v>20</v>
      </c>
      <c r="D3529" s="1" t="s">
        <v>85</v>
      </c>
      <c r="E3529" s="1" t="s">
        <v>8310</v>
      </c>
      <c r="F3529" s="72">
        <v>41848</v>
      </c>
      <c r="G3529" s="1" t="s">
        <v>8311</v>
      </c>
      <c r="H3529" s="1" t="s">
        <v>87</v>
      </c>
      <c r="I3529" s="1" t="s">
        <v>44</v>
      </c>
      <c r="J3529" s="4" t="s">
        <v>8312</v>
      </c>
      <c r="K3529" s="1" t="s">
        <v>88</v>
      </c>
      <c r="L3529" s="1" t="s">
        <v>89</v>
      </c>
      <c r="M3529" s="1" t="s">
        <v>27</v>
      </c>
      <c r="N3529" s="1" t="s">
        <v>8313</v>
      </c>
      <c r="O3529" s="1" t="s">
        <v>1010</v>
      </c>
      <c r="P3529" s="1" t="s">
        <v>401</v>
      </c>
      <c r="Q3529" s="63" t="s">
        <v>8314</v>
      </c>
      <c r="R3529" s="1" t="s">
        <v>29</v>
      </c>
      <c r="S3529" s="13" t="s">
        <v>18</v>
      </c>
      <c r="AX3529" s="11"/>
      <c r="AY3529" s="11"/>
      <c r="BC3529" s="11"/>
      <c r="BD3529" s="11"/>
      <c r="BE3529" s="11"/>
      <c r="BF3529" s="11"/>
      <c r="BG3529" s="11"/>
      <c r="BH3529" s="11"/>
      <c r="BI3529" s="11"/>
      <c r="BJ3529" s="11"/>
    </row>
    <row r="3530" spans="1:63" ht="12" customHeight="1" x14ac:dyDescent="0.15">
      <c r="A3530" s="1" t="s">
        <v>8339</v>
      </c>
      <c r="B3530" s="1">
        <v>45</v>
      </c>
      <c r="C3530" s="1" t="s">
        <v>20</v>
      </c>
      <c r="D3530" s="1" t="s">
        <v>37</v>
      </c>
      <c r="E3530" s="1" t="s">
        <v>8340</v>
      </c>
      <c r="F3530" s="72">
        <v>41847</v>
      </c>
      <c r="G3530" s="1" t="s">
        <v>8341</v>
      </c>
      <c r="H3530" s="1" t="s">
        <v>387</v>
      </c>
      <c r="I3530" s="1" t="s">
        <v>319</v>
      </c>
      <c r="J3530" s="4" t="s">
        <v>8342</v>
      </c>
      <c r="K3530" s="1" t="s">
        <v>2681</v>
      </c>
      <c r="L3530" s="1" t="s">
        <v>7834</v>
      </c>
      <c r="M3530" s="1" t="s">
        <v>27</v>
      </c>
      <c r="N3530" s="1" t="s">
        <v>8343</v>
      </c>
      <c r="O3530" s="1" t="s">
        <v>1010</v>
      </c>
      <c r="P3530" s="1" t="s">
        <v>401</v>
      </c>
      <c r="Q3530" s="6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3530" s="1" t="s">
        <v>100</v>
      </c>
      <c r="S3530" s="13" t="s">
        <v>28</v>
      </c>
    </row>
    <row r="3531" spans="1:63" ht="12" customHeight="1" x14ac:dyDescent="0.15">
      <c r="A3531" s="1" t="s">
        <v>8344</v>
      </c>
      <c r="B3531" s="1">
        <v>33</v>
      </c>
      <c r="C3531" s="1" t="s">
        <v>20</v>
      </c>
      <c r="D3531" s="1" t="s">
        <v>37</v>
      </c>
      <c r="E3531" s="1" t="s">
        <v>8345</v>
      </c>
      <c r="F3531" s="72">
        <v>41847</v>
      </c>
      <c r="G3531" s="1" t="s">
        <v>8346</v>
      </c>
      <c r="H3531" s="1" t="s">
        <v>8347</v>
      </c>
      <c r="I3531" s="1" t="s">
        <v>73</v>
      </c>
      <c r="J3531" s="4" t="s">
        <v>8348</v>
      </c>
      <c r="K3531" s="1" t="s">
        <v>8349</v>
      </c>
      <c r="L3531" s="1" t="s">
        <v>8350</v>
      </c>
      <c r="M3531" s="1" t="s">
        <v>27</v>
      </c>
      <c r="N3531" s="1" t="s">
        <v>8351</v>
      </c>
      <c r="O3531" s="1" t="s">
        <v>1010</v>
      </c>
      <c r="P3531" s="1" t="s">
        <v>401</v>
      </c>
      <c r="Q3531" s="63" t="s">
        <v>8352</v>
      </c>
      <c r="R3531" s="1" t="s">
        <v>100</v>
      </c>
      <c r="S3531" s="13" t="s">
        <v>35</v>
      </c>
      <c r="BK3531" s="11"/>
    </row>
    <row r="3532" spans="1:63" ht="12" customHeight="1" x14ac:dyDescent="0.15">
      <c r="A3532" s="1" t="s">
        <v>8328</v>
      </c>
      <c r="B3532" s="1">
        <v>57</v>
      </c>
      <c r="C3532" s="1" t="s">
        <v>20</v>
      </c>
      <c r="D3532" s="1" t="s">
        <v>30</v>
      </c>
      <c r="F3532" s="72">
        <v>41847</v>
      </c>
      <c r="G3532" s="1" t="s">
        <v>8329</v>
      </c>
      <c r="H3532" s="1" t="s">
        <v>98</v>
      </c>
      <c r="I3532" s="1" t="s">
        <v>45</v>
      </c>
      <c r="J3532" s="4" t="s">
        <v>8330</v>
      </c>
      <c r="K3532" s="1" t="s">
        <v>98</v>
      </c>
      <c r="L3532" s="1" t="s">
        <v>99</v>
      </c>
      <c r="M3532" s="1" t="s">
        <v>379</v>
      </c>
      <c r="N3532" s="1" t="s">
        <v>8331</v>
      </c>
      <c r="O3532" s="1" t="s">
        <v>1010</v>
      </c>
      <c r="P3532" s="1" t="s">
        <v>401</v>
      </c>
      <c r="Q3532" s="63" t="s">
        <v>8332</v>
      </c>
      <c r="R3532" s="1" t="s">
        <v>29</v>
      </c>
      <c r="S3532" s="13" t="s">
        <v>28</v>
      </c>
    </row>
    <row r="3533" spans="1:63" ht="12" customHeight="1" x14ac:dyDescent="0.15">
      <c r="A3533" s="1" t="s">
        <v>8333</v>
      </c>
      <c r="B3533" s="1">
        <v>33</v>
      </c>
      <c r="C3533" s="1" t="s">
        <v>20</v>
      </c>
      <c r="D3533" s="1" t="s">
        <v>37</v>
      </c>
      <c r="E3533" s="1" t="s">
        <v>8334</v>
      </c>
      <c r="F3533" s="72">
        <v>41847</v>
      </c>
      <c r="G3533" s="1" t="s">
        <v>8335</v>
      </c>
      <c r="H3533" s="1" t="s">
        <v>7540</v>
      </c>
      <c r="I3533" s="1" t="s">
        <v>45</v>
      </c>
      <c r="J3533" s="4" t="s">
        <v>8336</v>
      </c>
      <c r="K3533" s="1" t="s">
        <v>7542</v>
      </c>
      <c r="L3533" s="1" t="s">
        <v>7543</v>
      </c>
      <c r="M3533" s="1" t="s">
        <v>14359</v>
      </c>
      <c r="N3533" s="1" t="s">
        <v>8337</v>
      </c>
      <c r="O3533" s="1" t="s">
        <v>400</v>
      </c>
      <c r="P3533" s="1" t="s">
        <v>401</v>
      </c>
      <c r="Q3533" s="63" t="s">
        <v>8338</v>
      </c>
      <c r="R3533" s="1" t="s">
        <v>555</v>
      </c>
      <c r="S3533" s="13" t="s">
        <v>18</v>
      </c>
      <c r="AX3533" s="44"/>
      <c r="AY3533" s="44"/>
      <c r="AZ3533" s="44"/>
    </row>
    <row r="3534" spans="1:63" ht="12" customHeight="1" x14ac:dyDescent="0.15">
      <c r="A3534" s="1" t="s">
        <v>8353</v>
      </c>
      <c r="B3534" s="1">
        <v>37</v>
      </c>
      <c r="C3534" s="1" t="s">
        <v>20</v>
      </c>
      <c r="D3534" s="1" t="s">
        <v>85</v>
      </c>
      <c r="F3534" s="72">
        <v>41846</v>
      </c>
      <c r="G3534" s="1" t="s">
        <v>8354</v>
      </c>
      <c r="H3534" s="1" t="s">
        <v>8355</v>
      </c>
      <c r="I3534" s="1" t="s">
        <v>150</v>
      </c>
      <c r="J3534" s="4" t="s">
        <v>8356</v>
      </c>
      <c r="K3534" s="1" t="s">
        <v>8357</v>
      </c>
      <c r="L3534" s="1" t="s">
        <v>8358</v>
      </c>
      <c r="M3534" s="1" t="s">
        <v>27</v>
      </c>
      <c r="N3534" s="1" t="s">
        <v>8359</v>
      </c>
      <c r="O3534" s="1" t="s">
        <v>1010</v>
      </c>
      <c r="P3534" s="1" t="s">
        <v>401</v>
      </c>
      <c r="Q3534" s="63" t="s">
        <v>8360</v>
      </c>
      <c r="R3534" s="1" t="s">
        <v>29</v>
      </c>
      <c r="S3534" s="13" t="s">
        <v>28</v>
      </c>
      <c r="AX3534" s="11"/>
      <c r="AY3534" s="11"/>
      <c r="BC3534" s="11"/>
      <c r="BD3534" s="11"/>
      <c r="BE3534" s="11"/>
      <c r="BF3534" s="11"/>
      <c r="BG3534" s="11"/>
      <c r="BH3534" s="11"/>
      <c r="BI3534" s="11"/>
      <c r="BJ3534" s="11"/>
    </row>
    <row r="3535" spans="1:63" ht="12" customHeight="1" x14ac:dyDescent="0.2">
      <c r="A3535" s="1" t="s">
        <v>8361</v>
      </c>
      <c r="B3535" s="1">
        <v>95</v>
      </c>
      <c r="C3535" s="1" t="s">
        <v>20</v>
      </c>
      <c r="D3535" s="1" t="s">
        <v>37</v>
      </c>
      <c r="E3535" s="1" t="s">
        <v>8362</v>
      </c>
      <c r="F3535" s="72">
        <v>41846</v>
      </c>
      <c r="G3535" s="1" t="s">
        <v>8363</v>
      </c>
      <c r="H3535" s="1" t="s">
        <v>8364</v>
      </c>
      <c r="I3535" s="1" t="s">
        <v>44</v>
      </c>
      <c r="J3535" s="4" t="s">
        <v>8365</v>
      </c>
      <c r="K3535" s="1" t="s">
        <v>88</v>
      </c>
      <c r="L3535" s="1" t="s">
        <v>8366</v>
      </c>
      <c r="M3535" s="1" t="s">
        <v>8367</v>
      </c>
      <c r="N3535" s="1" t="s">
        <v>8368</v>
      </c>
      <c r="O3535" s="1" t="s">
        <v>7727</v>
      </c>
      <c r="P3535" s="1" t="s">
        <v>20489</v>
      </c>
      <c r="Q3535" s="63" t="s">
        <v>8369</v>
      </c>
      <c r="R3535" s="1" t="s">
        <v>29</v>
      </c>
      <c r="S3535" s="13" t="s">
        <v>28</v>
      </c>
      <c r="AU3535" s="70"/>
      <c r="AV3535" s="70"/>
      <c r="AW3535" s="70"/>
      <c r="AX3535" s="44"/>
      <c r="AY3535" s="44"/>
      <c r="AZ3535" s="44"/>
      <c r="BK3535" s="78"/>
    </row>
    <row r="3536" spans="1:63" ht="12" customHeight="1" x14ac:dyDescent="0.15">
      <c r="A3536" s="1" t="s">
        <v>8379</v>
      </c>
      <c r="B3536" s="1">
        <v>31</v>
      </c>
      <c r="C3536" s="1" t="s">
        <v>20</v>
      </c>
      <c r="D3536" s="1" t="s">
        <v>37</v>
      </c>
      <c r="E3536" s="1" t="s">
        <v>8380</v>
      </c>
      <c r="F3536" s="72">
        <v>41845</v>
      </c>
      <c r="G3536" s="1" t="s">
        <v>8381</v>
      </c>
      <c r="H3536" s="1" t="s">
        <v>611</v>
      </c>
      <c r="I3536" s="1" t="s">
        <v>240</v>
      </c>
      <c r="J3536" s="4" t="s">
        <v>8382</v>
      </c>
      <c r="K3536" s="1" t="s">
        <v>611</v>
      </c>
      <c r="L3536" s="1" t="s">
        <v>8383</v>
      </c>
      <c r="M3536" s="1" t="s">
        <v>27</v>
      </c>
      <c r="N3536" s="1" t="s">
        <v>8384</v>
      </c>
      <c r="O3536" s="1" t="s">
        <v>550</v>
      </c>
      <c r="P3536" s="1" t="s">
        <v>401</v>
      </c>
      <c r="Q3536" s="63" t="str">
        <f>HYPERLINK("http://www.sltrib.com/news/justice/1618808-155/officers-shot-lister-police-gill-gun","http://www.sltrib.com/news/justice/1618808-155/officers-shot-lister-police-gill-gun")</f>
        <v>http://www.sltrib.com/news/justice/1618808-155/officers-shot-lister-police-gill-gun</v>
      </c>
      <c r="R3536" s="11" t="s">
        <v>964</v>
      </c>
      <c r="S3536" s="13" t="s">
        <v>28</v>
      </c>
    </row>
    <row r="3537" spans="1:63" ht="12" customHeight="1" x14ac:dyDescent="0.15">
      <c r="A3537" s="1" t="s">
        <v>8370</v>
      </c>
      <c r="B3537" s="1">
        <v>33</v>
      </c>
      <c r="C3537" s="1" t="s">
        <v>20</v>
      </c>
      <c r="D3537" s="1" t="s">
        <v>48</v>
      </c>
      <c r="F3537" s="72">
        <v>41845</v>
      </c>
      <c r="G3537" s="1" t="s">
        <v>8371</v>
      </c>
      <c r="H3537" s="1" t="s">
        <v>6150</v>
      </c>
      <c r="I3537" s="1" t="s">
        <v>45</v>
      </c>
      <c r="J3537" s="4" t="s">
        <v>6151</v>
      </c>
      <c r="K3537" s="1" t="s">
        <v>98</v>
      </c>
      <c r="L3537" s="1" t="s">
        <v>99</v>
      </c>
      <c r="M3537" s="1" t="s">
        <v>27</v>
      </c>
      <c r="N3537" s="1" t="s">
        <v>21000</v>
      </c>
      <c r="O3537" s="1" t="s">
        <v>1010</v>
      </c>
      <c r="P3537" s="1" t="s">
        <v>401</v>
      </c>
      <c r="Q3537" s="63" t="s">
        <v>8372</v>
      </c>
      <c r="R3537" s="1" t="s">
        <v>100</v>
      </c>
      <c r="S3537" s="13" t="s">
        <v>35</v>
      </c>
      <c r="BK3537" s="11"/>
    </row>
    <row r="3538" spans="1:63" ht="12" customHeight="1" x14ac:dyDescent="0.2">
      <c r="A3538" s="1" t="s">
        <v>8373</v>
      </c>
      <c r="B3538" s="1">
        <v>33</v>
      </c>
      <c r="C3538" s="1" t="s">
        <v>20</v>
      </c>
      <c r="D3538" s="1" t="s">
        <v>37</v>
      </c>
      <c r="F3538" s="72">
        <v>41845</v>
      </c>
      <c r="G3538" s="1" t="s">
        <v>8374</v>
      </c>
      <c r="H3538" s="1" t="s">
        <v>1313</v>
      </c>
      <c r="I3538" s="1" t="s">
        <v>73</v>
      </c>
      <c r="J3538" s="4" t="s">
        <v>8375</v>
      </c>
      <c r="K3538" s="1" t="s">
        <v>1314</v>
      </c>
      <c r="L3538" s="1" t="s">
        <v>1315</v>
      </c>
      <c r="M3538" s="1" t="s">
        <v>8376</v>
      </c>
      <c r="N3538" s="1" t="s">
        <v>8377</v>
      </c>
      <c r="O3538" s="1" t="s">
        <v>29</v>
      </c>
      <c r="P3538" s="1" t="s">
        <v>401</v>
      </c>
      <c r="Q3538" s="63" t="s">
        <v>8378</v>
      </c>
      <c r="R3538" s="1" t="s">
        <v>555</v>
      </c>
      <c r="S3538" s="13" t="s">
        <v>28</v>
      </c>
      <c r="AU3538" s="70"/>
      <c r="AV3538" s="70"/>
      <c r="AW3538" s="70"/>
      <c r="AX3538" s="44"/>
      <c r="AY3538" s="44"/>
      <c r="AZ3538" s="44"/>
      <c r="BK3538" s="78"/>
    </row>
    <row r="3539" spans="1:63" ht="12" customHeight="1" x14ac:dyDescent="0.2">
      <c r="A3539" s="1" t="s">
        <v>8385</v>
      </c>
      <c r="B3539" s="1">
        <v>37</v>
      </c>
      <c r="C3539" s="1" t="s">
        <v>114</v>
      </c>
      <c r="D3539" s="1" t="s">
        <v>37</v>
      </c>
      <c r="F3539" s="72">
        <v>41844</v>
      </c>
      <c r="G3539" s="1" t="s">
        <v>8386</v>
      </c>
      <c r="H3539" s="1" t="s">
        <v>8387</v>
      </c>
      <c r="I3539" s="1" t="s">
        <v>173</v>
      </c>
      <c r="J3539" s="4" t="s">
        <v>8388</v>
      </c>
      <c r="K3539" s="1" t="s">
        <v>8389</v>
      </c>
      <c r="L3539" s="1" t="s">
        <v>8390</v>
      </c>
      <c r="M3539" s="1" t="s">
        <v>27</v>
      </c>
      <c r="N3539" s="1" t="s">
        <v>8391</v>
      </c>
      <c r="O3539" s="1" t="s">
        <v>1010</v>
      </c>
      <c r="P3539" s="1" t="s">
        <v>401</v>
      </c>
      <c r="Q3539" s="63" t="s">
        <v>8392</v>
      </c>
      <c r="R3539" s="1" t="s">
        <v>29</v>
      </c>
      <c r="S3539" s="13" t="s">
        <v>28</v>
      </c>
      <c r="BA3539" s="70"/>
      <c r="BB3539" s="70"/>
    </row>
    <row r="3540" spans="1:63" ht="12" customHeight="1" x14ac:dyDescent="0.15">
      <c r="A3540" s="1" t="s">
        <v>8393</v>
      </c>
      <c r="B3540" s="1">
        <v>29</v>
      </c>
      <c r="C3540" s="1" t="s">
        <v>20</v>
      </c>
      <c r="D3540" s="1" t="s">
        <v>85</v>
      </c>
      <c r="E3540" s="1" t="s">
        <v>8394</v>
      </c>
      <c r="F3540" s="72">
        <v>41843</v>
      </c>
      <c r="G3540" s="1" t="s">
        <v>8395</v>
      </c>
      <c r="H3540" s="1" t="s">
        <v>8396</v>
      </c>
      <c r="I3540" s="1" t="s">
        <v>62</v>
      </c>
      <c r="J3540" s="4" t="s">
        <v>8397</v>
      </c>
      <c r="K3540" s="1" t="s">
        <v>1061</v>
      </c>
      <c r="L3540" s="1" t="s">
        <v>4424</v>
      </c>
      <c r="M3540" s="1" t="s">
        <v>27</v>
      </c>
      <c r="N3540" s="1" t="s">
        <v>8398</v>
      </c>
      <c r="O3540" s="1" t="s">
        <v>1010</v>
      </c>
      <c r="P3540" s="1" t="s">
        <v>401</v>
      </c>
      <c r="Q3540" s="63" t="s">
        <v>8399</v>
      </c>
      <c r="R3540" s="1" t="s">
        <v>100</v>
      </c>
      <c r="S3540" s="13" t="s">
        <v>28</v>
      </c>
      <c r="AX3540" s="11"/>
      <c r="AY3540" s="11"/>
      <c r="BC3540" s="11"/>
      <c r="BD3540" s="11"/>
      <c r="BE3540" s="11"/>
      <c r="BF3540" s="11"/>
      <c r="BG3540" s="11"/>
      <c r="BH3540" s="11"/>
      <c r="BI3540" s="11"/>
      <c r="BJ3540" s="11"/>
    </row>
    <row r="3541" spans="1:63" ht="12" customHeight="1" x14ac:dyDescent="0.15">
      <c r="A3541" s="1" t="s">
        <v>8400</v>
      </c>
      <c r="B3541" s="1">
        <v>17</v>
      </c>
      <c r="C3541" s="1" t="s">
        <v>20</v>
      </c>
      <c r="D3541" s="1" t="s">
        <v>37</v>
      </c>
      <c r="E3541" s="1" t="s">
        <v>8401</v>
      </c>
      <c r="F3541" s="72">
        <v>41843</v>
      </c>
      <c r="G3541" s="1" t="s">
        <v>8402</v>
      </c>
      <c r="H3541" s="1" t="s">
        <v>8403</v>
      </c>
      <c r="I3541" s="1" t="s">
        <v>62</v>
      </c>
      <c r="J3541" s="4" t="s">
        <v>8404</v>
      </c>
      <c r="K3541" s="1" t="s">
        <v>8405</v>
      </c>
      <c r="L3541" s="1" t="s">
        <v>8406</v>
      </c>
      <c r="M3541" s="1" t="s">
        <v>379</v>
      </c>
      <c r="N3541" s="1" t="s">
        <v>8407</v>
      </c>
      <c r="O3541" s="1" t="s">
        <v>1010</v>
      </c>
      <c r="P3541" s="1" t="s">
        <v>401</v>
      </c>
      <c r="Q3541" s="63" t="s">
        <v>8408</v>
      </c>
      <c r="R3541" s="1" t="s">
        <v>100</v>
      </c>
      <c r="S3541" s="13" t="s">
        <v>28</v>
      </c>
    </row>
    <row r="3542" spans="1:63" ht="12" customHeight="1" x14ac:dyDescent="0.15">
      <c r="A3542" s="1" t="s">
        <v>8416</v>
      </c>
      <c r="B3542" s="1">
        <v>37</v>
      </c>
      <c r="C3542" s="1" t="s">
        <v>20</v>
      </c>
      <c r="D3542" s="1" t="s">
        <v>85</v>
      </c>
      <c r="E3542" s="1" t="s">
        <v>8417</v>
      </c>
      <c r="F3542" s="72">
        <v>41842</v>
      </c>
      <c r="G3542" s="1" t="s">
        <v>8418</v>
      </c>
      <c r="H3542" s="1" t="s">
        <v>8419</v>
      </c>
      <c r="I3542" s="1" t="s">
        <v>32</v>
      </c>
      <c r="J3542" s="4" t="s">
        <v>8420</v>
      </c>
      <c r="K3542" s="1" t="s">
        <v>822</v>
      </c>
      <c r="L3542" s="1" t="s">
        <v>5634</v>
      </c>
      <c r="M3542" s="1" t="s">
        <v>27</v>
      </c>
      <c r="N3542" s="1" t="s">
        <v>8421</v>
      </c>
      <c r="O3542" s="1" t="s">
        <v>550</v>
      </c>
      <c r="P3542" s="1" t="s">
        <v>401</v>
      </c>
      <c r="Q3542" s="63" t="s">
        <v>8422</v>
      </c>
      <c r="R3542" s="1" t="s">
        <v>100</v>
      </c>
      <c r="S3542" s="13" t="s">
        <v>28</v>
      </c>
      <c r="AX3542" s="11"/>
      <c r="AY3542" s="11"/>
      <c r="BC3542" s="11"/>
      <c r="BD3542" s="11"/>
      <c r="BE3542" s="11"/>
      <c r="BF3542" s="11"/>
      <c r="BG3542" s="11"/>
      <c r="BH3542" s="11"/>
      <c r="BI3542" s="11"/>
      <c r="BJ3542" s="11"/>
    </row>
    <row r="3543" spans="1:63" ht="12" customHeight="1" x14ac:dyDescent="0.15">
      <c r="A3543" s="1" t="s">
        <v>8430</v>
      </c>
      <c r="B3543" s="1">
        <v>29</v>
      </c>
      <c r="C3543" s="1" t="s">
        <v>20</v>
      </c>
      <c r="D3543" s="1" t="s">
        <v>48</v>
      </c>
      <c r="E3543" s="1" t="s">
        <v>8431</v>
      </c>
      <c r="F3543" s="72">
        <v>41842</v>
      </c>
      <c r="G3543" s="1" t="s">
        <v>8432</v>
      </c>
      <c r="H3543" s="1" t="s">
        <v>8433</v>
      </c>
      <c r="I3543" s="1" t="s">
        <v>73</v>
      </c>
      <c r="J3543" s="4" t="s">
        <v>8434</v>
      </c>
      <c r="K3543" s="1" t="s">
        <v>1394</v>
      </c>
      <c r="L3543" s="1" t="s">
        <v>8435</v>
      </c>
      <c r="M3543" s="1" t="s">
        <v>27</v>
      </c>
      <c r="N3543" s="1" t="s">
        <v>8436</v>
      </c>
      <c r="O3543" s="1" t="s">
        <v>1010</v>
      </c>
      <c r="P3543" s="1" t="s">
        <v>401</v>
      </c>
      <c r="Q3543" s="63" t="s">
        <v>8437</v>
      </c>
      <c r="R3543" s="1" t="s">
        <v>100</v>
      </c>
      <c r="S3543" s="13" t="s">
        <v>28</v>
      </c>
    </row>
    <row r="3544" spans="1:63" ht="12" customHeight="1" x14ac:dyDescent="0.15">
      <c r="A3544" s="1" t="s">
        <v>8438</v>
      </c>
      <c r="B3544" s="1">
        <v>33</v>
      </c>
      <c r="C3544" s="1" t="s">
        <v>20</v>
      </c>
      <c r="D3544" s="1" t="s">
        <v>37</v>
      </c>
      <c r="E3544" s="1" t="s">
        <v>8439</v>
      </c>
      <c r="F3544" s="72">
        <v>41842</v>
      </c>
      <c r="G3544" s="1" t="s">
        <v>8440</v>
      </c>
      <c r="H3544" s="1" t="s">
        <v>922</v>
      </c>
      <c r="I3544" s="1" t="s">
        <v>195</v>
      </c>
      <c r="J3544" s="4" t="s">
        <v>8441</v>
      </c>
      <c r="K3544" s="1" t="s">
        <v>467</v>
      </c>
      <c r="L3544" s="1" t="s">
        <v>4961</v>
      </c>
      <c r="M3544" s="1" t="s">
        <v>27</v>
      </c>
      <c r="N3544" s="1" t="s">
        <v>8442</v>
      </c>
      <c r="O3544" s="1" t="s">
        <v>1010</v>
      </c>
      <c r="P3544" s="1" t="s">
        <v>401</v>
      </c>
      <c r="Q3544" s="63" t="str">
        <f>HYPERLINK("http://www.koat.com/news/apd-involved-in-shooting-near-eubank-central/27095580","http://www.koat.com/news/apd-involved-in-shooting-near-eubank-central/27095580")</f>
        <v>http://www.koat.com/news/apd-involved-in-shooting-near-eubank-central/27095580</v>
      </c>
      <c r="R3544" s="1" t="s">
        <v>100</v>
      </c>
      <c r="S3544" s="13" t="s">
        <v>28</v>
      </c>
    </row>
    <row r="3545" spans="1:63" ht="12" customHeight="1" x14ac:dyDescent="0.15">
      <c r="A3545" s="1" t="s">
        <v>8423</v>
      </c>
      <c r="B3545" s="1">
        <v>19</v>
      </c>
      <c r="C3545" s="1" t="s">
        <v>20</v>
      </c>
      <c r="D3545" s="1" t="s">
        <v>85</v>
      </c>
      <c r="E3545" s="1" t="s">
        <v>8424</v>
      </c>
      <c r="F3545" s="72">
        <v>41842</v>
      </c>
      <c r="G3545" s="1" t="s">
        <v>8425</v>
      </c>
      <c r="H3545" s="1" t="s">
        <v>8426</v>
      </c>
      <c r="I3545" s="1" t="s">
        <v>52</v>
      </c>
      <c r="J3545" s="4" t="s">
        <v>8427</v>
      </c>
      <c r="K3545" s="1" t="s">
        <v>1592</v>
      </c>
      <c r="L3545" s="1" t="s">
        <v>231</v>
      </c>
      <c r="M3545" s="1" t="s">
        <v>27</v>
      </c>
      <c r="N3545" s="1" t="s">
        <v>8428</v>
      </c>
      <c r="O3545" s="1" t="s">
        <v>1010</v>
      </c>
      <c r="P3545" s="1" t="s">
        <v>401</v>
      </c>
      <c r="Q3545" s="63" t="s">
        <v>8429</v>
      </c>
      <c r="R3545" s="1" t="s">
        <v>100</v>
      </c>
      <c r="S3545" s="13" t="s">
        <v>18</v>
      </c>
      <c r="AX3545" s="11"/>
      <c r="AY3545" s="11"/>
      <c r="BC3545" s="11"/>
      <c r="BD3545" s="11"/>
      <c r="BE3545" s="11"/>
      <c r="BF3545" s="11"/>
      <c r="BG3545" s="11"/>
      <c r="BH3545" s="11"/>
      <c r="BI3545" s="11"/>
      <c r="BJ3545" s="11"/>
    </row>
    <row r="3546" spans="1:63" ht="12" customHeight="1" x14ac:dyDescent="0.15">
      <c r="A3546" s="1" t="s">
        <v>8409</v>
      </c>
      <c r="B3546" s="1">
        <v>29</v>
      </c>
      <c r="C3546" s="1" t="s">
        <v>20</v>
      </c>
      <c r="D3546" s="1" t="s">
        <v>85</v>
      </c>
      <c r="E3546" s="1" t="s">
        <v>8410</v>
      </c>
      <c r="F3546" s="72">
        <v>41842</v>
      </c>
      <c r="G3546" s="1" t="s">
        <v>8411</v>
      </c>
      <c r="H3546" s="1" t="s">
        <v>8412</v>
      </c>
      <c r="I3546" s="1" t="s">
        <v>173</v>
      </c>
      <c r="J3546" s="4" t="s">
        <v>8413</v>
      </c>
      <c r="K3546" s="1" t="s">
        <v>1117</v>
      </c>
      <c r="L3546" s="1" t="s">
        <v>8414</v>
      </c>
      <c r="M3546" s="1" t="s">
        <v>27</v>
      </c>
      <c r="N3546" s="1" t="s">
        <v>8415</v>
      </c>
      <c r="O3546" s="1" t="s">
        <v>400</v>
      </c>
      <c r="P3546" s="1" t="s">
        <v>401</v>
      </c>
      <c r="Q3546" s="6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3546" s="1" t="s">
        <v>100</v>
      </c>
      <c r="S3546" s="13" t="s">
        <v>379</v>
      </c>
      <c r="AX3546" s="11"/>
      <c r="AY3546" s="11"/>
      <c r="BC3546" s="11"/>
      <c r="BD3546" s="11"/>
      <c r="BE3546" s="11"/>
      <c r="BF3546" s="11"/>
      <c r="BG3546" s="11"/>
      <c r="BH3546" s="11"/>
      <c r="BI3546" s="11"/>
      <c r="BJ3546" s="11"/>
      <c r="BK3546" s="44"/>
    </row>
    <row r="3547" spans="1:63" ht="12" customHeight="1" x14ac:dyDescent="0.2">
      <c r="A3547" s="66" t="s">
        <v>30682</v>
      </c>
      <c r="B3547" s="66">
        <v>25</v>
      </c>
      <c r="C3547" s="66" t="s">
        <v>20</v>
      </c>
      <c r="D3547" s="66" t="s">
        <v>37</v>
      </c>
      <c r="E3547" s="66"/>
      <c r="F3547" s="69">
        <v>41842</v>
      </c>
      <c r="G3547" s="66" t="s">
        <v>30683</v>
      </c>
      <c r="H3547" s="66" t="s">
        <v>8495</v>
      </c>
      <c r="I3547" s="66" t="s">
        <v>62</v>
      </c>
      <c r="J3547" s="66">
        <v>32619</v>
      </c>
      <c r="K3547" s="66" t="s">
        <v>30684</v>
      </c>
      <c r="L3547" s="66" t="s">
        <v>15981</v>
      </c>
      <c r="M3547" s="66" t="s">
        <v>27</v>
      </c>
      <c r="N3547" s="66" t="s">
        <v>30685</v>
      </c>
      <c r="O3547" s="66" t="s">
        <v>1010</v>
      </c>
      <c r="P3547" s="66" t="s">
        <v>30375</v>
      </c>
      <c r="Q3547" s="76" t="s">
        <v>30686</v>
      </c>
      <c r="R3547" s="66" t="s">
        <v>555</v>
      </c>
      <c r="S3547" s="66" t="s">
        <v>28</v>
      </c>
      <c r="T3547" s="77"/>
      <c r="U3547" s="77"/>
      <c r="V3547" s="77"/>
      <c r="W3547" s="77"/>
      <c r="X3547" s="77"/>
      <c r="Y3547" s="66"/>
      <c r="Z3547" s="66"/>
      <c r="AA3547" s="66"/>
      <c r="AB3547" s="66"/>
      <c r="AC3547" s="66"/>
      <c r="AD3547" s="66"/>
      <c r="AE3547" s="66"/>
      <c r="AF3547" s="66"/>
      <c r="AG3547" s="66"/>
      <c r="AH3547" s="66"/>
      <c r="AI3547" s="66"/>
      <c r="AJ3547" s="66"/>
      <c r="AK3547" s="66"/>
      <c r="AL3547" s="66"/>
      <c r="AM3547" s="66"/>
      <c r="AN3547" s="66"/>
      <c r="AO3547" s="66"/>
      <c r="AP3547" s="66"/>
      <c r="AQ3547" s="66"/>
      <c r="AR3547" s="66"/>
      <c r="AS3547" s="66"/>
      <c r="AT3547" s="66"/>
      <c r="AU3547" s="66"/>
      <c r="AV3547" s="78"/>
      <c r="AW3547" s="78"/>
      <c r="AX3547" s="78"/>
      <c r="AY3547" s="78"/>
      <c r="AZ3547" s="78"/>
      <c r="BA3547" s="78"/>
      <c r="BB3547" s="78"/>
      <c r="BC3547" s="78"/>
      <c r="BD3547" s="78"/>
      <c r="BE3547" s="78"/>
      <c r="BF3547" s="78"/>
      <c r="BG3547" s="78"/>
      <c r="BH3547" s="78"/>
      <c r="BI3547" s="78"/>
      <c r="BJ3547" s="78"/>
    </row>
    <row r="3548" spans="1:63" ht="12" customHeight="1" x14ac:dyDescent="0.15">
      <c r="A3548" s="1" t="s">
        <v>8443</v>
      </c>
      <c r="B3548" s="1">
        <v>54</v>
      </c>
      <c r="C3548" s="1" t="s">
        <v>20</v>
      </c>
      <c r="D3548" s="1" t="s">
        <v>85</v>
      </c>
      <c r="F3548" s="72">
        <v>41841</v>
      </c>
      <c r="G3548" s="1" t="s">
        <v>8444</v>
      </c>
      <c r="H3548" s="1" t="s">
        <v>2355</v>
      </c>
      <c r="I3548" s="1" t="s">
        <v>52</v>
      </c>
      <c r="J3548" s="4" t="s">
        <v>8445</v>
      </c>
      <c r="K3548" s="1" t="s">
        <v>1056</v>
      </c>
      <c r="L3548" s="1" t="s">
        <v>2357</v>
      </c>
      <c r="M3548" s="1" t="s">
        <v>27</v>
      </c>
      <c r="N3548" s="1" t="s">
        <v>8446</v>
      </c>
      <c r="O3548" s="1" t="s">
        <v>1010</v>
      </c>
      <c r="P3548" s="1" t="s">
        <v>401</v>
      </c>
      <c r="Q3548" s="63" t="s">
        <v>8447</v>
      </c>
      <c r="R3548" s="1" t="s">
        <v>555</v>
      </c>
      <c r="S3548" s="13" t="s">
        <v>28</v>
      </c>
      <c r="AX3548" s="11"/>
      <c r="AY3548" s="11"/>
      <c r="BC3548" s="11"/>
      <c r="BD3548" s="11"/>
      <c r="BE3548" s="11"/>
      <c r="BF3548" s="11"/>
      <c r="BG3548" s="11"/>
      <c r="BH3548" s="11"/>
      <c r="BI3548" s="11"/>
      <c r="BJ3548" s="11"/>
    </row>
    <row r="3549" spans="1:63" ht="12" customHeight="1" x14ac:dyDescent="0.15">
      <c r="A3549" s="1" t="s">
        <v>8448</v>
      </c>
      <c r="B3549" s="1">
        <v>28</v>
      </c>
      <c r="C3549" s="1" t="s">
        <v>20</v>
      </c>
      <c r="D3549" s="1" t="s">
        <v>37</v>
      </c>
      <c r="F3549" s="72">
        <v>41840</v>
      </c>
      <c r="G3549" s="1" t="s">
        <v>8449</v>
      </c>
      <c r="H3549" s="1" t="s">
        <v>2534</v>
      </c>
      <c r="I3549" s="1" t="s">
        <v>303</v>
      </c>
      <c r="J3549" s="4" t="s">
        <v>8450</v>
      </c>
      <c r="K3549" s="1" t="s">
        <v>1209</v>
      </c>
      <c r="L3549" s="1" t="s">
        <v>3467</v>
      </c>
      <c r="M3549" s="1" t="s">
        <v>27</v>
      </c>
      <c r="N3549" s="1" t="s">
        <v>8451</v>
      </c>
      <c r="O3549" s="1" t="s">
        <v>1010</v>
      </c>
      <c r="P3549" s="1" t="s">
        <v>401</v>
      </c>
      <c r="Q3549" s="63" t="str">
        <f>HYPERLINK("http://www.kentreporter.com/news/272307371.html","http://www.kentreporter.com/news/272307371.html#")</f>
        <v>http://www.kentreporter.com/news/272307371.html#</v>
      </c>
      <c r="R3549" s="1" t="s">
        <v>100</v>
      </c>
      <c r="S3549" s="13" t="s">
        <v>28</v>
      </c>
    </row>
    <row r="3550" spans="1:63" ht="12" customHeight="1" x14ac:dyDescent="0.15">
      <c r="A3550" s="1" t="s">
        <v>8452</v>
      </c>
      <c r="B3550" s="1">
        <v>52</v>
      </c>
      <c r="C3550" s="1" t="s">
        <v>20</v>
      </c>
      <c r="D3550" s="1" t="s">
        <v>37</v>
      </c>
      <c r="F3550" s="72">
        <v>41840</v>
      </c>
      <c r="G3550" s="1" t="s">
        <v>8453</v>
      </c>
      <c r="H3550" s="1" t="s">
        <v>8454</v>
      </c>
      <c r="I3550" s="1" t="s">
        <v>94</v>
      </c>
      <c r="J3550" s="4" t="s">
        <v>8455</v>
      </c>
      <c r="K3550" s="1" t="s">
        <v>3707</v>
      </c>
      <c r="L3550" s="1" t="s">
        <v>8456</v>
      </c>
      <c r="M3550" s="1" t="s">
        <v>27</v>
      </c>
      <c r="N3550" s="1" t="s">
        <v>8457</v>
      </c>
      <c r="O3550" s="1" t="s">
        <v>1158</v>
      </c>
      <c r="P3550" s="1" t="s">
        <v>1159</v>
      </c>
      <c r="Q3550" s="63" t="s">
        <v>8458</v>
      </c>
      <c r="R3550" s="1" t="s">
        <v>100</v>
      </c>
      <c r="S3550" s="13" t="s">
        <v>18</v>
      </c>
    </row>
    <row r="3551" spans="1:63" ht="12" customHeight="1" x14ac:dyDescent="0.15">
      <c r="A3551" s="1" t="s">
        <v>8459</v>
      </c>
      <c r="B3551" s="1">
        <v>41</v>
      </c>
      <c r="C3551" s="1" t="s">
        <v>20</v>
      </c>
      <c r="D3551" s="1" t="s">
        <v>48</v>
      </c>
      <c r="F3551" s="72">
        <v>41839</v>
      </c>
      <c r="G3551" s="1" t="s">
        <v>8460</v>
      </c>
      <c r="H3551" s="1" t="s">
        <v>87</v>
      </c>
      <c r="I3551" s="1" t="s">
        <v>44</v>
      </c>
      <c r="J3551" s="4" t="s">
        <v>8461</v>
      </c>
      <c r="K3551" s="1" t="s">
        <v>88</v>
      </c>
      <c r="L3551" s="1" t="s">
        <v>89</v>
      </c>
      <c r="M3551" s="1" t="s">
        <v>391</v>
      </c>
      <c r="N3551" s="1" t="s">
        <v>8462</v>
      </c>
      <c r="O3551" s="1" t="s">
        <v>1010</v>
      </c>
      <c r="P3551" s="1" t="s">
        <v>401</v>
      </c>
      <c r="Q3551" s="63" t="s">
        <v>8463</v>
      </c>
      <c r="R3551" s="1" t="s">
        <v>100</v>
      </c>
      <c r="S3551" s="13" t="s">
        <v>18</v>
      </c>
      <c r="AU3551" s="11"/>
      <c r="AV3551" s="11"/>
      <c r="AW3551" s="11"/>
    </row>
    <row r="3552" spans="1:63" ht="12" customHeight="1" x14ac:dyDescent="0.15">
      <c r="A3552" s="1" t="s">
        <v>8464</v>
      </c>
      <c r="B3552" s="1">
        <v>25</v>
      </c>
      <c r="C3552" s="1" t="s">
        <v>20</v>
      </c>
      <c r="D3552" s="1" t="s">
        <v>85</v>
      </c>
      <c r="E3552" s="1" t="s">
        <v>8465</v>
      </c>
      <c r="F3552" s="72">
        <v>41838</v>
      </c>
      <c r="G3552" s="1" t="s">
        <v>8466</v>
      </c>
      <c r="H3552" s="1" t="s">
        <v>3905</v>
      </c>
      <c r="I3552" s="1" t="s">
        <v>123</v>
      </c>
      <c r="J3552" s="4" t="s">
        <v>3906</v>
      </c>
      <c r="K3552" s="1" t="s">
        <v>633</v>
      </c>
      <c r="L3552" s="1" t="s">
        <v>3907</v>
      </c>
      <c r="M3552" s="1" t="s">
        <v>27</v>
      </c>
      <c r="N3552" s="1" t="s">
        <v>8467</v>
      </c>
      <c r="O3552" s="1" t="s">
        <v>1010</v>
      </c>
      <c r="P3552" s="1" t="s">
        <v>401</v>
      </c>
      <c r="Q3552" s="6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3552" s="1" t="s">
        <v>100</v>
      </c>
      <c r="S3552" s="13" t="s">
        <v>28</v>
      </c>
      <c r="AX3552" s="11"/>
      <c r="AY3552" s="11"/>
      <c r="BC3552" s="11"/>
      <c r="BD3552" s="11"/>
      <c r="BE3552" s="11"/>
      <c r="BF3552" s="11"/>
      <c r="BG3552" s="11"/>
      <c r="BH3552" s="11"/>
      <c r="BI3552" s="11"/>
      <c r="BJ3552" s="11"/>
    </row>
    <row r="3553" spans="1:62" ht="12" customHeight="1" x14ac:dyDescent="0.15">
      <c r="A3553" s="1" t="s">
        <v>8468</v>
      </c>
      <c r="B3553" s="1">
        <v>5</v>
      </c>
      <c r="C3553" s="1" t="s">
        <v>114</v>
      </c>
      <c r="D3553" s="1" t="s">
        <v>37</v>
      </c>
      <c r="E3553" s="1" t="s">
        <v>8469</v>
      </c>
      <c r="F3553" s="72">
        <v>41838</v>
      </c>
      <c r="G3553" s="1" t="s">
        <v>8470</v>
      </c>
      <c r="H3553" s="1" t="s">
        <v>8471</v>
      </c>
      <c r="I3553" s="1" t="s">
        <v>363</v>
      </c>
      <c r="J3553" s="4" t="s">
        <v>8472</v>
      </c>
      <c r="K3553" s="1" t="s">
        <v>8471</v>
      </c>
      <c r="L3553" s="1" t="s">
        <v>8473</v>
      </c>
      <c r="M3553" s="1" t="s">
        <v>27</v>
      </c>
      <c r="N3553" s="1" t="s">
        <v>8474</v>
      </c>
      <c r="O3553" s="1" t="s">
        <v>1010</v>
      </c>
      <c r="P3553" s="1" t="s">
        <v>401</v>
      </c>
      <c r="Q3553" s="63" t="s">
        <v>8475</v>
      </c>
      <c r="R3553" s="1" t="s">
        <v>100</v>
      </c>
      <c r="S3553" s="13" t="s">
        <v>18</v>
      </c>
    </row>
    <row r="3554" spans="1:62" ht="12" customHeight="1" x14ac:dyDescent="0.15">
      <c r="A3554" s="1" t="s">
        <v>8476</v>
      </c>
      <c r="B3554" s="1">
        <v>34</v>
      </c>
      <c r="C3554" s="1" t="s">
        <v>20</v>
      </c>
      <c r="D3554" s="1" t="s">
        <v>37</v>
      </c>
      <c r="F3554" s="72">
        <v>41838</v>
      </c>
      <c r="G3554" s="1" t="s">
        <v>8477</v>
      </c>
      <c r="H3554" s="1" t="s">
        <v>268</v>
      </c>
      <c r="I3554" s="1" t="s">
        <v>269</v>
      </c>
      <c r="J3554" s="4" t="s">
        <v>8478</v>
      </c>
      <c r="K3554" s="1" t="s">
        <v>570</v>
      </c>
      <c r="L3554" s="1" t="s">
        <v>270</v>
      </c>
      <c r="M3554" s="1" t="s">
        <v>27</v>
      </c>
      <c r="N3554" s="1" t="s">
        <v>8479</v>
      </c>
      <c r="O3554" s="1" t="s">
        <v>1010</v>
      </c>
      <c r="P3554" s="1" t="s">
        <v>401</v>
      </c>
      <c r="Q3554" s="63" t="str">
        <f>HYPERLINK("http://www.fox5vegas.com/story/26071249/coroner-identifies-man-shot-by-nlv-police","http://www.fox5vegas.com/story/26071249/coroner-identifies-man-shot-by-nlv-police")</f>
        <v>http://www.fox5vegas.com/story/26071249/coroner-identifies-man-shot-by-nlv-police</v>
      </c>
      <c r="R3554" s="1" t="s">
        <v>100</v>
      </c>
      <c r="S3554" s="13" t="s">
        <v>18</v>
      </c>
    </row>
    <row r="3555" spans="1:62" ht="12" customHeight="1" x14ac:dyDescent="0.15">
      <c r="A3555" s="1" t="s">
        <v>8499</v>
      </c>
      <c r="B3555" s="1">
        <v>71</v>
      </c>
      <c r="C3555" s="1" t="s">
        <v>20</v>
      </c>
      <c r="D3555" s="1" t="s">
        <v>37</v>
      </c>
      <c r="F3555" s="72">
        <v>41837</v>
      </c>
      <c r="G3555" s="1" t="s">
        <v>8500</v>
      </c>
      <c r="H3555" s="1" t="s">
        <v>5312</v>
      </c>
      <c r="I3555" s="1" t="s">
        <v>117</v>
      </c>
      <c r="J3555" s="4" t="s">
        <v>8501</v>
      </c>
      <c r="K3555" s="1" t="s">
        <v>938</v>
      </c>
      <c r="L3555" s="1" t="s">
        <v>8502</v>
      </c>
      <c r="M3555" s="1" t="s">
        <v>27</v>
      </c>
      <c r="N3555" s="1" t="s">
        <v>8503</v>
      </c>
      <c r="O3555" s="1" t="s">
        <v>1010</v>
      </c>
      <c r="P3555" s="1" t="s">
        <v>401</v>
      </c>
      <c r="Q3555" s="63" t="s">
        <v>8504</v>
      </c>
      <c r="R3555" s="1" t="s">
        <v>100</v>
      </c>
      <c r="S3555" s="13" t="s">
        <v>28</v>
      </c>
    </row>
    <row r="3556" spans="1:62" ht="12" customHeight="1" x14ac:dyDescent="0.2">
      <c r="A3556" s="1" t="s">
        <v>8485</v>
      </c>
      <c r="B3556" s="1" t="s">
        <v>8486</v>
      </c>
      <c r="C3556" s="1" t="s">
        <v>20</v>
      </c>
      <c r="D3556" s="1" t="s">
        <v>85</v>
      </c>
      <c r="E3556" s="1" t="s">
        <v>8487</v>
      </c>
      <c r="F3556" s="72">
        <v>41837</v>
      </c>
      <c r="G3556" s="1" t="s">
        <v>8488</v>
      </c>
      <c r="H3556" s="1" t="s">
        <v>754</v>
      </c>
      <c r="I3556" s="1" t="s">
        <v>423</v>
      </c>
      <c r="J3556" s="4" t="s">
        <v>8489</v>
      </c>
      <c r="K3556" s="1" t="s">
        <v>754</v>
      </c>
      <c r="L3556" s="1" t="s">
        <v>582</v>
      </c>
      <c r="M3556" s="1" t="s">
        <v>12821</v>
      </c>
      <c r="N3556" s="1" t="s">
        <v>20991</v>
      </c>
      <c r="O3556" s="1" t="s">
        <v>550</v>
      </c>
      <c r="P3556" s="1" t="s">
        <v>401</v>
      </c>
      <c r="Q3556" s="63" t="s">
        <v>8490</v>
      </c>
      <c r="R3556" s="1" t="s">
        <v>100</v>
      </c>
      <c r="S3556" s="13" t="s">
        <v>18</v>
      </c>
      <c r="AU3556" s="70"/>
      <c r="AV3556" s="70"/>
      <c r="AW3556" s="70"/>
      <c r="AX3556" s="44"/>
      <c r="AY3556" s="44"/>
      <c r="BC3556" s="11"/>
      <c r="BD3556" s="11"/>
      <c r="BE3556" s="11"/>
      <c r="BF3556" s="11"/>
      <c r="BG3556" s="11"/>
      <c r="BH3556" s="11"/>
      <c r="BI3556" s="11"/>
      <c r="BJ3556" s="11"/>
    </row>
    <row r="3557" spans="1:62" ht="12" customHeight="1" x14ac:dyDescent="0.15">
      <c r="A3557" s="1" t="s">
        <v>8480</v>
      </c>
      <c r="B3557" s="1">
        <v>36</v>
      </c>
      <c r="C3557" s="1" t="s">
        <v>20</v>
      </c>
      <c r="D3557" s="1" t="s">
        <v>85</v>
      </c>
      <c r="F3557" s="72">
        <v>41837</v>
      </c>
      <c r="G3557" s="1" t="s">
        <v>8481</v>
      </c>
      <c r="H3557" s="1" t="s">
        <v>248</v>
      </c>
      <c r="I3557" s="1" t="s">
        <v>45</v>
      </c>
      <c r="J3557" s="4" t="s">
        <v>8482</v>
      </c>
      <c r="K3557" s="1" t="s">
        <v>602</v>
      </c>
      <c r="L3557" s="1" t="s">
        <v>249</v>
      </c>
      <c r="M3557" s="1" t="s">
        <v>27</v>
      </c>
      <c r="N3557" s="1" t="s">
        <v>8483</v>
      </c>
      <c r="O3557" s="1" t="s">
        <v>1010</v>
      </c>
      <c r="P3557" s="1" t="s">
        <v>401</v>
      </c>
      <c r="Q3557" s="63" t="s">
        <v>8484</v>
      </c>
      <c r="R3557" s="1" t="s">
        <v>29</v>
      </c>
      <c r="S3557" s="13" t="s">
        <v>18</v>
      </c>
      <c r="AX3557" s="11"/>
      <c r="AY3557" s="11"/>
      <c r="BC3557" s="11"/>
      <c r="BD3557" s="11"/>
      <c r="BE3557" s="11"/>
      <c r="BF3557" s="11"/>
      <c r="BG3557" s="11"/>
      <c r="BH3557" s="11"/>
      <c r="BI3557" s="11"/>
      <c r="BJ3557" s="11"/>
    </row>
    <row r="3558" spans="1:62" ht="12" customHeight="1" x14ac:dyDescent="0.15">
      <c r="A3558" s="1" t="s">
        <v>8491</v>
      </c>
      <c r="B3558" s="1">
        <v>49</v>
      </c>
      <c r="C3558" s="1" t="s">
        <v>20</v>
      </c>
      <c r="D3558" s="1" t="s">
        <v>30</v>
      </c>
      <c r="F3558" s="72">
        <v>41837</v>
      </c>
      <c r="G3558" s="1" t="s">
        <v>8492</v>
      </c>
      <c r="H3558" s="1" t="s">
        <v>8493</v>
      </c>
      <c r="I3558" s="1" t="s">
        <v>73</v>
      </c>
      <c r="J3558" s="4" t="s">
        <v>8494</v>
      </c>
      <c r="K3558" s="1" t="s">
        <v>8495</v>
      </c>
      <c r="L3558" s="1" t="s">
        <v>8496</v>
      </c>
      <c r="M3558" s="1" t="s">
        <v>27</v>
      </c>
      <c r="N3558" s="1" t="s">
        <v>8497</v>
      </c>
      <c r="O3558" s="1" t="s">
        <v>400</v>
      </c>
      <c r="P3558" s="1" t="s">
        <v>401</v>
      </c>
      <c r="Q3558" s="63" t="s">
        <v>8498</v>
      </c>
      <c r="R3558" s="1" t="s">
        <v>555</v>
      </c>
      <c r="S3558" s="13" t="s">
        <v>28</v>
      </c>
      <c r="BA3558" s="11"/>
      <c r="BB3558" s="11"/>
    </row>
    <row r="3559" spans="1:62" ht="12" customHeight="1" x14ac:dyDescent="0.15">
      <c r="A3559" s="1" t="s">
        <v>8513</v>
      </c>
      <c r="B3559" s="1">
        <v>27</v>
      </c>
      <c r="C3559" s="1" t="s">
        <v>20</v>
      </c>
      <c r="D3559" s="1" t="s">
        <v>48</v>
      </c>
      <c r="E3559" s="1" t="s">
        <v>8514</v>
      </c>
      <c r="F3559" s="72">
        <v>41836</v>
      </c>
      <c r="G3559" s="1" t="s">
        <v>8515</v>
      </c>
      <c r="H3559" s="1" t="s">
        <v>1760</v>
      </c>
      <c r="I3559" s="1" t="s">
        <v>45</v>
      </c>
      <c r="J3559" s="4" t="s">
        <v>4619</v>
      </c>
      <c r="K3559" s="1" t="s">
        <v>1762</v>
      </c>
      <c r="L3559" s="1" t="s">
        <v>1763</v>
      </c>
      <c r="M3559" s="1" t="s">
        <v>27</v>
      </c>
      <c r="N3559" s="1" t="s">
        <v>8516</v>
      </c>
      <c r="O3559" s="1" t="s">
        <v>1010</v>
      </c>
      <c r="P3559" s="1" t="s">
        <v>401</v>
      </c>
      <c r="Q3559" s="63" t="s">
        <v>8517</v>
      </c>
      <c r="R3559" s="1" t="s">
        <v>100</v>
      </c>
      <c r="S3559" s="13" t="s">
        <v>28</v>
      </c>
    </row>
    <row r="3560" spans="1:62" ht="12" customHeight="1" x14ac:dyDescent="0.15">
      <c r="A3560" s="1" t="s">
        <v>8518</v>
      </c>
      <c r="B3560" s="1">
        <v>30</v>
      </c>
      <c r="C3560" s="1" t="s">
        <v>20</v>
      </c>
      <c r="D3560" s="1" t="s">
        <v>48</v>
      </c>
      <c r="E3560" s="1" t="s">
        <v>8514</v>
      </c>
      <c r="F3560" s="72">
        <v>41836</v>
      </c>
      <c r="G3560" s="1" t="s">
        <v>8515</v>
      </c>
      <c r="H3560" s="1" t="s">
        <v>1760</v>
      </c>
      <c r="I3560" s="1" t="s">
        <v>45</v>
      </c>
      <c r="J3560" s="4" t="s">
        <v>4619</v>
      </c>
      <c r="K3560" s="1" t="s">
        <v>1762</v>
      </c>
      <c r="L3560" s="1" t="s">
        <v>1763</v>
      </c>
      <c r="M3560" s="1" t="s">
        <v>27</v>
      </c>
      <c r="N3560" s="1" t="s">
        <v>8516</v>
      </c>
      <c r="O3560" s="1" t="s">
        <v>1010</v>
      </c>
      <c r="P3560" s="1" t="s">
        <v>401</v>
      </c>
      <c r="Q3560" s="63" t="s">
        <v>8517</v>
      </c>
      <c r="R3560" s="1" t="s">
        <v>100</v>
      </c>
      <c r="S3560" s="13" t="s">
        <v>28</v>
      </c>
    </row>
    <row r="3561" spans="1:62" ht="12" customHeight="1" x14ac:dyDescent="0.15">
      <c r="A3561" s="1" t="s">
        <v>8519</v>
      </c>
      <c r="B3561" s="1">
        <v>41</v>
      </c>
      <c r="C3561" s="1" t="s">
        <v>114</v>
      </c>
      <c r="D3561" s="1" t="s">
        <v>37</v>
      </c>
      <c r="E3561" s="1" t="s">
        <v>8520</v>
      </c>
      <c r="F3561" s="72">
        <v>41836</v>
      </c>
      <c r="G3561" s="1" t="s">
        <v>8521</v>
      </c>
      <c r="H3561" s="1" t="s">
        <v>1760</v>
      </c>
      <c r="I3561" s="1" t="s">
        <v>45</v>
      </c>
      <c r="J3561" s="4" t="s">
        <v>8522</v>
      </c>
      <c r="K3561" s="1" t="s">
        <v>1762</v>
      </c>
      <c r="L3561" s="1" t="s">
        <v>1763</v>
      </c>
      <c r="M3561" s="1" t="s">
        <v>27</v>
      </c>
      <c r="N3561" s="1" t="s">
        <v>8523</v>
      </c>
      <c r="O3561" s="1" t="s">
        <v>400</v>
      </c>
      <c r="P3561" s="1" t="s">
        <v>401</v>
      </c>
      <c r="Q3561" s="63" t="s">
        <v>8524</v>
      </c>
      <c r="R3561" s="1" t="s">
        <v>100</v>
      </c>
      <c r="S3561" s="13" t="s">
        <v>18</v>
      </c>
    </row>
    <row r="3562" spans="1:62" ht="12" customHeight="1" x14ac:dyDescent="0.15">
      <c r="A3562" s="1" t="s">
        <v>8505</v>
      </c>
      <c r="B3562" s="1">
        <v>23</v>
      </c>
      <c r="C3562" s="1" t="s">
        <v>20</v>
      </c>
      <c r="D3562" s="1" t="s">
        <v>85</v>
      </c>
      <c r="F3562" s="72">
        <v>41836</v>
      </c>
      <c r="G3562" s="1" t="s">
        <v>8506</v>
      </c>
      <c r="H3562" s="1" t="s">
        <v>8507</v>
      </c>
      <c r="I3562" s="1" t="s">
        <v>57</v>
      </c>
      <c r="J3562" s="4" t="s">
        <v>8508</v>
      </c>
      <c r="K3562" s="1" t="s">
        <v>8509</v>
      </c>
      <c r="L3562" s="1" t="s">
        <v>8510</v>
      </c>
      <c r="M3562" s="1" t="s">
        <v>27</v>
      </c>
      <c r="N3562" s="1" t="s">
        <v>8511</v>
      </c>
      <c r="O3562" s="1" t="s">
        <v>1010</v>
      </c>
      <c r="P3562" s="1" t="s">
        <v>401</v>
      </c>
      <c r="Q3562" s="63" t="s">
        <v>8512</v>
      </c>
      <c r="R3562" s="1" t="s">
        <v>29</v>
      </c>
      <c r="S3562" s="13" t="s">
        <v>379</v>
      </c>
      <c r="AX3562" s="11"/>
      <c r="AY3562" s="11"/>
      <c r="BC3562" s="11"/>
      <c r="BD3562" s="11"/>
      <c r="BE3562" s="11"/>
      <c r="BF3562" s="11"/>
      <c r="BG3562" s="11"/>
      <c r="BH3562" s="11"/>
      <c r="BI3562" s="11"/>
      <c r="BJ3562" s="11"/>
    </row>
    <row r="3563" spans="1:62" ht="12" customHeight="1" x14ac:dyDescent="0.15">
      <c r="A3563" s="1" t="s">
        <v>8525</v>
      </c>
      <c r="B3563" s="1">
        <v>24</v>
      </c>
      <c r="C3563" s="1" t="s">
        <v>20</v>
      </c>
      <c r="D3563" s="1" t="s">
        <v>37</v>
      </c>
      <c r="E3563" s="1" t="s">
        <v>8526</v>
      </c>
      <c r="F3563" s="72">
        <v>41835</v>
      </c>
      <c r="G3563" s="1" t="s">
        <v>8527</v>
      </c>
      <c r="H3563" s="1" t="s">
        <v>8528</v>
      </c>
      <c r="I3563" s="1" t="s">
        <v>319</v>
      </c>
      <c r="J3563" s="4" t="s">
        <v>8529</v>
      </c>
      <c r="K3563" s="1" t="s">
        <v>1193</v>
      </c>
      <c r="L3563" s="1" t="s">
        <v>8530</v>
      </c>
      <c r="M3563" s="1" t="s">
        <v>27</v>
      </c>
      <c r="N3563" s="1" t="s">
        <v>8531</v>
      </c>
      <c r="O3563" s="1" t="s">
        <v>1010</v>
      </c>
      <c r="P3563" s="1" t="s">
        <v>401</v>
      </c>
      <c r="Q3563" s="63" t="s">
        <v>8532</v>
      </c>
      <c r="R3563" s="1" t="s">
        <v>555</v>
      </c>
      <c r="S3563" s="13" t="s">
        <v>28</v>
      </c>
      <c r="BA3563" s="11"/>
      <c r="BB3563" s="11"/>
    </row>
    <row r="3564" spans="1:62" ht="12" customHeight="1" x14ac:dyDescent="0.15">
      <c r="A3564" s="1" t="s">
        <v>8538</v>
      </c>
      <c r="B3564" s="1">
        <v>46</v>
      </c>
      <c r="C3564" s="1" t="s">
        <v>20</v>
      </c>
      <c r="D3564" s="1" t="s">
        <v>37</v>
      </c>
      <c r="E3564" s="1" t="s">
        <v>8539</v>
      </c>
      <c r="F3564" s="72">
        <v>41834</v>
      </c>
      <c r="G3564" s="1" t="s">
        <v>8540</v>
      </c>
      <c r="H3564" s="1" t="s">
        <v>8541</v>
      </c>
      <c r="I3564" s="1" t="s">
        <v>57</v>
      </c>
      <c r="J3564" s="4" t="s">
        <v>8542</v>
      </c>
      <c r="K3564" s="1" t="s">
        <v>8543</v>
      </c>
      <c r="L3564" s="1" t="s">
        <v>8544</v>
      </c>
      <c r="M3564" s="1" t="s">
        <v>27</v>
      </c>
      <c r="N3564" s="1" t="s">
        <v>8545</v>
      </c>
      <c r="O3564" s="1" t="s">
        <v>550</v>
      </c>
      <c r="P3564" s="1" t="s">
        <v>401</v>
      </c>
      <c r="Q3564" s="63" t="s">
        <v>8546</v>
      </c>
      <c r="R3564" s="11" t="s">
        <v>964</v>
      </c>
      <c r="S3564" s="13" t="s">
        <v>18</v>
      </c>
    </row>
    <row r="3565" spans="1:62" ht="12" customHeight="1" x14ac:dyDescent="0.15">
      <c r="A3565" s="1" t="s">
        <v>8547</v>
      </c>
      <c r="B3565" s="1">
        <v>34</v>
      </c>
      <c r="C3565" s="1" t="s">
        <v>20</v>
      </c>
      <c r="D3565" s="1" t="s">
        <v>37</v>
      </c>
      <c r="E3565" s="1" t="s">
        <v>8548</v>
      </c>
      <c r="F3565" s="72">
        <v>41834</v>
      </c>
      <c r="G3565" s="1" t="s">
        <v>8549</v>
      </c>
      <c r="H3565" s="1" t="s">
        <v>8550</v>
      </c>
      <c r="I3565" s="1" t="s">
        <v>73</v>
      </c>
      <c r="J3565" s="4" t="s">
        <v>8551</v>
      </c>
      <c r="K3565" s="1" t="s">
        <v>683</v>
      </c>
      <c r="L3565" s="1" t="s">
        <v>8552</v>
      </c>
      <c r="M3565" s="1" t="s">
        <v>27</v>
      </c>
      <c r="N3565" s="1" t="s">
        <v>8553</v>
      </c>
      <c r="O3565" s="1" t="s">
        <v>1010</v>
      </c>
      <c r="P3565" s="1" t="s">
        <v>401</v>
      </c>
      <c r="Q3565" s="63" t="s">
        <v>8554</v>
      </c>
      <c r="R3565" s="1" t="s">
        <v>100</v>
      </c>
      <c r="S3565" s="13" t="s">
        <v>28</v>
      </c>
    </row>
    <row r="3566" spans="1:62" ht="12" customHeight="1" x14ac:dyDescent="0.15">
      <c r="A3566" s="1" t="s">
        <v>8533</v>
      </c>
      <c r="B3566" s="1">
        <v>47</v>
      </c>
      <c r="C3566" s="1" t="s">
        <v>20</v>
      </c>
      <c r="D3566" s="1" t="s">
        <v>85</v>
      </c>
      <c r="E3566" s="1" t="s">
        <v>8534</v>
      </c>
      <c r="F3566" s="72">
        <v>41834</v>
      </c>
      <c r="G3566" s="1" t="s">
        <v>8535</v>
      </c>
      <c r="H3566" s="1" t="s">
        <v>200</v>
      </c>
      <c r="I3566" s="1" t="s">
        <v>45</v>
      </c>
      <c r="J3566" s="4" t="s">
        <v>7089</v>
      </c>
      <c r="K3566" s="1" t="s">
        <v>200</v>
      </c>
      <c r="L3566" s="1" t="s">
        <v>201</v>
      </c>
      <c r="M3566" s="1" t="s">
        <v>27</v>
      </c>
      <c r="N3566" s="1" t="s">
        <v>8536</v>
      </c>
      <c r="O3566" s="1" t="s">
        <v>1010</v>
      </c>
      <c r="P3566" s="1" t="s">
        <v>401</v>
      </c>
      <c r="Q3566" s="63" t="s">
        <v>8537</v>
      </c>
      <c r="R3566" s="1" t="s">
        <v>29</v>
      </c>
      <c r="S3566" s="13" t="s">
        <v>28</v>
      </c>
      <c r="AX3566" s="11"/>
      <c r="AY3566" s="11"/>
      <c r="BC3566" s="11"/>
      <c r="BD3566" s="11"/>
      <c r="BE3566" s="11"/>
      <c r="BF3566" s="11"/>
      <c r="BG3566" s="11"/>
      <c r="BH3566" s="11"/>
      <c r="BI3566" s="11"/>
      <c r="BJ3566" s="11"/>
    </row>
    <row r="3567" spans="1:62" ht="12" customHeight="1" x14ac:dyDescent="0.15">
      <c r="A3567" s="1" t="s">
        <v>8561</v>
      </c>
      <c r="B3567" s="1">
        <v>27</v>
      </c>
      <c r="C3567" s="1" t="s">
        <v>20</v>
      </c>
      <c r="D3567" s="1" t="s">
        <v>85</v>
      </c>
      <c r="E3567" s="1" t="s">
        <v>8562</v>
      </c>
      <c r="F3567" s="72">
        <v>41833</v>
      </c>
      <c r="G3567" s="1" t="s">
        <v>8563</v>
      </c>
      <c r="H3567" s="1" t="s">
        <v>8564</v>
      </c>
      <c r="I3567" s="1" t="s">
        <v>81</v>
      </c>
      <c r="J3567" s="4" t="s">
        <v>8565</v>
      </c>
      <c r="K3567" s="1" t="s">
        <v>2476</v>
      </c>
      <c r="L3567" s="1" t="s">
        <v>8566</v>
      </c>
      <c r="M3567" s="1" t="s">
        <v>27</v>
      </c>
      <c r="N3567" s="1" t="s">
        <v>8567</v>
      </c>
      <c r="O3567" s="1" t="s">
        <v>550</v>
      </c>
      <c r="P3567" s="1" t="s">
        <v>401</v>
      </c>
      <c r="Q3567" s="63" t="s">
        <v>8568</v>
      </c>
      <c r="R3567" s="1" t="s">
        <v>100</v>
      </c>
      <c r="S3567" s="13" t="s">
        <v>28</v>
      </c>
      <c r="AX3567" s="11"/>
      <c r="AY3567" s="11"/>
      <c r="BC3567" s="11"/>
      <c r="BD3567" s="11"/>
      <c r="BE3567" s="11"/>
      <c r="BF3567" s="11"/>
      <c r="BG3567" s="11"/>
      <c r="BH3567" s="11"/>
      <c r="BI3567" s="11"/>
      <c r="BJ3567" s="11"/>
    </row>
    <row r="3568" spans="1:62" ht="12" customHeight="1" x14ac:dyDescent="0.15">
      <c r="A3568" s="1" t="s">
        <v>8569</v>
      </c>
      <c r="B3568" s="1">
        <v>46</v>
      </c>
      <c r="C3568" s="1" t="s">
        <v>20</v>
      </c>
      <c r="D3568" s="1" t="s">
        <v>30</v>
      </c>
      <c r="F3568" s="72">
        <v>41833</v>
      </c>
      <c r="G3568" s="1" t="s">
        <v>8570</v>
      </c>
      <c r="H3568" s="1" t="s">
        <v>619</v>
      </c>
      <c r="I3568" s="1" t="s">
        <v>366</v>
      </c>
      <c r="J3568" s="4" t="s">
        <v>8571</v>
      </c>
      <c r="K3568" s="1" t="s">
        <v>1277</v>
      </c>
      <c r="L3568" s="1" t="s">
        <v>1482</v>
      </c>
      <c r="M3568" s="1" t="s">
        <v>27</v>
      </c>
      <c r="N3568" s="1" t="s">
        <v>8572</v>
      </c>
      <c r="O3568" s="1" t="s">
        <v>1010</v>
      </c>
      <c r="P3568" s="1" t="s">
        <v>401</v>
      </c>
      <c r="Q3568" s="6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3568" s="1" t="s">
        <v>100</v>
      </c>
      <c r="S3568" s="13" t="s">
        <v>28</v>
      </c>
    </row>
    <row r="3569" spans="1:63" ht="12" customHeight="1" x14ac:dyDescent="0.15">
      <c r="A3569" s="1" t="s">
        <v>8573</v>
      </c>
      <c r="B3569" s="1">
        <v>55</v>
      </c>
      <c r="C3569" s="1" t="s">
        <v>20</v>
      </c>
      <c r="D3569" s="1" t="s">
        <v>30</v>
      </c>
      <c r="F3569" s="72">
        <v>41833</v>
      </c>
      <c r="G3569" s="1" t="s">
        <v>8574</v>
      </c>
      <c r="H3569" s="1" t="s">
        <v>8575</v>
      </c>
      <c r="I3569" s="1" t="s">
        <v>1083</v>
      </c>
      <c r="J3569" s="4" t="s">
        <v>8576</v>
      </c>
      <c r="K3569" s="1" t="s">
        <v>8577</v>
      </c>
      <c r="L3569" s="1" t="s">
        <v>8578</v>
      </c>
      <c r="M3569" s="1" t="s">
        <v>27</v>
      </c>
      <c r="N3569" s="1" t="s">
        <v>8579</v>
      </c>
      <c r="O3569" s="1" t="s">
        <v>1010</v>
      </c>
      <c r="P3569" s="1" t="s">
        <v>401</v>
      </c>
      <c r="Q3569" s="63" t="s">
        <v>8580</v>
      </c>
      <c r="R3569" s="1" t="s">
        <v>29</v>
      </c>
      <c r="S3569" s="13" t="s">
        <v>28</v>
      </c>
    </row>
    <row r="3570" spans="1:63" ht="12" customHeight="1" x14ac:dyDescent="0.2">
      <c r="A3570" s="1" t="s">
        <v>8555</v>
      </c>
      <c r="B3570" s="1">
        <v>21</v>
      </c>
      <c r="C3570" s="1" t="s">
        <v>20</v>
      </c>
      <c r="D3570" s="1" t="s">
        <v>21</v>
      </c>
      <c r="E3570" s="1" t="s">
        <v>8556</v>
      </c>
      <c r="F3570" s="72">
        <v>41833</v>
      </c>
      <c r="G3570" s="1" t="s">
        <v>8557</v>
      </c>
      <c r="H3570" s="1" t="s">
        <v>156</v>
      </c>
      <c r="I3570" s="1" t="s">
        <v>45</v>
      </c>
      <c r="J3570" s="4" t="s">
        <v>8558</v>
      </c>
      <c r="K3570" s="1" t="s">
        <v>156</v>
      </c>
      <c r="L3570" s="1" t="s">
        <v>157</v>
      </c>
      <c r="M3570" s="1" t="s">
        <v>27</v>
      </c>
      <c r="N3570" s="1" t="s">
        <v>8559</v>
      </c>
      <c r="O3570" s="1" t="s">
        <v>1010</v>
      </c>
      <c r="P3570" s="1" t="s">
        <v>401</v>
      </c>
      <c r="Q3570" s="63" t="s">
        <v>8560</v>
      </c>
      <c r="R3570" s="1" t="s">
        <v>555</v>
      </c>
      <c r="S3570" s="13" t="s">
        <v>28</v>
      </c>
      <c r="AX3570" s="70"/>
      <c r="AY3570" s="70"/>
      <c r="BC3570" s="70"/>
      <c r="BD3570" s="70"/>
      <c r="BE3570" s="70"/>
      <c r="BF3570" s="70"/>
      <c r="BG3570" s="70"/>
      <c r="BH3570" s="70"/>
      <c r="BI3570" s="70"/>
      <c r="BJ3570" s="70"/>
    </row>
    <row r="3571" spans="1:63" ht="12" customHeight="1" x14ac:dyDescent="0.15">
      <c r="A3571" s="1" t="s">
        <v>8588</v>
      </c>
      <c r="B3571" s="1">
        <v>26</v>
      </c>
      <c r="C3571" s="1" t="s">
        <v>20</v>
      </c>
      <c r="D3571" s="1" t="s">
        <v>37</v>
      </c>
      <c r="E3571" s="1" t="s">
        <v>8589</v>
      </c>
      <c r="F3571" s="72">
        <v>41833</v>
      </c>
      <c r="G3571" s="1" t="s">
        <v>8590</v>
      </c>
      <c r="H3571" s="1" t="s">
        <v>8591</v>
      </c>
      <c r="I3571" s="1" t="s">
        <v>123</v>
      </c>
      <c r="J3571" s="4" t="s">
        <v>8592</v>
      </c>
      <c r="K3571" s="1" t="s">
        <v>633</v>
      </c>
      <c r="L3571" s="1" t="s">
        <v>1893</v>
      </c>
      <c r="M3571" s="1" t="s">
        <v>27</v>
      </c>
      <c r="N3571" s="1" t="s">
        <v>8593</v>
      </c>
      <c r="O3571" s="1" t="s">
        <v>550</v>
      </c>
      <c r="P3571" s="1" t="s">
        <v>401</v>
      </c>
      <c r="Q3571" s="63" t="s">
        <v>8594</v>
      </c>
      <c r="R3571" s="1" t="s">
        <v>555</v>
      </c>
      <c r="S3571" s="13" t="s">
        <v>18</v>
      </c>
    </row>
    <row r="3572" spans="1:63" ht="12" customHeight="1" x14ac:dyDescent="0.15">
      <c r="A3572" s="1" t="s">
        <v>8581</v>
      </c>
      <c r="B3572" s="1">
        <v>51</v>
      </c>
      <c r="C3572" s="1" t="s">
        <v>20</v>
      </c>
      <c r="D3572" s="1" t="s">
        <v>37</v>
      </c>
      <c r="F3572" s="72">
        <v>41833</v>
      </c>
      <c r="G3572" s="1" t="s">
        <v>8582</v>
      </c>
      <c r="H3572" s="1" t="s">
        <v>8583</v>
      </c>
      <c r="I3572" s="1" t="s">
        <v>366</v>
      </c>
      <c r="J3572" s="4">
        <v>28429</v>
      </c>
      <c r="K3572" s="1" t="s">
        <v>8584</v>
      </c>
      <c r="L3572" s="1" t="s">
        <v>8585</v>
      </c>
      <c r="M3572" s="1" t="s">
        <v>29</v>
      </c>
      <c r="N3572" s="1" t="s">
        <v>8586</v>
      </c>
      <c r="P3572" s="1" t="s">
        <v>401</v>
      </c>
      <c r="Q3572" s="63" t="s">
        <v>8587</v>
      </c>
      <c r="R3572" s="1" t="s">
        <v>29</v>
      </c>
      <c r="S3572" s="13" t="s">
        <v>28</v>
      </c>
      <c r="AU3572" s="44"/>
      <c r="AV3572" s="44"/>
      <c r="AW3572" s="44"/>
    </row>
    <row r="3573" spans="1:63" ht="12" customHeight="1" x14ac:dyDescent="0.15">
      <c r="A3573" s="1" t="s">
        <v>8611</v>
      </c>
      <c r="B3573" s="1">
        <v>33</v>
      </c>
      <c r="C3573" s="1" t="s">
        <v>20</v>
      </c>
      <c r="D3573" s="1" t="s">
        <v>37</v>
      </c>
      <c r="E3573" s="1" t="s">
        <v>8612</v>
      </c>
      <c r="F3573" s="72">
        <v>41832</v>
      </c>
      <c r="G3573" s="1" t="s">
        <v>8613</v>
      </c>
      <c r="H3573" s="1" t="s">
        <v>8614</v>
      </c>
      <c r="I3573" s="1" t="s">
        <v>25</v>
      </c>
      <c r="J3573" s="4" t="s">
        <v>8615</v>
      </c>
      <c r="K3573" s="1" t="s">
        <v>8616</v>
      </c>
      <c r="L3573" s="1" t="s">
        <v>8617</v>
      </c>
      <c r="M3573" s="1" t="s">
        <v>27</v>
      </c>
      <c r="N3573" s="1" t="s">
        <v>8618</v>
      </c>
      <c r="O3573" s="1" t="s">
        <v>1010</v>
      </c>
      <c r="P3573" s="1" t="s">
        <v>401</v>
      </c>
      <c r="Q3573" s="63" t="s">
        <v>8619</v>
      </c>
      <c r="R3573" s="1" t="s">
        <v>100</v>
      </c>
      <c r="S3573" s="13" t="s">
        <v>28</v>
      </c>
    </row>
    <row r="3574" spans="1:63" ht="12" customHeight="1" x14ac:dyDescent="0.2">
      <c r="A3574" s="1" t="s">
        <v>8595</v>
      </c>
      <c r="B3574" s="1">
        <v>36</v>
      </c>
      <c r="C3574" s="1" t="s">
        <v>114</v>
      </c>
      <c r="D3574" s="1" t="s">
        <v>37</v>
      </c>
      <c r="E3574" s="1" t="s">
        <v>8596</v>
      </c>
      <c r="F3574" s="72">
        <v>41832</v>
      </c>
      <c r="G3574" s="1" t="s">
        <v>8597</v>
      </c>
      <c r="H3574" s="1" t="s">
        <v>8598</v>
      </c>
      <c r="I3574" s="1" t="s">
        <v>32</v>
      </c>
      <c r="J3574" s="4" t="s">
        <v>8599</v>
      </c>
      <c r="K3574" s="1" t="s">
        <v>8600</v>
      </c>
      <c r="L3574" s="1" t="s">
        <v>8601</v>
      </c>
      <c r="M3574" s="1" t="s">
        <v>27</v>
      </c>
      <c r="N3574" s="1" t="s">
        <v>8602</v>
      </c>
      <c r="O3574" s="1" t="s">
        <v>1010</v>
      </c>
      <c r="P3574" s="1" t="s">
        <v>401</v>
      </c>
      <c r="Q3574" s="63" t="s">
        <v>8603</v>
      </c>
      <c r="R3574" s="1" t="s">
        <v>29</v>
      </c>
      <c r="S3574" s="13" t="s">
        <v>28</v>
      </c>
      <c r="BA3574" s="70"/>
      <c r="BB3574" s="70"/>
    </row>
    <row r="3575" spans="1:63" ht="12" customHeight="1" x14ac:dyDescent="0.15">
      <c r="A3575" s="1" t="s">
        <v>8604</v>
      </c>
      <c r="B3575" s="1">
        <v>54</v>
      </c>
      <c r="C3575" s="1" t="s">
        <v>20</v>
      </c>
      <c r="D3575" s="1" t="s">
        <v>37</v>
      </c>
      <c r="F3575" s="72">
        <v>41832</v>
      </c>
      <c r="G3575" s="1" t="s">
        <v>8605</v>
      </c>
      <c r="H3575" s="1" t="s">
        <v>8606</v>
      </c>
      <c r="I3575" s="1" t="s">
        <v>62</v>
      </c>
      <c r="J3575" s="4" t="s">
        <v>8607</v>
      </c>
      <c r="K3575" s="1" t="s">
        <v>1256</v>
      </c>
      <c r="L3575" s="1" t="s">
        <v>8608</v>
      </c>
      <c r="M3575" s="1" t="s">
        <v>27</v>
      </c>
      <c r="N3575" s="1" t="s">
        <v>8609</v>
      </c>
      <c r="O3575" s="1" t="s">
        <v>1010</v>
      </c>
      <c r="P3575" s="1" t="s">
        <v>401</v>
      </c>
      <c r="Q3575" s="63" t="s">
        <v>8610</v>
      </c>
      <c r="R3575" s="1" t="s">
        <v>555</v>
      </c>
      <c r="S3575" s="13" t="s">
        <v>28</v>
      </c>
      <c r="BA3575" s="44"/>
      <c r="BB3575" s="44"/>
    </row>
    <row r="3576" spans="1:63" ht="12" customHeight="1" x14ac:dyDescent="0.15">
      <c r="A3576" s="1" t="s">
        <v>8620</v>
      </c>
      <c r="B3576" s="1">
        <v>42</v>
      </c>
      <c r="C3576" s="1" t="s">
        <v>20</v>
      </c>
      <c r="D3576" s="1" t="s">
        <v>139</v>
      </c>
      <c r="E3576" s="1" t="s">
        <v>8621</v>
      </c>
      <c r="F3576" s="72">
        <v>41831</v>
      </c>
      <c r="G3576" s="1" t="s">
        <v>8622</v>
      </c>
      <c r="H3576" s="1" t="s">
        <v>8623</v>
      </c>
      <c r="I3576" s="1" t="s">
        <v>303</v>
      </c>
      <c r="J3576" s="4" t="s">
        <v>8624</v>
      </c>
      <c r="K3576" s="1" t="s">
        <v>6250</v>
      </c>
      <c r="L3576" s="1" t="s">
        <v>8625</v>
      </c>
      <c r="M3576" s="1" t="s">
        <v>27</v>
      </c>
      <c r="N3576" s="1" t="s">
        <v>8626</v>
      </c>
      <c r="O3576" s="1" t="s">
        <v>4684</v>
      </c>
      <c r="P3576" s="1" t="s">
        <v>401</v>
      </c>
      <c r="Q3576" s="63" t="s">
        <v>8627</v>
      </c>
      <c r="R3576" s="1" t="s">
        <v>100</v>
      </c>
      <c r="S3576" s="13" t="s">
        <v>28</v>
      </c>
    </row>
    <row r="3577" spans="1:63" ht="12" customHeight="1" x14ac:dyDescent="0.15">
      <c r="A3577" s="1" t="s">
        <v>8635</v>
      </c>
      <c r="B3577" s="1">
        <v>67</v>
      </c>
      <c r="C3577" s="1" t="s">
        <v>20</v>
      </c>
      <c r="D3577" s="1" t="s">
        <v>37</v>
      </c>
      <c r="F3577" s="72">
        <v>41831</v>
      </c>
      <c r="G3577" s="1" t="s">
        <v>8636</v>
      </c>
      <c r="H3577" s="1" t="s">
        <v>8637</v>
      </c>
      <c r="I3577" s="1" t="s">
        <v>315</v>
      </c>
      <c r="J3577" s="4" t="s">
        <v>8638</v>
      </c>
      <c r="K3577" s="1" t="s">
        <v>8639</v>
      </c>
      <c r="L3577" s="1" t="s">
        <v>8640</v>
      </c>
      <c r="M3577" s="1" t="s">
        <v>27</v>
      </c>
      <c r="N3577" s="1" t="s">
        <v>8641</v>
      </c>
      <c r="O3577" s="1" t="s">
        <v>550</v>
      </c>
      <c r="P3577" s="1" t="s">
        <v>401</v>
      </c>
      <c r="Q3577" s="63" t="s">
        <v>8642</v>
      </c>
      <c r="R3577" s="1" t="s">
        <v>100</v>
      </c>
      <c r="S3577" s="13" t="s">
        <v>28</v>
      </c>
    </row>
    <row r="3578" spans="1:63" ht="12" customHeight="1" x14ac:dyDescent="0.2">
      <c r="A3578" s="1" t="s">
        <v>8628</v>
      </c>
      <c r="B3578" s="1">
        <v>41</v>
      </c>
      <c r="C3578" s="1" t="s">
        <v>20</v>
      </c>
      <c r="D3578" s="1" t="s">
        <v>37</v>
      </c>
      <c r="E3578" s="1" t="s">
        <v>8629</v>
      </c>
      <c r="F3578" s="72">
        <v>41831</v>
      </c>
      <c r="G3578" s="1" t="s">
        <v>8630</v>
      </c>
      <c r="H3578" s="1" t="s">
        <v>8631</v>
      </c>
      <c r="I3578" s="1" t="s">
        <v>73</v>
      </c>
      <c r="J3578" s="4" t="s">
        <v>8632</v>
      </c>
      <c r="K3578" s="1" t="s">
        <v>1061</v>
      </c>
      <c r="L3578" s="1" t="s">
        <v>8633</v>
      </c>
      <c r="M3578" s="1" t="s">
        <v>27</v>
      </c>
      <c r="N3578" s="1" t="s">
        <v>8634</v>
      </c>
      <c r="O3578" s="1" t="s">
        <v>550</v>
      </c>
      <c r="P3578" s="1" t="s">
        <v>401</v>
      </c>
      <c r="Q3578" s="6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3578" s="1" t="s">
        <v>29</v>
      </c>
      <c r="S3578" s="13" t="s">
        <v>28</v>
      </c>
      <c r="BA3578" s="70"/>
      <c r="BB3578" s="70"/>
    </row>
    <row r="3579" spans="1:63" ht="12" customHeight="1" x14ac:dyDescent="0.15">
      <c r="A3579" s="1" t="s">
        <v>8648</v>
      </c>
      <c r="B3579" s="1">
        <v>40</v>
      </c>
      <c r="C3579" s="1" t="s">
        <v>20</v>
      </c>
      <c r="D3579" s="1" t="s">
        <v>48</v>
      </c>
      <c r="E3579" s="1" t="s">
        <v>8649</v>
      </c>
      <c r="F3579" s="72">
        <v>41830</v>
      </c>
      <c r="G3579" s="1" t="s">
        <v>8650</v>
      </c>
      <c r="H3579" s="1" t="s">
        <v>6345</v>
      </c>
      <c r="I3579" s="1" t="s">
        <v>45</v>
      </c>
      <c r="J3579" s="4" t="s">
        <v>6346</v>
      </c>
      <c r="K3579" s="1" t="s">
        <v>65</v>
      </c>
      <c r="L3579" s="1" t="s">
        <v>6347</v>
      </c>
      <c r="M3579" s="1" t="s">
        <v>27</v>
      </c>
      <c r="N3579" s="1" t="s">
        <v>8651</v>
      </c>
      <c r="O3579" s="1" t="s">
        <v>4684</v>
      </c>
      <c r="P3579" s="1" t="s">
        <v>401</v>
      </c>
      <c r="Q3579" s="63" t="s">
        <v>8652</v>
      </c>
      <c r="R3579" s="1" t="s">
        <v>100</v>
      </c>
      <c r="S3579" s="13" t="s">
        <v>18</v>
      </c>
    </row>
    <row r="3580" spans="1:63" ht="12" customHeight="1" x14ac:dyDescent="0.15">
      <c r="A3580" s="1" t="s">
        <v>8653</v>
      </c>
      <c r="B3580" s="1">
        <v>27</v>
      </c>
      <c r="C3580" s="1" t="s">
        <v>20</v>
      </c>
      <c r="D3580" s="1" t="s">
        <v>37</v>
      </c>
      <c r="E3580" s="1" t="s">
        <v>8654</v>
      </c>
      <c r="F3580" s="72">
        <v>41830</v>
      </c>
      <c r="G3580" s="1" t="s">
        <v>8655</v>
      </c>
      <c r="H3580" s="1" t="s">
        <v>8656</v>
      </c>
      <c r="I3580" s="1" t="s">
        <v>303</v>
      </c>
      <c r="J3580" s="4" t="s">
        <v>8657</v>
      </c>
      <c r="K3580" s="1" t="s">
        <v>2150</v>
      </c>
      <c r="L3580" s="1" t="s">
        <v>2152</v>
      </c>
      <c r="M3580" s="1" t="s">
        <v>27</v>
      </c>
      <c r="N3580" s="1" t="s">
        <v>21004</v>
      </c>
      <c r="O3580" s="1" t="s">
        <v>1010</v>
      </c>
      <c r="P3580" s="1" t="s">
        <v>401</v>
      </c>
      <c r="Q3580" s="63" t="s">
        <v>8658</v>
      </c>
      <c r="R3580" s="1" t="s">
        <v>555</v>
      </c>
      <c r="S3580" s="13" t="s">
        <v>28</v>
      </c>
      <c r="BA3580" s="44"/>
      <c r="BB3580" s="44"/>
    </row>
    <row r="3581" spans="1:63" ht="12" customHeight="1" x14ac:dyDescent="0.15">
      <c r="A3581" s="1" t="s">
        <v>8643</v>
      </c>
      <c r="B3581" s="1">
        <v>37</v>
      </c>
      <c r="C3581" s="1" t="s">
        <v>20</v>
      </c>
      <c r="D3581" s="1" t="s">
        <v>85</v>
      </c>
      <c r="E3581" s="1" t="s">
        <v>8644</v>
      </c>
      <c r="F3581" s="72">
        <v>41830</v>
      </c>
      <c r="G3581" s="1" t="s">
        <v>8645</v>
      </c>
      <c r="H3581" s="1" t="s">
        <v>1287</v>
      </c>
      <c r="I3581" s="1" t="s">
        <v>69</v>
      </c>
      <c r="J3581" s="4" t="s">
        <v>8646</v>
      </c>
      <c r="K3581" s="1" t="s">
        <v>1288</v>
      </c>
      <c r="L3581" s="1" t="s">
        <v>12562</v>
      </c>
      <c r="M3581" s="1" t="s">
        <v>27</v>
      </c>
      <c r="N3581" s="1" t="s">
        <v>8647</v>
      </c>
      <c r="O3581" s="1" t="s">
        <v>4684</v>
      </c>
      <c r="P3581" s="1" t="s">
        <v>401</v>
      </c>
      <c r="Q3581" s="6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3581" s="1" t="s">
        <v>555</v>
      </c>
      <c r="S3581" s="13" t="s">
        <v>35</v>
      </c>
      <c r="AX3581" s="11"/>
      <c r="AY3581" s="11"/>
      <c r="BC3581" s="11"/>
      <c r="BD3581" s="11"/>
      <c r="BE3581" s="11"/>
      <c r="BF3581" s="11"/>
      <c r="BG3581" s="11"/>
      <c r="BH3581" s="11"/>
      <c r="BI3581" s="11"/>
      <c r="BJ3581" s="11"/>
      <c r="BK3581" s="11"/>
    </row>
    <row r="3582" spans="1:63" ht="12" customHeight="1" x14ac:dyDescent="0.15">
      <c r="A3582" s="1" t="s">
        <v>8681</v>
      </c>
      <c r="B3582" s="1">
        <v>37</v>
      </c>
      <c r="C3582" s="1" t="s">
        <v>20</v>
      </c>
      <c r="D3582" s="1" t="s">
        <v>37</v>
      </c>
      <c r="E3582" s="1" t="s">
        <v>8682</v>
      </c>
      <c r="F3582" s="72">
        <v>41829</v>
      </c>
      <c r="G3582" s="1" t="s">
        <v>8683</v>
      </c>
      <c r="H3582" s="1" t="s">
        <v>8684</v>
      </c>
      <c r="I3582" s="1" t="s">
        <v>62</v>
      </c>
      <c r="J3582" s="4" t="s">
        <v>8685</v>
      </c>
      <c r="K3582" s="1" t="s">
        <v>5538</v>
      </c>
      <c r="L3582" s="1" t="s">
        <v>8686</v>
      </c>
      <c r="M3582" s="1" t="s">
        <v>27</v>
      </c>
      <c r="N3582" s="1" t="s">
        <v>8687</v>
      </c>
      <c r="O3582" s="1" t="s">
        <v>3381</v>
      </c>
      <c r="P3582" s="1" t="s">
        <v>401</v>
      </c>
      <c r="Q3582" s="63" t="s">
        <v>8688</v>
      </c>
      <c r="R3582" s="1" t="s">
        <v>100</v>
      </c>
      <c r="S3582" s="13" t="s">
        <v>28</v>
      </c>
    </row>
    <row r="3583" spans="1:63" ht="12" customHeight="1" x14ac:dyDescent="0.15">
      <c r="A3583" s="1" t="s">
        <v>8689</v>
      </c>
      <c r="B3583" s="1">
        <v>26</v>
      </c>
      <c r="C3583" s="1" t="s">
        <v>20</v>
      </c>
      <c r="D3583" s="1" t="s">
        <v>37</v>
      </c>
      <c r="E3583" s="1" t="s">
        <v>8690</v>
      </c>
      <c r="F3583" s="72">
        <v>41829</v>
      </c>
      <c r="G3583" s="1" t="s">
        <v>8691</v>
      </c>
      <c r="H3583" s="1" t="s">
        <v>8692</v>
      </c>
      <c r="I3583" s="1" t="s">
        <v>73</v>
      </c>
      <c r="J3583" s="4" t="s">
        <v>8693</v>
      </c>
      <c r="K3583" s="1" t="s">
        <v>1386</v>
      </c>
      <c r="L3583" s="1" t="s">
        <v>8694</v>
      </c>
      <c r="M3583" s="1" t="s">
        <v>27</v>
      </c>
      <c r="N3583" s="1" t="s">
        <v>8695</v>
      </c>
      <c r="O3583" s="1" t="s">
        <v>1010</v>
      </c>
      <c r="P3583" s="1" t="s">
        <v>401</v>
      </c>
      <c r="Q3583" s="63" t="s">
        <v>8696</v>
      </c>
      <c r="R3583" s="1" t="s">
        <v>100</v>
      </c>
      <c r="S3583" s="13" t="s">
        <v>28</v>
      </c>
    </row>
    <row r="3584" spans="1:63" ht="12" customHeight="1" x14ac:dyDescent="0.15">
      <c r="A3584" s="1" t="s">
        <v>8659</v>
      </c>
      <c r="B3584" s="1">
        <v>53</v>
      </c>
      <c r="C3584" s="1" t="s">
        <v>20</v>
      </c>
      <c r="D3584" s="1" t="s">
        <v>85</v>
      </c>
      <c r="E3584" s="1" t="s">
        <v>8660</v>
      </c>
      <c r="F3584" s="72">
        <v>41829</v>
      </c>
      <c r="G3584" s="1" t="s">
        <v>8661</v>
      </c>
      <c r="H3584" s="1" t="s">
        <v>8662</v>
      </c>
      <c r="I3584" s="1" t="s">
        <v>73</v>
      </c>
      <c r="J3584" s="4" t="s">
        <v>8663</v>
      </c>
      <c r="K3584" s="1" t="s">
        <v>558</v>
      </c>
      <c r="L3584" s="1" t="s">
        <v>8664</v>
      </c>
      <c r="M3584" s="1" t="s">
        <v>27</v>
      </c>
      <c r="N3584" s="1" t="s">
        <v>8665</v>
      </c>
      <c r="O3584" s="1" t="s">
        <v>4684</v>
      </c>
      <c r="P3584" s="1" t="s">
        <v>401</v>
      </c>
      <c r="Q3584" s="63" t="s">
        <v>8666</v>
      </c>
      <c r="R3584" s="1" t="s">
        <v>100</v>
      </c>
      <c r="S3584" s="13" t="s">
        <v>18</v>
      </c>
      <c r="AX3584" s="11"/>
      <c r="AY3584" s="11"/>
      <c r="BC3584" s="11"/>
      <c r="BD3584" s="11"/>
      <c r="BE3584" s="11"/>
      <c r="BF3584" s="11"/>
      <c r="BG3584" s="11"/>
      <c r="BH3584" s="11"/>
      <c r="BI3584" s="11"/>
      <c r="BJ3584" s="11"/>
    </row>
    <row r="3585" spans="1:63" ht="12" customHeight="1" x14ac:dyDescent="0.2">
      <c r="A3585" s="1" t="s">
        <v>8673</v>
      </c>
      <c r="B3585" s="1">
        <v>45</v>
      </c>
      <c r="C3585" s="1" t="s">
        <v>20</v>
      </c>
      <c r="D3585" s="1" t="s">
        <v>37</v>
      </c>
      <c r="E3585" s="1" t="s">
        <v>8674</v>
      </c>
      <c r="F3585" s="72">
        <v>41829</v>
      </c>
      <c r="G3585" s="1" t="s">
        <v>8675</v>
      </c>
      <c r="H3585" s="1" t="s">
        <v>8676</v>
      </c>
      <c r="I3585" s="1" t="s">
        <v>44</v>
      </c>
      <c r="J3585" s="4" t="s">
        <v>8677</v>
      </c>
      <c r="K3585" s="1" t="s">
        <v>2160</v>
      </c>
      <c r="L3585" s="1" t="s">
        <v>8678</v>
      </c>
      <c r="M3585" s="1" t="s">
        <v>27</v>
      </c>
      <c r="N3585" s="1" t="s">
        <v>8679</v>
      </c>
      <c r="O3585" s="1" t="s">
        <v>1010</v>
      </c>
      <c r="P3585" s="1" t="s">
        <v>401</v>
      </c>
      <c r="Q3585" s="63" t="s">
        <v>8680</v>
      </c>
      <c r="R3585" s="1" t="s">
        <v>29</v>
      </c>
      <c r="S3585" s="13" t="s">
        <v>28</v>
      </c>
      <c r="BA3585" s="70"/>
      <c r="BB3585" s="70"/>
    </row>
    <row r="3586" spans="1:63" ht="12" customHeight="1" x14ac:dyDescent="0.15">
      <c r="A3586" s="1" t="s">
        <v>8667</v>
      </c>
      <c r="B3586" s="1">
        <v>49</v>
      </c>
      <c r="C3586" s="1" t="s">
        <v>20</v>
      </c>
      <c r="D3586" s="1" t="s">
        <v>37</v>
      </c>
      <c r="E3586" s="1" t="s">
        <v>8668</v>
      </c>
      <c r="F3586" s="72">
        <v>41829</v>
      </c>
      <c r="G3586" s="1" t="s">
        <v>8669</v>
      </c>
      <c r="H3586" s="1" t="s">
        <v>4353</v>
      </c>
      <c r="I3586" s="1" t="s">
        <v>303</v>
      </c>
      <c r="J3586" s="4" t="s">
        <v>4354</v>
      </c>
      <c r="K3586" s="1" t="s">
        <v>1288</v>
      </c>
      <c r="L3586" s="1" t="s">
        <v>8670</v>
      </c>
      <c r="M3586" s="1" t="s">
        <v>27</v>
      </c>
      <c r="N3586" s="1" t="s">
        <v>8671</v>
      </c>
      <c r="O3586" s="1" t="s">
        <v>1010</v>
      </c>
      <c r="P3586" s="1" t="s">
        <v>401</v>
      </c>
      <c r="Q3586" s="63" t="s">
        <v>8672</v>
      </c>
      <c r="R3586" s="1" t="s">
        <v>555</v>
      </c>
      <c r="S3586" s="13" t="s">
        <v>28</v>
      </c>
      <c r="BA3586" s="44"/>
      <c r="BB3586" s="44"/>
    </row>
    <row r="3587" spans="1:63" ht="12" customHeight="1" x14ac:dyDescent="0.15">
      <c r="A3587" s="1" t="s">
        <v>8697</v>
      </c>
      <c r="B3587" s="1">
        <v>30</v>
      </c>
      <c r="C3587" s="1" t="s">
        <v>20</v>
      </c>
      <c r="D3587" s="1" t="s">
        <v>48</v>
      </c>
      <c r="E3587" s="1" t="s">
        <v>8698</v>
      </c>
      <c r="F3587" s="72">
        <v>41828</v>
      </c>
      <c r="G3587" s="1" t="s">
        <v>8699</v>
      </c>
      <c r="H3587" s="1" t="s">
        <v>575</v>
      </c>
      <c r="I3587" s="1" t="s">
        <v>73</v>
      </c>
      <c r="J3587" s="4" t="s">
        <v>8700</v>
      </c>
      <c r="K3587" s="1" t="s">
        <v>576</v>
      </c>
      <c r="L3587" s="1" t="s">
        <v>577</v>
      </c>
      <c r="M3587" s="1" t="s">
        <v>14359</v>
      </c>
      <c r="N3587" s="1" t="s">
        <v>8701</v>
      </c>
      <c r="O3587" s="1" t="s">
        <v>4684</v>
      </c>
      <c r="P3587" s="1" t="s">
        <v>401</v>
      </c>
      <c r="Q3587" s="63" t="s">
        <v>8702</v>
      </c>
      <c r="R3587" s="1" t="s">
        <v>100</v>
      </c>
      <c r="S3587" s="13" t="s">
        <v>18</v>
      </c>
    </row>
    <row r="3588" spans="1:63" ht="12" customHeight="1" x14ac:dyDescent="0.15">
      <c r="A3588" s="1" t="s">
        <v>8703</v>
      </c>
      <c r="B3588" s="1">
        <v>35</v>
      </c>
      <c r="C3588" s="1" t="s">
        <v>114</v>
      </c>
      <c r="D3588" s="1" t="s">
        <v>139</v>
      </c>
      <c r="E3588" s="1" t="s">
        <v>8704</v>
      </c>
      <c r="F3588" s="72">
        <v>41828</v>
      </c>
      <c r="G3588" s="1" t="s">
        <v>8705</v>
      </c>
      <c r="H3588" s="1" t="s">
        <v>789</v>
      </c>
      <c r="I3588" s="1" t="s">
        <v>790</v>
      </c>
      <c r="J3588" s="4" t="s">
        <v>8706</v>
      </c>
      <c r="K3588" s="1" t="s">
        <v>791</v>
      </c>
      <c r="L3588" s="1" t="s">
        <v>8707</v>
      </c>
      <c r="M3588" s="1" t="s">
        <v>27</v>
      </c>
      <c r="N3588" s="1" t="s">
        <v>8708</v>
      </c>
      <c r="O3588" s="1" t="s">
        <v>550</v>
      </c>
      <c r="P3588" s="1" t="s">
        <v>401</v>
      </c>
      <c r="Q3588" s="63" t="s">
        <v>8709</v>
      </c>
      <c r="R3588" s="1" t="s">
        <v>29</v>
      </c>
      <c r="S3588" s="13" t="s">
        <v>28</v>
      </c>
    </row>
    <row r="3589" spans="1:63" ht="12" customHeight="1" x14ac:dyDescent="0.15">
      <c r="A3589" s="1" t="s">
        <v>8710</v>
      </c>
      <c r="B3589" s="1">
        <v>36</v>
      </c>
      <c r="C3589" s="1" t="s">
        <v>20</v>
      </c>
      <c r="D3589" s="1" t="s">
        <v>37</v>
      </c>
      <c r="F3589" s="72">
        <v>41827</v>
      </c>
      <c r="G3589" s="1" t="s">
        <v>8711</v>
      </c>
      <c r="H3589" s="1" t="s">
        <v>8712</v>
      </c>
      <c r="I3589" s="1" t="s">
        <v>117</v>
      </c>
      <c r="J3589" s="4" t="s">
        <v>8713</v>
      </c>
      <c r="K3589" s="1" t="s">
        <v>4256</v>
      </c>
      <c r="L3589" s="1" t="s">
        <v>4257</v>
      </c>
      <c r="M3589" s="1" t="s">
        <v>27</v>
      </c>
      <c r="N3589" s="1" t="s">
        <v>8714</v>
      </c>
      <c r="O3589" s="1" t="s">
        <v>1010</v>
      </c>
      <c r="P3589" s="1" t="s">
        <v>401</v>
      </c>
      <c r="Q3589" s="63" t="s">
        <v>8715</v>
      </c>
      <c r="R3589" s="1" t="s">
        <v>100</v>
      </c>
      <c r="S3589" s="13" t="s">
        <v>28</v>
      </c>
    </row>
    <row r="3590" spans="1:63" ht="12" customHeight="1" x14ac:dyDescent="0.15">
      <c r="A3590" s="1" t="s">
        <v>8716</v>
      </c>
      <c r="B3590" s="1">
        <v>29</v>
      </c>
      <c r="C3590" s="1" t="s">
        <v>20</v>
      </c>
      <c r="D3590" s="1" t="s">
        <v>30</v>
      </c>
      <c r="F3590" s="72">
        <v>41826</v>
      </c>
      <c r="G3590" s="1" t="s">
        <v>8717</v>
      </c>
      <c r="H3590" s="1" t="s">
        <v>8718</v>
      </c>
      <c r="I3590" s="1" t="s">
        <v>45</v>
      </c>
      <c r="J3590" s="4" t="s">
        <v>8719</v>
      </c>
      <c r="K3590" s="1" t="s">
        <v>602</v>
      </c>
      <c r="L3590" s="1" t="s">
        <v>8720</v>
      </c>
      <c r="M3590" s="1" t="s">
        <v>27</v>
      </c>
      <c r="N3590" s="1" t="s">
        <v>8721</v>
      </c>
      <c r="O3590" s="1" t="s">
        <v>1010</v>
      </c>
      <c r="P3590" s="1" t="s">
        <v>401</v>
      </c>
      <c r="Q3590" s="63" t="s">
        <v>8722</v>
      </c>
      <c r="R3590" s="11" t="s">
        <v>964</v>
      </c>
      <c r="S3590" s="13" t="s">
        <v>18</v>
      </c>
    </row>
    <row r="3591" spans="1:63" ht="12" customHeight="1" x14ac:dyDescent="0.15">
      <c r="A3591" s="1" t="s">
        <v>8723</v>
      </c>
      <c r="B3591" s="1" t="s">
        <v>8724</v>
      </c>
      <c r="C3591" s="1" t="s">
        <v>20</v>
      </c>
      <c r="D3591" s="1" t="s">
        <v>37</v>
      </c>
      <c r="E3591" s="1" t="s">
        <v>8725</v>
      </c>
      <c r="F3591" s="72">
        <v>41826</v>
      </c>
      <c r="G3591" s="1" t="s">
        <v>8726</v>
      </c>
      <c r="H3591" s="1" t="s">
        <v>8727</v>
      </c>
      <c r="I3591" s="1" t="s">
        <v>438</v>
      </c>
      <c r="J3591" s="4" t="s">
        <v>8728</v>
      </c>
      <c r="K3591" s="1" t="s">
        <v>8729</v>
      </c>
      <c r="L3591" s="1" t="s">
        <v>8730</v>
      </c>
      <c r="M3591" s="1" t="s">
        <v>27</v>
      </c>
      <c r="N3591" s="1" t="s">
        <v>8731</v>
      </c>
      <c r="O3591" s="1" t="s">
        <v>29</v>
      </c>
      <c r="P3591" s="1" t="s">
        <v>401</v>
      </c>
      <c r="Q3591" s="6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3591" s="1" t="s">
        <v>555</v>
      </c>
      <c r="S3591" s="13" t="s">
        <v>28</v>
      </c>
      <c r="BA3591" s="44"/>
      <c r="BB3591" s="44"/>
    </row>
    <row r="3592" spans="1:63" ht="12" customHeight="1" x14ac:dyDescent="0.15">
      <c r="A3592" s="1" t="s">
        <v>8754</v>
      </c>
      <c r="B3592" s="1">
        <v>27</v>
      </c>
      <c r="C3592" s="1" t="s">
        <v>20</v>
      </c>
      <c r="D3592" s="1" t="s">
        <v>37</v>
      </c>
      <c r="E3592" s="1" t="s">
        <v>8755</v>
      </c>
      <c r="F3592" s="72">
        <v>41825</v>
      </c>
      <c r="G3592" s="1" t="s">
        <v>8756</v>
      </c>
      <c r="H3592" s="1" t="s">
        <v>5185</v>
      </c>
      <c r="I3592" s="1" t="s">
        <v>395</v>
      </c>
      <c r="J3592" s="4" t="s">
        <v>8757</v>
      </c>
      <c r="K3592" s="1" t="s">
        <v>984</v>
      </c>
      <c r="L3592" s="1" t="s">
        <v>19401</v>
      </c>
      <c r="M3592" s="1" t="s">
        <v>27</v>
      </c>
      <c r="N3592" s="1" t="s">
        <v>8758</v>
      </c>
      <c r="O3592" s="1" t="s">
        <v>1010</v>
      </c>
      <c r="P3592" s="1" t="s">
        <v>401</v>
      </c>
      <c r="Q3592" s="63" t="s">
        <v>8759</v>
      </c>
      <c r="R3592" s="1" t="s">
        <v>100</v>
      </c>
      <c r="S3592" s="13" t="s">
        <v>28</v>
      </c>
    </row>
    <row r="3593" spans="1:63" ht="12" customHeight="1" x14ac:dyDescent="0.15">
      <c r="A3593" s="1" t="s">
        <v>8736</v>
      </c>
      <c r="B3593" s="1">
        <v>30</v>
      </c>
      <c r="C3593" s="1" t="s">
        <v>20</v>
      </c>
      <c r="D3593" s="1" t="s">
        <v>85</v>
      </c>
      <c r="E3593" s="1" t="s">
        <v>8737</v>
      </c>
      <c r="F3593" s="72">
        <v>41825</v>
      </c>
      <c r="G3593" s="1" t="s">
        <v>8738</v>
      </c>
      <c r="H3593" s="1" t="s">
        <v>8739</v>
      </c>
      <c r="I3593" s="1" t="s">
        <v>431</v>
      </c>
      <c r="J3593" s="4">
        <v>63121</v>
      </c>
      <c r="K3593" s="1" t="s">
        <v>709</v>
      </c>
      <c r="L3593" s="1" t="s">
        <v>8740</v>
      </c>
      <c r="M3593" s="1" t="s">
        <v>27</v>
      </c>
      <c r="N3593" s="1" t="s">
        <v>8741</v>
      </c>
      <c r="O3593" s="1" t="s">
        <v>550</v>
      </c>
      <c r="P3593" s="1" t="s">
        <v>401</v>
      </c>
      <c r="Q3593" s="63" t="s">
        <v>20996</v>
      </c>
      <c r="R3593" s="1" t="s">
        <v>100</v>
      </c>
      <c r="S3593" s="13" t="s">
        <v>18</v>
      </c>
      <c r="AX3593" s="11"/>
      <c r="AY3593" s="11"/>
      <c r="BC3593" s="11"/>
      <c r="BD3593" s="11"/>
      <c r="BE3593" s="11"/>
      <c r="BF3593" s="11"/>
      <c r="BG3593" s="11"/>
      <c r="BH3593" s="11"/>
      <c r="BI3593" s="11"/>
      <c r="BJ3593" s="11"/>
    </row>
    <row r="3594" spans="1:63" ht="12" customHeight="1" x14ac:dyDescent="0.2">
      <c r="A3594" s="1" t="s">
        <v>8760</v>
      </c>
      <c r="B3594" s="1">
        <v>57</v>
      </c>
      <c r="C3594" s="1" t="s">
        <v>114</v>
      </c>
      <c r="D3594" s="1" t="s">
        <v>37</v>
      </c>
      <c r="E3594" s="1" t="s">
        <v>8761</v>
      </c>
      <c r="F3594" s="72">
        <v>41825</v>
      </c>
      <c r="G3594" s="1" t="s">
        <v>8762</v>
      </c>
      <c r="H3594" s="1" t="s">
        <v>8763</v>
      </c>
      <c r="I3594" s="1" t="s">
        <v>404</v>
      </c>
      <c r="J3594" s="4" t="s">
        <v>8764</v>
      </c>
      <c r="K3594" s="1" t="s">
        <v>8765</v>
      </c>
      <c r="L3594" s="1" t="s">
        <v>9350</v>
      </c>
      <c r="M3594" s="1" t="s">
        <v>379</v>
      </c>
      <c r="N3594" s="1" t="s">
        <v>8766</v>
      </c>
      <c r="O3594" s="1" t="s">
        <v>29641</v>
      </c>
      <c r="P3594" s="1" t="s">
        <v>29642</v>
      </c>
      <c r="Q3594" s="63" t="s">
        <v>8767</v>
      </c>
      <c r="R3594" s="1" t="s">
        <v>100</v>
      </c>
      <c r="S3594" s="13" t="s">
        <v>18</v>
      </c>
      <c r="BK3594" s="70"/>
    </row>
    <row r="3595" spans="1:63" ht="12" customHeight="1" x14ac:dyDescent="0.15">
      <c r="A3595" s="1" t="s">
        <v>8742</v>
      </c>
      <c r="B3595" s="1">
        <v>16</v>
      </c>
      <c r="C3595" s="1" t="s">
        <v>20</v>
      </c>
      <c r="D3595" s="1" t="s">
        <v>85</v>
      </c>
      <c r="E3595" s="1" t="s">
        <v>8743</v>
      </c>
      <c r="F3595" s="72">
        <v>41825</v>
      </c>
      <c r="G3595" s="1" t="s">
        <v>8744</v>
      </c>
      <c r="H3595" s="1" t="s">
        <v>87</v>
      </c>
      <c r="I3595" s="1" t="s">
        <v>44</v>
      </c>
      <c r="J3595" s="4" t="s">
        <v>7839</v>
      </c>
      <c r="K3595" s="1" t="s">
        <v>88</v>
      </c>
      <c r="L3595" s="1" t="s">
        <v>89</v>
      </c>
      <c r="M3595" s="1" t="s">
        <v>27</v>
      </c>
      <c r="N3595" s="1" t="s">
        <v>8745</v>
      </c>
      <c r="O3595" s="1" t="s">
        <v>1010</v>
      </c>
      <c r="P3595" s="1" t="s">
        <v>401</v>
      </c>
      <c r="Q3595" s="63" t="s">
        <v>8746</v>
      </c>
      <c r="R3595" s="1" t="s">
        <v>100</v>
      </c>
      <c r="S3595" s="13" t="s">
        <v>35</v>
      </c>
      <c r="AX3595" s="11"/>
      <c r="AY3595" s="11"/>
      <c r="BC3595" s="11"/>
      <c r="BD3595" s="11"/>
      <c r="BE3595" s="11"/>
      <c r="BF3595" s="11"/>
      <c r="BG3595" s="11"/>
      <c r="BH3595" s="11"/>
      <c r="BI3595" s="11"/>
      <c r="BJ3595" s="11"/>
      <c r="BK3595" s="11"/>
    </row>
    <row r="3596" spans="1:63" ht="12" customHeight="1" x14ac:dyDescent="0.2">
      <c r="A3596" s="1" t="s">
        <v>8732</v>
      </c>
      <c r="B3596" s="1">
        <v>37</v>
      </c>
      <c r="C3596" s="1" t="s">
        <v>20</v>
      </c>
      <c r="D3596" s="1" t="s">
        <v>85</v>
      </c>
      <c r="F3596" s="72">
        <v>41825</v>
      </c>
      <c r="G3596" s="1" t="s">
        <v>8733</v>
      </c>
      <c r="H3596" s="1" t="s">
        <v>7030</v>
      </c>
      <c r="I3596" s="1" t="s">
        <v>25</v>
      </c>
      <c r="J3596" s="4" t="s">
        <v>7031</v>
      </c>
      <c r="K3596" s="1" t="s">
        <v>7032</v>
      </c>
      <c r="L3596" s="1" t="s">
        <v>7033</v>
      </c>
      <c r="M3596" s="1" t="s">
        <v>12821</v>
      </c>
      <c r="N3596" s="1" t="s">
        <v>8734</v>
      </c>
      <c r="O3596" s="1" t="s">
        <v>1010</v>
      </c>
      <c r="P3596" s="1" t="s">
        <v>401</v>
      </c>
      <c r="Q3596" s="63" t="s">
        <v>8735</v>
      </c>
      <c r="R3596" s="1" t="s">
        <v>29</v>
      </c>
      <c r="S3596" s="13" t="s">
        <v>28</v>
      </c>
      <c r="AU3596" s="70"/>
      <c r="AV3596" s="70"/>
      <c r="AW3596" s="70"/>
      <c r="AX3596" s="44"/>
      <c r="AY3596" s="44"/>
      <c r="BC3596" s="11"/>
      <c r="BD3596" s="11"/>
      <c r="BE3596" s="11"/>
      <c r="BF3596" s="11"/>
      <c r="BG3596" s="11"/>
      <c r="BH3596" s="11"/>
      <c r="BI3596" s="11"/>
      <c r="BJ3596" s="11"/>
      <c r="BK3596" s="78"/>
    </row>
    <row r="3597" spans="1:63" ht="12" customHeight="1" x14ac:dyDescent="0.15">
      <c r="A3597" s="1" t="s">
        <v>8747</v>
      </c>
      <c r="B3597" s="1">
        <v>59</v>
      </c>
      <c r="C3597" s="1" t="s">
        <v>114</v>
      </c>
      <c r="D3597" s="1" t="s">
        <v>37</v>
      </c>
      <c r="F3597" s="72">
        <v>41825</v>
      </c>
      <c r="G3597" s="1" t="s">
        <v>8748</v>
      </c>
      <c r="H3597" s="1" t="s">
        <v>8749</v>
      </c>
      <c r="I3597" s="1" t="s">
        <v>370</v>
      </c>
      <c r="J3597" s="4" t="s">
        <v>8750</v>
      </c>
      <c r="K3597" s="1" t="s">
        <v>1864</v>
      </c>
      <c r="L3597" s="1" t="s">
        <v>8751</v>
      </c>
      <c r="M3597" s="1" t="s">
        <v>27</v>
      </c>
      <c r="N3597" s="1" t="s">
        <v>8752</v>
      </c>
      <c r="O3597" s="1" t="s">
        <v>550</v>
      </c>
      <c r="P3597" s="1" t="s">
        <v>401</v>
      </c>
      <c r="Q3597" s="63" t="s">
        <v>8753</v>
      </c>
      <c r="R3597" s="1" t="s">
        <v>555</v>
      </c>
      <c r="S3597" s="13" t="s">
        <v>28</v>
      </c>
      <c r="BA3597" s="44"/>
      <c r="BB3597" s="44"/>
    </row>
    <row r="3598" spans="1:63" ht="12" customHeight="1" x14ac:dyDescent="0.15">
      <c r="A3598" s="1" t="s">
        <v>8775</v>
      </c>
      <c r="B3598" s="1" t="s">
        <v>8776</v>
      </c>
      <c r="C3598" s="1" t="s">
        <v>20</v>
      </c>
      <c r="D3598" s="1" t="s">
        <v>48</v>
      </c>
      <c r="E3598" s="1" t="s">
        <v>8777</v>
      </c>
      <c r="F3598" s="72">
        <v>41824</v>
      </c>
      <c r="G3598" s="1" t="s">
        <v>8778</v>
      </c>
      <c r="H3598" s="1" t="s">
        <v>87</v>
      </c>
      <c r="I3598" s="1" t="s">
        <v>44</v>
      </c>
      <c r="J3598" s="4" t="s">
        <v>8779</v>
      </c>
      <c r="K3598" s="1" t="s">
        <v>88</v>
      </c>
      <c r="L3598" s="1" t="s">
        <v>89</v>
      </c>
      <c r="M3598" s="1" t="s">
        <v>27</v>
      </c>
      <c r="N3598" s="1" t="s">
        <v>8780</v>
      </c>
      <c r="O3598" s="1" t="s">
        <v>29</v>
      </c>
      <c r="P3598" s="1" t="s">
        <v>401</v>
      </c>
      <c r="Q3598" s="63" t="s">
        <v>8781</v>
      </c>
      <c r="R3598" s="1" t="s">
        <v>100</v>
      </c>
      <c r="S3598" s="13" t="s">
        <v>28</v>
      </c>
    </row>
    <row r="3599" spans="1:63" ht="12" customHeight="1" x14ac:dyDescent="0.15">
      <c r="A3599" s="1" t="s">
        <v>8789</v>
      </c>
      <c r="B3599" s="1">
        <v>79</v>
      </c>
      <c r="C3599" s="1" t="s">
        <v>114</v>
      </c>
      <c r="D3599" s="1" t="s">
        <v>30</v>
      </c>
      <c r="F3599" s="72">
        <v>41824</v>
      </c>
      <c r="G3599" s="1" t="s">
        <v>8783</v>
      </c>
      <c r="H3599" s="1" t="s">
        <v>8784</v>
      </c>
      <c r="I3599" s="1" t="s">
        <v>133</v>
      </c>
      <c r="J3599" s="4" t="s">
        <v>8785</v>
      </c>
      <c r="K3599" s="1" t="s">
        <v>8786</v>
      </c>
      <c r="L3599" s="1" t="s">
        <v>5348</v>
      </c>
      <c r="M3599" s="1" t="s">
        <v>379</v>
      </c>
      <c r="N3599" s="1" t="s">
        <v>8787</v>
      </c>
      <c r="O3599" s="1" t="s">
        <v>1010</v>
      </c>
      <c r="P3599" s="1" t="s">
        <v>401</v>
      </c>
      <c r="Q3599" s="63" t="s">
        <v>8788</v>
      </c>
      <c r="R3599" s="1" t="s">
        <v>100</v>
      </c>
      <c r="S3599" s="13" t="s">
        <v>28</v>
      </c>
    </row>
    <row r="3600" spans="1:63" ht="12" customHeight="1" x14ac:dyDescent="0.15">
      <c r="A3600" s="1" t="s">
        <v>8782</v>
      </c>
      <c r="B3600" s="1">
        <v>78</v>
      </c>
      <c r="C3600" s="1" t="s">
        <v>20</v>
      </c>
      <c r="D3600" s="1" t="s">
        <v>30</v>
      </c>
      <c r="F3600" s="72">
        <v>41824</v>
      </c>
      <c r="G3600" s="1" t="s">
        <v>8783</v>
      </c>
      <c r="H3600" s="1" t="s">
        <v>8784</v>
      </c>
      <c r="I3600" s="1" t="s">
        <v>133</v>
      </c>
      <c r="J3600" s="4" t="s">
        <v>8785</v>
      </c>
      <c r="K3600" s="1" t="s">
        <v>8786</v>
      </c>
      <c r="L3600" s="1" t="s">
        <v>5348</v>
      </c>
      <c r="M3600" s="1" t="s">
        <v>379</v>
      </c>
      <c r="N3600" s="1" t="s">
        <v>8787</v>
      </c>
      <c r="O3600" s="1" t="s">
        <v>1010</v>
      </c>
      <c r="P3600" s="1" t="s">
        <v>401</v>
      </c>
      <c r="Q3600" s="63" t="s">
        <v>8788</v>
      </c>
      <c r="R3600" s="1" t="s">
        <v>100</v>
      </c>
      <c r="S3600" s="13" t="s">
        <v>28</v>
      </c>
    </row>
    <row r="3601" spans="1:63" ht="12" customHeight="1" x14ac:dyDescent="0.15">
      <c r="A3601" s="1" t="s">
        <v>8768</v>
      </c>
      <c r="B3601" s="1" t="s">
        <v>8769</v>
      </c>
      <c r="C3601" s="1" t="s">
        <v>20</v>
      </c>
      <c r="D3601" s="1" t="s">
        <v>85</v>
      </c>
      <c r="E3601" s="1" t="s">
        <v>8770</v>
      </c>
      <c r="F3601" s="72">
        <v>41824</v>
      </c>
      <c r="G3601" s="1" t="s">
        <v>8771</v>
      </c>
      <c r="H3601" s="1" t="s">
        <v>683</v>
      </c>
      <c r="I3601" s="1" t="s">
        <v>363</v>
      </c>
      <c r="J3601" s="4" t="s">
        <v>8772</v>
      </c>
      <c r="K3601" s="1" t="s">
        <v>684</v>
      </c>
      <c r="L3601" s="1" t="s">
        <v>685</v>
      </c>
      <c r="M3601" s="1" t="s">
        <v>27</v>
      </c>
      <c r="N3601" s="1" t="s">
        <v>8773</v>
      </c>
      <c r="O3601" s="1" t="s">
        <v>29</v>
      </c>
      <c r="P3601" s="1" t="s">
        <v>401</v>
      </c>
      <c r="Q3601" s="63" t="s">
        <v>8774</v>
      </c>
      <c r="R3601" s="1" t="s">
        <v>29</v>
      </c>
      <c r="S3601" s="13" t="s">
        <v>28</v>
      </c>
      <c r="AX3601" s="11"/>
      <c r="AY3601" s="11"/>
      <c r="BC3601" s="11"/>
      <c r="BD3601" s="11"/>
      <c r="BE3601" s="11"/>
      <c r="BF3601" s="11"/>
      <c r="BG3601" s="11"/>
      <c r="BH3601" s="11"/>
      <c r="BI3601" s="11"/>
      <c r="BJ3601" s="11"/>
    </row>
    <row r="3602" spans="1:63" ht="12" customHeight="1" x14ac:dyDescent="0.15">
      <c r="A3602" s="1" t="s">
        <v>8790</v>
      </c>
      <c r="B3602" s="1">
        <v>33</v>
      </c>
      <c r="C3602" s="1" t="s">
        <v>20</v>
      </c>
      <c r="D3602" s="1" t="s">
        <v>37</v>
      </c>
      <c r="F3602" s="72">
        <v>41824</v>
      </c>
      <c r="G3602" s="1" t="s">
        <v>8791</v>
      </c>
      <c r="H3602" s="1" t="s">
        <v>8792</v>
      </c>
      <c r="I3602" s="1" t="s">
        <v>319</v>
      </c>
      <c r="J3602" s="4" t="s">
        <v>8793</v>
      </c>
      <c r="K3602" s="1" t="s">
        <v>8794</v>
      </c>
      <c r="L3602" s="1" t="s">
        <v>8795</v>
      </c>
      <c r="M3602" s="1" t="s">
        <v>29</v>
      </c>
      <c r="N3602" s="1" t="s">
        <v>8796</v>
      </c>
      <c r="O3602" s="1" t="s">
        <v>1010</v>
      </c>
      <c r="P3602" s="1" t="s">
        <v>401</v>
      </c>
      <c r="Q3602" s="63" t="str">
        <f>HYPERLINK("http://www.wcyb.com/news/tbi-investigating-death-of-man-in-custody/26809334","http://www.wcyb.com/news/tbi-investigating-death-of-man-in-custody/26809334")</f>
        <v>http://www.wcyb.com/news/tbi-investigating-death-of-man-in-custody/26809334</v>
      </c>
      <c r="R3602" s="1" t="s">
        <v>29</v>
      </c>
      <c r="S3602" s="13" t="s">
        <v>18</v>
      </c>
      <c r="AU3602" s="44"/>
      <c r="AV3602" s="44"/>
      <c r="AW3602" s="44"/>
    </row>
    <row r="3603" spans="1:63" ht="12" customHeight="1" x14ac:dyDescent="0.15">
      <c r="A3603" s="1" t="s">
        <v>8811</v>
      </c>
      <c r="B3603" s="1">
        <v>40</v>
      </c>
      <c r="C3603" s="1" t="s">
        <v>20</v>
      </c>
      <c r="D3603" s="1" t="s">
        <v>48</v>
      </c>
      <c r="F3603" s="72">
        <v>41823</v>
      </c>
      <c r="G3603" s="1" t="s">
        <v>8812</v>
      </c>
      <c r="H3603" s="1" t="s">
        <v>2196</v>
      </c>
      <c r="I3603" s="1" t="s">
        <v>62</v>
      </c>
      <c r="J3603" s="4" t="s">
        <v>8813</v>
      </c>
      <c r="K3603" s="1" t="s">
        <v>1123</v>
      </c>
      <c r="L3603" s="1" t="s">
        <v>4384</v>
      </c>
      <c r="M3603" s="1" t="s">
        <v>27</v>
      </c>
      <c r="N3603" s="1" t="s">
        <v>8814</v>
      </c>
      <c r="O3603" s="1" t="s">
        <v>1010</v>
      </c>
      <c r="P3603" s="1" t="s">
        <v>401</v>
      </c>
      <c r="Q3603" s="63" t="s">
        <v>8815</v>
      </c>
      <c r="R3603" s="1" t="s">
        <v>100</v>
      </c>
      <c r="S3603" s="13" t="s">
        <v>28</v>
      </c>
    </row>
    <row r="3604" spans="1:63" ht="12" customHeight="1" x14ac:dyDescent="0.15">
      <c r="A3604" s="1" t="s">
        <v>8797</v>
      </c>
      <c r="B3604" s="1">
        <v>64</v>
      </c>
      <c r="C3604" s="1" t="s">
        <v>114</v>
      </c>
      <c r="D3604" s="1" t="s">
        <v>85</v>
      </c>
      <c r="E3604" s="1" t="s">
        <v>8798</v>
      </c>
      <c r="F3604" s="72">
        <v>41823</v>
      </c>
      <c r="G3604" s="1" t="s">
        <v>8799</v>
      </c>
      <c r="H3604" s="1" t="s">
        <v>8800</v>
      </c>
      <c r="I3604" s="1" t="s">
        <v>57</v>
      </c>
      <c r="J3604" s="4" t="s">
        <v>8801</v>
      </c>
      <c r="K3604" s="1" t="s">
        <v>8509</v>
      </c>
      <c r="L3604" s="1" t="s">
        <v>3953</v>
      </c>
      <c r="M3604" s="1" t="s">
        <v>379</v>
      </c>
      <c r="N3604" s="1" t="s">
        <v>8802</v>
      </c>
      <c r="O3604" s="1" t="s">
        <v>1010</v>
      </c>
      <c r="P3604" s="1" t="s">
        <v>401</v>
      </c>
      <c r="Q3604" s="63" t="s">
        <v>8803</v>
      </c>
      <c r="R3604" s="1" t="s">
        <v>100</v>
      </c>
      <c r="S3604" s="66" t="s">
        <v>379</v>
      </c>
      <c r="T3604" s="66" t="s">
        <v>30738</v>
      </c>
      <c r="AX3604" s="44"/>
      <c r="AY3604" s="44"/>
      <c r="BC3604" s="11"/>
      <c r="BD3604" s="11"/>
      <c r="BE3604" s="11"/>
      <c r="BF3604" s="11"/>
      <c r="BG3604" s="11"/>
      <c r="BH3604" s="11"/>
      <c r="BI3604" s="11"/>
      <c r="BJ3604" s="11"/>
    </row>
    <row r="3605" spans="1:63" ht="12" customHeight="1" x14ac:dyDescent="0.15">
      <c r="A3605" s="1" t="s">
        <v>8804</v>
      </c>
      <c r="B3605" s="1" t="s">
        <v>8805</v>
      </c>
      <c r="C3605" s="1" t="s">
        <v>20</v>
      </c>
      <c r="D3605" s="1" t="s">
        <v>48</v>
      </c>
      <c r="E3605" s="1" t="s">
        <v>8806</v>
      </c>
      <c r="F3605" s="72">
        <v>41823</v>
      </c>
      <c r="G3605" s="1" t="s">
        <v>8807</v>
      </c>
      <c r="H3605" s="1" t="s">
        <v>1298</v>
      </c>
      <c r="I3605" s="1" t="s">
        <v>209</v>
      </c>
      <c r="J3605" s="4" t="s">
        <v>8808</v>
      </c>
      <c r="K3605" s="1" t="s">
        <v>1298</v>
      </c>
      <c r="L3605" s="1" t="s">
        <v>1299</v>
      </c>
      <c r="M3605" s="1" t="s">
        <v>27</v>
      </c>
      <c r="N3605" s="1" t="s">
        <v>8809</v>
      </c>
      <c r="O3605" s="1" t="s">
        <v>29</v>
      </c>
      <c r="P3605" s="1" t="s">
        <v>401</v>
      </c>
      <c r="Q3605" s="63" t="s">
        <v>8810</v>
      </c>
      <c r="R3605" s="1" t="s">
        <v>100</v>
      </c>
      <c r="S3605" s="13" t="s">
        <v>379</v>
      </c>
    </row>
    <row r="3606" spans="1:63" ht="12" customHeight="1" x14ac:dyDescent="0.15">
      <c r="A3606" s="1" t="s">
        <v>8816</v>
      </c>
      <c r="B3606" s="1">
        <v>60</v>
      </c>
      <c r="C3606" s="1" t="s">
        <v>20</v>
      </c>
      <c r="D3606" s="1" t="s">
        <v>37</v>
      </c>
      <c r="F3606" s="72">
        <v>41823</v>
      </c>
      <c r="G3606" s="1" t="s">
        <v>8817</v>
      </c>
      <c r="H3606" s="1" t="s">
        <v>1916</v>
      </c>
      <c r="I3606" s="1" t="s">
        <v>173</v>
      </c>
      <c r="J3606" s="4" t="s">
        <v>3832</v>
      </c>
      <c r="K3606" s="1" t="s">
        <v>1556</v>
      </c>
      <c r="L3606" s="1" t="s">
        <v>2540</v>
      </c>
      <c r="M3606" s="1" t="s">
        <v>27</v>
      </c>
      <c r="N3606" s="1" t="s">
        <v>8818</v>
      </c>
      <c r="O3606" s="1" t="s">
        <v>1010</v>
      </c>
      <c r="P3606" s="1" t="s">
        <v>401</v>
      </c>
      <c r="Q3606" s="63" t="str">
        <f>HYPERLINK("http://www.ajc.com/news/news/officer-involved-shooting-in-se-atlanta/ngYcr/#__federated=1","http://www.ajc.com/news/news/officer-involved-shooting-in-se-atlanta/ngYcr/#__federated=1")</f>
        <v>http://www.ajc.com/news/news/officer-involved-shooting-in-se-atlanta/ngYcr/#__federated=1</v>
      </c>
      <c r="R3606" s="1" t="s">
        <v>555</v>
      </c>
      <c r="S3606" s="13" t="s">
        <v>28</v>
      </c>
      <c r="BA3606" s="44"/>
      <c r="BB3606" s="44"/>
    </row>
    <row r="3607" spans="1:63" ht="12" customHeight="1" x14ac:dyDescent="0.15">
      <c r="A3607" s="1" t="s">
        <v>8825</v>
      </c>
      <c r="B3607" s="1">
        <v>27</v>
      </c>
      <c r="C3607" s="1" t="s">
        <v>20</v>
      </c>
      <c r="D3607" s="1" t="s">
        <v>37</v>
      </c>
      <c r="E3607" s="1" t="s">
        <v>8826</v>
      </c>
      <c r="F3607" s="72">
        <v>41822</v>
      </c>
      <c r="G3607" s="1" t="s">
        <v>8827</v>
      </c>
      <c r="H3607" s="1" t="s">
        <v>922</v>
      </c>
      <c r="I3607" s="1" t="s">
        <v>195</v>
      </c>
      <c r="J3607" s="4" t="s">
        <v>5423</v>
      </c>
      <c r="K3607" s="1" t="s">
        <v>467</v>
      </c>
      <c r="L3607" s="1" t="s">
        <v>5634</v>
      </c>
      <c r="M3607" s="1" t="s">
        <v>27</v>
      </c>
      <c r="N3607" s="1" t="s">
        <v>8828</v>
      </c>
      <c r="O3607" s="1" t="s">
        <v>1010</v>
      </c>
      <c r="P3607" s="1" t="s">
        <v>401</v>
      </c>
      <c r="Q3607" s="63" t="s">
        <v>8829</v>
      </c>
      <c r="R3607" s="11" t="s">
        <v>964</v>
      </c>
      <c r="S3607" s="13" t="s">
        <v>18</v>
      </c>
    </row>
    <row r="3608" spans="1:63" ht="12" customHeight="1" x14ac:dyDescent="0.15">
      <c r="A3608" s="1" t="s">
        <v>8819</v>
      </c>
      <c r="B3608" s="1">
        <v>32</v>
      </c>
      <c r="C3608" s="1" t="s">
        <v>20</v>
      </c>
      <c r="D3608" s="1" t="s">
        <v>48</v>
      </c>
      <c r="E3608" s="1" t="s">
        <v>8820</v>
      </c>
      <c r="F3608" s="72">
        <v>41822</v>
      </c>
      <c r="G3608" s="1" t="s">
        <v>8821</v>
      </c>
      <c r="H3608" s="1" t="s">
        <v>1298</v>
      </c>
      <c r="I3608" s="1" t="s">
        <v>209</v>
      </c>
      <c r="J3608" s="4" t="s">
        <v>8822</v>
      </c>
      <c r="K3608" s="1" t="s">
        <v>1298</v>
      </c>
      <c r="L3608" s="1" t="s">
        <v>1299</v>
      </c>
      <c r="M3608" s="1" t="s">
        <v>27</v>
      </c>
      <c r="N3608" s="1" t="s">
        <v>8823</v>
      </c>
      <c r="O3608" s="1" t="s">
        <v>550</v>
      </c>
      <c r="P3608" s="1" t="s">
        <v>401</v>
      </c>
      <c r="Q3608" s="63" t="s">
        <v>8824</v>
      </c>
      <c r="R3608" s="1" t="s">
        <v>100</v>
      </c>
      <c r="S3608" s="13" t="s">
        <v>28</v>
      </c>
    </row>
    <row r="3609" spans="1:63" ht="12" customHeight="1" x14ac:dyDescent="0.2">
      <c r="A3609" s="66" t="s">
        <v>3252</v>
      </c>
      <c r="B3609" s="66" t="s">
        <v>29</v>
      </c>
      <c r="C3609" s="66" t="s">
        <v>20</v>
      </c>
      <c r="D3609" s="66" t="s">
        <v>30</v>
      </c>
      <c r="E3609" s="66"/>
      <c r="F3609" s="69">
        <v>41822</v>
      </c>
      <c r="G3609" s="66" t="s">
        <v>30687</v>
      </c>
      <c r="H3609" s="66" t="s">
        <v>890</v>
      </c>
      <c r="I3609" s="66" t="s">
        <v>315</v>
      </c>
      <c r="J3609" s="66"/>
      <c r="K3609" s="66" t="s">
        <v>1778</v>
      </c>
      <c r="L3609" s="66" t="s">
        <v>891</v>
      </c>
      <c r="M3609" s="66" t="s">
        <v>379</v>
      </c>
      <c r="N3609" s="66" t="s">
        <v>30688</v>
      </c>
      <c r="O3609" s="66" t="s">
        <v>1010</v>
      </c>
      <c r="P3609" s="66" t="s">
        <v>30375</v>
      </c>
      <c r="Q3609" s="76" t="s">
        <v>30689</v>
      </c>
      <c r="R3609" s="66" t="s">
        <v>100</v>
      </c>
      <c r="S3609" s="66" t="s">
        <v>379</v>
      </c>
      <c r="T3609" s="77"/>
      <c r="U3609" s="77"/>
      <c r="V3609" s="77"/>
      <c r="W3609" s="77"/>
      <c r="X3609" s="77"/>
      <c r="Y3609" s="66"/>
      <c r="Z3609" s="66"/>
      <c r="AA3609" s="66"/>
      <c r="AB3609" s="66"/>
      <c r="AC3609" s="66"/>
      <c r="AD3609" s="66"/>
      <c r="AE3609" s="66"/>
      <c r="AF3609" s="66"/>
      <c r="AG3609" s="66"/>
      <c r="AH3609" s="66"/>
      <c r="AI3609" s="66"/>
      <c r="AJ3609" s="66"/>
      <c r="AK3609" s="66"/>
      <c r="AL3609" s="66"/>
      <c r="AM3609" s="66"/>
      <c r="AN3609" s="66"/>
      <c r="AO3609" s="66"/>
      <c r="AP3609" s="66"/>
      <c r="AQ3609" s="66"/>
      <c r="AR3609" s="66"/>
      <c r="AS3609" s="66"/>
      <c r="AT3609" s="66"/>
      <c r="AU3609" s="66"/>
      <c r="AV3609" s="78"/>
      <c r="AW3609" s="78"/>
      <c r="AX3609" s="78"/>
      <c r="AY3609" s="78"/>
      <c r="AZ3609" s="78"/>
      <c r="BA3609" s="78"/>
      <c r="BB3609" s="78"/>
      <c r="BC3609" s="78"/>
      <c r="BD3609" s="78"/>
      <c r="BE3609" s="78"/>
      <c r="BF3609" s="78"/>
      <c r="BG3609" s="78"/>
      <c r="BH3609" s="78"/>
      <c r="BI3609" s="78"/>
      <c r="BJ3609" s="78"/>
    </row>
    <row r="3610" spans="1:63" ht="12" customHeight="1" x14ac:dyDescent="0.15">
      <c r="A3610" s="1" t="s">
        <v>8841</v>
      </c>
      <c r="B3610" s="1">
        <v>36</v>
      </c>
      <c r="C3610" s="1" t="s">
        <v>20</v>
      </c>
      <c r="D3610" s="1" t="s">
        <v>37</v>
      </c>
      <c r="E3610" s="1" t="s">
        <v>8842</v>
      </c>
      <c r="F3610" s="72">
        <v>41821</v>
      </c>
      <c r="G3610" s="1" t="s">
        <v>8843</v>
      </c>
      <c r="H3610" s="1" t="s">
        <v>1208</v>
      </c>
      <c r="I3610" s="1" t="s">
        <v>303</v>
      </c>
      <c r="J3610" s="4" t="s">
        <v>8844</v>
      </c>
      <c r="K3610" s="1" t="s">
        <v>1209</v>
      </c>
      <c r="L3610" s="1" t="s">
        <v>1210</v>
      </c>
      <c r="M3610" s="1" t="s">
        <v>27</v>
      </c>
      <c r="N3610" s="1" t="s">
        <v>8845</v>
      </c>
      <c r="O3610" s="1" t="s">
        <v>1010</v>
      </c>
      <c r="P3610" s="1" t="s">
        <v>401</v>
      </c>
      <c r="Q3610" s="63" t="s">
        <v>8846</v>
      </c>
      <c r="R3610" s="1" t="s">
        <v>100</v>
      </c>
      <c r="S3610" s="13" t="s">
        <v>28</v>
      </c>
    </row>
    <row r="3611" spans="1:63" ht="12" customHeight="1" x14ac:dyDescent="0.15">
      <c r="A3611" s="1" t="s">
        <v>8830</v>
      </c>
      <c r="B3611" s="1">
        <v>41</v>
      </c>
      <c r="C3611" s="1" t="s">
        <v>20</v>
      </c>
      <c r="D3611" s="1" t="s">
        <v>85</v>
      </c>
      <c r="E3611" s="1" t="s">
        <v>8831</v>
      </c>
      <c r="F3611" s="72">
        <v>41821</v>
      </c>
      <c r="G3611" s="1" t="s">
        <v>8832</v>
      </c>
      <c r="H3611" s="1" t="s">
        <v>8833</v>
      </c>
      <c r="I3611" s="1" t="s">
        <v>62</v>
      </c>
      <c r="J3611" s="4" t="s">
        <v>8834</v>
      </c>
      <c r="K3611" s="1" t="s">
        <v>4353</v>
      </c>
      <c r="L3611" s="1" t="s">
        <v>5400</v>
      </c>
      <c r="M3611" s="1" t="s">
        <v>27</v>
      </c>
      <c r="N3611" s="1" t="s">
        <v>8835</v>
      </c>
      <c r="O3611" s="1" t="s">
        <v>550</v>
      </c>
      <c r="P3611" s="1" t="s">
        <v>401</v>
      </c>
      <c r="Q3611" s="63" t="s">
        <v>8836</v>
      </c>
      <c r="R3611" s="1" t="s">
        <v>100</v>
      </c>
      <c r="S3611" s="13" t="s">
        <v>18</v>
      </c>
      <c r="AX3611" s="11"/>
      <c r="AY3611" s="11"/>
      <c r="BC3611" s="11"/>
      <c r="BD3611" s="11"/>
      <c r="BE3611" s="11"/>
      <c r="BF3611" s="11"/>
      <c r="BG3611" s="11"/>
      <c r="BH3611" s="11"/>
      <c r="BI3611" s="11"/>
      <c r="BJ3611" s="11"/>
    </row>
    <row r="3612" spans="1:63" ht="12" customHeight="1" x14ac:dyDescent="0.15">
      <c r="A3612" s="1" t="s">
        <v>8847</v>
      </c>
      <c r="B3612" s="1">
        <v>29</v>
      </c>
      <c r="C3612" s="1" t="s">
        <v>20</v>
      </c>
      <c r="D3612" s="1" t="s">
        <v>37</v>
      </c>
      <c r="E3612" s="1" t="s">
        <v>8848</v>
      </c>
      <c r="F3612" s="72">
        <v>41821</v>
      </c>
      <c r="G3612" s="1" t="s">
        <v>8849</v>
      </c>
      <c r="H3612" s="1" t="s">
        <v>8850</v>
      </c>
      <c r="I3612" s="1" t="s">
        <v>1716</v>
      </c>
      <c r="J3612" s="4" t="s">
        <v>8851</v>
      </c>
      <c r="K3612" s="1" t="s">
        <v>2589</v>
      </c>
      <c r="L3612" s="1" t="s">
        <v>8852</v>
      </c>
      <c r="M3612" s="1" t="s">
        <v>379</v>
      </c>
      <c r="N3612" s="1" t="s">
        <v>8853</v>
      </c>
      <c r="O3612" s="1" t="s">
        <v>1010</v>
      </c>
      <c r="P3612" s="1" t="s">
        <v>401</v>
      </c>
      <c r="Q3612" s="63" t="s">
        <v>8854</v>
      </c>
      <c r="R3612" s="1" t="s">
        <v>100</v>
      </c>
      <c r="S3612" s="13" t="s">
        <v>379</v>
      </c>
    </row>
    <row r="3613" spans="1:63" ht="12" customHeight="1" x14ac:dyDescent="0.15">
      <c r="A3613" s="1" t="s">
        <v>8837</v>
      </c>
      <c r="B3613" s="1">
        <v>59</v>
      </c>
      <c r="C3613" s="1" t="s">
        <v>20</v>
      </c>
      <c r="D3613" s="1" t="s">
        <v>30</v>
      </c>
      <c r="F3613" s="72">
        <v>41821</v>
      </c>
      <c r="G3613" s="1" t="s">
        <v>8838</v>
      </c>
      <c r="H3613" s="1" t="s">
        <v>651</v>
      </c>
      <c r="I3613" s="1" t="s">
        <v>62</v>
      </c>
      <c r="J3613" s="4" t="s">
        <v>5810</v>
      </c>
      <c r="K3613" s="1" t="s">
        <v>652</v>
      </c>
      <c r="L3613" s="11" t="s">
        <v>653</v>
      </c>
      <c r="M3613" s="1" t="s">
        <v>27</v>
      </c>
      <c r="N3613" s="1" t="s">
        <v>8839</v>
      </c>
      <c r="O3613" s="1" t="s">
        <v>1010</v>
      </c>
      <c r="P3613" s="1" t="s">
        <v>401</v>
      </c>
      <c r="Q3613" s="63" t="s">
        <v>8840</v>
      </c>
      <c r="R3613" s="1" t="s">
        <v>29</v>
      </c>
      <c r="S3613" s="13" t="s">
        <v>28</v>
      </c>
    </row>
    <row r="3614" spans="1:63" ht="12" customHeight="1" x14ac:dyDescent="0.15">
      <c r="A3614" s="1" t="s">
        <v>8855</v>
      </c>
      <c r="B3614" s="1">
        <v>23</v>
      </c>
      <c r="C3614" s="1" t="s">
        <v>20</v>
      </c>
      <c r="D3614" s="1" t="s">
        <v>48</v>
      </c>
      <c r="E3614" s="1" t="s">
        <v>8856</v>
      </c>
      <c r="F3614" s="72">
        <v>41820</v>
      </c>
      <c r="G3614" s="1" t="s">
        <v>8857</v>
      </c>
      <c r="H3614" s="1" t="s">
        <v>1208</v>
      </c>
      <c r="I3614" s="1" t="s">
        <v>303</v>
      </c>
      <c r="J3614" s="4" t="s">
        <v>8858</v>
      </c>
      <c r="K3614" s="1" t="s">
        <v>1209</v>
      </c>
      <c r="L3614" s="1" t="s">
        <v>1210</v>
      </c>
      <c r="M3614" s="1" t="s">
        <v>27</v>
      </c>
      <c r="N3614" s="1" t="s">
        <v>8859</v>
      </c>
      <c r="O3614" s="1" t="s">
        <v>550</v>
      </c>
      <c r="P3614" s="1" t="s">
        <v>401</v>
      </c>
      <c r="Q3614" s="63" t="s">
        <v>8860</v>
      </c>
      <c r="R3614" s="1" t="s">
        <v>100</v>
      </c>
      <c r="S3614" s="13" t="s">
        <v>28</v>
      </c>
    </row>
    <row r="3615" spans="1:63" ht="12" customHeight="1" x14ac:dyDescent="0.15">
      <c r="A3615" s="1" t="s">
        <v>8874</v>
      </c>
      <c r="B3615" s="1">
        <v>43</v>
      </c>
      <c r="C3615" s="1" t="s">
        <v>20</v>
      </c>
      <c r="D3615" s="1" t="s">
        <v>30</v>
      </c>
      <c r="F3615" s="72">
        <v>41819</v>
      </c>
      <c r="G3615" s="1" t="s">
        <v>8875</v>
      </c>
      <c r="H3615" s="1" t="s">
        <v>8876</v>
      </c>
      <c r="I3615" s="1" t="s">
        <v>303</v>
      </c>
      <c r="J3615" s="4" t="s">
        <v>8877</v>
      </c>
      <c r="K3615" s="1" t="s">
        <v>1543</v>
      </c>
      <c r="L3615" s="1" t="s">
        <v>8878</v>
      </c>
      <c r="M3615" s="1" t="s">
        <v>27</v>
      </c>
      <c r="N3615" s="1" t="s">
        <v>8879</v>
      </c>
      <c r="O3615" s="1" t="s">
        <v>1010</v>
      </c>
      <c r="P3615" s="1" t="s">
        <v>401</v>
      </c>
      <c r="Q3615" s="63" t="s">
        <v>8880</v>
      </c>
      <c r="R3615" s="1" t="s">
        <v>100</v>
      </c>
      <c r="S3615" s="13" t="s">
        <v>28</v>
      </c>
    </row>
    <row r="3616" spans="1:63" ht="12" customHeight="1" x14ac:dyDescent="0.2">
      <c r="A3616" s="1" t="s">
        <v>8861</v>
      </c>
      <c r="B3616" s="1">
        <v>24</v>
      </c>
      <c r="C3616" s="1" t="s">
        <v>20</v>
      </c>
      <c r="D3616" s="1" t="s">
        <v>85</v>
      </c>
      <c r="E3616" s="1" t="s">
        <v>8862</v>
      </c>
      <c r="F3616" s="72">
        <v>41819</v>
      </c>
      <c r="G3616" s="1" t="s">
        <v>8863</v>
      </c>
      <c r="H3616" s="1" t="s">
        <v>4020</v>
      </c>
      <c r="I3616" s="1" t="s">
        <v>62</v>
      </c>
      <c r="J3616" s="4" t="s">
        <v>8864</v>
      </c>
      <c r="K3616" s="1" t="s">
        <v>1864</v>
      </c>
      <c r="L3616" s="1" t="s">
        <v>4022</v>
      </c>
      <c r="M3616" s="1" t="s">
        <v>379</v>
      </c>
      <c r="N3616" s="1" t="s">
        <v>8865</v>
      </c>
      <c r="O3616" s="1" t="s">
        <v>1010</v>
      </c>
      <c r="P3616" s="1" t="s">
        <v>401</v>
      </c>
      <c r="Q3616" s="63" t="s">
        <v>8866</v>
      </c>
      <c r="R3616" s="1" t="s">
        <v>100</v>
      </c>
      <c r="S3616" s="13" t="s">
        <v>18</v>
      </c>
      <c r="AX3616" s="44"/>
      <c r="AY3616" s="44"/>
      <c r="BC3616" s="11"/>
      <c r="BD3616" s="11"/>
      <c r="BE3616" s="11"/>
      <c r="BF3616" s="11"/>
      <c r="BG3616" s="11"/>
      <c r="BH3616" s="11"/>
      <c r="BI3616" s="11"/>
      <c r="BJ3616" s="11"/>
      <c r="BK3616" s="70"/>
    </row>
    <row r="3617" spans="1:63" ht="12" customHeight="1" x14ac:dyDescent="0.15">
      <c r="A3617" s="1" t="s">
        <v>8867</v>
      </c>
      <c r="B3617" s="1">
        <v>44</v>
      </c>
      <c r="C3617" s="1" t="s">
        <v>20</v>
      </c>
      <c r="D3617" s="1" t="s">
        <v>30</v>
      </c>
      <c r="F3617" s="72">
        <v>41819</v>
      </c>
      <c r="G3617" s="1" t="s">
        <v>8868</v>
      </c>
      <c r="H3617" s="1" t="s">
        <v>8869</v>
      </c>
      <c r="I3617" s="1" t="s">
        <v>81</v>
      </c>
      <c r="J3617" s="4" t="s">
        <v>8870</v>
      </c>
      <c r="K3617" s="1" t="s">
        <v>670</v>
      </c>
      <c r="L3617" s="1" t="s">
        <v>8871</v>
      </c>
      <c r="M3617" s="1" t="s">
        <v>27</v>
      </c>
      <c r="N3617" s="1" t="s">
        <v>8872</v>
      </c>
      <c r="O3617" s="1" t="s">
        <v>1010</v>
      </c>
      <c r="P3617" s="1" t="s">
        <v>401</v>
      </c>
      <c r="Q3617" s="63" t="s">
        <v>8873</v>
      </c>
      <c r="R3617" s="1" t="s">
        <v>29</v>
      </c>
      <c r="S3617" s="13" t="s">
        <v>28</v>
      </c>
    </row>
    <row r="3618" spans="1:63" ht="12" customHeight="1" x14ac:dyDescent="0.15">
      <c r="A3618" s="1" t="s">
        <v>8881</v>
      </c>
      <c r="B3618" s="1">
        <v>37</v>
      </c>
      <c r="C3618" s="1" t="s">
        <v>20</v>
      </c>
      <c r="D3618" s="1" t="s">
        <v>37</v>
      </c>
      <c r="E3618" s="1" t="s">
        <v>8882</v>
      </c>
      <c r="F3618" s="72">
        <v>41818</v>
      </c>
      <c r="G3618" s="1" t="s">
        <v>8883</v>
      </c>
      <c r="H3618" s="1" t="s">
        <v>1492</v>
      </c>
      <c r="I3618" s="1" t="s">
        <v>45</v>
      </c>
      <c r="J3618" s="4" t="s">
        <v>8884</v>
      </c>
      <c r="K3618" s="1" t="s">
        <v>98</v>
      </c>
      <c r="L3618" s="11" t="s">
        <v>414</v>
      </c>
      <c r="M3618" s="1" t="s">
        <v>14359</v>
      </c>
      <c r="N3618" s="1" t="s">
        <v>8885</v>
      </c>
      <c r="O3618" s="1" t="s">
        <v>1010</v>
      </c>
      <c r="P3618" s="1" t="s">
        <v>401</v>
      </c>
      <c r="Q3618" s="63" t="s">
        <v>8886</v>
      </c>
      <c r="R3618" s="1" t="s">
        <v>29</v>
      </c>
      <c r="S3618" s="13" t="s">
        <v>18</v>
      </c>
      <c r="AX3618" s="44"/>
      <c r="AY3618" s="44"/>
      <c r="AZ3618" s="44"/>
    </row>
    <row r="3619" spans="1:63" ht="12" customHeight="1" x14ac:dyDescent="0.15">
      <c r="A3619" s="1" t="s">
        <v>8901</v>
      </c>
      <c r="B3619" s="1">
        <v>27</v>
      </c>
      <c r="C3619" s="1" t="s">
        <v>20</v>
      </c>
      <c r="D3619" s="1" t="s">
        <v>85</v>
      </c>
      <c r="E3619" s="1" t="s">
        <v>8902</v>
      </c>
      <c r="F3619" s="72">
        <v>41817</v>
      </c>
      <c r="G3619" s="1" t="s">
        <v>8903</v>
      </c>
      <c r="H3619" s="1" t="s">
        <v>8904</v>
      </c>
      <c r="I3619" s="1" t="s">
        <v>423</v>
      </c>
      <c r="J3619" s="4" t="s">
        <v>3353</v>
      </c>
      <c r="K3619" s="1" t="s">
        <v>1699</v>
      </c>
      <c r="L3619" s="1" t="s">
        <v>3354</v>
      </c>
      <c r="M3619" s="1" t="s">
        <v>27</v>
      </c>
      <c r="N3619" s="1" t="s">
        <v>8905</v>
      </c>
      <c r="O3619" s="1" t="s">
        <v>4684</v>
      </c>
      <c r="P3619" s="1" t="s">
        <v>401</v>
      </c>
      <c r="Q3619" s="6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3619" s="1" t="s">
        <v>100</v>
      </c>
      <c r="S3619" s="13" t="s">
        <v>28</v>
      </c>
      <c r="AX3619" s="11"/>
      <c r="AY3619" s="11"/>
      <c r="BC3619" s="11"/>
      <c r="BD3619" s="11"/>
      <c r="BE3619" s="11"/>
      <c r="BF3619" s="11"/>
      <c r="BG3619" s="11"/>
      <c r="BH3619" s="11"/>
      <c r="BI3619" s="11"/>
      <c r="BJ3619" s="11"/>
    </row>
    <row r="3620" spans="1:63" ht="12" customHeight="1" x14ac:dyDescent="0.15">
      <c r="A3620" s="1" t="s">
        <v>8895</v>
      </c>
      <c r="B3620" s="1">
        <v>35</v>
      </c>
      <c r="C3620" s="1" t="s">
        <v>20</v>
      </c>
      <c r="D3620" s="1" t="s">
        <v>85</v>
      </c>
      <c r="E3620" s="1" t="s">
        <v>8896</v>
      </c>
      <c r="F3620" s="72">
        <v>41817</v>
      </c>
      <c r="G3620" s="1" t="s">
        <v>8897</v>
      </c>
      <c r="H3620" s="1" t="s">
        <v>1941</v>
      </c>
      <c r="I3620" s="1" t="s">
        <v>73</v>
      </c>
      <c r="J3620" s="4" t="s">
        <v>8898</v>
      </c>
      <c r="K3620" s="1" t="s">
        <v>1941</v>
      </c>
      <c r="L3620" s="1" t="s">
        <v>1943</v>
      </c>
      <c r="M3620" s="1" t="s">
        <v>27</v>
      </c>
      <c r="N3620" s="1" t="s">
        <v>8899</v>
      </c>
      <c r="O3620" s="1" t="s">
        <v>1010</v>
      </c>
      <c r="P3620" s="1" t="s">
        <v>401</v>
      </c>
      <c r="Q3620" s="63" t="s">
        <v>8900</v>
      </c>
      <c r="R3620" s="1" t="s">
        <v>100</v>
      </c>
      <c r="S3620" s="13" t="s">
        <v>28</v>
      </c>
      <c r="AX3620" s="11"/>
      <c r="AY3620" s="11"/>
      <c r="BC3620" s="11"/>
      <c r="BD3620" s="11"/>
      <c r="BE3620" s="11"/>
      <c r="BF3620" s="11"/>
      <c r="BG3620" s="11"/>
      <c r="BH3620" s="11"/>
      <c r="BI3620" s="11"/>
      <c r="BJ3620" s="11"/>
    </row>
    <row r="3621" spans="1:63" ht="12" customHeight="1" x14ac:dyDescent="0.15">
      <c r="A3621" s="1" t="s">
        <v>8913</v>
      </c>
      <c r="B3621" s="1">
        <v>56</v>
      </c>
      <c r="C3621" s="1" t="s">
        <v>20</v>
      </c>
      <c r="D3621" s="1" t="s">
        <v>37</v>
      </c>
      <c r="E3621" s="1" t="s">
        <v>8914</v>
      </c>
      <c r="F3621" s="72">
        <v>41817</v>
      </c>
      <c r="G3621" s="1" t="s">
        <v>8915</v>
      </c>
      <c r="H3621" s="1" t="s">
        <v>8916</v>
      </c>
      <c r="I3621" s="1" t="s">
        <v>244</v>
      </c>
      <c r="J3621" s="4" t="s">
        <v>8917</v>
      </c>
      <c r="K3621" s="1" t="s">
        <v>118</v>
      </c>
      <c r="L3621" s="1" t="s">
        <v>3318</v>
      </c>
      <c r="M3621" s="1" t="s">
        <v>27</v>
      </c>
      <c r="N3621" s="1" t="s">
        <v>8918</v>
      </c>
      <c r="O3621" s="1" t="s">
        <v>1010</v>
      </c>
      <c r="P3621" s="1" t="s">
        <v>401</v>
      </c>
      <c r="Q3621" s="63" t="str">
        <f>HYPERLINK("http://www.wcyb.com/news/shooting-investigated-in-damascus/26694690","http://www.wcyb.com/news/shooting-investigated-in-damascus/26694690")</f>
        <v>http://www.wcyb.com/news/shooting-investigated-in-damascus/26694690</v>
      </c>
      <c r="R3621" s="1" t="s">
        <v>100</v>
      </c>
      <c r="S3621" s="13" t="s">
        <v>28</v>
      </c>
    </row>
    <row r="3622" spans="1:63" ht="12" customHeight="1" x14ac:dyDescent="0.15">
      <c r="A3622" s="1" t="s">
        <v>8887</v>
      </c>
      <c r="B3622" s="1">
        <v>40</v>
      </c>
      <c r="C3622" s="1" t="s">
        <v>20</v>
      </c>
      <c r="D3622" s="1" t="s">
        <v>85</v>
      </c>
      <c r="E3622" s="1" t="s">
        <v>8888</v>
      </c>
      <c r="F3622" s="72">
        <v>41817</v>
      </c>
      <c r="G3622" s="1" t="s">
        <v>8889</v>
      </c>
      <c r="H3622" s="1" t="s">
        <v>8890</v>
      </c>
      <c r="I3622" s="1" t="s">
        <v>45</v>
      </c>
      <c r="J3622" s="4" t="s">
        <v>8891</v>
      </c>
      <c r="K3622" s="1" t="s">
        <v>98</v>
      </c>
      <c r="L3622" s="1" t="s">
        <v>8892</v>
      </c>
      <c r="M3622" s="1" t="s">
        <v>27</v>
      </c>
      <c r="N3622" s="1" t="s">
        <v>8893</v>
      </c>
      <c r="O3622" s="1" t="s">
        <v>4684</v>
      </c>
      <c r="P3622" s="1" t="s">
        <v>401</v>
      </c>
      <c r="Q3622" s="63" t="s">
        <v>8894</v>
      </c>
      <c r="R3622" s="1" t="s">
        <v>100</v>
      </c>
      <c r="S3622" s="13" t="s">
        <v>35</v>
      </c>
      <c r="AX3622" s="11"/>
      <c r="AY3622" s="11"/>
      <c r="BC3622" s="11"/>
      <c r="BD3622" s="11"/>
      <c r="BE3622" s="11"/>
      <c r="BF3622" s="11"/>
      <c r="BG3622" s="11"/>
      <c r="BH3622" s="11"/>
      <c r="BI3622" s="11"/>
      <c r="BJ3622" s="11"/>
      <c r="BK3622" s="11"/>
    </row>
    <row r="3623" spans="1:63" ht="12" customHeight="1" x14ac:dyDescent="0.2">
      <c r="A3623" s="1" t="s">
        <v>8906</v>
      </c>
      <c r="B3623" s="1">
        <v>32</v>
      </c>
      <c r="C3623" s="1" t="s">
        <v>20</v>
      </c>
      <c r="D3623" s="1" t="s">
        <v>37</v>
      </c>
      <c r="E3623" s="1" t="s">
        <v>8907</v>
      </c>
      <c r="F3623" s="72">
        <v>41817</v>
      </c>
      <c r="G3623" s="1" t="s">
        <v>8908</v>
      </c>
      <c r="H3623" s="1" t="s">
        <v>2507</v>
      </c>
      <c r="I3623" s="1" t="s">
        <v>303</v>
      </c>
      <c r="J3623" s="4" t="s">
        <v>8909</v>
      </c>
      <c r="K3623" s="1" t="s">
        <v>2508</v>
      </c>
      <c r="L3623" s="1" t="s">
        <v>8910</v>
      </c>
      <c r="M3623" s="1" t="s">
        <v>27</v>
      </c>
      <c r="N3623" s="1" t="s">
        <v>8911</v>
      </c>
      <c r="O3623" s="1" t="s">
        <v>550</v>
      </c>
      <c r="P3623" s="1" t="s">
        <v>401</v>
      </c>
      <c r="Q3623" s="63" t="s">
        <v>8912</v>
      </c>
      <c r="R3623" s="1" t="s">
        <v>29</v>
      </c>
      <c r="S3623" s="13" t="s">
        <v>28</v>
      </c>
      <c r="BA3623" s="70"/>
      <c r="BB3623" s="70"/>
    </row>
    <row r="3624" spans="1:63" ht="12" customHeight="1" x14ac:dyDescent="0.15">
      <c r="A3624" s="1" t="s">
        <v>8919</v>
      </c>
      <c r="B3624" s="1">
        <v>33</v>
      </c>
      <c r="C3624" s="1" t="s">
        <v>20</v>
      </c>
      <c r="D3624" s="1" t="s">
        <v>85</v>
      </c>
      <c r="F3624" s="72">
        <v>41816</v>
      </c>
      <c r="G3624" s="1" t="s">
        <v>8920</v>
      </c>
      <c r="H3624" s="1" t="s">
        <v>285</v>
      </c>
      <c r="I3624" s="1" t="s">
        <v>73</v>
      </c>
      <c r="J3624" s="4" t="s">
        <v>8921</v>
      </c>
      <c r="K3624" s="1" t="s">
        <v>285</v>
      </c>
      <c r="L3624" s="1" t="s">
        <v>286</v>
      </c>
      <c r="M3624" s="1" t="s">
        <v>27</v>
      </c>
      <c r="N3624" s="1" t="s">
        <v>8922</v>
      </c>
      <c r="O3624" s="1" t="s">
        <v>1010</v>
      </c>
      <c r="P3624" s="1" t="s">
        <v>401</v>
      </c>
      <c r="Q3624" s="63" t="s">
        <v>8923</v>
      </c>
      <c r="R3624" s="1" t="s">
        <v>100</v>
      </c>
      <c r="S3624" s="13" t="s">
        <v>28</v>
      </c>
      <c r="AX3624" s="11"/>
      <c r="AY3624" s="11"/>
      <c r="BA3624" s="11"/>
      <c r="BB3624" s="11"/>
      <c r="BC3624" s="11"/>
      <c r="BD3624" s="11"/>
      <c r="BE3624" s="11"/>
      <c r="BF3624" s="11"/>
      <c r="BG3624" s="11"/>
      <c r="BH3624" s="11"/>
      <c r="BI3624" s="11"/>
      <c r="BJ3624" s="11"/>
    </row>
    <row r="3625" spans="1:63" ht="12" customHeight="1" x14ac:dyDescent="0.2">
      <c r="A3625" s="1" t="s">
        <v>8930</v>
      </c>
      <c r="B3625" s="1">
        <v>34</v>
      </c>
      <c r="C3625" s="1" t="s">
        <v>20</v>
      </c>
      <c r="D3625" s="1" t="s">
        <v>37</v>
      </c>
      <c r="F3625" s="72">
        <v>41816</v>
      </c>
      <c r="G3625" s="1" t="s">
        <v>8931</v>
      </c>
      <c r="H3625" s="1" t="s">
        <v>4182</v>
      </c>
      <c r="I3625" s="1" t="s">
        <v>46</v>
      </c>
      <c r="J3625" s="4" t="s">
        <v>8932</v>
      </c>
      <c r="K3625" s="1" t="s">
        <v>8933</v>
      </c>
      <c r="L3625" s="1" t="s">
        <v>4185</v>
      </c>
      <c r="M3625" s="1" t="s">
        <v>27</v>
      </c>
      <c r="N3625" s="1" t="s">
        <v>8934</v>
      </c>
      <c r="O3625" s="1" t="s">
        <v>1010</v>
      </c>
      <c r="P3625" s="1" t="s">
        <v>401</v>
      </c>
      <c r="Q3625" s="63" t="s">
        <v>8935</v>
      </c>
      <c r="R3625" s="1" t="s">
        <v>29</v>
      </c>
      <c r="S3625" s="13" t="s">
        <v>28</v>
      </c>
      <c r="BA3625" s="70"/>
      <c r="BB3625" s="70"/>
    </row>
    <row r="3626" spans="1:63" ht="12" customHeight="1" x14ac:dyDescent="0.2">
      <c r="A3626" s="1" t="s">
        <v>8936</v>
      </c>
      <c r="B3626" s="1">
        <v>50</v>
      </c>
      <c r="C3626" s="1" t="s">
        <v>20</v>
      </c>
      <c r="D3626" s="1" t="s">
        <v>37</v>
      </c>
      <c r="E3626" s="1" t="s">
        <v>8937</v>
      </c>
      <c r="F3626" s="72">
        <v>41816</v>
      </c>
      <c r="G3626" s="1" t="s">
        <v>8938</v>
      </c>
      <c r="H3626" s="1" t="s">
        <v>8939</v>
      </c>
      <c r="I3626" s="1" t="s">
        <v>73</v>
      </c>
      <c r="J3626" s="4" t="s">
        <v>8940</v>
      </c>
      <c r="K3626" s="1" t="s">
        <v>8941</v>
      </c>
      <c r="L3626" s="1" t="s">
        <v>7294</v>
      </c>
      <c r="M3626" s="1" t="s">
        <v>27</v>
      </c>
      <c r="N3626" s="1" t="s">
        <v>8942</v>
      </c>
      <c r="O3626" s="1" t="s">
        <v>4684</v>
      </c>
      <c r="P3626" s="1" t="s">
        <v>401</v>
      </c>
      <c r="Q3626" s="63" t="s">
        <v>8943</v>
      </c>
      <c r="R3626" s="1" t="s">
        <v>29</v>
      </c>
      <c r="S3626" s="13" t="s">
        <v>28</v>
      </c>
      <c r="BA3626" s="70"/>
      <c r="BB3626" s="70"/>
    </row>
    <row r="3627" spans="1:63" ht="12" customHeight="1" x14ac:dyDescent="0.15">
      <c r="A3627" s="1" t="s">
        <v>8924</v>
      </c>
      <c r="B3627" s="1">
        <v>56</v>
      </c>
      <c r="C3627" s="1" t="s">
        <v>20</v>
      </c>
      <c r="D3627" s="1" t="s">
        <v>37</v>
      </c>
      <c r="F3627" s="72">
        <v>41816</v>
      </c>
      <c r="G3627" s="1" t="s">
        <v>8925</v>
      </c>
      <c r="H3627" s="1" t="s">
        <v>8926</v>
      </c>
      <c r="I3627" s="1" t="s">
        <v>46</v>
      </c>
      <c r="J3627" s="4" t="s">
        <v>8927</v>
      </c>
      <c r="K3627" s="1" t="s">
        <v>1699</v>
      </c>
      <c r="L3627" s="1" t="s">
        <v>8928</v>
      </c>
      <c r="M3627" s="1" t="s">
        <v>391</v>
      </c>
      <c r="N3627" s="1" t="s">
        <v>20992</v>
      </c>
      <c r="O3627" s="1" t="s">
        <v>400</v>
      </c>
      <c r="P3627" s="1" t="s">
        <v>401</v>
      </c>
      <c r="Q3627" s="63" t="s">
        <v>8929</v>
      </c>
      <c r="R3627" s="1" t="s">
        <v>555</v>
      </c>
      <c r="S3627" s="13" t="s">
        <v>35</v>
      </c>
      <c r="AU3627" s="11"/>
      <c r="AV3627" s="11"/>
      <c r="AW3627" s="11"/>
      <c r="BK3627" s="11"/>
    </row>
    <row r="3628" spans="1:63" ht="12" customHeight="1" x14ac:dyDescent="0.15">
      <c r="A3628" s="1" t="s">
        <v>8944</v>
      </c>
      <c r="B3628" s="1">
        <v>45</v>
      </c>
      <c r="C3628" s="1" t="s">
        <v>20</v>
      </c>
      <c r="D3628" s="1" t="s">
        <v>85</v>
      </c>
      <c r="F3628" s="72">
        <v>41815</v>
      </c>
      <c r="G3628" s="1" t="s">
        <v>8945</v>
      </c>
      <c r="H3628" s="1" t="s">
        <v>98</v>
      </c>
      <c r="I3628" s="1" t="s">
        <v>45</v>
      </c>
      <c r="J3628" s="4" t="s">
        <v>8946</v>
      </c>
      <c r="K3628" s="1" t="s">
        <v>98</v>
      </c>
      <c r="L3628" s="1" t="s">
        <v>99</v>
      </c>
      <c r="M3628" s="1" t="s">
        <v>27</v>
      </c>
      <c r="N3628" s="1" t="s">
        <v>8947</v>
      </c>
      <c r="O3628" s="1" t="s">
        <v>1010</v>
      </c>
      <c r="P3628" s="1" t="s">
        <v>401</v>
      </c>
      <c r="Q3628" s="63" t="s">
        <v>8948</v>
      </c>
      <c r="R3628" s="1" t="s">
        <v>100</v>
      </c>
      <c r="S3628" s="13" t="s">
        <v>28</v>
      </c>
      <c r="AX3628" s="11"/>
      <c r="AY3628" s="11"/>
      <c r="BC3628" s="11"/>
      <c r="BD3628" s="11"/>
      <c r="BE3628" s="11"/>
      <c r="BF3628" s="11"/>
      <c r="BG3628" s="11"/>
      <c r="BH3628" s="11"/>
      <c r="BI3628" s="11"/>
      <c r="BJ3628" s="11"/>
    </row>
    <row r="3629" spans="1:63" ht="12" customHeight="1" x14ac:dyDescent="0.15">
      <c r="A3629" s="1" t="s">
        <v>8949</v>
      </c>
      <c r="B3629" s="1">
        <v>29</v>
      </c>
      <c r="C3629" s="1" t="s">
        <v>20</v>
      </c>
      <c r="D3629" s="1" t="s">
        <v>85</v>
      </c>
      <c r="F3629" s="72">
        <v>41815</v>
      </c>
      <c r="G3629" s="1" t="s">
        <v>8950</v>
      </c>
      <c r="H3629" s="1" t="s">
        <v>7062</v>
      </c>
      <c r="I3629" s="1" t="s">
        <v>225</v>
      </c>
      <c r="J3629" s="4" t="s">
        <v>8951</v>
      </c>
      <c r="K3629" s="1" t="s">
        <v>2534</v>
      </c>
      <c r="L3629" s="1" t="s">
        <v>6039</v>
      </c>
      <c r="M3629" s="1" t="s">
        <v>27</v>
      </c>
      <c r="N3629" s="1" t="s">
        <v>8952</v>
      </c>
      <c r="O3629" s="1" t="s">
        <v>1010</v>
      </c>
      <c r="P3629" s="1" t="s">
        <v>401</v>
      </c>
      <c r="Q3629" s="63" t="s">
        <v>8953</v>
      </c>
      <c r="R3629" s="1" t="s">
        <v>100</v>
      </c>
      <c r="S3629" s="13" t="s">
        <v>28</v>
      </c>
      <c r="AX3629" s="11"/>
      <c r="AY3629" s="11"/>
      <c r="BC3629" s="11"/>
      <c r="BD3629" s="11"/>
      <c r="BE3629" s="11"/>
      <c r="BF3629" s="11"/>
      <c r="BG3629" s="11"/>
      <c r="BH3629" s="11"/>
      <c r="BI3629" s="11"/>
      <c r="BJ3629" s="11"/>
    </row>
    <row r="3630" spans="1:63" ht="12" customHeight="1" x14ac:dyDescent="0.15">
      <c r="A3630" s="1" t="s">
        <v>8960</v>
      </c>
      <c r="B3630" s="1">
        <v>29</v>
      </c>
      <c r="C3630" s="1" t="s">
        <v>20</v>
      </c>
      <c r="D3630" s="1" t="s">
        <v>37</v>
      </c>
      <c r="F3630" s="72">
        <v>41815</v>
      </c>
      <c r="G3630" s="1" t="s">
        <v>8961</v>
      </c>
      <c r="H3630" s="1" t="s">
        <v>4552</v>
      </c>
      <c r="I3630" s="1" t="s">
        <v>45</v>
      </c>
      <c r="J3630" s="4" t="s">
        <v>4553</v>
      </c>
      <c r="K3630" s="1" t="s">
        <v>309</v>
      </c>
      <c r="L3630" s="11" t="s">
        <v>414</v>
      </c>
      <c r="M3630" s="1" t="s">
        <v>27</v>
      </c>
      <c r="N3630" s="1" t="s">
        <v>8962</v>
      </c>
      <c r="O3630" s="1" t="s">
        <v>1010</v>
      </c>
      <c r="P3630" s="1" t="s">
        <v>401</v>
      </c>
      <c r="Q3630" s="63" t="s">
        <v>8963</v>
      </c>
      <c r="R3630" s="1" t="s">
        <v>100</v>
      </c>
      <c r="S3630" s="13" t="s">
        <v>28</v>
      </c>
    </row>
    <row r="3631" spans="1:63" ht="12" customHeight="1" x14ac:dyDescent="0.2">
      <c r="A3631" s="1" t="s">
        <v>8954</v>
      </c>
      <c r="B3631" s="1">
        <v>49</v>
      </c>
      <c r="C3631" s="1" t="s">
        <v>114</v>
      </c>
      <c r="D3631" s="1" t="s">
        <v>37</v>
      </c>
      <c r="E3631" s="1" t="s">
        <v>8955</v>
      </c>
      <c r="F3631" s="72">
        <v>41815</v>
      </c>
      <c r="G3631" s="1" t="s">
        <v>8956</v>
      </c>
      <c r="H3631" s="1" t="s">
        <v>655</v>
      </c>
      <c r="I3631" s="1" t="s">
        <v>269</v>
      </c>
      <c r="J3631" s="4" t="s">
        <v>8957</v>
      </c>
      <c r="K3631" s="1" t="s">
        <v>570</v>
      </c>
      <c r="L3631" s="1" t="s">
        <v>571</v>
      </c>
      <c r="M3631" s="1" t="s">
        <v>27</v>
      </c>
      <c r="N3631" s="1" t="s">
        <v>8958</v>
      </c>
      <c r="O3631" s="1" t="s">
        <v>1010</v>
      </c>
      <c r="P3631" s="1" t="s">
        <v>401</v>
      </c>
      <c r="Q3631" s="63" t="s">
        <v>8959</v>
      </c>
      <c r="R3631" s="1" t="s">
        <v>29</v>
      </c>
      <c r="S3631" s="13" t="s">
        <v>28</v>
      </c>
      <c r="BA3631" s="70"/>
      <c r="BB3631" s="70"/>
    </row>
    <row r="3632" spans="1:63" ht="12" customHeight="1" x14ac:dyDescent="0.15">
      <c r="A3632" s="1" t="s">
        <v>8964</v>
      </c>
      <c r="B3632" s="1">
        <v>24</v>
      </c>
      <c r="C3632" s="1" t="s">
        <v>20</v>
      </c>
      <c r="D3632" s="1" t="s">
        <v>85</v>
      </c>
      <c r="E3632" s="1" t="s">
        <v>8965</v>
      </c>
      <c r="F3632" s="72">
        <v>41814</v>
      </c>
      <c r="G3632" s="1" t="s">
        <v>8966</v>
      </c>
      <c r="H3632" s="1" t="s">
        <v>5191</v>
      </c>
      <c r="I3632" s="1" t="s">
        <v>45</v>
      </c>
      <c r="J3632" s="4" t="s">
        <v>8967</v>
      </c>
      <c r="K3632" s="1" t="s">
        <v>98</v>
      </c>
      <c r="L3632" s="11" t="s">
        <v>414</v>
      </c>
      <c r="M3632" s="1" t="s">
        <v>27</v>
      </c>
      <c r="N3632" s="1" t="s">
        <v>8968</v>
      </c>
      <c r="O3632" s="1" t="s">
        <v>1010</v>
      </c>
      <c r="P3632" s="1" t="s">
        <v>401</v>
      </c>
      <c r="Q3632" s="63" t="s">
        <v>8969</v>
      </c>
      <c r="R3632" s="11" t="s">
        <v>964</v>
      </c>
      <c r="S3632" s="13" t="s">
        <v>18</v>
      </c>
      <c r="AX3632" s="11"/>
      <c r="AY3632" s="11"/>
      <c r="BC3632" s="11"/>
      <c r="BD3632" s="11"/>
      <c r="BE3632" s="11"/>
      <c r="BF3632" s="11"/>
      <c r="BG3632" s="11"/>
      <c r="BH3632" s="11"/>
      <c r="BI3632" s="11"/>
      <c r="BJ3632" s="11"/>
    </row>
    <row r="3633" spans="1:62" ht="12" customHeight="1" x14ac:dyDescent="0.15">
      <c r="A3633" s="1" t="s">
        <v>8975</v>
      </c>
      <c r="B3633" s="1">
        <v>80</v>
      </c>
      <c r="C3633" s="1" t="s">
        <v>20</v>
      </c>
      <c r="D3633" s="1" t="s">
        <v>37</v>
      </c>
      <c r="E3633" s="1" t="s">
        <v>8976</v>
      </c>
      <c r="F3633" s="72">
        <v>41814</v>
      </c>
      <c r="G3633" s="1" t="s">
        <v>8977</v>
      </c>
      <c r="H3633" s="1" t="s">
        <v>8978</v>
      </c>
      <c r="I3633" s="1" t="s">
        <v>73</v>
      </c>
      <c r="J3633" s="4" t="s">
        <v>8979</v>
      </c>
      <c r="K3633" s="1" t="s">
        <v>1778</v>
      </c>
      <c r="L3633" s="1" t="s">
        <v>8980</v>
      </c>
      <c r="M3633" s="1" t="s">
        <v>27</v>
      </c>
      <c r="N3633" s="1" t="s">
        <v>8981</v>
      </c>
      <c r="O3633" s="1" t="s">
        <v>550</v>
      </c>
      <c r="P3633" s="1" t="s">
        <v>401</v>
      </c>
      <c r="Q3633" s="63" t="s">
        <v>8982</v>
      </c>
      <c r="R3633" s="1" t="s">
        <v>100</v>
      </c>
      <c r="S3633" s="13" t="s">
        <v>28</v>
      </c>
    </row>
    <row r="3634" spans="1:62" ht="12" customHeight="1" x14ac:dyDescent="0.15">
      <c r="A3634" s="1" t="s">
        <v>8970</v>
      </c>
      <c r="B3634" s="1">
        <v>20</v>
      </c>
      <c r="C3634" s="1" t="s">
        <v>20</v>
      </c>
      <c r="D3634" s="1" t="s">
        <v>85</v>
      </c>
      <c r="E3634" s="1" t="s">
        <v>8971</v>
      </c>
      <c r="F3634" s="72">
        <v>41814</v>
      </c>
      <c r="G3634" s="1" t="s">
        <v>8972</v>
      </c>
      <c r="H3634" s="1" t="s">
        <v>8564</v>
      </c>
      <c r="I3634" s="1" t="s">
        <v>81</v>
      </c>
      <c r="J3634" s="4" t="s">
        <v>8973</v>
      </c>
      <c r="K3634" s="1" t="s">
        <v>2476</v>
      </c>
      <c r="L3634" s="1" t="s">
        <v>8566</v>
      </c>
      <c r="M3634" s="1" t="s">
        <v>27</v>
      </c>
      <c r="N3634" s="1" t="s">
        <v>8974</v>
      </c>
      <c r="O3634" s="1" t="s">
        <v>1010</v>
      </c>
      <c r="P3634" s="1" t="s">
        <v>401</v>
      </c>
      <c r="Q3634" s="6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3634" s="1" t="s">
        <v>100</v>
      </c>
      <c r="S3634" s="13" t="s">
        <v>18</v>
      </c>
      <c r="AX3634" s="11"/>
      <c r="AY3634" s="11"/>
      <c r="BC3634" s="11"/>
      <c r="BD3634" s="11"/>
      <c r="BE3634" s="11"/>
      <c r="BF3634" s="11"/>
      <c r="BG3634" s="11"/>
      <c r="BH3634" s="11"/>
      <c r="BI3634" s="11"/>
      <c r="BJ3634" s="11"/>
    </row>
    <row r="3635" spans="1:62" ht="12" customHeight="1" x14ac:dyDescent="0.15">
      <c r="A3635" s="1" t="s">
        <v>8983</v>
      </c>
      <c r="B3635" s="1">
        <v>49</v>
      </c>
      <c r="C3635" s="1" t="s">
        <v>20</v>
      </c>
      <c r="D3635" s="1" t="s">
        <v>85</v>
      </c>
      <c r="E3635" s="1" t="s">
        <v>8984</v>
      </c>
      <c r="F3635" s="72">
        <v>41813</v>
      </c>
      <c r="G3635" s="1" t="s">
        <v>8985</v>
      </c>
      <c r="H3635" s="1" t="s">
        <v>8986</v>
      </c>
      <c r="I3635" s="1" t="s">
        <v>52</v>
      </c>
      <c r="J3635" s="4">
        <v>20772</v>
      </c>
      <c r="K3635" s="1" t="s">
        <v>2377</v>
      </c>
      <c r="L3635" s="1" t="s">
        <v>759</v>
      </c>
      <c r="M3635" s="1" t="s">
        <v>2291</v>
      </c>
      <c r="N3635" s="1" t="s">
        <v>8987</v>
      </c>
      <c r="O3635" s="1" t="s">
        <v>1010</v>
      </c>
      <c r="P3635" s="1" t="s">
        <v>401</v>
      </c>
      <c r="Q3635" s="63"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3635" s="1" t="s">
        <v>29</v>
      </c>
      <c r="S3635" s="13" t="s">
        <v>18</v>
      </c>
      <c r="AX3635" s="44"/>
      <c r="AY3635" s="44"/>
      <c r="BC3635" s="11"/>
      <c r="BD3635" s="11"/>
      <c r="BE3635" s="11"/>
      <c r="BF3635" s="11"/>
      <c r="BG3635" s="11"/>
      <c r="BH3635" s="11"/>
      <c r="BI3635" s="11"/>
      <c r="BJ3635" s="11"/>
    </row>
    <row r="3636" spans="1:62" ht="12" customHeight="1" x14ac:dyDescent="0.15">
      <c r="A3636" s="1" t="s">
        <v>8994</v>
      </c>
      <c r="B3636" s="1">
        <v>45</v>
      </c>
      <c r="C3636" s="1" t="s">
        <v>20</v>
      </c>
      <c r="D3636" s="1" t="s">
        <v>37</v>
      </c>
      <c r="E3636" s="1" t="s">
        <v>8995</v>
      </c>
      <c r="F3636" s="72">
        <v>41812</v>
      </c>
      <c r="G3636" s="1" t="s">
        <v>8996</v>
      </c>
      <c r="H3636" s="1" t="s">
        <v>6466</v>
      </c>
      <c r="I3636" s="1" t="s">
        <v>366</v>
      </c>
      <c r="J3636" s="4" t="s">
        <v>8997</v>
      </c>
      <c r="K3636" s="1" t="s">
        <v>647</v>
      </c>
      <c r="L3636" s="1" t="s">
        <v>6124</v>
      </c>
      <c r="M3636" s="1" t="s">
        <v>27</v>
      </c>
      <c r="N3636" s="1" t="s">
        <v>8998</v>
      </c>
      <c r="O3636" s="1" t="s">
        <v>4684</v>
      </c>
      <c r="P3636" s="1" t="s">
        <v>401</v>
      </c>
      <c r="Q3636" s="63" t="s">
        <v>8999</v>
      </c>
      <c r="R3636" s="1" t="s">
        <v>100</v>
      </c>
      <c r="S3636" s="13" t="s">
        <v>28</v>
      </c>
    </row>
    <row r="3637" spans="1:62" ht="12" customHeight="1" x14ac:dyDescent="0.15">
      <c r="A3637" s="1" t="s">
        <v>8988</v>
      </c>
      <c r="B3637" s="1">
        <v>45</v>
      </c>
      <c r="C3637" s="1" t="s">
        <v>20</v>
      </c>
      <c r="D3637" s="1" t="s">
        <v>85</v>
      </c>
      <c r="E3637" s="1" t="s">
        <v>8989</v>
      </c>
      <c r="F3637" s="72">
        <v>41812</v>
      </c>
      <c r="G3637" s="1" t="s">
        <v>8990</v>
      </c>
      <c r="H3637" s="1" t="s">
        <v>8991</v>
      </c>
      <c r="I3637" s="1" t="s">
        <v>73</v>
      </c>
      <c r="J3637" s="4" t="s">
        <v>8992</v>
      </c>
      <c r="K3637" s="1" t="s">
        <v>285</v>
      </c>
      <c r="L3637" s="1" t="s">
        <v>844</v>
      </c>
      <c r="M3637" s="1" t="s">
        <v>27</v>
      </c>
      <c r="N3637" s="1" t="s">
        <v>8993</v>
      </c>
      <c r="O3637" s="1" t="s">
        <v>4684</v>
      </c>
      <c r="P3637" s="1" t="s">
        <v>401</v>
      </c>
      <c r="Q3637" s="63" t="s">
        <v>20997</v>
      </c>
      <c r="R3637" s="1" t="s">
        <v>100</v>
      </c>
      <c r="S3637" s="13" t="s">
        <v>18</v>
      </c>
      <c r="AX3637" s="11"/>
      <c r="AY3637" s="11"/>
      <c r="BC3637" s="11"/>
      <c r="BD3637" s="11"/>
      <c r="BE3637" s="11"/>
      <c r="BF3637" s="11"/>
      <c r="BG3637" s="11"/>
      <c r="BH3637" s="11"/>
      <c r="BI3637" s="11"/>
      <c r="BJ3637" s="11"/>
    </row>
    <row r="3638" spans="1:62" ht="12" customHeight="1" x14ac:dyDescent="0.15">
      <c r="A3638" s="1" t="s">
        <v>9000</v>
      </c>
      <c r="B3638" s="1">
        <v>22</v>
      </c>
      <c r="C3638" s="1" t="s">
        <v>20</v>
      </c>
      <c r="D3638" s="1" t="s">
        <v>48</v>
      </c>
      <c r="E3638" s="1" t="s">
        <v>9001</v>
      </c>
      <c r="F3638" s="72">
        <v>41811</v>
      </c>
      <c r="G3638" s="1" t="s">
        <v>9002</v>
      </c>
      <c r="H3638" s="1" t="s">
        <v>1642</v>
      </c>
      <c r="I3638" s="1" t="s">
        <v>45</v>
      </c>
      <c r="J3638" s="4" t="s">
        <v>9003</v>
      </c>
      <c r="K3638" s="1" t="s">
        <v>1642</v>
      </c>
      <c r="L3638" s="1" t="s">
        <v>2323</v>
      </c>
      <c r="M3638" s="1" t="s">
        <v>27</v>
      </c>
      <c r="N3638" s="1" t="s">
        <v>9004</v>
      </c>
      <c r="O3638" s="1" t="s">
        <v>29</v>
      </c>
      <c r="P3638" s="1" t="s">
        <v>401</v>
      </c>
      <c r="Q3638" s="63" t="s">
        <v>9005</v>
      </c>
      <c r="R3638" s="11" t="s">
        <v>964</v>
      </c>
      <c r="S3638" s="13" t="s">
        <v>28</v>
      </c>
    </row>
    <row r="3639" spans="1:62" ht="12" customHeight="1" x14ac:dyDescent="0.15">
      <c r="A3639" s="1" t="s">
        <v>9006</v>
      </c>
      <c r="B3639" s="1">
        <v>22</v>
      </c>
      <c r="C3639" s="1" t="s">
        <v>20</v>
      </c>
      <c r="D3639" s="1" t="s">
        <v>942</v>
      </c>
      <c r="E3639" s="1" t="s">
        <v>9007</v>
      </c>
      <c r="F3639" s="72">
        <v>41811</v>
      </c>
      <c r="G3639" s="1" t="s">
        <v>9008</v>
      </c>
      <c r="H3639" s="1" t="s">
        <v>415</v>
      </c>
      <c r="I3639" s="1" t="s">
        <v>45</v>
      </c>
      <c r="J3639" s="4" t="s">
        <v>7716</v>
      </c>
      <c r="K3639" s="1" t="s">
        <v>309</v>
      </c>
      <c r="L3639" s="1" t="s">
        <v>416</v>
      </c>
      <c r="M3639" s="1" t="s">
        <v>27</v>
      </c>
      <c r="N3639" s="1" t="s">
        <v>9009</v>
      </c>
      <c r="O3639" s="1" t="s">
        <v>29</v>
      </c>
      <c r="P3639" s="1" t="s">
        <v>401</v>
      </c>
      <c r="Q3639" s="63" t="s">
        <v>9010</v>
      </c>
      <c r="R3639" s="1" t="s">
        <v>100</v>
      </c>
      <c r="S3639" s="13" t="s">
        <v>28</v>
      </c>
    </row>
    <row r="3640" spans="1:62" ht="12" customHeight="1" x14ac:dyDescent="0.15">
      <c r="A3640" s="1" t="s">
        <v>9018</v>
      </c>
      <c r="B3640" s="1">
        <v>35</v>
      </c>
      <c r="C3640" s="1" t="s">
        <v>20</v>
      </c>
      <c r="D3640" s="1" t="s">
        <v>37</v>
      </c>
      <c r="E3640" s="1" t="s">
        <v>9019</v>
      </c>
      <c r="F3640" s="72">
        <v>41811</v>
      </c>
      <c r="G3640" s="1" t="s">
        <v>9020</v>
      </c>
      <c r="H3640" s="1" t="s">
        <v>9021</v>
      </c>
      <c r="I3640" s="1" t="s">
        <v>315</v>
      </c>
      <c r="J3640" s="4" t="s">
        <v>9022</v>
      </c>
      <c r="K3640" s="1" t="s">
        <v>3858</v>
      </c>
      <c r="L3640" s="1" t="s">
        <v>3367</v>
      </c>
      <c r="M3640" s="1" t="s">
        <v>27</v>
      </c>
      <c r="N3640" s="1" t="s">
        <v>9023</v>
      </c>
      <c r="O3640" s="1" t="s">
        <v>1010</v>
      </c>
      <c r="P3640" s="1" t="s">
        <v>401</v>
      </c>
      <c r="Q3640" s="63" t="s">
        <v>9024</v>
      </c>
      <c r="R3640" s="1" t="s">
        <v>100</v>
      </c>
      <c r="S3640" s="13" t="s">
        <v>28</v>
      </c>
    </row>
    <row r="3641" spans="1:62" ht="12" customHeight="1" x14ac:dyDescent="0.15">
      <c r="A3641" s="1" t="s">
        <v>9025</v>
      </c>
      <c r="B3641" s="1">
        <v>54</v>
      </c>
      <c r="C3641" s="1" t="s">
        <v>20</v>
      </c>
      <c r="D3641" s="1" t="s">
        <v>37</v>
      </c>
      <c r="F3641" s="72">
        <v>41811</v>
      </c>
      <c r="G3641" s="1" t="s">
        <v>9026</v>
      </c>
      <c r="H3641" s="1" t="s">
        <v>9027</v>
      </c>
      <c r="I3641" s="1" t="s">
        <v>57</v>
      </c>
      <c r="J3641" s="4" t="s">
        <v>9028</v>
      </c>
      <c r="K3641" s="1" t="s">
        <v>1111</v>
      </c>
      <c r="L3641" s="1" t="s">
        <v>9029</v>
      </c>
      <c r="M3641" s="1" t="s">
        <v>27</v>
      </c>
      <c r="N3641" s="1" t="s">
        <v>9030</v>
      </c>
      <c r="O3641" s="1" t="s">
        <v>400</v>
      </c>
      <c r="P3641" s="1" t="s">
        <v>401</v>
      </c>
      <c r="Q3641" s="63" t="s">
        <v>9031</v>
      </c>
      <c r="R3641" s="1" t="s">
        <v>100</v>
      </c>
      <c r="S3641" s="13" t="s">
        <v>28</v>
      </c>
    </row>
    <row r="3642" spans="1:62" ht="12" customHeight="1" x14ac:dyDescent="0.15">
      <c r="A3642" s="1" t="s">
        <v>9011</v>
      </c>
      <c r="B3642" s="1">
        <v>31</v>
      </c>
      <c r="C3642" s="1" t="s">
        <v>20</v>
      </c>
      <c r="D3642" s="1" t="s">
        <v>37</v>
      </c>
      <c r="E3642" s="1" t="s">
        <v>9012</v>
      </c>
      <c r="F3642" s="72">
        <v>41811</v>
      </c>
      <c r="G3642" s="1" t="s">
        <v>9013</v>
      </c>
      <c r="H3642" s="1" t="s">
        <v>9014</v>
      </c>
      <c r="I3642" s="1" t="s">
        <v>1716</v>
      </c>
      <c r="J3642" s="4" t="s">
        <v>9015</v>
      </c>
      <c r="K3642" s="1" t="s">
        <v>2267</v>
      </c>
      <c r="L3642" s="1" t="s">
        <v>7992</v>
      </c>
      <c r="M3642" s="1" t="s">
        <v>27</v>
      </c>
      <c r="N3642" s="1" t="s">
        <v>9016</v>
      </c>
      <c r="O3642" s="1" t="s">
        <v>550</v>
      </c>
      <c r="P3642" s="1" t="s">
        <v>401</v>
      </c>
      <c r="Q3642" s="63" t="s">
        <v>9017</v>
      </c>
      <c r="R3642" s="1" t="s">
        <v>100</v>
      </c>
      <c r="S3642" s="13" t="s">
        <v>28</v>
      </c>
    </row>
    <row r="3643" spans="1:62" ht="12" customHeight="1" x14ac:dyDescent="0.15">
      <c r="A3643" s="1" t="s">
        <v>9037</v>
      </c>
      <c r="B3643" s="1">
        <v>19</v>
      </c>
      <c r="C3643" s="1" t="s">
        <v>20</v>
      </c>
      <c r="D3643" s="1" t="s">
        <v>85</v>
      </c>
      <c r="E3643" s="1" t="s">
        <v>9038</v>
      </c>
      <c r="F3643" s="72">
        <v>41810</v>
      </c>
      <c r="G3643" s="1" t="s">
        <v>9039</v>
      </c>
      <c r="H3643" s="1" t="s">
        <v>2216</v>
      </c>
      <c r="I3643" s="1" t="s">
        <v>32</v>
      </c>
      <c r="J3643" s="4" t="s">
        <v>9040</v>
      </c>
      <c r="K3643" s="1" t="s">
        <v>2216</v>
      </c>
      <c r="L3643" s="1" t="s">
        <v>9041</v>
      </c>
      <c r="M3643" s="1" t="s">
        <v>27</v>
      </c>
      <c r="N3643" s="1" t="s">
        <v>9042</v>
      </c>
      <c r="O3643" s="1" t="s">
        <v>1010</v>
      </c>
      <c r="P3643" s="1" t="s">
        <v>401</v>
      </c>
      <c r="Q3643" s="63" t="s">
        <v>9043</v>
      </c>
      <c r="R3643" s="1" t="s">
        <v>100</v>
      </c>
      <c r="S3643" s="13" t="s">
        <v>28</v>
      </c>
      <c r="AX3643" s="11"/>
      <c r="AY3643" s="11"/>
      <c r="BC3643" s="11"/>
      <c r="BD3643" s="11"/>
      <c r="BE3643" s="11"/>
      <c r="BF3643" s="11"/>
      <c r="BG3643" s="11"/>
      <c r="BH3643" s="11"/>
      <c r="BI3643" s="11"/>
      <c r="BJ3643" s="11"/>
    </row>
    <row r="3644" spans="1:62" ht="12" customHeight="1" x14ac:dyDescent="0.15">
      <c r="A3644" s="1" t="s">
        <v>3252</v>
      </c>
      <c r="B3644" s="1" t="s">
        <v>29</v>
      </c>
      <c r="C3644" s="1" t="s">
        <v>29</v>
      </c>
      <c r="D3644" s="1" t="s">
        <v>30</v>
      </c>
      <c r="F3644" s="72">
        <v>41810</v>
      </c>
      <c r="G3644" s="1" t="s">
        <v>9049</v>
      </c>
      <c r="H3644" s="1" t="s">
        <v>1790</v>
      </c>
      <c r="I3644" s="1" t="s">
        <v>173</v>
      </c>
      <c r="J3644" s="4" t="s">
        <v>9050</v>
      </c>
      <c r="K3644" s="1" t="s">
        <v>861</v>
      </c>
      <c r="L3644" s="1" t="s">
        <v>862</v>
      </c>
      <c r="M3644" s="1" t="s">
        <v>27</v>
      </c>
      <c r="N3644" s="1" t="s">
        <v>9051</v>
      </c>
      <c r="O3644" s="1" t="s">
        <v>1010</v>
      </c>
      <c r="P3644" s="1" t="s">
        <v>401</v>
      </c>
      <c r="Q3644" s="63" t="s">
        <v>9052</v>
      </c>
      <c r="R3644" s="1" t="s">
        <v>100</v>
      </c>
      <c r="S3644" s="13" t="s">
        <v>28</v>
      </c>
    </row>
    <row r="3645" spans="1:62" ht="12" customHeight="1" x14ac:dyDescent="0.15">
      <c r="A3645" s="1" t="s">
        <v>9059</v>
      </c>
      <c r="B3645" s="1">
        <v>32</v>
      </c>
      <c r="C3645" s="1" t="s">
        <v>20</v>
      </c>
      <c r="D3645" s="1" t="s">
        <v>37</v>
      </c>
      <c r="E3645" s="1" t="s">
        <v>9060</v>
      </c>
      <c r="F3645" s="72">
        <v>41810</v>
      </c>
      <c r="G3645" s="1" t="s">
        <v>9061</v>
      </c>
      <c r="H3645" s="1" t="s">
        <v>9062</v>
      </c>
      <c r="I3645" s="1" t="s">
        <v>463</v>
      </c>
      <c r="J3645" s="4" t="s">
        <v>9063</v>
      </c>
      <c r="K3645" s="1" t="s">
        <v>9064</v>
      </c>
      <c r="L3645" s="1" t="s">
        <v>9065</v>
      </c>
      <c r="M3645" s="1" t="s">
        <v>27</v>
      </c>
      <c r="N3645" s="1" t="s">
        <v>9066</v>
      </c>
      <c r="O3645" s="1" t="s">
        <v>550</v>
      </c>
      <c r="P3645" s="1" t="s">
        <v>401</v>
      </c>
      <c r="Q3645" s="63" t="s">
        <v>9067</v>
      </c>
      <c r="R3645" s="1" t="s">
        <v>100</v>
      </c>
      <c r="S3645" s="13" t="s">
        <v>28</v>
      </c>
    </row>
    <row r="3646" spans="1:62" ht="12" customHeight="1" x14ac:dyDescent="0.15">
      <c r="A3646" s="1" t="s">
        <v>9053</v>
      </c>
      <c r="B3646" s="1">
        <v>70</v>
      </c>
      <c r="C3646" s="1" t="s">
        <v>20</v>
      </c>
      <c r="D3646" s="1" t="s">
        <v>37</v>
      </c>
      <c r="E3646" s="1" t="s">
        <v>9054</v>
      </c>
      <c r="F3646" s="72">
        <v>41810</v>
      </c>
      <c r="G3646" s="1" t="s">
        <v>9055</v>
      </c>
      <c r="H3646" s="1" t="s">
        <v>548</v>
      </c>
      <c r="I3646" s="1" t="s">
        <v>73</v>
      </c>
      <c r="J3646" s="4" t="s">
        <v>9056</v>
      </c>
      <c r="K3646" s="1" t="s">
        <v>548</v>
      </c>
      <c r="L3646" s="1" t="s">
        <v>616</v>
      </c>
      <c r="M3646" s="1" t="s">
        <v>27</v>
      </c>
      <c r="N3646" s="1" t="s">
        <v>9057</v>
      </c>
      <c r="O3646" s="1" t="s">
        <v>1010</v>
      </c>
      <c r="P3646" s="1" t="s">
        <v>401</v>
      </c>
      <c r="Q3646" s="63" t="s">
        <v>9058</v>
      </c>
      <c r="R3646" s="1" t="s">
        <v>100</v>
      </c>
      <c r="S3646" s="13" t="s">
        <v>28</v>
      </c>
    </row>
    <row r="3647" spans="1:62" ht="12" customHeight="1" x14ac:dyDescent="0.15">
      <c r="A3647" s="1" t="s">
        <v>9032</v>
      </c>
      <c r="B3647" s="1">
        <v>30</v>
      </c>
      <c r="C3647" s="1" t="s">
        <v>20</v>
      </c>
      <c r="D3647" s="1" t="s">
        <v>85</v>
      </c>
      <c r="E3647" s="1" t="s">
        <v>9033</v>
      </c>
      <c r="F3647" s="72">
        <v>41810</v>
      </c>
      <c r="G3647" s="1" t="s">
        <v>9034</v>
      </c>
      <c r="H3647" s="1" t="s">
        <v>2514</v>
      </c>
      <c r="I3647" s="1" t="s">
        <v>73</v>
      </c>
      <c r="J3647" s="4" t="s">
        <v>9035</v>
      </c>
      <c r="K3647" s="1" t="s">
        <v>285</v>
      </c>
      <c r="L3647" s="1" t="s">
        <v>2515</v>
      </c>
      <c r="M3647" s="1" t="s">
        <v>27</v>
      </c>
      <c r="N3647" s="1" t="s">
        <v>9036</v>
      </c>
      <c r="O3647" s="1" t="s">
        <v>29</v>
      </c>
      <c r="P3647" s="1" t="s">
        <v>401</v>
      </c>
      <c r="Q3647" s="63" t="str">
        <f>HYPERLINK("http://www.myfoxdfw.com/story/25833600/suspect-killed-in-garland-officer-involved-shooting","http://www.myfoxdfw.com/story/25833600/suspect-killed-in-garland-officer-involved-shooting")</f>
        <v>http://www.myfoxdfw.com/story/25833600/suspect-killed-in-garland-officer-involved-shooting</v>
      </c>
      <c r="R3647" s="1" t="s">
        <v>29</v>
      </c>
      <c r="S3647" s="13" t="s">
        <v>28</v>
      </c>
      <c r="AX3647" s="11"/>
      <c r="AY3647" s="11"/>
      <c r="BC3647" s="11"/>
      <c r="BD3647" s="11"/>
      <c r="BE3647" s="11"/>
      <c r="BF3647" s="11"/>
      <c r="BG3647" s="11"/>
      <c r="BH3647" s="11"/>
      <c r="BI3647" s="11"/>
      <c r="BJ3647" s="11"/>
    </row>
    <row r="3648" spans="1:62" ht="12" customHeight="1" x14ac:dyDescent="0.15">
      <c r="A3648" s="1" t="s">
        <v>9044</v>
      </c>
      <c r="B3648" s="1">
        <v>23</v>
      </c>
      <c r="C3648" s="1" t="s">
        <v>20</v>
      </c>
      <c r="D3648" s="1" t="s">
        <v>139</v>
      </c>
      <c r="E3648" s="1" t="s">
        <v>9045</v>
      </c>
      <c r="F3648" s="72">
        <v>41810</v>
      </c>
      <c r="G3648" s="1" t="s">
        <v>9046</v>
      </c>
      <c r="H3648" s="1" t="s">
        <v>7540</v>
      </c>
      <c r="I3648" s="1" t="s">
        <v>45</v>
      </c>
      <c r="J3648" s="4" t="s">
        <v>8336</v>
      </c>
      <c r="K3648" s="1" t="s">
        <v>7542</v>
      </c>
      <c r="L3648" s="1" t="s">
        <v>7543</v>
      </c>
      <c r="M3648" s="1" t="s">
        <v>27</v>
      </c>
      <c r="N3648" s="1" t="s">
        <v>9047</v>
      </c>
      <c r="O3648" s="1" t="s">
        <v>1010</v>
      </c>
      <c r="P3648" s="1" t="s">
        <v>401</v>
      </c>
      <c r="Q3648" s="63" t="s">
        <v>9048</v>
      </c>
      <c r="R3648" s="1" t="s">
        <v>555</v>
      </c>
      <c r="S3648" s="13" t="s">
        <v>28</v>
      </c>
      <c r="BA3648" s="11"/>
      <c r="BB3648" s="11"/>
    </row>
    <row r="3649" spans="1:63" ht="12" customHeight="1" x14ac:dyDescent="0.15">
      <c r="A3649" s="1" t="s">
        <v>9082</v>
      </c>
      <c r="B3649" s="1">
        <v>45</v>
      </c>
      <c r="C3649" s="1" t="s">
        <v>20</v>
      </c>
      <c r="D3649" s="1" t="s">
        <v>48</v>
      </c>
      <c r="F3649" s="72">
        <v>41809</v>
      </c>
      <c r="G3649" s="1" t="s">
        <v>9083</v>
      </c>
      <c r="H3649" s="1" t="s">
        <v>575</v>
      </c>
      <c r="I3649" s="1" t="s">
        <v>73</v>
      </c>
      <c r="J3649" s="4" t="s">
        <v>9084</v>
      </c>
      <c r="K3649" s="1" t="s">
        <v>576</v>
      </c>
      <c r="L3649" s="1" t="s">
        <v>577</v>
      </c>
      <c r="M3649" s="1" t="s">
        <v>27</v>
      </c>
      <c r="N3649" s="1" t="s">
        <v>9085</v>
      </c>
      <c r="O3649" s="1" t="s">
        <v>4684</v>
      </c>
      <c r="P3649" s="1" t="s">
        <v>401</v>
      </c>
      <c r="Q3649" s="63" t="s">
        <v>9086</v>
      </c>
      <c r="R3649" s="1" t="s">
        <v>100</v>
      </c>
      <c r="S3649" s="13" t="s">
        <v>28</v>
      </c>
    </row>
    <row r="3650" spans="1:63" ht="12" customHeight="1" x14ac:dyDescent="0.15">
      <c r="A3650" s="1" t="s">
        <v>9087</v>
      </c>
      <c r="B3650" s="1">
        <v>37</v>
      </c>
      <c r="C3650" s="1" t="s">
        <v>20</v>
      </c>
      <c r="D3650" s="1" t="s">
        <v>30</v>
      </c>
      <c r="F3650" s="72">
        <v>41809</v>
      </c>
      <c r="G3650" s="1" t="s">
        <v>9088</v>
      </c>
      <c r="H3650" s="1" t="s">
        <v>1642</v>
      </c>
      <c r="I3650" s="1" t="s">
        <v>45</v>
      </c>
      <c r="J3650" s="4" t="s">
        <v>9003</v>
      </c>
      <c r="K3650" s="1" t="s">
        <v>1642</v>
      </c>
      <c r="L3650" s="1" t="s">
        <v>2323</v>
      </c>
      <c r="M3650" s="1" t="s">
        <v>27</v>
      </c>
      <c r="N3650" s="1" t="s">
        <v>9089</v>
      </c>
      <c r="O3650" s="1" t="s">
        <v>1010</v>
      </c>
      <c r="P3650" s="1" t="s">
        <v>401</v>
      </c>
      <c r="Q3650" s="63" t="s">
        <v>9090</v>
      </c>
      <c r="R3650" s="1" t="s">
        <v>100</v>
      </c>
      <c r="S3650" s="13" t="s">
        <v>28</v>
      </c>
    </row>
    <row r="3651" spans="1:63" ht="12" customHeight="1" x14ac:dyDescent="0.15">
      <c r="A3651" s="1" t="s">
        <v>9098</v>
      </c>
      <c r="B3651" s="1">
        <v>36</v>
      </c>
      <c r="C3651" s="1" t="s">
        <v>20</v>
      </c>
      <c r="D3651" s="1" t="s">
        <v>37</v>
      </c>
      <c r="E3651" s="1" t="s">
        <v>9099</v>
      </c>
      <c r="F3651" s="72">
        <v>41809</v>
      </c>
      <c r="G3651" s="1" t="s">
        <v>9100</v>
      </c>
      <c r="H3651" s="1" t="s">
        <v>9101</v>
      </c>
      <c r="I3651" s="1" t="s">
        <v>303</v>
      </c>
      <c r="J3651" s="4" t="s">
        <v>9102</v>
      </c>
      <c r="K3651" s="1" t="s">
        <v>9103</v>
      </c>
      <c r="L3651" s="1" t="s">
        <v>9104</v>
      </c>
      <c r="M3651" s="1" t="s">
        <v>27</v>
      </c>
      <c r="N3651" s="1" t="s">
        <v>9105</v>
      </c>
      <c r="O3651" s="1" t="s">
        <v>550</v>
      </c>
      <c r="P3651" s="1" t="s">
        <v>401</v>
      </c>
      <c r="Q3651" s="63" t="str">
        <f>HYPERLINK("http://blogs.seattletimes.com/today/2014/06/man-killed-by-port-orchard-police-identified/","http://blogs.seattletimes.com/today/2014/06/man-killed-by-port-orchard-police-identified/")</f>
        <v>http://blogs.seattletimes.com/today/2014/06/man-killed-by-port-orchard-police-identified/</v>
      </c>
      <c r="R3651" s="1" t="s">
        <v>100</v>
      </c>
      <c r="S3651" s="13" t="s">
        <v>28</v>
      </c>
    </row>
    <row r="3652" spans="1:63" ht="12" customHeight="1" x14ac:dyDescent="0.2">
      <c r="A3652" s="1" t="s">
        <v>9091</v>
      </c>
      <c r="B3652" s="1">
        <v>32</v>
      </c>
      <c r="C3652" s="1" t="s">
        <v>20</v>
      </c>
      <c r="D3652" s="1" t="s">
        <v>37</v>
      </c>
      <c r="E3652" s="1" t="s">
        <v>9092</v>
      </c>
      <c r="F3652" s="72">
        <v>41809</v>
      </c>
      <c r="G3652" s="1" t="s">
        <v>9093</v>
      </c>
      <c r="H3652" s="1" t="s">
        <v>9094</v>
      </c>
      <c r="I3652" s="1" t="s">
        <v>32</v>
      </c>
      <c r="J3652" s="4" t="s">
        <v>9095</v>
      </c>
      <c r="K3652" s="1" t="s">
        <v>1078</v>
      </c>
      <c r="L3652" s="1" t="s">
        <v>1079</v>
      </c>
      <c r="M3652" s="1" t="s">
        <v>27</v>
      </c>
      <c r="N3652" s="1" t="s">
        <v>9096</v>
      </c>
      <c r="O3652" s="1" t="s">
        <v>4684</v>
      </c>
      <c r="P3652" s="1" t="s">
        <v>401</v>
      </c>
      <c r="Q3652" s="63" t="s">
        <v>9097</v>
      </c>
      <c r="R3652" s="1" t="s">
        <v>100</v>
      </c>
      <c r="S3652" s="13" t="s">
        <v>35</v>
      </c>
      <c r="BC3652" s="70"/>
      <c r="BD3652" s="70"/>
      <c r="BE3652" s="70"/>
      <c r="BF3652" s="70"/>
      <c r="BG3652" s="70"/>
      <c r="BH3652" s="70"/>
      <c r="BI3652" s="70"/>
      <c r="BJ3652" s="70"/>
      <c r="BK3652" s="11"/>
    </row>
    <row r="3653" spans="1:63" ht="12" customHeight="1" x14ac:dyDescent="0.15">
      <c r="A3653" s="1" t="s">
        <v>9075</v>
      </c>
      <c r="B3653" s="1">
        <v>17</v>
      </c>
      <c r="C3653" s="1" t="s">
        <v>20</v>
      </c>
      <c r="D3653" s="1" t="s">
        <v>48</v>
      </c>
      <c r="E3653" s="1" t="s">
        <v>9076</v>
      </c>
      <c r="F3653" s="72">
        <v>41809</v>
      </c>
      <c r="G3653" s="1" t="s">
        <v>9077</v>
      </c>
      <c r="H3653" s="1" t="s">
        <v>213</v>
      </c>
      <c r="I3653" s="1" t="s">
        <v>62</v>
      </c>
      <c r="J3653" s="4" t="s">
        <v>9078</v>
      </c>
      <c r="K3653" s="1" t="s">
        <v>161</v>
      </c>
      <c r="L3653" s="1" t="s">
        <v>9079</v>
      </c>
      <c r="M3653" s="1" t="s">
        <v>27</v>
      </c>
      <c r="N3653" s="1" t="s">
        <v>9080</v>
      </c>
      <c r="O3653" s="1" t="s">
        <v>4684</v>
      </c>
      <c r="P3653" s="1" t="s">
        <v>401</v>
      </c>
      <c r="Q3653" s="63" t="s">
        <v>9081</v>
      </c>
      <c r="R3653" s="1" t="s">
        <v>100</v>
      </c>
      <c r="S3653" s="13" t="s">
        <v>379</v>
      </c>
    </row>
    <row r="3654" spans="1:63" ht="12" customHeight="1" x14ac:dyDescent="0.15">
      <c r="A3654" s="1" t="s">
        <v>9068</v>
      </c>
      <c r="B3654" s="1">
        <v>53</v>
      </c>
      <c r="C3654" s="1" t="s">
        <v>20</v>
      </c>
      <c r="D3654" s="1" t="s">
        <v>85</v>
      </c>
      <c r="F3654" s="72">
        <v>41809</v>
      </c>
      <c r="G3654" s="1" t="s">
        <v>9069</v>
      </c>
      <c r="H3654" s="1" t="s">
        <v>9070</v>
      </c>
      <c r="I3654" s="1" t="s">
        <v>366</v>
      </c>
      <c r="J3654" s="4" t="s">
        <v>9071</v>
      </c>
      <c r="K3654" s="1" t="s">
        <v>3152</v>
      </c>
      <c r="L3654" s="1" t="s">
        <v>9072</v>
      </c>
      <c r="M3654" s="1" t="s">
        <v>27</v>
      </c>
      <c r="N3654" s="1" t="s">
        <v>9073</v>
      </c>
      <c r="O3654" s="1" t="s">
        <v>1010</v>
      </c>
      <c r="P3654" s="1" t="s">
        <v>401</v>
      </c>
      <c r="Q3654" s="63" t="s">
        <v>9074</v>
      </c>
      <c r="R3654" s="1" t="s">
        <v>29</v>
      </c>
      <c r="S3654" s="13" t="s">
        <v>28</v>
      </c>
      <c r="AX3654" s="11"/>
      <c r="AY3654" s="11"/>
      <c r="BC3654" s="11"/>
      <c r="BD3654" s="11"/>
      <c r="BE3654" s="11"/>
      <c r="BF3654" s="11"/>
      <c r="BG3654" s="11"/>
      <c r="BH3654" s="11"/>
      <c r="BI3654" s="11"/>
      <c r="BJ3654" s="11"/>
    </row>
    <row r="3655" spans="1:63" ht="12" customHeight="1" x14ac:dyDescent="0.15">
      <c r="A3655" s="1" t="s">
        <v>9106</v>
      </c>
      <c r="B3655" s="1">
        <v>21</v>
      </c>
      <c r="C3655" s="1" t="s">
        <v>20</v>
      </c>
      <c r="D3655" s="1" t="s">
        <v>85</v>
      </c>
      <c r="E3655" s="1" t="s">
        <v>9107</v>
      </c>
      <c r="F3655" s="72">
        <v>41808</v>
      </c>
      <c r="G3655" s="1" t="s">
        <v>9108</v>
      </c>
      <c r="H3655" s="1" t="s">
        <v>4191</v>
      </c>
      <c r="I3655" s="1" t="s">
        <v>366</v>
      </c>
      <c r="J3655" s="4" t="s">
        <v>9109</v>
      </c>
      <c r="K3655" s="1" t="s">
        <v>4193</v>
      </c>
      <c r="L3655" s="1" t="s">
        <v>4194</v>
      </c>
      <c r="M3655" s="1" t="s">
        <v>27</v>
      </c>
      <c r="N3655" s="1" t="s">
        <v>9110</v>
      </c>
      <c r="O3655" s="1" t="s">
        <v>1010</v>
      </c>
      <c r="P3655" s="1" t="s">
        <v>401</v>
      </c>
      <c r="Q3655" s="63" t="s">
        <v>9111</v>
      </c>
      <c r="R3655" s="1" t="s">
        <v>100</v>
      </c>
      <c r="S3655" s="13" t="s">
        <v>28</v>
      </c>
      <c r="AX3655" s="11"/>
      <c r="AY3655" s="11"/>
      <c r="BC3655" s="11"/>
      <c r="BD3655" s="11"/>
      <c r="BE3655" s="11"/>
      <c r="BF3655" s="11"/>
      <c r="BG3655" s="11"/>
      <c r="BH3655" s="11"/>
      <c r="BI3655" s="11"/>
      <c r="BJ3655" s="11"/>
    </row>
    <row r="3656" spans="1:63" ht="12" customHeight="1" x14ac:dyDescent="0.2">
      <c r="A3656" s="1" t="s">
        <v>9112</v>
      </c>
      <c r="B3656" s="1">
        <v>25</v>
      </c>
      <c r="C3656" s="1" t="s">
        <v>20</v>
      </c>
      <c r="D3656" s="1" t="s">
        <v>37</v>
      </c>
      <c r="E3656" s="1" t="s">
        <v>9113</v>
      </c>
      <c r="F3656" s="72">
        <v>41808</v>
      </c>
      <c r="G3656" s="1" t="s">
        <v>9114</v>
      </c>
      <c r="H3656" s="1" t="s">
        <v>8869</v>
      </c>
      <c r="I3656" s="1" t="s">
        <v>81</v>
      </c>
      <c r="J3656" s="4">
        <v>7202</v>
      </c>
      <c r="K3656" s="1" t="s">
        <v>670</v>
      </c>
      <c r="L3656" s="1" t="s">
        <v>5011</v>
      </c>
      <c r="M3656" s="1" t="s">
        <v>2291</v>
      </c>
      <c r="N3656" s="1" t="s">
        <v>9115</v>
      </c>
      <c r="P3656" s="1" t="s">
        <v>401</v>
      </c>
      <c r="Q3656" s="63" t="s">
        <v>9116</v>
      </c>
      <c r="R3656" s="1" t="s">
        <v>29</v>
      </c>
      <c r="S3656" s="13" t="s">
        <v>18</v>
      </c>
      <c r="BC3656" s="70"/>
      <c r="BD3656" s="70"/>
      <c r="BE3656" s="70"/>
      <c r="BF3656" s="70"/>
      <c r="BG3656" s="70"/>
      <c r="BH3656" s="70"/>
      <c r="BI3656" s="70"/>
      <c r="BJ3656" s="70"/>
    </row>
    <row r="3657" spans="1:63" ht="12" customHeight="1" x14ac:dyDescent="0.2">
      <c r="A3657" s="1" t="s">
        <v>9123</v>
      </c>
      <c r="B3657" s="1">
        <v>35</v>
      </c>
      <c r="C3657" s="1" t="s">
        <v>20</v>
      </c>
      <c r="D3657" s="1" t="s">
        <v>37</v>
      </c>
      <c r="E3657" s="1" t="s">
        <v>9124</v>
      </c>
      <c r="F3657" s="72">
        <v>41806</v>
      </c>
      <c r="G3657" s="1" t="s">
        <v>9125</v>
      </c>
      <c r="H3657" s="1" t="s">
        <v>906</v>
      </c>
      <c r="I3657" s="1" t="s">
        <v>395</v>
      </c>
      <c r="J3657" s="4" t="s">
        <v>9126</v>
      </c>
      <c r="K3657" s="1" t="s">
        <v>9127</v>
      </c>
      <c r="L3657" s="1" t="s">
        <v>2045</v>
      </c>
      <c r="M3657" s="1" t="s">
        <v>27</v>
      </c>
      <c r="N3657" s="1" t="s">
        <v>9128</v>
      </c>
      <c r="O3657" s="1" t="s">
        <v>550</v>
      </c>
      <c r="P3657" s="1" t="s">
        <v>401</v>
      </c>
      <c r="Q3657" s="63" t="s">
        <v>9129</v>
      </c>
      <c r="R3657" s="11" t="s">
        <v>964</v>
      </c>
      <c r="S3657" s="13" t="s">
        <v>28</v>
      </c>
      <c r="BC3657" s="70"/>
      <c r="BD3657" s="70"/>
      <c r="BE3657" s="70"/>
      <c r="BF3657" s="70"/>
      <c r="BG3657" s="70"/>
      <c r="BH3657" s="70"/>
      <c r="BI3657" s="70"/>
      <c r="BJ3657" s="70"/>
    </row>
    <row r="3658" spans="1:63" ht="12" customHeight="1" x14ac:dyDescent="0.15">
      <c r="A3658" s="1" t="s">
        <v>9117</v>
      </c>
      <c r="B3658" s="1">
        <v>24</v>
      </c>
      <c r="C3658" s="1" t="s">
        <v>20</v>
      </c>
      <c r="D3658" s="1" t="s">
        <v>85</v>
      </c>
      <c r="E3658" s="1" t="s">
        <v>9118</v>
      </c>
      <c r="F3658" s="72">
        <v>41806</v>
      </c>
      <c r="G3658" s="1" t="s">
        <v>9119</v>
      </c>
      <c r="H3658" s="1" t="s">
        <v>2450</v>
      </c>
      <c r="I3658" s="1" t="s">
        <v>173</v>
      </c>
      <c r="J3658" s="4" t="s">
        <v>2451</v>
      </c>
      <c r="K3658" s="1" t="s">
        <v>1325</v>
      </c>
      <c r="L3658" s="1" t="s">
        <v>9120</v>
      </c>
      <c r="M3658" s="1" t="s">
        <v>27</v>
      </c>
      <c r="N3658" s="1" t="s">
        <v>9121</v>
      </c>
      <c r="O3658" s="1" t="s">
        <v>1010</v>
      </c>
      <c r="P3658" s="1" t="s">
        <v>401</v>
      </c>
      <c r="Q3658" s="63" t="s">
        <v>9122</v>
      </c>
      <c r="R3658" s="1" t="s">
        <v>100</v>
      </c>
      <c r="S3658" s="13" t="s">
        <v>28</v>
      </c>
      <c r="AX3658" s="11"/>
      <c r="AY3658" s="11"/>
      <c r="BC3658" s="11"/>
      <c r="BD3658" s="11"/>
      <c r="BE3658" s="11"/>
      <c r="BF3658" s="11"/>
      <c r="BG3658" s="11"/>
      <c r="BH3658" s="11"/>
      <c r="BI3658" s="11"/>
      <c r="BJ3658" s="11"/>
    </row>
    <row r="3659" spans="1:63" ht="12" customHeight="1" x14ac:dyDescent="0.15">
      <c r="A3659" s="1" t="s">
        <v>9130</v>
      </c>
      <c r="B3659" s="1">
        <v>30</v>
      </c>
      <c r="C3659" s="1" t="s">
        <v>20</v>
      </c>
      <c r="D3659" s="1" t="s">
        <v>85</v>
      </c>
      <c r="E3659" s="1" t="s">
        <v>9131</v>
      </c>
      <c r="F3659" s="72">
        <v>41805</v>
      </c>
      <c r="G3659" s="1" t="s">
        <v>9132</v>
      </c>
      <c r="H3659" s="1" t="s">
        <v>1592</v>
      </c>
      <c r="I3659" s="1" t="s">
        <v>52</v>
      </c>
      <c r="J3659" s="4" t="s">
        <v>9133</v>
      </c>
      <c r="K3659" s="1" t="s">
        <v>4697</v>
      </c>
      <c r="L3659" s="1" t="s">
        <v>2770</v>
      </c>
      <c r="M3659" s="1" t="s">
        <v>27</v>
      </c>
      <c r="N3659" s="1" t="s">
        <v>9134</v>
      </c>
      <c r="O3659" s="1" t="s">
        <v>1158</v>
      </c>
      <c r="P3659" s="1" t="s">
        <v>401</v>
      </c>
      <c r="Q3659" s="63" t="s">
        <v>9135</v>
      </c>
      <c r="R3659" s="1" t="s">
        <v>100</v>
      </c>
      <c r="S3659" s="13" t="s">
        <v>28</v>
      </c>
      <c r="AX3659" s="11"/>
      <c r="AY3659" s="11"/>
      <c r="BC3659" s="11"/>
      <c r="BD3659" s="11"/>
      <c r="BE3659" s="11"/>
      <c r="BF3659" s="11"/>
      <c r="BG3659" s="11"/>
      <c r="BH3659" s="11"/>
      <c r="BI3659" s="11"/>
      <c r="BJ3659" s="11"/>
    </row>
    <row r="3660" spans="1:63" ht="12" customHeight="1" x14ac:dyDescent="0.15">
      <c r="A3660" s="1" t="s">
        <v>9136</v>
      </c>
      <c r="B3660" s="1">
        <v>67</v>
      </c>
      <c r="C3660" s="1" t="s">
        <v>20</v>
      </c>
      <c r="D3660" s="1" t="s">
        <v>30</v>
      </c>
      <c r="F3660" s="72">
        <v>41805</v>
      </c>
      <c r="G3660" s="1" t="s">
        <v>9137</v>
      </c>
      <c r="H3660" s="1" t="s">
        <v>679</v>
      </c>
      <c r="I3660" s="1" t="s">
        <v>45</v>
      </c>
      <c r="J3660" s="4" t="s">
        <v>6066</v>
      </c>
      <c r="K3660" s="1" t="s">
        <v>680</v>
      </c>
      <c r="L3660" s="1" t="s">
        <v>747</v>
      </c>
      <c r="M3660" s="1" t="s">
        <v>27</v>
      </c>
      <c r="N3660" s="1" t="s">
        <v>9138</v>
      </c>
      <c r="O3660" s="1" t="s">
        <v>400</v>
      </c>
      <c r="P3660" s="1" t="s">
        <v>401</v>
      </c>
      <c r="Q3660" s="63" t="s">
        <v>9139</v>
      </c>
      <c r="R3660" s="1" t="s">
        <v>555</v>
      </c>
      <c r="S3660" s="13" t="s">
        <v>28</v>
      </c>
      <c r="BA3660" s="11"/>
      <c r="BB3660" s="11"/>
    </row>
    <row r="3661" spans="1:63" ht="12" customHeight="1" x14ac:dyDescent="0.2">
      <c r="A3661" s="1" t="s">
        <v>9140</v>
      </c>
      <c r="B3661" s="1">
        <v>34</v>
      </c>
      <c r="C3661" s="1" t="s">
        <v>20</v>
      </c>
      <c r="D3661" s="1" t="s">
        <v>37</v>
      </c>
      <c r="E3661" s="1" t="s">
        <v>9141</v>
      </c>
      <c r="F3661" s="72">
        <v>41805</v>
      </c>
      <c r="G3661" s="1" t="s">
        <v>9142</v>
      </c>
      <c r="H3661" s="1" t="s">
        <v>9143</v>
      </c>
      <c r="I3661" s="1" t="s">
        <v>62</v>
      </c>
      <c r="J3661" s="4" t="s">
        <v>9144</v>
      </c>
      <c r="K3661" s="1" t="s">
        <v>9145</v>
      </c>
      <c r="L3661" s="1" t="s">
        <v>9146</v>
      </c>
      <c r="M3661" s="1" t="s">
        <v>27</v>
      </c>
      <c r="N3661" s="1" t="s">
        <v>9147</v>
      </c>
      <c r="O3661" s="1" t="s">
        <v>1010</v>
      </c>
      <c r="P3661" s="1" t="s">
        <v>401</v>
      </c>
      <c r="Q3661" s="63" t="s">
        <v>9148</v>
      </c>
      <c r="R3661" s="1" t="s">
        <v>555</v>
      </c>
      <c r="S3661" s="13" t="s">
        <v>28</v>
      </c>
      <c r="BA3661" s="44"/>
      <c r="BB3661" s="44"/>
      <c r="BC3661" s="70"/>
      <c r="BD3661" s="70"/>
      <c r="BE3661" s="70"/>
      <c r="BF3661" s="70"/>
      <c r="BG3661" s="70"/>
      <c r="BH3661" s="70"/>
      <c r="BI3661" s="70"/>
      <c r="BJ3661" s="70"/>
    </row>
    <row r="3662" spans="1:63" ht="12" customHeight="1" x14ac:dyDescent="0.2">
      <c r="A3662" s="1" t="s">
        <v>9149</v>
      </c>
      <c r="B3662" s="1">
        <v>33</v>
      </c>
      <c r="C3662" s="1" t="s">
        <v>20</v>
      </c>
      <c r="D3662" s="1" t="s">
        <v>37</v>
      </c>
      <c r="E3662" s="1" t="s">
        <v>9150</v>
      </c>
      <c r="F3662" s="72">
        <v>41805</v>
      </c>
      <c r="G3662" s="1" t="s">
        <v>9151</v>
      </c>
      <c r="H3662" s="1" t="s">
        <v>1208</v>
      </c>
      <c r="I3662" s="1" t="s">
        <v>303</v>
      </c>
      <c r="J3662" s="4" t="s">
        <v>9152</v>
      </c>
      <c r="K3662" s="1" t="s">
        <v>1209</v>
      </c>
      <c r="L3662" s="1" t="s">
        <v>9153</v>
      </c>
      <c r="M3662" s="1" t="s">
        <v>27</v>
      </c>
      <c r="N3662" s="1" t="s">
        <v>9154</v>
      </c>
      <c r="O3662" s="1" t="s">
        <v>1010</v>
      </c>
      <c r="P3662" s="1" t="s">
        <v>401</v>
      </c>
      <c r="Q3662" s="63" t="str">
        <f>HYPERLINK("http://www.wsp.wa.gov/information/releases/2014_archive/mr061714.htm","http://www.wsp.wa.gov/information/releases/2014_archive/mr061714.htm")</f>
        <v>http://www.wsp.wa.gov/information/releases/2014_archive/mr061714.htm</v>
      </c>
      <c r="R3662" s="1" t="s">
        <v>555</v>
      </c>
      <c r="S3662" s="13" t="s">
        <v>28</v>
      </c>
      <c r="BA3662" s="44"/>
      <c r="BB3662" s="44"/>
      <c r="BC3662" s="70"/>
      <c r="BD3662" s="70"/>
      <c r="BE3662" s="70"/>
      <c r="BF3662" s="70"/>
      <c r="BG3662" s="70"/>
      <c r="BH3662" s="70"/>
      <c r="BI3662" s="70"/>
      <c r="BJ3662" s="70"/>
    </row>
    <row r="3663" spans="1:63" ht="12" customHeight="1" x14ac:dyDescent="0.15">
      <c r="A3663" s="1" t="s">
        <v>9161</v>
      </c>
      <c r="B3663" s="1">
        <v>21</v>
      </c>
      <c r="C3663" s="1" t="s">
        <v>20</v>
      </c>
      <c r="D3663" s="1" t="s">
        <v>48</v>
      </c>
      <c r="F3663" s="72">
        <v>41804</v>
      </c>
      <c r="G3663" s="1" t="s">
        <v>9162</v>
      </c>
      <c r="H3663" s="1" t="s">
        <v>1703</v>
      </c>
      <c r="I3663" s="1" t="s">
        <v>209</v>
      </c>
      <c r="J3663" s="4" t="s">
        <v>1704</v>
      </c>
      <c r="K3663" s="1" t="s">
        <v>1705</v>
      </c>
      <c r="L3663" s="1" t="s">
        <v>1706</v>
      </c>
      <c r="M3663" s="1" t="s">
        <v>27</v>
      </c>
      <c r="N3663" s="1" t="s">
        <v>9163</v>
      </c>
      <c r="O3663" s="1" t="s">
        <v>550</v>
      </c>
      <c r="P3663" s="1" t="s">
        <v>401</v>
      </c>
      <c r="Q3663" s="63" t="s">
        <v>9164</v>
      </c>
      <c r="R3663" s="1" t="s">
        <v>100</v>
      </c>
      <c r="S3663" s="13" t="s">
        <v>28</v>
      </c>
    </row>
    <row r="3664" spans="1:63" ht="12" customHeight="1" x14ac:dyDescent="0.2">
      <c r="A3664" s="1" t="s">
        <v>9165</v>
      </c>
      <c r="B3664" s="1">
        <v>40</v>
      </c>
      <c r="C3664" s="1" t="s">
        <v>20</v>
      </c>
      <c r="D3664" s="1" t="s">
        <v>37</v>
      </c>
      <c r="F3664" s="72">
        <v>41804</v>
      </c>
      <c r="G3664" s="1" t="s">
        <v>9166</v>
      </c>
      <c r="H3664" s="1" t="s">
        <v>9167</v>
      </c>
      <c r="I3664" s="1" t="s">
        <v>44</v>
      </c>
      <c r="J3664" s="4" t="s">
        <v>9168</v>
      </c>
      <c r="K3664" s="1" t="s">
        <v>9169</v>
      </c>
      <c r="L3664" s="1" t="s">
        <v>405</v>
      </c>
      <c r="M3664" s="1" t="s">
        <v>27</v>
      </c>
      <c r="N3664" s="1" t="s">
        <v>9170</v>
      </c>
      <c r="O3664" s="1" t="s">
        <v>1010</v>
      </c>
      <c r="P3664" s="1" t="s">
        <v>401</v>
      </c>
      <c r="Q3664" s="63" t="s">
        <v>9171</v>
      </c>
      <c r="R3664" s="1" t="s">
        <v>29</v>
      </c>
      <c r="S3664" s="13" t="s">
        <v>28</v>
      </c>
      <c r="BA3664" s="70"/>
      <c r="BB3664" s="70"/>
      <c r="BC3664" s="70"/>
      <c r="BD3664" s="70"/>
      <c r="BE3664" s="70"/>
      <c r="BF3664" s="70"/>
      <c r="BG3664" s="70"/>
      <c r="BH3664" s="70"/>
      <c r="BI3664" s="70"/>
      <c r="BJ3664" s="70"/>
    </row>
    <row r="3665" spans="1:63" ht="12" customHeight="1" x14ac:dyDescent="0.15">
      <c r="A3665" s="1" t="s">
        <v>9155</v>
      </c>
      <c r="B3665" s="1">
        <v>38</v>
      </c>
      <c r="C3665" s="1" t="s">
        <v>20</v>
      </c>
      <c r="D3665" s="1" t="s">
        <v>85</v>
      </c>
      <c r="E3665" s="1" t="s">
        <v>9156</v>
      </c>
      <c r="F3665" s="72">
        <v>41804</v>
      </c>
      <c r="G3665" s="1" t="s">
        <v>9157</v>
      </c>
      <c r="H3665" s="1" t="s">
        <v>285</v>
      </c>
      <c r="I3665" s="1" t="s">
        <v>73</v>
      </c>
      <c r="J3665" s="4" t="s">
        <v>9158</v>
      </c>
      <c r="K3665" s="1" t="s">
        <v>285</v>
      </c>
      <c r="L3665" s="1" t="s">
        <v>286</v>
      </c>
      <c r="M3665" s="1" t="s">
        <v>27</v>
      </c>
      <c r="N3665" s="1" t="s">
        <v>9159</v>
      </c>
      <c r="O3665" s="1" t="s">
        <v>550</v>
      </c>
      <c r="P3665" s="1" t="s">
        <v>401</v>
      </c>
      <c r="Q3665" s="63" t="s">
        <v>9160</v>
      </c>
      <c r="R3665" s="1" t="s">
        <v>555</v>
      </c>
      <c r="S3665" s="13" t="s">
        <v>18</v>
      </c>
      <c r="AX3665" s="11"/>
      <c r="AY3665" s="11"/>
      <c r="BC3665" s="11"/>
      <c r="BD3665" s="11"/>
      <c r="BE3665" s="11"/>
      <c r="BF3665" s="11"/>
      <c r="BG3665" s="11"/>
      <c r="BH3665" s="11"/>
      <c r="BI3665" s="11"/>
      <c r="BJ3665" s="11"/>
    </row>
    <row r="3666" spans="1:63" ht="12" customHeight="1" x14ac:dyDescent="0.15">
      <c r="A3666" s="1" t="s">
        <v>9172</v>
      </c>
      <c r="B3666" s="1">
        <v>61</v>
      </c>
      <c r="C3666" s="1" t="s">
        <v>20</v>
      </c>
      <c r="D3666" s="1" t="s">
        <v>85</v>
      </c>
      <c r="F3666" s="72">
        <v>41803</v>
      </c>
      <c r="G3666" s="1" t="s">
        <v>9173</v>
      </c>
      <c r="H3666" s="1" t="s">
        <v>4013</v>
      </c>
      <c r="I3666" s="1" t="s">
        <v>669</v>
      </c>
      <c r="J3666" s="4" t="s">
        <v>4014</v>
      </c>
      <c r="K3666" s="1" t="s">
        <v>4015</v>
      </c>
      <c r="L3666" s="1" t="s">
        <v>4016</v>
      </c>
      <c r="M3666" s="1" t="s">
        <v>27</v>
      </c>
      <c r="N3666" s="1" t="s">
        <v>9174</v>
      </c>
      <c r="O3666" s="1" t="s">
        <v>1010</v>
      </c>
      <c r="P3666" s="1" t="s">
        <v>401</v>
      </c>
      <c r="Q3666" s="63" t="s">
        <v>9175</v>
      </c>
      <c r="R3666" s="1" t="s">
        <v>100</v>
      </c>
      <c r="S3666" s="13" t="s">
        <v>28</v>
      </c>
      <c r="AX3666" s="11"/>
      <c r="AY3666" s="11"/>
      <c r="BC3666" s="11"/>
      <c r="BD3666" s="11"/>
      <c r="BE3666" s="11"/>
      <c r="BF3666" s="11"/>
      <c r="BG3666" s="11"/>
      <c r="BH3666" s="11"/>
      <c r="BI3666" s="11"/>
      <c r="BJ3666" s="11"/>
    </row>
    <row r="3667" spans="1:63" ht="12" customHeight="1" x14ac:dyDescent="0.15">
      <c r="A3667" s="1" t="s">
        <v>9176</v>
      </c>
      <c r="B3667" s="1">
        <v>17</v>
      </c>
      <c r="C3667" s="1" t="s">
        <v>20</v>
      </c>
      <c r="D3667" s="1" t="s">
        <v>48</v>
      </c>
      <c r="F3667" s="72">
        <v>41803</v>
      </c>
      <c r="G3667" s="1" t="s">
        <v>9177</v>
      </c>
      <c r="H3667" s="1" t="s">
        <v>926</v>
      </c>
      <c r="I3667" s="1" t="s">
        <v>73</v>
      </c>
      <c r="J3667" s="4" t="s">
        <v>9178</v>
      </c>
      <c r="K3667" s="1" t="s">
        <v>74</v>
      </c>
      <c r="L3667" s="1" t="s">
        <v>927</v>
      </c>
      <c r="M3667" s="1" t="s">
        <v>27</v>
      </c>
      <c r="N3667" s="1" t="s">
        <v>9179</v>
      </c>
      <c r="O3667" s="1" t="s">
        <v>1010</v>
      </c>
      <c r="P3667" s="1" t="s">
        <v>401</v>
      </c>
      <c r="Q3667" s="63" t="s">
        <v>9180</v>
      </c>
      <c r="R3667" s="1" t="s">
        <v>100</v>
      </c>
      <c r="S3667" s="13" t="s">
        <v>28</v>
      </c>
    </row>
    <row r="3668" spans="1:63" ht="12" customHeight="1" x14ac:dyDescent="0.2">
      <c r="A3668" s="1" t="s">
        <v>9181</v>
      </c>
      <c r="B3668" s="1" t="s">
        <v>9182</v>
      </c>
      <c r="C3668" s="1" t="s">
        <v>20</v>
      </c>
      <c r="D3668" s="1" t="s">
        <v>37</v>
      </c>
      <c r="E3668" s="1" t="s">
        <v>9183</v>
      </c>
      <c r="F3668" s="72">
        <v>41803</v>
      </c>
      <c r="G3668" s="1" t="s">
        <v>9184</v>
      </c>
      <c r="H3668" s="1" t="s">
        <v>9185</v>
      </c>
      <c r="I3668" s="1" t="s">
        <v>269</v>
      </c>
      <c r="J3668" s="4" t="s">
        <v>9186</v>
      </c>
      <c r="K3668" s="1" t="s">
        <v>9187</v>
      </c>
      <c r="L3668" s="1" t="s">
        <v>9188</v>
      </c>
      <c r="M3668" s="1" t="s">
        <v>27</v>
      </c>
      <c r="N3668" s="1" t="s">
        <v>9189</v>
      </c>
      <c r="O3668" s="1" t="s">
        <v>29</v>
      </c>
      <c r="P3668" s="1" t="s">
        <v>401</v>
      </c>
      <c r="Q3668" s="63" t="s">
        <v>9190</v>
      </c>
      <c r="R3668" s="1" t="s">
        <v>100</v>
      </c>
      <c r="S3668" s="13" t="s">
        <v>28</v>
      </c>
      <c r="BC3668" s="70"/>
      <c r="BD3668" s="70"/>
      <c r="BE3668" s="70"/>
      <c r="BF3668" s="70"/>
      <c r="BG3668" s="70"/>
      <c r="BH3668" s="70"/>
      <c r="BI3668" s="70"/>
      <c r="BJ3668" s="70"/>
    </row>
    <row r="3669" spans="1:63" ht="12" customHeight="1" x14ac:dyDescent="0.15">
      <c r="A3669" s="1" t="s">
        <v>9191</v>
      </c>
      <c r="B3669" s="1">
        <v>28</v>
      </c>
      <c r="C3669" s="1" t="s">
        <v>20</v>
      </c>
      <c r="D3669" s="1" t="s">
        <v>85</v>
      </c>
      <c r="E3669" s="1" t="s">
        <v>9192</v>
      </c>
      <c r="F3669" s="72">
        <v>41802</v>
      </c>
      <c r="G3669" s="1" t="s">
        <v>9193</v>
      </c>
      <c r="H3669" s="1" t="s">
        <v>9143</v>
      </c>
      <c r="I3669" s="1" t="s">
        <v>62</v>
      </c>
      <c r="J3669" s="4" t="s">
        <v>9144</v>
      </c>
      <c r="K3669" s="1" t="s">
        <v>9145</v>
      </c>
      <c r="L3669" s="1" t="s">
        <v>9194</v>
      </c>
      <c r="M3669" s="1" t="s">
        <v>379</v>
      </c>
      <c r="N3669" s="1" t="s">
        <v>9195</v>
      </c>
      <c r="O3669" s="1" t="s">
        <v>1010</v>
      </c>
      <c r="P3669" s="1" t="s">
        <v>401</v>
      </c>
      <c r="Q3669" s="63" t="s">
        <v>9196</v>
      </c>
      <c r="R3669" s="1" t="s">
        <v>100</v>
      </c>
      <c r="S3669" s="13" t="s">
        <v>28</v>
      </c>
      <c r="AX3669" s="44"/>
      <c r="AY3669" s="44"/>
      <c r="BC3669" s="11"/>
      <c r="BD3669" s="11"/>
      <c r="BE3669" s="11"/>
      <c r="BF3669" s="11"/>
      <c r="BG3669" s="11"/>
      <c r="BH3669" s="11"/>
      <c r="BI3669" s="11"/>
      <c r="BJ3669" s="11"/>
    </row>
    <row r="3670" spans="1:63" ht="12" customHeight="1" x14ac:dyDescent="0.2">
      <c r="A3670" s="1" t="s">
        <v>9203</v>
      </c>
      <c r="B3670" s="1">
        <v>38</v>
      </c>
      <c r="C3670" s="1" t="s">
        <v>20</v>
      </c>
      <c r="D3670" s="1" t="s">
        <v>37</v>
      </c>
      <c r="E3670" s="1" t="s">
        <v>9204</v>
      </c>
      <c r="F3670" s="72">
        <v>41802</v>
      </c>
      <c r="G3670" s="1" t="s">
        <v>9205</v>
      </c>
      <c r="H3670" s="1" t="s">
        <v>9206</v>
      </c>
      <c r="I3670" s="1" t="s">
        <v>117</v>
      </c>
      <c r="J3670" s="4" t="s">
        <v>9207</v>
      </c>
      <c r="K3670" s="1" t="s">
        <v>4256</v>
      </c>
      <c r="L3670" s="1" t="s">
        <v>9208</v>
      </c>
      <c r="M3670" s="1" t="s">
        <v>27</v>
      </c>
      <c r="N3670" s="1" t="s">
        <v>9209</v>
      </c>
      <c r="O3670" s="1" t="s">
        <v>1010</v>
      </c>
      <c r="P3670" s="1" t="s">
        <v>401</v>
      </c>
      <c r="Q3670" s="63" t="s">
        <v>9210</v>
      </c>
      <c r="R3670" s="1" t="s">
        <v>100</v>
      </c>
      <c r="S3670" s="13" t="s">
        <v>28</v>
      </c>
      <c r="BC3670" s="70"/>
      <c r="BD3670" s="70"/>
      <c r="BE3670" s="70"/>
      <c r="BF3670" s="70"/>
      <c r="BG3670" s="70"/>
      <c r="BH3670" s="70"/>
      <c r="BI3670" s="70"/>
      <c r="BJ3670" s="70"/>
    </row>
    <row r="3671" spans="1:63" ht="12" customHeight="1" x14ac:dyDescent="0.2">
      <c r="A3671" s="1" t="s">
        <v>9218</v>
      </c>
      <c r="B3671" s="1">
        <v>58</v>
      </c>
      <c r="C3671" s="1" t="s">
        <v>20</v>
      </c>
      <c r="D3671" s="1" t="s">
        <v>37</v>
      </c>
      <c r="E3671" s="1" t="s">
        <v>9219</v>
      </c>
      <c r="F3671" s="72">
        <v>41802</v>
      </c>
      <c r="G3671" s="1" t="s">
        <v>9220</v>
      </c>
      <c r="H3671" s="1" t="s">
        <v>2144</v>
      </c>
      <c r="I3671" s="1" t="s">
        <v>25</v>
      </c>
      <c r="J3671" s="4" t="s">
        <v>2145</v>
      </c>
      <c r="K3671" s="1" t="s">
        <v>2146</v>
      </c>
      <c r="L3671" s="1" t="s">
        <v>9221</v>
      </c>
      <c r="M3671" s="1" t="s">
        <v>27</v>
      </c>
      <c r="N3671" s="1" t="s">
        <v>9222</v>
      </c>
      <c r="O3671" s="1" t="s">
        <v>550</v>
      </c>
      <c r="P3671" s="1" t="s">
        <v>401</v>
      </c>
      <c r="Q3671" s="63" t="s">
        <v>9223</v>
      </c>
      <c r="R3671" s="1" t="s">
        <v>29</v>
      </c>
      <c r="S3671" s="13" t="s">
        <v>28</v>
      </c>
      <c r="BA3671" s="70"/>
      <c r="BB3671" s="70"/>
      <c r="BC3671" s="70"/>
      <c r="BD3671" s="70"/>
      <c r="BE3671" s="70"/>
      <c r="BF3671" s="70"/>
      <c r="BG3671" s="70"/>
      <c r="BH3671" s="70"/>
      <c r="BI3671" s="70"/>
      <c r="BJ3671" s="70"/>
    </row>
    <row r="3672" spans="1:63" ht="12" customHeight="1" x14ac:dyDescent="0.2">
      <c r="A3672" s="1" t="s">
        <v>9197</v>
      </c>
      <c r="B3672" s="1">
        <v>23</v>
      </c>
      <c r="C3672" s="1" t="s">
        <v>20</v>
      </c>
      <c r="D3672" s="1" t="s">
        <v>37</v>
      </c>
      <c r="E3672" s="1" t="s">
        <v>9198</v>
      </c>
      <c r="F3672" s="72">
        <v>41802</v>
      </c>
      <c r="G3672" s="1" t="s">
        <v>9199</v>
      </c>
      <c r="H3672" s="1" t="s">
        <v>1561</v>
      </c>
      <c r="I3672" s="1" t="s">
        <v>117</v>
      </c>
      <c r="J3672" s="4" t="s">
        <v>9200</v>
      </c>
      <c r="K3672" s="1" t="s">
        <v>1563</v>
      </c>
      <c r="L3672" s="1" t="s">
        <v>17750</v>
      </c>
      <c r="M3672" s="1" t="s">
        <v>27</v>
      </c>
      <c r="N3672" s="1" t="s">
        <v>9201</v>
      </c>
      <c r="O3672" s="1" t="s">
        <v>550</v>
      </c>
      <c r="P3672" s="1" t="s">
        <v>401</v>
      </c>
      <c r="Q3672" s="63" t="s">
        <v>9202</v>
      </c>
      <c r="R3672" s="1" t="s">
        <v>555</v>
      </c>
      <c r="S3672" s="13" t="s">
        <v>28</v>
      </c>
      <c r="BA3672" s="44"/>
      <c r="BB3672" s="44"/>
      <c r="BC3672" s="70"/>
      <c r="BD3672" s="70"/>
      <c r="BE3672" s="70"/>
      <c r="BF3672" s="70"/>
      <c r="BG3672" s="70"/>
      <c r="BH3672" s="70"/>
      <c r="BI3672" s="70"/>
      <c r="BJ3672" s="70"/>
    </row>
    <row r="3673" spans="1:63" ht="12" customHeight="1" x14ac:dyDescent="0.2">
      <c r="A3673" s="1" t="s">
        <v>9211</v>
      </c>
      <c r="B3673" s="1">
        <v>18</v>
      </c>
      <c r="C3673" s="1" t="s">
        <v>20</v>
      </c>
      <c r="D3673" s="1" t="s">
        <v>37</v>
      </c>
      <c r="E3673" s="1" t="s">
        <v>9212</v>
      </c>
      <c r="F3673" s="72">
        <v>41802</v>
      </c>
      <c r="G3673" s="1" t="s">
        <v>9213</v>
      </c>
      <c r="H3673" s="1" t="s">
        <v>9214</v>
      </c>
      <c r="I3673" s="1" t="s">
        <v>150</v>
      </c>
      <c r="J3673" s="4" t="s">
        <v>9215</v>
      </c>
      <c r="K3673" s="1" t="s">
        <v>2902</v>
      </c>
      <c r="L3673" s="1" t="s">
        <v>17262</v>
      </c>
      <c r="M3673" s="1" t="s">
        <v>27</v>
      </c>
      <c r="N3673" s="1" t="s">
        <v>9216</v>
      </c>
      <c r="O3673" s="1" t="s">
        <v>550</v>
      </c>
      <c r="P3673" s="1" t="s">
        <v>401</v>
      </c>
      <c r="Q3673" s="63" t="s">
        <v>9217</v>
      </c>
      <c r="R3673" s="1" t="s">
        <v>555</v>
      </c>
      <c r="S3673" s="13" t="s">
        <v>18</v>
      </c>
      <c r="BA3673" s="44"/>
      <c r="BB3673" s="44"/>
      <c r="BC3673" s="70"/>
      <c r="BD3673" s="70"/>
      <c r="BE3673" s="70"/>
      <c r="BF3673" s="70"/>
      <c r="BG3673" s="70"/>
      <c r="BH3673" s="70"/>
      <c r="BI3673" s="70"/>
      <c r="BJ3673" s="70"/>
    </row>
    <row r="3674" spans="1:63" ht="12" customHeight="1" x14ac:dyDescent="0.15">
      <c r="A3674" s="1" t="s">
        <v>9224</v>
      </c>
      <c r="B3674" s="1">
        <v>22</v>
      </c>
      <c r="C3674" s="1" t="s">
        <v>20</v>
      </c>
      <c r="D3674" s="1" t="s">
        <v>48</v>
      </c>
      <c r="F3674" s="72">
        <v>41801</v>
      </c>
      <c r="G3674" s="1" t="s">
        <v>9225</v>
      </c>
      <c r="H3674" s="1" t="s">
        <v>200</v>
      </c>
      <c r="I3674" s="1" t="s">
        <v>45</v>
      </c>
      <c r="J3674" s="4" t="s">
        <v>9226</v>
      </c>
      <c r="K3674" s="1" t="s">
        <v>200</v>
      </c>
      <c r="L3674" s="1" t="s">
        <v>201</v>
      </c>
      <c r="M3674" s="1" t="s">
        <v>27</v>
      </c>
      <c r="N3674" s="1" t="s">
        <v>9227</v>
      </c>
      <c r="O3674" s="1" t="s">
        <v>1010</v>
      </c>
      <c r="P3674" s="1" t="s">
        <v>401</v>
      </c>
      <c r="Q3674" s="63" t="s">
        <v>9228</v>
      </c>
      <c r="R3674" s="11" t="s">
        <v>964</v>
      </c>
      <c r="S3674" s="13" t="s">
        <v>28</v>
      </c>
    </row>
    <row r="3675" spans="1:63" ht="12" customHeight="1" x14ac:dyDescent="0.2">
      <c r="A3675" s="1" t="s">
        <v>9241</v>
      </c>
      <c r="B3675" s="1">
        <v>30</v>
      </c>
      <c r="C3675" s="1" t="s">
        <v>20</v>
      </c>
      <c r="D3675" s="1" t="s">
        <v>37</v>
      </c>
      <c r="E3675" s="1" t="s">
        <v>9242</v>
      </c>
      <c r="F3675" s="72">
        <v>41801</v>
      </c>
      <c r="G3675" s="1" t="s">
        <v>9243</v>
      </c>
      <c r="H3675" s="1" t="s">
        <v>9244</v>
      </c>
      <c r="I3675" s="1" t="s">
        <v>423</v>
      </c>
      <c r="J3675" s="4" t="s">
        <v>9245</v>
      </c>
      <c r="K3675" s="1" t="s">
        <v>581</v>
      </c>
      <c r="L3675" s="1" t="s">
        <v>9246</v>
      </c>
      <c r="M3675" s="1" t="s">
        <v>14359</v>
      </c>
      <c r="N3675" s="1" t="s">
        <v>9247</v>
      </c>
      <c r="O3675" s="1" t="s">
        <v>1010</v>
      </c>
      <c r="P3675" s="1" t="s">
        <v>401</v>
      </c>
      <c r="Q3675" s="63" t="s">
        <v>9248</v>
      </c>
      <c r="R3675" s="1" t="s">
        <v>100</v>
      </c>
      <c r="S3675" s="13" t="s">
        <v>35</v>
      </c>
      <c r="AX3675" s="44"/>
      <c r="AY3675" s="44"/>
      <c r="AZ3675" s="44"/>
      <c r="BC3675" s="70"/>
      <c r="BD3675" s="70"/>
      <c r="BE3675" s="70"/>
      <c r="BF3675" s="70"/>
      <c r="BG3675" s="70"/>
      <c r="BH3675" s="70"/>
      <c r="BI3675" s="70"/>
      <c r="BJ3675" s="70"/>
      <c r="BK3675" s="11"/>
    </row>
    <row r="3676" spans="1:63" ht="12" customHeight="1" x14ac:dyDescent="0.2">
      <c r="A3676" s="1" t="s">
        <v>9235</v>
      </c>
      <c r="B3676" s="1">
        <v>37</v>
      </c>
      <c r="C3676" s="1" t="s">
        <v>20</v>
      </c>
      <c r="D3676" s="1" t="s">
        <v>37</v>
      </c>
      <c r="E3676" s="1" t="s">
        <v>9236</v>
      </c>
      <c r="F3676" s="72">
        <v>41801</v>
      </c>
      <c r="G3676" s="1" t="s">
        <v>9237</v>
      </c>
      <c r="H3676" s="1" t="s">
        <v>1277</v>
      </c>
      <c r="I3676" s="1" t="s">
        <v>269</v>
      </c>
      <c r="J3676" s="4" t="s">
        <v>9238</v>
      </c>
      <c r="K3676" s="1" t="s">
        <v>570</v>
      </c>
      <c r="L3676" s="1" t="s">
        <v>1482</v>
      </c>
      <c r="M3676" s="1" t="s">
        <v>27</v>
      </c>
      <c r="N3676" s="1" t="s">
        <v>9239</v>
      </c>
      <c r="O3676" s="1" t="s">
        <v>1010</v>
      </c>
      <c r="P3676" s="1" t="s">
        <v>401</v>
      </c>
      <c r="Q3676" s="63" t="s">
        <v>9240</v>
      </c>
      <c r="R3676" s="1" t="s">
        <v>29</v>
      </c>
      <c r="S3676" s="13" t="s">
        <v>28</v>
      </c>
      <c r="BA3676" s="70"/>
      <c r="BB3676" s="70"/>
      <c r="BC3676" s="70"/>
      <c r="BD3676" s="70"/>
      <c r="BE3676" s="70"/>
      <c r="BF3676" s="70"/>
      <c r="BG3676" s="70"/>
      <c r="BH3676" s="70"/>
      <c r="BI3676" s="70"/>
      <c r="BJ3676" s="70"/>
    </row>
    <row r="3677" spans="1:63" ht="12" customHeight="1" x14ac:dyDescent="0.15">
      <c r="A3677" s="1" t="s">
        <v>9229</v>
      </c>
      <c r="B3677" s="1">
        <v>55</v>
      </c>
      <c r="C3677" s="1" t="s">
        <v>20</v>
      </c>
      <c r="D3677" s="1" t="s">
        <v>30</v>
      </c>
      <c r="F3677" s="72">
        <v>41801</v>
      </c>
      <c r="G3677" s="1" t="s">
        <v>9230</v>
      </c>
      <c r="H3677" s="1" t="s">
        <v>9231</v>
      </c>
      <c r="I3677" s="1" t="s">
        <v>45</v>
      </c>
      <c r="J3677" s="4">
        <v>95490</v>
      </c>
      <c r="K3677" s="1" t="s">
        <v>5764</v>
      </c>
      <c r="L3677" s="1" t="s">
        <v>9232</v>
      </c>
      <c r="M3677" s="1" t="s">
        <v>2291</v>
      </c>
      <c r="N3677" s="1" t="s">
        <v>9233</v>
      </c>
      <c r="P3677" s="1" t="s">
        <v>401</v>
      </c>
      <c r="Q3677" s="63" t="s">
        <v>9234</v>
      </c>
      <c r="R3677" s="1" t="s">
        <v>29</v>
      </c>
      <c r="S3677" s="13" t="s">
        <v>18</v>
      </c>
    </row>
    <row r="3678" spans="1:63" ht="12" customHeight="1" x14ac:dyDescent="0.15">
      <c r="A3678" s="1" t="s">
        <v>9249</v>
      </c>
      <c r="B3678" s="1">
        <v>21</v>
      </c>
      <c r="C3678" s="1" t="s">
        <v>20</v>
      </c>
      <c r="D3678" s="1" t="s">
        <v>85</v>
      </c>
      <c r="E3678" s="1" t="s">
        <v>9250</v>
      </c>
      <c r="F3678" s="72">
        <v>41800</v>
      </c>
      <c r="G3678" s="1" t="s">
        <v>9251</v>
      </c>
      <c r="H3678" s="1" t="s">
        <v>3771</v>
      </c>
      <c r="I3678" s="1" t="s">
        <v>173</v>
      </c>
      <c r="J3678" s="4" t="s">
        <v>3772</v>
      </c>
      <c r="K3678" s="1" t="s">
        <v>1304</v>
      </c>
      <c r="L3678" s="1" t="s">
        <v>9252</v>
      </c>
      <c r="M3678" s="1" t="s">
        <v>27</v>
      </c>
      <c r="N3678" s="1" t="s">
        <v>9253</v>
      </c>
      <c r="O3678" s="1" t="s">
        <v>1010</v>
      </c>
      <c r="P3678" s="1" t="s">
        <v>401</v>
      </c>
      <c r="Q3678" s="63" t="s">
        <v>9254</v>
      </c>
      <c r="R3678" s="1" t="s">
        <v>100</v>
      </c>
      <c r="S3678" s="13" t="s">
        <v>28</v>
      </c>
      <c r="AX3678" s="11"/>
      <c r="AY3678" s="11"/>
      <c r="BC3678" s="11"/>
      <c r="BD3678" s="11"/>
      <c r="BE3678" s="11"/>
      <c r="BF3678" s="11"/>
      <c r="BG3678" s="11"/>
      <c r="BH3678" s="11"/>
      <c r="BI3678" s="11"/>
      <c r="BJ3678" s="11"/>
    </row>
    <row r="3679" spans="1:63" ht="12" customHeight="1" x14ac:dyDescent="0.15">
      <c r="A3679" s="1" t="s">
        <v>9255</v>
      </c>
      <c r="B3679" s="1">
        <v>31</v>
      </c>
      <c r="C3679" s="1" t="s">
        <v>20</v>
      </c>
      <c r="D3679" s="1" t="s">
        <v>48</v>
      </c>
      <c r="F3679" s="72">
        <v>41800</v>
      </c>
      <c r="G3679" s="1" t="s">
        <v>9256</v>
      </c>
      <c r="H3679" s="1" t="s">
        <v>4254</v>
      </c>
      <c r="I3679" s="1" t="s">
        <v>45</v>
      </c>
      <c r="J3679" s="4" t="s">
        <v>6071</v>
      </c>
      <c r="K3679" s="1" t="s">
        <v>309</v>
      </c>
      <c r="L3679" s="1" t="s">
        <v>9257</v>
      </c>
      <c r="M3679" s="1" t="s">
        <v>27</v>
      </c>
      <c r="N3679" s="1" t="s">
        <v>9258</v>
      </c>
      <c r="O3679" s="1" t="s">
        <v>1010</v>
      </c>
      <c r="P3679" s="1" t="s">
        <v>401</v>
      </c>
      <c r="Q3679" s="63" t="s">
        <v>9259</v>
      </c>
      <c r="R3679" s="1" t="s">
        <v>100</v>
      </c>
      <c r="S3679" s="13" t="s">
        <v>28</v>
      </c>
    </row>
    <row r="3680" spans="1:63" ht="12" customHeight="1" x14ac:dyDescent="0.2">
      <c r="A3680" s="1" t="s">
        <v>9268</v>
      </c>
      <c r="B3680" s="1">
        <v>73</v>
      </c>
      <c r="C3680" s="1" t="s">
        <v>20</v>
      </c>
      <c r="D3680" s="1" t="s">
        <v>37</v>
      </c>
      <c r="F3680" s="72">
        <v>41800</v>
      </c>
      <c r="G3680" s="1" t="s">
        <v>9269</v>
      </c>
      <c r="H3680" s="1" t="s">
        <v>9270</v>
      </c>
      <c r="I3680" s="1" t="s">
        <v>117</v>
      </c>
      <c r="J3680" s="4" t="s">
        <v>9271</v>
      </c>
      <c r="K3680" s="1" t="s">
        <v>433</v>
      </c>
      <c r="L3680" s="1" t="s">
        <v>9272</v>
      </c>
      <c r="M3680" s="1" t="s">
        <v>27</v>
      </c>
      <c r="N3680" s="1" t="s">
        <v>9273</v>
      </c>
      <c r="O3680" s="1" t="s">
        <v>1010</v>
      </c>
      <c r="P3680" s="1" t="s">
        <v>401</v>
      </c>
      <c r="Q3680" s="63" t="s">
        <v>9274</v>
      </c>
      <c r="R3680" s="1" t="s">
        <v>100</v>
      </c>
      <c r="S3680" s="13" t="s">
        <v>28</v>
      </c>
      <c r="BC3680" s="70"/>
      <c r="BD3680" s="70"/>
      <c r="BE3680" s="70"/>
      <c r="BF3680" s="70"/>
      <c r="BG3680" s="70"/>
      <c r="BH3680" s="70"/>
      <c r="BI3680" s="70"/>
      <c r="BJ3680" s="70"/>
    </row>
    <row r="3681" spans="1:62" ht="12" customHeight="1" x14ac:dyDescent="0.2">
      <c r="A3681" s="1" t="s">
        <v>9260</v>
      </c>
      <c r="B3681" s="1">
        <v>25</v>
      </c>
      <c r="C3681" s="1" t="s">
        <v>20</v>
      </c>
      <c r="D3681" s="1" t="s">
        <v>37</v>
      </c>
      <c r="E3681" s="1" t="s">
        <v>9261</v>
      </c>
      <c r="F3681" s="72">
        <v>41800</v>
      </c>
      <c r="G3681" s="1" t="s">
        <v>9262</v>
      </c>
      <c r="H3681" s="1" t="s">
        <v>9263</v>
      </c>
      <c r="I3681" s="1" t="s">
        <v>431</v>
      </c>
      <c r="J3681" s="4" t="s">
        <v>9264</v>
      </c>
      <c r="K3681" s="1" t="s">
        <v>9265</v>
      </c>
      <c r="L3681" s="1" t="s">
        <v>9266</v>
      </c>
      <c r="M3681" s="1" t="s">
        <v>27</v>
      </c>
      <c r="N3681" s="1" t="s">
        <v>9267</v>
      </c>
      <c r="O3681" s="1" t="s">
        <v>550</v>
      </c>
      <c r="P3681" s="1" t="s">
        <v>401</v>
      </c>
      <c r="Q3681" s="6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3681" s="1" t="s">
        <v>555</v>
      </c>
      <c r="S3681" s="13" t="s">
        <v>28</v>
      </c>
      <c r="BA3681" s="44"/>
      <c r="BB3681" s="44"/>
      <c r="BC3681" s="70"/>
      <c r="BD3681" s="70"/>
      <c r="BE3681" s="70"/>
      <c r="BF3681" s="70"/>
      <c r="BG3681" s="70"/>
      <c r="BH3681" s="70"/>
      <c r="BI3681" s="70"/>
      <c r="BJ3681" s="70"/>
    </row>
    <row r="3682" spans="1:62" ht="12" customHeight="1" x14ac:dyDescent="0.15">
      <c r="A3682" s="1" t="s">
        <v>9275</v>
      </c>
      <c r="B3682" s="1">
        <v>48</v>
      </c>
      <c r="C3682" s="1" t="s">
        <v>20</v>
      </c>
      <c r="D3682" s="1" t="s">
        <v>85</v>
      </c>
      <c r="E3682" s="1" t="s">
        <v>9276</v>
      </c>
      <c r="F3682" s="72">
        <v>41799</v>
      </c>
      <c r="G3682" s="1" t="s">
        <v>9277</v>
      </c>
      <c r="H3682" s="1" t="s">
        <v>705</v>
      </c>
      <c r="I3682" s="1" t="s">
        <v>94</v>
      </c>
      <c r="J3682" s="4" t="s">
        <v>9278</v>
      </c>
      <c r="K3682" s="1" t="s">
        <v>705</v>
      </c>
      <c r="L3682" s="1" t="s">
        <v>9279</v>
      </c>
      <c r="M3682" s="1" t="s">
        <v>27</v>
      </c>
      <c r="N3682" s="1" t="s">
        <v>9280</v>
      </c>
      <c r="O3682" s="1" t="s">
        <v>1010</v>
      </c>
      <c r="P3682" s="1" t="s">
        <v>401</v>
      </c>
      <c r="Q3682" s="63" t="s">
        <v>9281</v>
      </c>
      <c r="R3682" s="1" t="s">
        <v>100</v>
      </c>
      <c r="S3682" s="13" t="s">
        <v>28</v>
      </c>
      <c r="AX3682" s="11"/>
      <c r="AY3682" s="11"/>
      <c r="BC3682" s="11"/>
      <c r="BD3682" s="11"/>
      <c r="BE3682" s="11"/>
      <c r="BF3682" s="11"/>
      <c r="BG3682" s="11"/>
      <c r="BH3682" s="11"/>
      <c r="BI3682" s="11"/>
      <c r="BJ3682" s="11"/>
    </row>
    <row r="3683" spans="1:62" ht="12" customHeight="1" x14ac:dyDescent="0.2">
      <c r="A3683" s="1" t="s">
        <v>9282</v>
      </c>
      <c r="B3683" s="1">
        <v>43</v>
      </c>
      <c r="C3683" s="1" t="s">
        <v>20</v>
      </c>
      <c r="D3683" s="1" t="s">
        <v>37</v>
      </c>
      <c r="E3683" s="1" t="s">
        <v>9283</v>
      </c>
      <c r="F3683" s="72">
        <v>41799</v>
      </c>
      <c r="G3683" s="1" t="s">
        <v>9284</v>
      </c>
      <c r="H3683" s="1" t="s">
        <v>1094</v>
      </c>
      <c r="I3683" s="1" t="s">
        <v>395</v>
      </c>
      <c r="J3683" s="4" t="s">
        <v>6206</v>
      </c>
      <c r="K3683" s="1" t="s">
        <v>1095</v>
      </c>
      <c r="L3683" s="1" t="s">
        <v>1096</v>
      </c>
      <c r="M3683" s="1" t="s">
        <v>27</v>
      </c>
      <c r="N3683" s="1" t="s">
        <v>9285</v>
      </c>
      <c r="O3683" s="1" t="s">
        <v>1010</v>
      </c>
      <c r="P3683" s="1" t="s">
        <v>401</v>
      </c>
      <c r="Q3683" s="63" t="s">
        <v>9286</v>
      </c>
      <c r="R3683" s="1" t="s">
        <v>100</v>
      </c>
      <c r="S3683" s="13" t="s">
        <v>28</v>
      </c>
      <c r="BC3683" s="70"/>
      <c r="BD3683" s="70"/>
      <c r="BE3683" s="70"/>
      <c r="BF3683" s="70"/>
      <c r="BG3683" s="70"/>
      <c r="BH3683" s="70"/>
      <c r="BI3683" s="70"/>
      <c r="BJ3683" s="70"/>
    </row>
    <row r="3684" spans="1:62" ht="12" customHeight="1" x14ac:dyDescent="0.2">
      <c r="A3684" s="1" t="s">
        <v>9296</v>
      </c>
      <c r="B3684" s="1">
        <v>24</v>
      </c>
      <c r="C3684" s="1" t="s">
        <v>20</v>
      </c>
      <c r="D3684" s="1" t="s">
        <v>37</v>
      </c>
      <c r="E3684" s="1" t="s">
        <v>9297</v>
      </c>
      <c r="F3684" s="72">
        <v>41799</v>
      </c>
      <c r="G3684" s="1" t="s">
        <v>9298</v>
      </c>
      <c r="H3684" s="1" t="s">
        <v>9299</v>
      </c>
      <c r="I3684" s="1" t="s">
        <v>195</v>
      </c>
      <c r="J3684" s="4" t="s">
        <v>9300</v>
      </c>
      <c r="K3684" s="1" t="s">
        <v>9301</v>
      </c>
      <c r="L3684" s="1" t="s">
        <v>9302</v>
      </c>
      <c r="M3684" s="1" t="s">
        <v>27</v>
      </c>
      <c r="N3684" s="1" t="s">
        <v>9303</v>
      </c>
      <c r="O3684" s="1" t="s">
        <v>4684</v>
      </c>
      <c r="P3684" s="1" t="s">
        <v>401</v>
      </c>
      <c r="Q3684" s="63" t="s">
        <v>9304</v>
      </c>
      <c r="R3684" s="1" t="s">
        <v>100</v>
      </c>
      <c r="S3684" s="13" t="s">
        <v>18</v>
      </c>
      <c r="BC3684" s="70"/>
      <c r="BD3684" s="70"/>
      <c r="BE3684" s="70"/>
      <c r="BF3684" s="70"/>
      <c r="BG3684" s="70"/>
      <c r="BH3684" s="70"/>
      <c r="BI3684" s="70"/>
      <c r="BJ3684" s="70"/>
    </row>
    <row r="3685" spans="1:62" ht="12" customHeight="1" x14ac:dyDescent="0.2">
      <c r="A3685" s="1" t="s">
        <v>9287</v>
      </c>
      <c r="B3685" s="1">
        <v>48</v>
      </c>
      <c r="C3685" s="1" t="s">
        <v>20</v>
      </c>
      <c r="D3685" s="1" t="s">
        <v>37</v>
      </c>
      <c r="E3685" s="1" t="s">
        <v>9288</v>
      </c>
      <c r="F3685" s="72">
        <v>41799</v>
      </c>
      <c r="G3685" s="1" t="s">
        <v>9289</v>
      </c>
      <c r="H3685" s="1" t="s">
        <v>9290</v>
      </c>
      <c r="I3685" s="1" t="s">
        <v>463</v>
      </c>
      <c r="J3685" s="4" t="s">
        <v>9291</v>
      </c>
      <c r="K3685" s="1" t="s">
        <v>9292</v>
      </c>
      <c r="L3685" s="1" t="s">
        <v>9293</v>
      </c>
      <c r="M3685" s="1" t="s">
        <v>27</v>
      </c>
      <c r="N3685" s="1" t="s">
        <v>9294</v>
      </c>
      <c r="O3685" s="1" t="s">
        <v>29</v>
      </c>
      <c r="P3685" s="1" t="s">
        <v>401</v>
      </c>
      <c r="Q3685" s="63" t="s">
        <v>9295</v>
      </c>
      <c r="R3685" s="1" t="s">
        <v>29</v>
      </c>
      <c r="S3685" s="13" t="s">
        <v>379</v>
      </c>
      <c r="BA3685" s="70"/>
      <c r="BB3685" s="70"/>
      <c r="BC3685" s="70"/>
      <c r="BD3685" s="70"/>
      <c r="BE3685" s="70"/>
      <c r="BF3685" s="70"/>
      <c r="BG3685" s="70"/>
      <c r="BH3685" s="70"/>
      <c r="BI3685" s="70"/>
      <c r="BJ3685" s="70"/>
    </row>
    <row r="3686" spans="1:62" ht="12" customHeight="1" x14ac:dyDescent="0.2">
      <c r="A3686" s="1" t="s">
        <v>9320</v>
      </c>
      <c r="B3686" s="1">
        <v>31</v>
      </c>
      <c r="C3686" s="1" t="s">
        <v>20</v>
      </c>
      <c r="D3686" s="1" t="s">
        <v>37</v>
      </c>
      <c r="E3686" s="1" t="s">
        <v>9321</v>
      </c>
      <c r="F3686" s="72">
        <v>41798</v>
      </c>
      <c r="G3686" s="1" t="s">
        <v>9322</v>
      </c>
      <c r="H3686" s="1" t="s">
        <v>655</v>
      </c>
      <c r="I3686" s="1" t="s">
        <v>269</v>
      </c>
      <c r="J3686" s="4" t="s">
        <v>9323</v>
      </c>
      <c r="K3686" s="1" t="s">
        <v>570</v>
      </c>
      <c r="L3686" s="1" t="s">
        <v>571</v>
      </c>
      <c r="M3686" s="1" t="s">
        <v>27</v>
      </c>
      <c r="N3686" s="1" t="s">
        <v>9324</v>
      </c>
      <c r="O3686" s="1" t="s">
        <v>550</v>
      </c>
      <c r="P3686" s="1" t="s">
        <v>401</v>
      </c>
      <c r="Q3686" s="6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3686" s="1" t="s">
        <v>100</v>
      </c>
      <c r="S3686" s="13" t="s">
        <v>28</v>
      </c>
      <c r="BC3686" s="70"/>
      <c r="BD3686" s="70"/>
      <c r="BE3686" s="70"/>
      <c r="BF3686" s="70"/>
      <c r="BG3686" s="70"/>
      <c r="BH3686" s="70"/>
      <c r="BI3686" s="70"/>
      <c r="BJ3686" s="70"/>
    </row>
    <row r="3687" spans="1:62" ht="12" customHeight="1" x14ac:dyDescent="0.15">
      <c r="A3687" s="1" t="s">
        <v>9305</v>
      </c>
      <c r="B3687" s="1">
        <v>29</v>
      </c>
      <c r="C3687" s="1" t="s">
        <v>20</v>
      </c>
      <c r="D3687" s="1" t="s">
        <v>85</v>
      </c>
      <c r="E3687" s="1" t="s">
        <v>9306</v>
      </c>
      <c r="F3687" s="72">
        <v>41798</v>
      </c>
      <c r="G3687" s="1" t="s">
        <v>9307</v>
      </c>
      <c r="H3687" s="1" t="s">
        <v>9308</v>
      </c>
      <c r="I3687" s="1" t="s">
        <v>669</v>
      </c>
      <c r="J3687" s="4" t="s">
        <v>9309</v>
      </c>
      <c r="K3687" s="1" t="s">
        <v>433</v>
      </c>
      <c r="L3687" s="1" t="s">
        <v>9310</v>
      </c>
      <c r="M3687" s="1" t="s">
        <v>27</v>
      </c>
      <c r="N3687" s="1" t="s">
        <v>9311</v>
      </c>
      <c r="O3687" s="1" t="s">
        <v>1010</v>
      </c>
      <c r="P3687" s="1" t="s">
        <v>401</v>
      </c>
      <c r="Q3687" s="63" t="s">
        <v>9312</v>
      </c>
      <c r="R3687" s="1" t="s">
        <v>29</v>
      </c>
      <c r="S3687" s="13" t="s">
        <v>18</v>
      </c>
      <c r="AX3687" s="11"/>
      <c r="AY3687" s="11"/>
      <c r="BC3687" s="11"/>
      <c r="BD3687" s="11"/>
      <c r="BE3687" s="11"/>
      <c r="BF3687" s="11"/>
      <c r="BG3687" s="11"/>
      <c r="BH3687" s="11"/>
      <c r="BI3687" s="11"/>
      <c r="BJ3687" s="11"/>
    </row>
    <row r="3688" spans="1:62" ht="12" customHeight="1" x14ac:dyDescent="0.15">
      <c r="A3688" s="1" t="s">
        <v>9313</v>
      </c>
      <c r="B3688" s="1">
        <v>16</v>
      </c>
      <c r="C3688" s="1" t="s">
        <v>20</v>
      </c>
      <c r="D3688" s="1" t="s">
        <v>48</v>
      </c>
      <c r="E3688" s="1" t="s">
        <v>9314</v>
      </c>
      <c r="F3688" s="72">
        <v>41798</v>
      </c>
      <c r="G3688" s="1" t="s">
        <v>9315</v>
      </c>
      <c r="H3688" s="1" t="s">
        <v>6504</v>
      </c>
      <c r="I3688" s="1" t="s">
        <v>195</v>
      </c>
      <c r="J3688" s="4" t="s">
        <v>9316</v>
      </c>
      <c r="K3688" s="1" t="s">
        <v>6506</v>
      </c>
      <c r="L3688" s="1" t="s">
        <v>9317</v>
      </c>
      <c r="M3688" s="1" t="s">
        <v>27</v>
      </c>
      <c r="N3688" s="1" t="s">
        <v>9318</v>
      </c>
      <c r="O3688" s="1" t="s">
        <v>550</v>
      </c>
      <c r="P3688" s="1" t="s">
        <v>401</v>
      </c>
      <c r="Q3688" s="63" t="s">
        <v>9319</v>
      </c>
      <c r="R3688" s="1" t="s">
        <v>555</v>
      </c>
      <c r="S3688" s="13" t="s">
        <v>18</v>
      </c>
      <c r="BA3688" s="11"/>
      <c r="BB3688" s="11"/>
    </row>
    <row r="3689" spans="1:62" ht="12" customHeight="1" x14ac:dyDescent="0.2">
      <c r="A3689" s="1" t="s">
        <v>9336</v>
      </c>
      <c r="B3689" s="1">
        <v>34</v>
      </c>
      <c r="C3689" s="1" t="s">
        <v>20</v>
      </c>
      <c r="D3689" s="1" t="s">
        <v>37</v>
      </c>
      <c r="F3689" s="72">
        <v>41797</v>
      </c>
      <c r="G3689" s="1" t="s">
        <v>9337</v>
      </c>
      <c r="H3689" s="1" t="s">
        <v>806</v>
      </c>
      <c r="I3689" s="1" t="s">
        <v>123</v>
      </c>
      <c r="J3689" s="4" t="s">
        <v>9338</v>
      </c>
      <c r="K3689" s="1" t="s">
        <v>633</v>
      </c>
      <c r="L3689" s="1" t="s">
        <v>807</v>
      </c>
      <c r="M3689" s="1" t="s">
        <v>391</v>
      </c>
      <c r="N3689" s="1" t="s">
        <v>9339</v>
      </c>
      <c r="O3689" s="1" t="s">
        <v>1010</v>
      </c>
      <c r="P3689" s="1" t="s">
        <v>401</v>
      </c>
      <c r="Q3689" s="63" t="s">
        <v>9340</v>
      </c>
      <c r="R3689" s="11" t="s">
        <v>964</v>
      </c>
      <c r="S3689" s="13" t="s">
        <v>18</v>
      </c>
      <c r="AU3689" s="11"/>
      <c r="AV3689" s="11"/>
      <c r="AW3689" s="11"/>
      <c r="BC3689" s="70"/>
      <c r="BD3689" s="70"/>
      <c r="BE3689" s="70"/>
      <c r="BF3689" s="70"/>
      <c r="BG3689" s="70"/>
      <c r="BH3689" s="70"/>
      <c r="BI3689" s="70"/>
      <c r="BJ3689" s="70"/>
    </row>
    <row r="3690" spans="1:62" ht="12" customHeight="1" x14ac:dyDescent="0.15">
      <c r="A3690" s="1" t="s">
        <v>9325</v>
      </c>
      <c r="B3690" s="1">
        <v>31</v>
      </c>
      <c r="C3690" s="1" t="s">
        <v>20</v>
      </c>
      <c r="D3690" s="1" t="s">
        <v>85</v>
      </c>
      <c r="E3690" s="1" t="s">
        <v>9326</v>
      </c>
      <c r="F3690" s="72">
        <v>41797</v>
      </c>
      <c r="G3690" s="1" t="s">
        <v>9327</v>
      </c>
      <c r="H3690" s="1" t="s">
        <v>9328</v>
      </c>
      <c r="I3690" s="1" t="s">
        <v>319</v>
      </c>
      <c r="J3690" s="4" t="s">
        <v>9329</v>
      </c>
      <c r="K3690" s="1" t="s">
        <v>2681</v>
      </c>
      <c r="L3690" s="1" t="s">
        <v>7834</v>
      </c>
      <c r="M3690" s="1" t="s">
        <v>27</v>
      </c>
      <c r="N3690" s="1" t="s">
        <v>9330</v>
      </c>
      <c r="O3690" s="1" t="s">
        <v>1010</v>
      </c>
      <c r="P3690" s="1" t="s">
        <v>401</v>
      </c>
      <c r="Q3690" s="63" t="str">
        <f>HYPERLINK("http://www.local8now.com/home/headlines/KPD-officer-shot-in-East-KNoxville-262228291.html","http://www.local8now.com/home/headlines/KPD-officer-shot-in-East-KNoxville-262228291.html")</f>
        <v>http://www.local8now.com/home/headlines/KPD-officer-shot-in-East-KNoxville-262228291.html</v>
      </c>
      <c r="R3690" s="1" t="s">
        <v>100</v>
      </c>
      <c r="S3690" s="13" t="s">
        <v>28</v>
      </c>
      <c r="AX3690" s="11"/>
      <c r="AY3690" s="11"/>
      <c r="BC3690" s="11"/>
      <c r="BD3690" s="11"/>
      <c r="BE3690" s="11"/>
      <c r="BF3690" s="11"/>
      <c r="BG3690" s="11"/>
      <c r="BH3690" s="11"/>
      <c r="BI3690" s="11"/>
      <c r="BJ3690" s="11"/>
    </row>
    <row r="3691" spans="1:62" ht="12" customHeight="1" x14ac:dyDescent="0.15">
      <c r="A3691" s="1" t="s">
        <v>9331</v>
      </c>
      <c r="B3691" s="1">
        <v>38</v>
      </c>
      <c r="C3691" s="1" t="s">
        <v>114</v>
      </c>
      <c r="D3691" s="1" t="s">
        <v>30</v>
      </c>
      <c r="F3691" s="72">
        <v>41797</v>
      </c>
      <c r="G3691" s="1" t="s">
        <v>9332</v>
      </c>
      <c r="H3691" s="1" t="s">
        <v>9333</v>
      </c>
      <c r="I3691" s="1" t="s">
        <v>52</v>
      </c>
      <c r="J3691" s="4">
        <v>21061</v>
      </c>
      <c r="K3691" s="1" t="s">
        <v>3182</v>
      </c>
      <c r="L3691" s="1" t="s">
        <v>9334</v>
      </c>
      <c r="M3691" s="1" t="s">
        <v>27</v>
      </c>
      <c r="N3691" s="1" t="s">
        <v>9335</v>
      </c>
      <c r="P3691" s="1" t="s">
        <v>401</v>
      </c>
      <c r="Q3691" s="6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3691" s="1" t="s">
        <v>29</v>
      </c>
      <c r="S3691" s="13" t="s">
        <v>18</v>
      </c>
    </row>
    <row r="3692" spans="1:62" ht="12" customHeight="1" x14ac:dyDescent="0.2">
      <c r="A3692" s="1" t="s">
        <v>9358</v>
      </c>
      <c r="B3692" s="1">
        <v>48</v>
      </c>
      <c r="C3692" s="1" t="s">
        <v>20</v>
      </c>
      <c r="D3692" s="1" t="s">
        <v>37</v>
      </c>
      <c r="E3692" s="1" t="s">
        <v>9359</v>
      </c>
      <c r="F3692" s="72">
        <v>41796</v>
      </c>
      <c r="G3692" s="1" t="s">
        <v>9360</v>
      </c>
      <c r="H3692" s="1" t="s">
        <v>9361</v>
      </c>
      <c r="I3692" s="1" t="s">
        <v>173</v>
      </c>
      <c r="J3692" s="4" t="s">
        <v>9362</v>
      </c>
      <c r="K3692" s="1" t="s">
        <v>9363</v>
      </c>
      <c r="L3692" s="1" t="s">
        <v>9364</v>
      </c>
      <c r="M3692" s="1" t="s">
        <v>27</v>
      </c>
      <c r="N3692" s="1" t="s">
        <v>9365</v>
      </c>
      <c r="O3692" s="1" t="s">
        <v>550</v>
      </c>
      <c r="P3692" s="1" t="s">
        <v>401</v>
      </c>
      <c r="Q3692" s="63" t="s">
        <v>9366</v>
      </c>
      <c r="R3692" s="1" t="s">
        <v>100</v>
      </c>
      <c r="S3692" s="13" t="s">
        <v>28</v>
      </c>
      <c r="BC3692" s="70"/>
      <c r="BD3692" s="70"/>
      <c r="BE3692" s="70"/>
      <c r="BF3692" s="70"/>
      <c r="BG3692" s="70"/>
      <c r="BH3692" s="70"/>
      <c r="BI3692" s="70"/>
      <c r="BJ3692" s="70"/>
    </row>
    <row r="3693" spans="1:62" ht="12" customHeight="1" x14ac:dyDescent="0.2">
      <c r="A3693" s="1" t="s">
        <v>9367</v>
      </c>
      <c r="B3693" s="1" t="s">
        <v>9368</v>
      </c>
      <c r="C3693" s="1" t="s">
        <v>20</v>
      </c>
      <c r="D3693" s="1" t="s">
        <v>37</v>
      </c>
      <c r="E3693" s="1" t="s">
        <v>9369</v>
      </c>
      <c r="F3693" s="72">
        <v>41796</v>
      </c>
      <c r="G3693" s="1" t="s">
        <v>9370</v>
      </c>
      <c r="H3693" s="1" t="s">
        <v>9371</v>
      </c>
      <c r="I3693" s="1" t="s">
        <v>790</v>
      </c>
      <c r="J3693" s="4" t="s">
        <v>9372</v>
      </c>
      <c r="K3693" s="1" t="s">
        <v>9373</v>
      </c>
      <c r="L3693" s="1" t="s">
        <v>9374</v>
      </c>
      <c r="M3693" s="1" t="s">
        <v>27</v>
      </c>
      <c r="N3693" s="1" t="s">
        <v>9375</v>
      </c>
      <c r="O3693" s="1" t="s">
        <v>29</v>
      </c>
      <c r="P3693" s="1" t="s">
        <v>401</v>
      </c>
      <c r="Q3693" s="63" t="s">
        <v>9376</v>
      </c>
      <c r="R3693" s="1" t="s">
        <v>100</v>
      </c>
      <c r="S3693" s="13" t="s">
        <v>28</v>
      </c>
      <c r="BC3693" s="70"/>
      <c r="BD3693" s="70"/>
      <c r="BE3693" s="70"/>
      <c r="BF3693" s="70"/>
      <c r="BG3693" s="70"/>
      <c r="BH3693" s="70"/>
      <c r="BI3693" s="70"/>
      <c r="BJ3693" s="70"/>
    </row>
    <row r="3694" spans="1:62" ht="12" customHeight="1" x14ac:dyDescent="0.2">
      <c r="A3694" s="1" t="s">
        <v>9346</v>
      </c>
      <c r="B3694" s="1">
        <v>25</v>
      </c>
      <c r="C3694" s="1" t="s">
        <v>20</v>
      </c>
      <c r="D3694" s="1" t="s">
        <v>37</v>
      </c>
      <c r="E3694" s="1" t="s">
        <v>9347</v>
      </c>
      <c r="F3694" s="72">
        <v>41796</v>
      </c>
      <c r="G3694" s="1" t="s">
        <v>9348</v>
      </c>
      <c r="H3694" s="1" t="s">
        <v>5515</v>
      </c>
      <c r="I3694" s="1" t="s">
        <v>404</v>
      </c>
      <c r="J3694" s="4" t="s">
        <v>9349</v>
      </c>
      <c r="K3694" s="1" t="s">
        <v>5515</v>
      </c>
      <c r="L3694" s="1" t="s">
        <v>9350</v>
      </c>
      <c r="M3694" s="1" t="s">
        <v>27</v>
      </c>
      <c r="N3694" s="1" t="s">
        <v>9351</v>
      </c>
      <c r="O3694" s="1" t="s">
        <v>550</v>
      </c>
      <c r="P3694" s="1" t="s">
        <v>401</v>
      </c>
      <c r="Q3694" s="63" t="s">
        <v>9352</v>
      </c>
      <c r="R3694" s="1" t="s">
        <v>29</v>
      </c>
      <c r="S3694" s="13" t="s">
        <v>18</v>
      </c>
      <c r="BA3694" s="70"/>
      <c r="BB3694" s="70"/>
      <c r="BC3694" s="70"/>
      <c r="BD3694" s="70"/>
      <c r="BE3694" s="70"/>
      <c r="BF3694" s="70"/>
      <c r="BG3694" s="70"/>
      <c r="BH3694" s="70"/>
      <c r="BI3694" s="70"/>
      <c r="BJ3694" s="70"/>
    </row>
    <row r="3695" spans="1:62" ht="12" customHeight="1" x14ac:dyDescent="0.15">
      <c r="A3695" s="1" t="s">
        <v>9341</v>
      </c>
      <c r="B3695" s="1">
        <v>35</v>
      </c>
      <c r="C3695" s="1" t="s">
        <v>20</v>
      </c>
      <c r="D3695" s="1" t="s">
        <v>85</v>
      </c>
      <c r="E3695" s="1" t="s">
        <v>9342</v>
      </c>
      <c r="F3695" s="72">
        <v>41796</v>
      </c>
      <c r="G3695" s="1" t="s">
        <v>24472</v>
      </c>
      <c r="H3695" s="1" t="s">
        <v>3317</v>
      </c>
      <c r="I3695" s="1" t="s">
        <v>244</v>
      </c>
      <c r="J3695" s="4" t="s">
        <v>9343</v>
      </c>
      <c r="K3695" s="1" t="s">
        <v>3317</v>
      </c>
      <c r="L3695" s="1" t="s">
        <v>5050</v>
      </c>
      <c r="M3695" s="1" t="s">
        <v>27</v>
      </c>
      <c r="N3695" s="1" t="s">
        <v>9344</v>
      </c>
      <c r="O3695" s="1" t="s">
        <v>29640</v>
      </c>
      <c r="P3695" s="1" t="s">
        <v>20489</v>
      </c>
      <c r="Q3695" s="63" t="s">
        <v>9345</v>
      </c>
      <c r="R3695" s="1" t="s">
        <v>555</v>
      </c>
      <c r="S3695" s="13" t="s">
        <v>28</v>
      </c>
      <c r="AX3695" s="11"/>
      <c r="AY3695" s="11"/>
      <c r="BC3695" s="11"/>
      <c r="BD3695" s="11"/>
      <c r="BE3695" s="11"/>
      <c r="BF3695" s="11"/>
      <c r="BG3695" s="11"/>
      <c r="BH3695" s="11"/>
      <c r="BI3695" s="11"/>
      <c r="BJ3695" s="11"/>
    </row>
    <row r="3696" spans="1:62" ht="12" customHeight="1" x14ac:dyDescent="0.2">
      <c r="A3696" s="1" t="s">
        <v>9353</v>
      </c>
      <c r="B3696" s="1">
        <v>50</v>
      </c>
      <c r="C3696" s="1" t="s">
        <v>20</v>
      </c>
      <c r="D3696" s="1" t="s">
        <v>37</v>
      </c>
      <c r="F3696" s="72">
        <v>41796</v>
      </c>
      <c r="G3696" s="1" t="s">
        <v>9354</v>
      </c>
      <c r="H3696" s="1" t="s">
        <v>3823</v>
      </c>
      <c r="I3696" s="1" t="s">
        <v>209</v>
      </c>
      <c r="J3696" s="4" t="s">
        <v>9355</v>
      </c>
      <c r="K3696" s="1" t="s">
        <v>3825</v>
      </c>
      <c r="L3696" s="1" t="s">
        <v>3826</v>
      </c>
      <c r="M3696" s="1" t="s">
        <v>27</v>
      </c>
      <c r="N3696" s="1" t="s">
        <v>9356</v>
      </c>
      <c r="O3696" s="1" t="s">
        <v>400</v>
      </c>
      <c r="P3696" s="1" t="s">
        <v>401</v>
      </c>
      <c r="Q3696" s="63" t="s">
        <v>9357</v>
      </c>
      <c r="R3696" s="1" t="s">
        <v>555</v>
      </c>
      <c r="S3696" s="13" t="s">
        <v>28</v>
      </c>
      <c r="BA3696" s="44"/>
      <c r="BB3696" s="44"/>
      <c r="BC3696" s="70"/>
      <c r="BD3696" s="70"/>
      <c r="BE3696" s="70"/>
      <c r="BF3696" s="70"/>
      <c r="BG3696" s="70"/>
      <c r="BH3696" s="70"/>
      <c r="BI3696" s="70"/>
      <c r="BJ3696" s="70"/>
    </row>
    <row r="3697" spans="1:62" ht="12" customHeight="1" x14ac:dyDescent="0.15">
      <c r="A3697" s="1" t="s">
        <v>9377</v>
      </c>
      <c r="B3697" s="1">
        <v>26</v>
      </c>
      <c r="C3697" s="1" t="s">
        <v>20</v>
      </c>
      <c r="D3697" s="1" t="s">
        <v>85</v>
      </c>
      <c r="E3697" s="1" t="s">
        <v>9378</v>
      </c>
      <c r="F3697" s="72">
        <v>41795</v>
      </c>
      <c r="G3697" s="1" t="s">
        <v>9379</v>
      </c>
      <c r="H3697" s="1" t="s">
        <v>4717</v>
      </c>
      <c r="I3697" s="1" t="s">
        <v>62</v>
      </c>
      <c r="J3697" s="4" t="s">
        <v>4718</v>
      </c>
      <c r="K3697" s="1" t="s">
        <v>1123</v>
      </c>
      <c r="L3697" s="1" t="s">
        <v>4384</v>
      </c>
      <c r="M3697" s="1" t="s">
        <v>27</v>
      </c>
      <c r="N3697" s="1" t="s">
        <v>9380</v>
      </c>
      <c r="O3697" s="1" t="s">
        <v>400</v>
      </c>
      <c r="P3697" s="1" t="s">
        <v>401</v>
      </c>
      <c r="Q3697" s="63" t="s">
        <v>9381</v>
      </c>
      <c r="R3697" s="1" t="s">
        <v>100</v>
      </c>
      <c r="S3697" s="13" t="s">
        <v>28</v>
      </c>
      <c r="AX3697" s="11"/>
      <c r="AY3697" s="11"/>
      <c r="BC3697" s="11"/>
      <c r="BD3697" s="11"/>
      <c r="BE3697" s="11"/>
      <c r="BF3697" s="11"/>
      <c r="BG3697" s="11"/>
      <c r="BH3697" s="11"/>
      <c r="BI3697" s="11"/>
      <c r="BJ3697" s="11"/>
    </row>
    <row r="3698" spans="1:62" ht="12" customHeight="1" x14ac:dyDescent="0.2">
      <c r="A3698" s="1" t="s">
        <v>9382</v>
      </c>
      <c r="B3698" s="1">
        <v>53</v>
      </c>
      <c r="C3698" s="1" t="s">
        <v>20</v>
      </c>
      <c r="D3698" s="1" t="s">
        <v>37</v>
      </c>
      <c r="E3698" s="1" t="s">
        <v>9383</v>
      </c>
      <c r="F3698" s="72">
        <v>41795</v>
      </c>
      <c r="G3698" s="1" t="s">
        <v>9384</v>
      </c>
      <c r="H3698" s="1" t="s">
        <v>771</v>
      </c>
      <c r="I3698" s="1" t="s">
        <v>45</v>
      </c>
      <c r="J3698" s="4" t="s">
        <v>9385</v>
      </c>
      <c r="K3698" s="1" t="s">
        <v>607</v>
      </c>
      <c r="L3698" s="1" t="s">
        <v>772</v>
      </c>
      <c r="M3698" s="1" t="s">
        <v>27</v>
      </c>
      <c r="N3698" s="1" t="s">
        <v>9386</v>
      </c>
      <c r="O3698" s="1" t="s">
        <v>1010</v>
      </c>
      <c r="P3698" s="1" t="s">
        <v>401</v>
      </c>
      <c r="Q3698" s="63" t="s">
        <v>9387</v>
      </c>
      <c r="R3698" s="1" t="s">
        <v>100</v>
      </c>
      <c r="S3698" s="13" t="s">
        <v>18</v>
      </c>
      <c r="BC3698" s="70"/>
      <c r="BD3698" s="70"/>
      <c r="BE3698" s="70"/>
      <c r="BF3698" s="70"/>
      <c r="BG3698" s="70"/>
      <c r="BH3698" s="70"/>
      <c r="BI3698" s="70"/>
      <c r="BJ3698" s="70"/>
    </row>
    <row r="3699" spans="1:62" ht="12" customHeight="1" x14ac:dyDescent="0.15">
      <c r="A3699" s="1" t="s">
        <v>9398</v>
      </c>
      <c r="B3699" s="1" t="s">
        <v>9368</v>
      </c>
      <c r="C3699" s="1" t="s">
        <v>20</v>
      </c>
      <c r="D3699" s="1" t="s">
        <v>85</v>
      </c>
      <c r="E3699" s="1" t="s">
        <v>9399</v>
      </c>
      <c r="F3699" s="72">
        <v>41794</v>
      </c>
      <c r="G3699" s="1" t="s">
        <v>9400</v>
      </c>
      <c r="H3699" s="1" t="s">
        <v>651</v>
      </c>
      <c r="I3699" s="1" t="s">
        <v>62</v>
      </c>
      <c r="J3699" s="4" t="s">
        <v>5810</v>
      </c>
      <c r="K3699" s="1" t="s">
        <v>652</v>
      </c>
      <c r="L3699" s="11" t="s">
        <v>653</v>
      </c>
      <c r="M3699" s="1" t="s">
        <v>27</v>
      </c>
      <c r="N3699" s="1" t="s">
        <v>9401</v>
      </c>
      <c r="O3699" s="1" t="s">
        <v>550</v>
      </c>
      <c r="P3699" s="1" t="s">
        <v>401</v>
      </c>
      <c r="Q3699" s="6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3699" s="1" t="s">
        <v>100</v>
      </c>
      <c r="S3699" s="13" t="s">
        <v>28</v>
      </c>
      <c r="AX3699" s="11"/>
      <c r="AY3699" s="11"/>
      <c r="BC3699" s="11"/>
      <c r="BD3699" s="11"/>
      <c r="BE3699" s="11"/>
      <c r="BF3699" s="11"/>
      <c r="BG3699" s="11"/>
      <c r="BH3699" s="11"/>
      <c r="BI3699" s="11"/>
      <c r="BJ3699" s="11"/>
    </row>
    <row r="3700" spans="1:62" ht="12" customHeight="1" x14ac:dyDescent="0.15">
      <c r="A3700" s="1" t="s">
        <v>9388</v>
      </c>
      <c r="B3700" s="1">
        <v>22</v>
      </c>
      <c r="C3700" s="1" t="s">
        <v>20</v>
      </c>
      <c r="D3700" s="1" t="s">
        <v>85</v>
      </c>
      <c r="E3700" s="1" t="s">
        <v>9389</v>
      </c>
      <c r="F3700" s="72">
        <v>41794</v>
      </c>
      <c r="G3700" s="1" t="s">
        <v>9390</v>
      </c>
      <c r="H3700" s="1" t="s">
        <v>8800</v>
      </c>
      <c r="I3700" s="1" t="s">
        <v>57</v>
      </c>
      <c r="J3700" s="4" t="s">
        <v>9391</v>
      </c>
      <c r="K3700" s="1" t="s">
        <v>8509</v>
      </c>
      <c r="L3700" s="1" t="s">
        <v>3953</v>
      </c>
      <c r="M3700" s="1" t="s">
        <v>27</v>
      </c>
      <c r="N3700" s="1" t="s">
        <v>9392</v>
      </c>
      <c r="O3700" s="1" t="s">
        <v>550</v>
      </c>
      <c r="P3700" s="1" t="s">
        <v>401</v>
      </c>
      <c r="Q3700" s="63" t="str">
        <f>HYPERLINK("http://www.mlive.com/news/flint/index.ssf/2013/10/prosecutor_says_michigan_state.html","http://www.mlive.com/news/flint/index.ssf/2013/10/prosecutor_says_michigan_state.html")</f>
        <v>http://www.mlive.com/news/flint/index.ssf/2013/10/prosecutor_says_michigan_state.html</v>
      </c>
      <c r="R3700" s="1" t="s">
        <v>100</v>
      </c>
      <c r="S3700" s="13" t="s">
        <v>28</v>
      </c>
      <c r="AX3700" s="11"/>
      <c r="AY3700" s="11"/>
      <c r="BC3700" s="11"/>
      <c r="BD3700" s="11"/>
      <c r="BE3700" s="11"/>
      <c r="BF3700" s="11"/>
      <c r="BG3700" s="11"/>
      <c r="BH3700" s="11"/>
      <c r="BI3700" s="11"/>
      <c r="BJ3700" s="11"/>
    </row>
    <row r="3701" spans="1:62" ht="12" customHeight="1" x14ac:dyDescent="0.2">
      <c r="A3701" s="1" t="s">
        <v>9402</v>
      </c>
      <c r="B3701" s="1">
        <v>35</v>
      </c>
      <c r="C3701" s="1" t="s">
        <v>20</v>
      </c>
      <c r="D3701" s="1" t="s">
        <v>37</v>
      </c>
      <c r="E3701" s="1" t="s">
        <v>9403</v>
      </c>
      <c r="F3701" s="72">
        <v>41794</v>
      </c>
      <c r="G3701" s="1" t="s">
        <v>9404</v>
      </c>
      <c r="H3701" s="1" t="s">
        <v>9405</v>
      </c>
      <c r="I3701" s="1" t="s">
        <v>240</v>
      </c>
      <c r="J3701" s="4" t="s">
        <v>7326</v>
      </c>
      <c r="K3701" s="1" t="s">
        <v>1447</v>
      </c>
      <c r="L3701" s="1" t="s">
        <v>9406</v>
      </c>
      <c r="M3701" s="1" t="s">
        <v>27</v>
      </c>
      <c r="N3701" s="1" t="s">
        <v>9407</v>
      </c>
      <c r="O3701" s="1" t="s">
        <v>400</v>
      </c>
      <c r="P3701" s="1" t="s">
        <v>401</v>
      </c>
      <c r="Q3701" s="63" t="s">
        <v>5260</v>
      </c>
      <c r="R3701" s="1" t="s">
        <v>100</v>
      </c>
      <c r="S3701" s="13" t="s">
        <v>28</v>
      </c>
      <c r="BC3701" s="70"/>
      <c r="BD3701" s="70"/>
      <c r="BE3701" s="70"/>
      <c r="BF3701" s="70"/>
      <c r="BG3701" s="70"/>
      <c r="BH3701" s="70"/>
      <c r="BI3701" s="70"/>
      <c r="BJ3701" s="70"/>
    </row>
    <row r="3702" spans="1:62" ht="12" customHeight="1" x14ac:dyDescent="0.2">
      <c r="A3702" s="1" t="s">
        <v>9413</v>
      </c>
      <c r="B3702" s="1">
        <v>56</v>
      </c>
      <c r="C3702" s="1" t="s">
        <v>20</v>
      </c>
      <c r="D3702" s="1" t="s">
        <v>37</v>
      </c>
      <c r="F3702" s="72">
        <v>41794</v>
      </c>
      <c r="G3702" s="1" t="s">
        <v>9414</v>
      </c>
      <c r="H3702" s="1" t="s">
        <v>9415</v>
      </c>
      <c r="I3702" s="1" t="s">
        <v>363</v>
      </c>
      <c r="J3702" s="4" t="s">
        <v>9416</v>
      </c>
      <c r="K3702" s="1" t="s">
        <v>9415</v>
      </c>
      <c r="L3702" s="1" t="s">
        <v>9417</v>
      </c>
      <c r="M3702" s="1" t="s">
        <v>27</v>
      </c>
      <c r="N3702" s="1" t="s">
        <v>20999</v>
      </c>
      <c r="O3702" s="1" t="s">
        <v>1010</v>
      </c>
      <c r="P3702" s="1" t="s">
        <v>401</v>
      </c>
      <c r="Q3702" s="63" t="s">
        <v>20998</v>
      </c>
      <c r="R3702" s="1" t="s">
        <v>29</v>
      </c>
      <c r="S3702" s="13" t="s">
        <v>18</v>
      </c>
      <c r="BA3702" s="70"/>
      <c r="BB3702" s="70"/>
      <c r="BC3702" s="70"/>
      <c r="BD3702" s="70"/>
      <c r="BE3702" s="70"/>
      <c r="BF3702" s="70"/>
      <c r="BG3702" s="70"/>
      <c r="BH3702" s="70"/>
      <c r="BI3702" s="70"/>
      <c r="BJ3702" s="70"/>
    </row>
    <row r="3703" spans="1:62" ht="12" customHeight="1" x14ac:dyDescent="0.15">
      <c r="A3703" s="1" t="s">
        <v>9393</v>
      </c>
      <c r="B3703" s="1">
        <v>72</v>
      </c>
      <c r="C3703" s="1" t="s">
        <v>20</v>
      </c>
      <c r="D3703" s="1" t="s">
        <v>85</v>
      </c>
      <c r="F3703" s="72">
        <v>41794</v>
      </c>
      <c r="G3703" s="1" t="s">
        <v>9394</v>
      </c>
      <c r="H3703" s="1" t="s">
        <v>3317</v>
      </c>
      <c r="I3703" s="1" t="s">
        <v>244</v>
      </c>
      <c r="J3703" s="4" t="s">
        <v>9395</v>
      </c>
      <c r="K3703" s="1" t="s">
        <v>3317</v>
      </c>
      <c r="L3703" s="1" t="s">
        <v>5050</v>
      </c>
      <c r="M3703" s="1" t="s">
        <v>27</v>
      </c>
      <c r="N3703" s="1" t="s">
        <v>9396</v>
      </c>
      <c r="O3703" s="1" t="s">
        <v>550</v>
      </c>
      <c r="P3703" s="1" t="s">
        <v>401</v>
      </c>
      <c r="Q3703" s="63" t="s">
        <v>9397</v>
      </c>
      <c r="R3703" s="1" t="s">
        <v>555</v>
      </c>
      <c r="S3703" s="13" t="s">
        <v>28</v>
      </c>
      <c r="AX3703" s="11"/>
      <c r="AY3703" s="11"/>
      <c r="BC3703" s="11"/>
      <c r="BD3703" s="11"/>
      <c r="BE3703" s="11"/>
      <c r="BF3703" s="11"/>
      <c r="BG3703" s="11"/>
      <c r="BH3703" s="11"/>
      <c r="BI3703" s="11"/>
      <c r="BJ3703" s="11"/>
    </row>
    <row r="3704" spans="1:62" ht="12" customHeight="1" x14ac:dyDescent="0.2">
      <c r="A3704" s="1" t="s">
        <v>9408</v>
      </c>
      <c r="B3704" s="1">
        <v>35</v>
      </c>
      <c r="C3704" s="1" t="s">
        <v>20</v>
      </c>
      <c r="D3704" s="1" t="s">
        <v>37</v>
      </c>
      <c r="E3704" s="1" t="s">
        <v>9409</v>
      </c>
      <c r="F3704" s="72">
        <v>41794</v>
      </c>
      <c r="G3704" s="1" t="s">
        <v>9410</v>
      </c>
      <c r="H3704" s="1" t="s">
        <v>142</v>
      </c>
      <c r="I3704" s="1" t="s">
        <v>143</v>
      </c>
      <c r="J3704" s="4" t="s">
        <v>9411</v>
      </c>
      <c r="K3704" s="1" t="s">
        <v>144</v>
      </c>
      <c r="L3704" s="1" t="s">
        <v>145</v>
      </c>
      <c r="M3704" s="1" t="s">
        <v>27</v>
      </c>
      <c r="N3704" s="1" t="s">
        <v>9412</v>
      </c>
      <c r="O3704" s="1" t="s">
        <v>1010</v>
      </c>
      <c r="P3704" s="1" t="s">
        <v>401</v>
      </c>
      <c r="Q3704" s="6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3704" s="1" t="s">
        <v>555</v>
      </c>
      <c r="S3704" s="13" t="s">
        <v>28</v>
      </c>
      <c r="BA3704" s="44"/>
      <c r="BB3704" s="44"/>
      <c r="BC3704" s="70"/>
      <c r="BD3704" s="70"/>
      <c r="BE3704" s="70"/>
      <c r="BF3704" s="70"/>
      <c r="BG3704" s="70"/>
      <c r="BH3704" s="70"/>
      <c r="BI3704" s="70"/>
      <c r="BJ3704" s="70"/>
    </row>
    <row r="3705" spans="1:62" ht="12" customHeight="1" x14ac:dyDescent="0.15">
      <c r="A3705" s="1" t="s">
        <v>9418</v>
      </c>
      <c r="B3705" s="1" t="s">
        <v>9419</v>
      </c>
      <c r="C3705" s="1" t="s">
        <v>114</v>
      </c>
      <c r="D3705" s="1" t="s">
        <v>48</v>
      </c>
      <c r="E3705" s="1" t="s">
        <v>9420</v>
      </c>
      <c r="F3705" s="72">
        <v>41793</v>
      </c>
      <c r="G3705" s="1" t="s">
        <v>9421</v>
      </c>
      <c r="H3705" s="1" t="s">
        <v>9422</v>
      </c>
      <c r="I3705" s="1" t="s">
        <v>45</v>
      </c>
      <c r="J3705" s="4" t="s">
        <v>9423</v>
      </c>
      <c r="K3705" s="1" t="s">
        <v>4631</v>
      </c>
      <c r="L3705" s="1" t="s">
        <v>18975</v>
      </c>
      <c r="M3705" s="1" t="s">
        <v>27</v>
      </c>
      <c r="N3705" s="1" t="s">
        <v>9424</v>
      </c>
      <c r="O3705" s="1" t="s">
        <v>29</v>
      </c>
      <c r="P3705" s="1" t="s">
        <v>401</v>
      </c>
      <c r="Q3705" s="63" t="s">
        <v>9425</v>
      </c>
      <c r="R3705" s="1" t="s">
        <v>555</v>
      </c>
      <c r="S3705" s="13" t="s">
        <v>28</v>
      </c>
      <c r="BA3705" s="11"/>
      <c r="BB3705" s="11"/>
    </row>
    <row r="3706" spans="1:62" ht="12" customHeight="1" x14ac:dyDescent="0.15">
      <c r="A3706" s="1" t="s">
        <v>9426</v>
      </c>
      <c r="B3706" s="1">
        <v>34</v>
      </c>
      <c r="C3706" s="1" t="s">
        <v>20</v>
      </c>
      <c r="D3706" s="1" t="s">
        <v>85</v>
      </c>
      <c r="E3706" s="1" t="s">
        <v>9427</v>
      </c>
      <c r="F3706" s="72">
        <v>41792</v>
      </c>
      <c r="G3706" s="1" t="s">
        <v>9428</v>
      </c>
      <c r="H3706" s="1" t="s">
        <v>403</v>
      </c>
      <c r="I3706" s="1" t="s">
        <v>404</v>
      </c>
      <c r="J3706" s="4" t="s">
        <v>1960</v>
      </c>
      <c r="K3706" s="1" t="s">
        <v>906</v>
      </c>
      <c r="L3706" s="1" t="s">
        <v>1961</v>
      </c>
      <c r="M3706" s="1" t="s">
        <v>27</v>
      </c>
      <c r="N3706" s="1" t="s">
        <v>9429</v>
      </c>
      <c r="O3706" s="1" t="s">
        <v>1010</v>
      </c>
      <c r="P3706" s="1" t="s">
        <v>401</v>
      </c>
      <c r="Q3706" s="63" t="str">
        <f>HYPERLINK("http://6abc.com/news/officer-released-from-hospital-suspect-dead-in-chester/89060/","http://6abc.com/news/officer-released-from-hospital-suspect-dead-in-chester/89060/")</f>
        <v>http://6abc.com/news/officer-released-from-hospital-suspect-dead-in-chester/89060/</v>
      </c>
      <c r="R3706" s="1" t="s">
        <v>100</v>
      </c>
      <c r="S3706" s="13" t="s">
        <v>28</v>
      </c>
      <c r="AX3706" s="11"/>
      <c r="AY3706" s="11"/>
      <c r="BC3706" s="11"/>
      <c r="BD3706" s="11"/>
      <c r="BE3706" s="11"/>
      <c r="BF3706" s="11"/>
      <c r="BG3706" s="11"/>
      <c r="BH3706" s="11"/>
      <c r="BI3706" s="11"/>
      <c r="BJ3706" s="11"/>
    </row>
    <row r="3707" spans="1:62" ht="12" customHeight="1" x14ac:dyDescent="0.2">
      <c r="A3707" s="1" t="s">
        <v>9436</v>
      </c>
      <c r="B3707" s="1">
        <v>21</v>
      </c>
      <c r="C3707" s="1" t="s">
        <v>20</v>
      </c>
      <c r="D3707" s="1" t="s">
        <v>37</v>
      </c>
      <c r="E3707" s="1" t="s">
        <v>9437</v>
      </c>
      <c r="F3707" s="72">
        <v>41792</v>
      </c>
      <c r="G3707" s="1" t="s">
        <v>9438</v>
      </c>
      <c r="H3707" s="1" t="s">
        <v>9439</v>
      </c>
      <c r="I3707" s="1" t="s">
        <v>366</v>
      </c>
      <c r="J3707" s="4" t="s">
        <v>9440</v>
      </c>
      <c r="K3707" s="1" t="s">
        <v>9441</v>
      </c>
      <c r="L3707" s="1" t="s">
        <v>9442</v>
      </c>
      <c r="M3707" s="1" t="s">
        <v>27</v>
      </c>
      <c r="N3707" s="1" t="s">
        <v>9443</v>
      </c>
      <c r="O3707" s="1" t="s">
        <v>1010</v>
      </c>
      <c r="P3707" s="1" t="s">
        <v>401</v>
      </c>
      <c r="Q3707" s="6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3707" s="1" t="s">
        <v>100</v>
      </c>
      <c r="S3707" s="13" t="s">
        <v>28</v>
      </c>
      <c r="BC3707" s="70"/>
      <c r="BD3707" s="70"/>
      <c r="BE3707" s="70"/>
      <c r="BF3707" s="70"/>
      <c r="BG3707" s="70"/>
      <c r="BH3707" s="70"/>
      <c r="BI3707" s="70"/>
      <c r="BJ3707" s="70"/>
    </row>
    <row r="3708" spans="1:62" ht="12" customHeight="1" x14ac:dyDescent="0.2">
      <c r="A3708" s="1" t="s">
        <v>9444</v>
      </c>
      <c r="B3708" s="1">
        <v>22</v>
      </c>
      <c r="C3708" s="1" t="s">
        <v>20</v>
      </c>
      <c r="D3708" s="1" t="s">
        <v>37</v>
      </c>
      <c r="E3708" s="1" t="s">
        <v>9445</v>
      </c>
      <c r="F3708" s="72">
        <v>41792</v>
      </c>
      <c r="G3708" s="1" t="s">
        <v>9446</v>
      </c>
      <c r="H3708" s="1" t="s">
        <v>9447</v>
      </c>
      <c r="I3708" s="1" t="s">
        <v>32</v>
      </c>
      <c r="J3708" s="4" t="s">
        <v>9448</v>
      </c>
      <c r="K3708" s="1" t="s">
        <v>33</v>
      </c>
      <c r="L3708" s="1" t="s">
        <v>34</v>
      </c>
      <c r="M3708" s="1" t="s">
        <v>27</v>
      </c>
      <c r="N3708" s="1" t="s">
        <v>9449</v>
      </c>
      <c r="O3708" s="1" t="s">
        <v>1010</v>
      </c>
      <c r="P3708" s="1" t="s">
        <v>401</v>
      </c>
      <c r="Q3708" s="6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3708" s="1" t="s">
        <v>29</v>
      </c>
      <c r="S3708" s="13" t="s">
        <v>18</v>
      </c>
      <c r="BA3708" s="70"/>
      <c r="BB3708" s="70"/>
      <c r="BC3708" s="70"/>
      <c r="BD3708" s="70"/>
      <c r="BE3708" s="70"/>
      <c r="BF3708" s="70"/>
      <c r="BG3708" s="70"/>
      <c r="BH3708" s="70"/>
      <c r="BI3708" s="70"/>
      <c r="BJ3708" s="70"/>
    </row>
    <row r="3709" spans="1:62" ht="12" customHeight="1" x14ac:dyDescent="0.2">
      <c r="A3709" s="1" t="s">
        <v>9430</v>
      </c>
      <c r="B3709" s="1">
        <v>52</v>
      </c>
      <c r="C3709" s="1" t="s">
        <v>114</v>
      </c>
      <c r="D3709" s="1" t="s">
        <v>37</v>
      </c>
      <c r="F3709" s="72">
        <v>41792</v>
      </c>
      <c r="G3709" s="1" t="s">
        <v>9431</v>
      </c>
      <c r="H3709" s="1" t="s">
        <v>1784</v>
      </c>
      <c r="I3709" s="1" t="s">
        <v>32</v>
      </c>
      <c r="J3709" s="4" t="s">
        <v>9432</v>
      </c>
      <c r="K3709" s="1" t="s">
        <v>1784</v>
      </c>
      <c r="L3709" s="1" t="s">
        <v>9433</v>
      </c>
      <c r="M3709" s="1" t="s">
        <v>27</v>
      </c>
      <c r="N3709" s="1" t="s">
        <v>9434</v>
      </c>
      <c r="O3709" s="1" t="s">
        <v>1010</v>
      </c>
      <c r="P3709" s="1" t="s">
        <v>401</v>
      </c>
      <c r="Q3709" s="63" t="s">
        <v>9435</v>
      </c>
      <c r="R3709" s="1" t="s">
        <v>555</v>
      </c>
      <c r="S3709" s="13" t="s">
        <v>28</v>
      </c>
      <c r="BA3709" s="44"/>
      <c r="BB3709" s="44"/>
      <c r="BC3709" s="70"/>
      <c r="BD3709" s="70"/>
      <c r="BE3709" s="70"/>
      <c r="BF3709" s="70"/>
      <c r="BG3709" s="70"/>
      <c r="BH3709" s="70"/>
      <c r="BI3709" s="70"/>
      <c r="BJ3709" s="70"/>
    </row>
    <row r="3710" spans="1:62" ht="12" customHeight="1" x14ac:dyDescent="0.15">
      <c r="A3710" s="1" t="s">
        <v>9450</v>
      </c>
      <c r="B3710" s="1">
        <v>52</v>
      </c>
      <c r="C3710" s="1" t="s">
        <v>20</v>
      </c>
      <c r="D3710" s="1" t="s">
        <v>30</v>
      </c>
      <c r="F3710" s="72">
        <v>41791</v>
      </c>
      <c r="G3710" s="1" t="s">
        <v>9451</v>
      </c>
      <c r="H3710" s="1" t="s">
        <v>5353</v>
      </c>
      <c r="I3710" s="1" t="s">
        <v>363</v>
      </c>
      <c r="J3710" s="4" t="s">
        <v>9452</v>
      </c>
      <c r="K3710" s="1" t="s">
        <v>1056</v>
      </c>
      <c r="L3710" s="1" t="s">
        <v>19408</v>
      </c>
      <c r="M3710" s="1" t="s">
        <v>27</v>
      </c>
      <c r="N3710" s="1" t="s">
        <v>9453</v>
      </c>
      <c r="O3710" s="1" t="s">
        <v>1010</v>
      </c>
      <c r="P3710" s="1" t="s">
        <v>401</v>
      </c>
      <c r="Q3710" s="63" t="s">
        <v>9454</v>
      </c>
      <c r="R3710" s="1" t="s">
        <v>29</v>
      </c>
      <c r="S3710" s="13" t="s">
        <v>28</v>
      </c>
    </row>
    <row r="3711" spans="1:62" ht="12" customHeight="1" x14ac:dyDescent="0.15">
      <c r="A3711" s="1" t="s">
        <v>9464</v>
      </c>
      <c r="B3711" s="1">
        <v>22</v>
      </c>
      <c r="C3711" s="1" t="s">
        <v>20</v>
      </c>
      <c r="D3711" s="1" t="s">
        <v>85</v>
      </c>
      <c r="E3711" s="1" t="s">
        <v>9465</v>
      </c>
      <c r="F3711" s="72">
        <v>41790</v>
      </c>
      <c r="G3711" s="1" t="s">
        <v>9466</v>
      </c>
      <c r="H3711" s="1" t="s">
        <v>9467</v>
      </c>
      <c r="I3711" s="1" t="s">
        <v>363</v>
      </c>
      <c r="J3711" s="4" t="s">
        <v>9468</v>
      </c>
      <c r="K3711" s="1" t="s">
        <v>9469</v>
      </c>
      <c r="L3711" s="1" t="s">
        <v>9470</v>
      </c>
      <c r="M3711" s="1" t="s">
        <v>27</v>
      </c>
      <c r="N3711" s="1" t="s">
        <v>9471</v>
      </c>
      <c r="O3711" s="1" t="s">
        <v>29</v>
      </c>
      <c r="P3711" s="1" t="s">
        <v>401</v>
      </c>
      <c r="Q3711" s="6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3711" s="1" t="s">
        <v>100</v>
      </c>
      <c r="S3711" s="13" t="s">
        <v>28</v>
      </c>
      <c r="AX3711" s="11"/>
      <c r="AY3711" s="11"/>
      <c r="BC3711" s="11"/>
      <c r="BD3711" s="11"/>
      <c r="BE3711" s="11"/>
      <c r="BF3711" s="11"/>
      <c r="BG3711" s="11"/>
      <c r="BH3711" s="11"/>
      <c r="BI3711" s="11"/>
      <c r="BJ3711" s="11"/>
    </row>
    <row r="3712" spans="1:62" ht="12" customHeight="1" x14ac:dyDescent="0.15">
      <c r="A3712" s="1" t="s">
        <v>9472</v>
      </c>
      <c r="B3712" s="1">
        <v>44</v>
      </c>
      <c r="C3712" s="1" t="s">
        <v>20</v>
      </c>
      <c r="D3712" s="1" t="s">
        <v>85</v>
      </c>
      <c r="E3712" s="1" t="s">
        <v>9473</v>
      </c>
      <c r="F3712" s="72">
        <v>41790</v>
      </c>
      <c r="G3712" s="1" t="s">
        <v>9474</v>
      </c>
      <c r="H3712" s="1" t="s">
        <v>9475</v>
      </c>
      <c r="I3712" s="1" t="s">
        <v>81</v>
      </c>
      <c r="J3712" s="4" t="s">
        <v>9476</v>
      </c>
      <c r="K3712" s="1" t="s">
        <v>9477</v>
      </c>
      <c r="L3712" s="1" t="s">
        <v>9478</v>
      </c>
      <c r="M3712" s="1" t="s">
        <v>27</v>
      </c>
      <c r="N3712" s="1" t="s">
        <v>9479</v>
      </c>
      <c r="O3712" s="1" t="s">
        <v>550</v>
      </c>
      <c r="P3712" s="1" t="s">
        <v>401</v>
      </c>
      <c r="Q3712" s="63" t="str">
        <f>HYPERLINK("http://patersontimes.com/2014/05/31/armed-city-man-killed-by-city-detective-on-montgomery-street/","http://patersontimes.com/2014/05/31/armed-city-man-killed-by-city-detective-on-montgomery-street/")</f>
        <v>http://patersontimes.com/2014/05/31/armed-city-man-killed-by-city-detective-on-montgomery-street/</v>
      </c>
      <c r="R3712" s="1" t="s">
        <v>100</v>
      </c>
      <c r="S3712" s="13" t="s">
        <v>28</v>
      </c>
      <c r="AX3712" s="11"/>
      <c r="AY3712" s="11"/>
      <c r="BC3712" s="11"/>
      <c r="BD3712" s="11"/>
      <c r="BE3712" s="11"/>
      <c r="BF3712" s="11"/>
      <c r="BG3712" s="11"/>
      <c r="BH3712" s="11"/>
      <c r="BI3712" s="11"/>
      <c r="BJ3712" s="11"/>
    </row>
    <row r="3713" spans="1:63" ht="12" customHeight="1" x14ac:dyDescent="0.2">
      <c r="A3713" s="1" t="s">
        <v>9480</v>
      </c>
      <c r="B3713" s="1">
        <v>20</v>
      </c>
      <c r="C3713" s="1" t="s">
        <v>20</v>
      </c>
      <c r="D3713" s="1" t="s">
        <v>37</v>
      </c>
      <c r="E3713" s="1" t="s">
        <v>9481</v>
      </c>
      <c r="F3713" s="72">
        <v>41790</v>
      </c>
      <c r="G3713" s="1" t="s">
        <v>9482</v>
      </c>
      <c r="H3713" s="1" t="s">
        <v>9483</v>
      </c>
      <c r="I3713" s="1" t="s">
        <v>431</v>
      </c>
      <c r="J3713" s="4" t="s">
        <v>9484</v>
      </c>
      <c r="K3713" s="1" t="s">
        <v>5417</v>
      </c>
      <c r="L3713" s="1" t="s">
        <v>9485</v>
      </c>
      <c r="M3713" s="1" t="s">
        <v>9486</v>
      </c>
      <c r="N3713" s="1" t="s">
        <v>9487</v>
      </c>
      <c r="O3713" s="1" t="s">
        <v>3381</v>
      </c>
      <c r="P3713" s="1" t="s">
        <v>401</v>
      </c>
      <c r="Q3713" s="63" t="s">
        <v>9488</v>
      </c>
      <c r="R3713" s="1" t="s">
        <v>100</v>
      </c>
      <c r="S3713" s="13" t="s">
        <v>18</v>
      </c>
      <c r="AT3713" s="70"/>
      <c r="AU3713" s="70"/>
      <c r="AW3713" s="44"/>
      <c r="AX3713" s="44"/>
      <c r="AY3713" s="44"/>
      <c r="BB3713" s="70"/>
      <c r="BC3713" s="70"/>
      <c r="BD3713" s="70"/>
      <c r="BE3713" s="70"/>
      <c r="BF3713" s="70"/>
      <c r="BG3713" s="70"/>
      <c r="BH3713" s="70"/>
      <c r="BI3713" s="70"/>
      <c r="BK3713" s="78"/>
    </row>
    <row r="3714" spans="1:63" ht="12" customHeight="1" x14ac:dyDescent="0.15">
      <c r="A3714" s="1" t="s">
        <v>9455</v>
      </c>
      <c r="B3714" s="1">
        <v>33</v>
      </c>
      <c r="C3714" s="1" t="s">
        <v>20</v>
      </c>
      <c r="D3714" s="1" t="s">
        <v>85</v>
      </c>
      <c r="E3714" s="1" t="s">
        <v>9456</v>
      </c>
      <c r="F3714" s="72">
        <v>41790</v>
      </c>
      <c r="G3714" s="1" t="s">
        <v>9457</v>
      </c>
      <c r="H3714" s="1" t="s">
        <v>9458</v>
      </c>
      <c r="I3714" s="1" t="s">
        <v>366</v>
      </c>
      <c r="J3714" s="4" t="s">
        <v>9459</v>
      </c>
      <c r="K3714" s="1" t="s">
        <v>9460</v>
      </c>
      <c r="L3714" s="1" t="s">
        <v>9461</v>
      </c>
      <c r="M3714" s="1" t="s">
        <v>27</v>
      </c>
      <c r="N3714" s="1" t="s">
        <v>9462</v>
      </c>
      <c r="O3714" s="1" t="s">
        <v>1010</v>
      </c>
      <c r="P3714" s="1" t="s">
        <v>401</v>
      </c>
      <c r="Q3714" s="63" t="s">
        <v>9463</v>
      </c>
      <c r="R3714" s="1" t="s">
        <v>100</v>
      </c>
      <c r="S3714" s="13" t="s">
        <v>35</v>
      </c>
      <c r="AX3714" s="11"/>
      <c r="AY3714" s="11"/>
      <c r="BC3714" s="11"/>
      <c r="BD3714" s="11"/>
      <c r="BE3714" s="11"/>
      <c r="BF3714" s="11"/>
      <c r="BG3714" s="11"/>
      <c r="BH3714" s="11"/>
      <c r="BI3714" s="11"/>
      <c r="BJ3714" s="11"/>
      <c r="BK3714" s="11"/>
    </row>
    <row r="3715" spans="1:63" ht="12" customHeight="1" x14ac:dyDescent="0.2">
      <c r="A3715" s="1" t="s">
        <v>9489</v>
      </c>
      <c r="B3715" s="1">
        <v>64</v>
      </c>
      <c r="C3715" s="1" t="s">
        <v>20</v>
      </c>
      <c r="D3715" s="1" t="s">
        <v>37</v>
      </c>
      <c r="E3715" s="1" t="s">
        <v>9490</v>
      </c>
      <c r="F3715" s="72">
        <v>41790</v>
      </c>
      <c r="G3715" s="1" t="s">
        <v>9491</v>
      </c>
      <c r="H3715" s="1" t="s">
        <v>2316</v>
      </c>
      <c r="I3715" s="1" t="s">
        <v>463</v>
      </c>
      <c r="J3715" s="4" t="s">
        <v>9492</v>
      </c>
      <c r="K3715" s="1" t="s">
        <v>1492</v>
      </c>
      <c r="L3715" s="1" t="s">
        <v>9493</v>
      </c>
      <c r="M3715" s="1" t="s">
        <v>27</v>
      </c>
      <c r="N3715" s="1" t="s">
        <v>9494</v>
      </c>
      <c r="O3715" s="1" t="s">
        <v>550</v>
      </c>
      <c r="P3715" s="1" t="s">
        <v>401</v>
      </c>
      <c r="Q3715" s="63" t="s">
        <v>9495</v>
      </c>
      <c r="R3715" s="1" t="s">
        <v>29</v>
      </c>
      <c r="S3715" s="13" t="s">
        <v>28</v>
      </c>
      <c r="BA3715" s="70"/>
      <c r="BB3715" s="70"/>
      <c r="BC3715" s="70"/>
      <c r="BD3715" s="70"/>
      <c r="BE3715" s="70"/>
      <c r="BF3715" s="70"/>
      <c r="BG3715" s="70"/>
      <c r="BH3715" s="70"/>
      <c r="BI3715" s="70"/>
      <c r="BJ3715" s="70"/>
    </row>
    <row r="3716" spans="1:63" ht="12" customHeight="1" x14ac:dyDescent="0.15">
      <c r="A3716" s="1" t="s">
        <v>9512</v>
      </c>
      <c r="B3716" s="1">
        <v>26</v>
      </c>
      <c r="C3716" s="1" t="s">
        <v>20</v>
      </c>
      <c r="D3716" s="1" t="s">
        <v>48</v>
      </c>
      <c r="F3716" s="72">
        <v>41789</v>
      </c>
      <c r="G3716" s="1" t="s">
        <v>9513</v>
      </c>
      <c r="H3716" s="1" t="s">
        <v>1907</v>
      </c>
      <c r="I3716" s="1" t="s">
        <v>45</v>
      </c>
      <c r="J3716" s="4" t="s">
        <v>9514</v>
      </c>
      <c r="K3716" s="1" t="s">
        <v>7808</v>
      </c>
      <c r="L3716" s="1" t="s">
        <v>1909</v>
      </c>
      <c r="M3716" s="1" t="s">
        <v>27</v>
      </c>
      <c r="N3716" s="1" t="s">
        <v>9515</v>
      </c>
      <c r="O3716" s="1" t="s">
        <v>400</v>
      </c>
      <c r="P3716" s="1" t="s">
        <v>401</v>
      </c>
      <c r="Q3716" s="63" t="s">
        <v>9516</v>
      </c>
      <c r="R3716" s="1" t="s">
        <v>100</v>
      </c>
      <c r="S3716" s="13" t="s">
        <v>28</v>
      </c>
    </row>
    <row r="3717" spans="1:63" ht="12" customHeight="1" x14ac:dyDescent="0.2">
      <c r="A3717" s="1" t="s">
        <v>9523</v>
      </c>
      <c r="B3717" s="1">
        <v>31</v>
      </c>
      <c r="C3717" s="1" t="s">
        <v>20</v>
      </c>
      <c r="D3717" s="1" t="s">
        <v>37</v>
      </c>
      <c r="E3717" s="1" t="s">
        <v>9524</v>
      </c>
      <c r="F3717" s="72">
        <v>41789</v>
      </c>
      <c r="G3717" s="1" t="s">
        <v>6317</v>
      </c>
      <c r="H3717" s="1" t="s">
        <v>655</v>
      </c>
      <c r="I3717" s="1" t="s">
        <v>269</v>
      </c>
      <c r="J3717" s="4" t="s">
        <v>9525</v>
      </c>
      <c r="K3717" s="1" t="s">
        <v>570</v>
      </c>
      <c r="L3717" s="1" t="s">
        <v>571</v>
      </c>
      <c r="M3717" s="1" t="s">
        <v>27</v>
      </c>
      <c r="N3717" s="1" t="s">
        <v>9526</v>
      </c>
      <c r="O3717" s="1" t="s">
        <v>1010</v>
      </c>
      <c r="P3717" s="1" t="s">
        <v>401</v>
      </c>
      <c r="Q3717" s="63" t="s">
        <v>9527</v>
      </c>
      <c r="R3717" s="1" t="s">
        <v>100</v>
      </c>
      <c r="S3717" s="13" t="s">
        <v>28</v>
      </c>
      <c r="BC3717" s="70"/>
      <c r="BD3717" s="70"/>
      <c r="BE3717" s="70"/>
      <c r="BF3717" s="70"/>
      <c r="BG3717" s="70"/>
      <c r="BH3717" s="70"/>
      <c r="BI3717" s="70"/>
      <c r="BJ3717" s="70"/>
    </row>
    <row r="3718" spans="1:63" ht="12" customHeight="1" x14ac:dyDescent="0.15">
      <c r="A3718" s="1" t="s">
        <v>9496</v>
      </c>
      <c r="B3718" s="1">
        <v>20</v>
      </c>
      <c r="C3718" s="1" t="s">
        <v>20</v>
      </c>
      <c r="D3718" s="1" t="s">
        <v>85</v>
      </c>
      <c r="F3718" s="72">
        <v>41789</v>
      </c>
      <c r="G3718" s="1" t="s">
        <v>9497</v>
      </c>
      <c r="H3718" s="1" t="s">
        <v>6544</v>
      </c>
      <c r="I3718" s="1" t="s">
        <v>52</v>
      </c>
      <c r="J3718" s="4" t="s">
        <v>6545</v>
      </c>
      <c r="K3718" s="1" t="s">
        <v>2377</v>
      </c>
      <c r="L3718" s="1" t="s">
        <v>759</v>
      </c>
      <c r="M3718" s="1" t="s">
        <v>27</v>
      </c>
      <c r="N3718" s="1" t="s">
        <v>9498</v>
      </c>
      <c r="O3718" s="1" t="s">
        <v>1010</v>
      </c>
      <c r="P3718" s="1" t="s">
        <v>401</v>
      </c>
      <c r="Q3718" s="63" t="s">
        <v>9499</v>
      </c>
      <c r="R3718" s="1" t="s">
        <v>100</v>
      </c>
      <c r="S3718" s="13" t="s">
        <v>18</v>
      </c>
      <c r="AX3718" s="11"/>
      <c r="AY3718" s="11"/>
      <c r="BC3718" s="11"/>
      <c r="BD3718" s="11"/>
      <c r="BE3718" s="11"/>
      <c r="BF3718" s="11"/>
      <c r="BG3718" s="11"/>
      <c r="BH3718" s="11"/>
      <c r="BI3718" s="11"/>
      <c r="BJ3718" s="11"/>
    </row>
    <row r="3719" spans="1:63" ht="12" customHeight="1" x14ac:dyDescent="0.15">
      <c r="A3719" s="1" t="s">
        <v>9505</v>
      </c>
      <c r="B3719" s="1">
        <v>31</v>
      </c>
      <c r="C3719" s="1" t="s">
        <v>20</v>
      </c>
      <c r="D3719" s="1" t="s">
        <v>48</v>
      </c>
      <c r="E3719" s="1" t="s">
        <v>9506</v>
      </c>
      <c r="F3719" s="72">
        <v>41789</v>
      </c>
      <c r="G3719" s="1" t="s">
        <v>9507</v>
      </c>
      <c r="H3719" s="1" t="s">
        <v>9508</v>
      </c>
      <c r="I3719" s="1" t="s">
        <v>123</v>
      </c>
      <c r="J3719" s="4" t="s">
        <v>9509</v>
      </c>
      <c r="K3719" s="1" t="s">
        <v>562</v>
      </c>
      <c r="L3719" s="1" t="s">
        <v>4732</v>
      </c>
      <c r="M3719" s="1" t="s">
        <v>27</v>
      </c>
      <c r="N3719" s="1" t="s">
        <v>9510</v>
      </c>
      <c r="O3719" s="1" t="s">
        <v>1010</v>
      </c>
      <c r="P3719" s="1" t="s">
        <v>401</v>
      </c>
      <c r="Q3719" s="63" t="s">
        <v>9511</v>
      </c>
      <c r="R3719" s="1" t="s">
        <v>100</v>
      </c>
      <c r="S3719" s="13" t="s">
        <v>18</v>
      </c>
    </row>
    <row r="3720" spans="1:63" ht="12" customHeight="1" x14ac:dyDescent="0.15">
      <c r="A3720" s="1" t="s">
        <v>9500</v>
      </c>
      <c r="B3720" s="1">
        <v>36</v>
      </c>
      <c r="C3720" s="1" t="s">
        <v>20</v>
      </c>
      <c r="D3720" s="1" t="s">
        <v>85</v>
      </c>
      <c r="E3720" s="1" t="s">
        <v>9501</v>
      </c>
      <c r="F3720" s="72">
        <v>41789</v>
      </c>
      <c r="G3720" s="1" t="s">
        <v>9502</v>
      </c>
      <c r="H3720" s="1" t="s">
        <v>216</v>
      </c>
      <c r="I3720" s="1" t="s">
        <v>217</v>
      </c>
      <c r="J3720" s="4" t="s">
        <v>1616</v>
      </c>
      <c r="K3720" s="1" t="s">
        <v>420</v>
      </c>
      <c r="L3720" s="1" t="s">
        <v>218</v>
      </c>
      <c r="M3720" s="1" t="s">
        <v>27</v>
      </c>
      <c r="N3720" s="1" t="s">
        <v>9503</v>
      </c>
      <c r="O3720" s="1" t="s">
        <v>1010</v>
      </c>
      <c r="P3720" s="1" t="s">
        <v>401</v>
      </c>
      <c r="Q3720" s="63" t="s">
        <v>9504</v>
      </c>
      <c r="R3720" s="1" t="s">
        <v>29</v>
      </c>
      <c r="S3720" s="13" t="s">
        <v>28</v>
      </c>
      <c r="AX3720" s="11"/>
      <c r="AY3720" s="11"/>
      <c r="BC3720" s="11"/>
      <c r="BD3720" s="11"/>
      <c r="BE3720" s="11"/>
      <c r="BF3720" s="11"/>
      <c r="BG3720" s="11"/>
      <c r="BH3720" s="11"/>
      <c r="BI3720" s="11"/>
      <c r="BJ3720" s="11"/>
    </row>
    <row r="3721" spans="1:63" ht="12" customHeight="1" x14ac:dyDescent="0.15">
      <c r="A3721" s="1" t="s">
        <v>9517</v>
      </c>
      <c r="B3721" s="1">
        <v>61</v>
      </c>
      <c r="C3721" s="1" t="s">
        <v>20</v>
      </c>
      <c r="D3721" s="1" t="s">
        <v>30</v>
      </c>
      <c r="F3721" s="72">
        <v>41789</v>
      </c>
      <c r="G3721" s="1" t="s">
        <v>9518</v>
      </c>
      <c r="H3721" s="1" t="s">
        <v>9519</v>
      </c>
      <c r="I3721" s="1" t="s">
        <v>315</v>
      </c>
      <c r="J3721" s="4" t="s">
        <v>9520</v>
      </c>
      <c r="K3721" s="1" t="s">
        <v>2502</v>
      </c>
      <c r="L3721" s="1" t="s">
        <v>3367</v>
      </c>
      <c r="M3721" s="1" t="s">
        <v>27</v>
      </c>
      <c r="N3721" s="1" t="s">
        <v>9521</v>
      </c>
      <c r="O3721" s="1" t="s">
        <v>1010</v>
      </c>
      <c r="P3721" s="1" t="s">
        <v>401</v>
      </c>
      <c r="Q3721" s="63" t="s">
        <v>9522</v>
      </c>
      <c r="R3721" s="1" t="s">
        <v>29</v>
      </c>
      <c r="S3721" s="13" t="s">
        <v>28</v>
      </c>
    </row>
    <row r="3722" spans="1:63" ht="12" customHeight="1" x14ac:dyDescent="0.2">
      <c r="A3722" s="1" t="s">
        <v>9528</v>
      </c>
      <c r="B3722" s="1">
        <v>49</v>
      </c>
      <c r="C3722" s="1" t="s">
        <v>20</v>
      </c>
      <c r="D3722" s="1" t="s">
        <v>37</v>
      </c>
      <c r="E3722" s="1" t="s">
        <v>9529</v>
      </c>
      <c r="F3722" s="72">
        <v>41789</v>
      </c>
      <c r="G3722" s="1" t="s">
        <v>9530</v>
      </c>
      <c r="H3722" s="1" t="s">
        <v>9531</v>
      </c>
      <c r="I3722" s="1" t="s">
        <v>45</v>
      </c>
      <c r="J3722" s="4" t="s">
        <v>9532</v>
      </c>
      <c r="K3722" s="1" t="s">
        <v>1423</v>
      </c>
      <c r="L3722" s="1" t="s">
        <v>9533</v>
      </c>
      <c r="M3722" s="1" t="s">
        <v>27</v>
      </c>
      <c r="N3722" s="1" t="s">
        <v>9534</v>
      </c>
      <c r="O3722" s="1" t="s">
        <v>1010</v>
      </c>
      <c r="P3722" s="1" t="s">
        <v>401</v>
      </c>
      <c r="Q3722" s="63" t="s">
        <v>9535</v>
      </c>
      <c r="R3722" s="1" t="s">
        <v>29</v>
      </c>
      <c r="S3722" s="13" t="s">
        <v>28</v>
      </c>
      <c r="BA3722" s="70"/>
      <c r="BB3722" s="70"/>
      <c r="BC3722" s="70"/>
      <c r="BD3722" s="70"/>
      <c r="BE3722" s="70"/>
      <c r="BF3722" s="70"/>
      <c r="BG3722" s="70"/>
      <c r="BH3722" s="70"/>
      <c r="BI3722" s="70"/>
      <c r="BJ3722" s="70"/>
    </row>
    <row r="3723" spans="1:63" ht="12" customHeight="1" x14ac:dyDescent="0.2">
      <c r="A3723" s="1" t="s">
        <v>9536</v>
      </c>
      <c r="B3723" s="1">
        <v>29</v>
      </c>
      <c r="C3723" s="1" t="s">
        <v>20</v>
      </c>
      <c r="D3723" s="1" t="s">
        <v>37</v>
      </c>
      <c r="E3723" s="1" t="s">
        <v>9537</v>
      </c>
      <c r="F3723" s="72">
        <v>41789</v>
      </c>
      <c r="G3723" s="1" t="s">
        <v>9538</v>
      </c>
      <c r="H3723" s="1" t="s">
        <v>3317</v>
      </c>
      <c r="I3723" s="1" t="s">
        <v>244</v>
      </c>
      <c r="J3723" s="4" t="s">
        <v>9539</v>
      </c>
      <c r="K3723" s="1" t="s">
        <v>3317</v>
      </c>
      <c r="L3723" s="1" t="s">
        <v>5050</v>
      </c>
      <c r="M3723" s="1" t="s">
        <v>27</v>
      </c>
      <c r="N3723" s="1" t="s">
        <v>9540</v>
      </c>
      <c r="O3723" s="1" t="s">
        <v>1010</v>
      </c>
      <c r="P3723" s="1" t="s">
        <v>401</v>
      </c>
      <c r="Q3723" s="63" t="s">
        <v>9541</v>
      </c>
      <c r="R3723" s="1" t="s">
        <v>29</v>
      </c>
      <c r="S3723" s="13" t="s">
        <v>28</v>
      </c>
      <c r="BA3723" s="70"/>
      <c r="BB3723" s="70"/>
      <c r="BC3723" s="70"/>
      <c r="BD3723" s="70"/>
      <c r="BE3723" s="70"/>
      <c r="BF3723" s="70"/>
      <c r="BG3723" s="70"/>
      <c r="BH3723" s="70"/>
      <c r="BI3723" s="70"/>
      <c r="BJ3723" s="70"/>
    </row>
    <row r="3724" spans="1:63" ht="12" customHeight="1" x14ac:dyDescent="0.15">
      <c r="A3724" s="1" t="s">
        <v>9549</v>
      </c>
      <c r="B3724" s="1">
        <v>18</v>
      </c>
      <c r="C3724" s="1" t="s">
        <v>20</v>
      </c>
      <c r="D3724" s="1" t="s">
        <v>85</v>
      </c>
      <c r="E3724" s="1" t="s">
        <v>9550</v>
      </c>
      <c r="F3724" s="72">
        <v>41788</v>
      </c>
      <c r="G3724" s="1" t="s">
        <v>9551</v>
      </c>
      <c r="H3724" s="1" t="s">
        <v>3498</v>
      </c>
      <c r="I3724" s="1" t="s">
        <v>62</v>
      </c>
      <c r="J3724" s="4" t="s">
        <v>9552</v>
      </c>
      <c r="K3724" s="1" t="s">
        <v>3500</v>
      </c>
      <c r="L3724" s="1" t="s">
        <v>3501</v>
      </c>
      <c r="M3724" s="1" t="s">
        <v>27</v>
      </c>
      <c r="N3724" s="1" t="s">
        <v>9553</v>
      </c>
      <c r="O3724" s="1" t="s">
        <v>550</v>
      </c>
      <c r="P3724" s="1" t="s">
        <v>401</v>
      </c>
      <c r="Q3724" s="63" t="s">
        <v>9554</v>
      </c>
      <c r="R3724" s="11" t="s">
        <v>964</v>
      </c>
      <c r="S3724" s="13" t="s">
        <v>35</v>
      </c>
      <c r="AX3724" s="11"/>
      <c r="AY3724" s="11"/>
      <c r="BC3724" s="11"/>
      <c r="BD3724" s="11"/>
      <c r="BE3724" s="11"/>
      <c r="BF3724" s="11"/>
      <c r="BG3724" s="11"/>
      <c r="BH3724" s="11"/>
      <c r="BI3724" s="11"/>
      <c r="BJ3724" s="11"/>
      <c r="BK3724" s="11"/>
    </row>
    <row r="3725" spans="1:63" ht="12" customHeight="1" x14ac:dyDescent="0.2">
      <c r="A3725" s="1" t="s">
        <v>9563</v>
      </c>
      <c r="B3725" s="1">
        <v>45</v>
      </c>
      <c r="C3725" s="1" t="s">
        <v>20</v>
      </c>
      <c r="D3725" s="1" t="s">
        <v>37</v>
      </c>
      <c r="E3725" s="1" t="s">
        <v>9564</v>
      </c>
      <c r="F3725" s="72">
        <v>41788</v>
      </c>
      <c r="G3725" s="1" t="s">
        <v>9565</v>
      </c>
      <c r="H3725" s="1" t="s">
        <v>6567</v>
      </c>
      <c r="I3725" s="1" t="s">
        <v>319</v>
      </c>
      <c r="J3725" s="4" t="s">
        <v>9566</v>
      </c>
      <c r="K3725" s="1" t="s">
        <v>2911</v>
      </c>
      <c r="L3725" s="1" t="s">
        <v>119</v>
      </c>
      <c r="M3725" s="1" t="s">
        <v>27</v>
      </c>
      <c r="N3725" s="1" t="s">
        <v>9567</v>
      </c>
      <c r="O3725" s="1" t="s">
        <v>550</v>
      </c>
      <c r="P3725" s="1" t="s">
        <v>401</v>
      </c>
      <c r="Q3725" s="63" t="str">
        <f>HYPERLINK("http://www.tricities.com/news/article_0ec2ddf4-e749-11e3-a6a8-0017a43b2370.html","http://www.tricities.com/news/article_0ec2ddf4-e749-11e3-a6a8-0017a43b2370.html")</f>
        <v>http://www.tricities.com/news/article_0ec2ddf4-e749-11e3-a6a8-0017a43b2370.html</v>
      </c>
      <c r="R3725" s="1" t="s">
        <v>100</v>
      </c>
      <c r="S3725" s="13" t="s">
        <v>379</v>
      </c>
      <c r="BC3725" s="70"/>
      <c r="BD3725" s="70"/>
      <c r="BE3725" s="70"/>
      <c r="BF3725" s="70"/>
      <c r="BG3725" s="70"/>
      <c r="BH3725" s="70"/>
      <c r="BI3725" s="70"/>
      <c r="BJ3725" s="70"/>
    </row>
    <row r="3726" spans="1:63" ht="12" customHeight="1" x14ac:dyDescent="0.15">
      <c r="A3726" s="1" t="s">
        <v>9542</v>
      </c>
      <c r="B3726" s="1">
        <v>17</v>
      </c>
      <c r="C3726" s="1" t="s">
        <v>20</v>
      </c>
      <c r="D3726" s="1" t="s">
        <v>85</v>
      </c>
      <c r="E3726" s="1" t="s">
        <v>9543</v>
      </c>
      <c r="F3726" s="72">
        <v>41788</v>
      </c>
      <c r="G3726" s="1" t="s">
        <v>9544</v>
      </c>
      <c r="H3726" s="1" t="s">
        <v>1039</v>
      </c>
      <c r="I3726" s="1" t="s">
        <v>25</v>
      </c>
      <c r="J3726" s="4" t="s">
        <v>9545</v>
      </c>
      <c r="K3726" s="1" t="s">
        <v>2579</v>
      </c>
      <c r="L3726" s="1" t="s">
        <v>9546</v>
      </c>
      <c r="M3726" s="1" t="s">
        <v>27</v>
      </c>
      <c r="N3726" s="1" t="s">
        <v>9547</v>
      </c>
      <c r="O3726" s="1" t="s">
        <v>550</v>
      </c>
      <c r="P3726" s="1" t="s">
        <v>401</v>
      </c>
      <c r="Q3726" s="63" t="s">
        <v>9548</v>
      </c>
      <c r="R3726" s="1" t="s">
        <v>29</v>
      </c>
      <c r="S3726" s="13" t="s">
        <v>28</v>
      </c>
      <c r="AX3726" s="11"/>
      <c r="AY3726" s="11"/>
      <c r="BC3726" s="11"/>
      <c r="BD3726" s="11"/>
      <c r="BE3726" s="11"/>
      <c r="BF3726" s="11"/>
      <c r="BG3726" s="11"/>
      <c r="BH3726" s="11"/>
      <c r="BI3726" s="11"/>
      <c r="BJ3726" s="11"/>
    </row>
    <row r="3727" spans="1:63" ht="12" customHeight="1" x14ac:dyDescent="0.2">
      <c r="A3727" s="1" t="s">
        <v>9555</v>
      </c>
      <c r="B3727" s="1">
        <v>22</v>
      </c>
      <c r="C3727" s="1" t="s">
        <v>20</v>
      </c>
      <c r="D3727" s="1" t="s">
        <v>37</v>
      </c>
      <c r="E3727" s="1" t="s">
        <v>9556</v>
      </c>
      <c r="F3727" s="72">
        <v>41788</v>
      </c>
      <c r="G3727" s="1" t="s">
        <v>9557</v>
      </c>
      <c r="H3727" s="1" t="s">
        <v>9558</v>
      </c>
      <c r="I3727" s="1" t="s">
        <v>45</v>
      </c>
      <c r="J3727" s="4" t="s">
        <v>9559</v>
      </c>
      <c r="K3727" s="1" t="s">
        <v>1061</v>
      </c>
      <c r="L3727" s="1" t="s">
        <v>9560</v>
      </c>
      <c r="M3727" s="1" t="s">
        <v>27</v>
      </c>
      <c r="N3727" s="1" t="s">
        <v>9561</v>
      </c>
      <c r="O3727" s="1" t="s">
        <v>400</v>
      </c>
      <c r="P3727" s="1" t="s">
        <v>401</v>
      </c>
      <c r="Q3727" s="63" t="s">
        <v>9562</v>
      </c>
      <c r="R3727" s="1" t="s">
        <v>555</v>
      </c>
      <c r="S3727" s="13" t="s">
        <v>28</v>
      </c>
      <c r="BA3727" s="44"/>
      <c r="BB3727" s="44"/>
      <c r="BC3727" s="70"/>
      <c r="BD3727" s="70"/>
      <c r="BE3727" s="70"/>
      <c r="BF3727" s="70"/>
      <c r="BG3727" s="70"/>
      <c r="BH3727" s="70"/>
      <c r="BI3727" s="70"/>
      <c r="BJ3727" s="70"/>
    </row>
    <row r="3728" spans="1:63" ht="12" customHeight="1" x14ac:dyDescent="0.15">
      <c r="A3728" s="1" t="s">
        <v>9568</v>
      </c>
      <c r="B3728" s="1">
        <v>20</v>
      </c>
      <c r="C3728" s="1" t="s">
        <v>20</v>
      </c>
      <c r="D3728" s="1" t="s">
        <v>85</v>
      </c>
      <c r="E3728" s="1" t="s">
        <v>9569</v>
      </c>
      <c r="F3728" s="72">
        <v>41787</v>
      </c>
      <c r="G3728" s="1" t="s">
        <v>9570</v>
      </c>
      <c r="H3728" s="1" t="s">
        <v>6642</v>
      </c>
      <c r="I3728" s="1" t="s">
        <v>669</v>
      </c>
      <c r="J3728" s="4" t="s">
        <v>6643</v>
      </c>
      <c r="K3728" s="1" t="s">
        <v>1183</v>
      </c>
      <c r="L3728" s="1" t="s">
        <v>1184</v>
      </c>
      <c r="M3728" s="1" t="s">
        <v>27</v>
      </c>
      <c r="N3728" s="1" t="s">
        <v>9571</v>
      </c>
      <c r="O3728" s="1" t="s">
        <v>1010</v>
      </c>
      <c r="P3728" s="1" t="s">
        <v>401</v>
      </c>
      <c r="Q3728" s="63" t="s">
        <v>9572</v>
      </c>
      <c r="R3728" s="1" t="s">
        <v>100</v>
      </c>
      <c r="S3728" s="13" t="s">
        <v>28</v>
      </c>
      <c r="AX3728" s="11"/>
      <c r="AY3728" s="11"/>
      <c r="BC3728" s="11"/>
      <c r="BD3728" s="11"/>
      <c r="BE3728" s="11"/>
      <c r="BF3728" s="11"/>
      <c r="BG3728" s="11"/>
      <c r="BH3728" s="11"/>
      <c r="BI3728" s="11"/>
      <c r="BJ3728" s="11"/>
    </row>
    <row r="3729" spans="1:63" ht="12" customHeight="1" x14ac:dyDescent="0.2">
      <c r="A3729" s="1" t="s">
        <v>9573</v>
      </c>
      <c r="B3729" s="1">
        <v>54</v>
      </c>
      <c r="C3729" s="1" t="s">
        <v>20</v>
      </c>
      <c r="D3729" s="1" t="s">
        <v>37</v>
      </c>
      <c r="F3729" s="72">
        <v>41787</v>
      </c>
      <c r="G3729" s="1" t="s">
        <v>9574</v>
      </c>
      <c r="H3729" s="1" t="s">
        <v>9575</v>
      </c>
      <c r="I3729" s="1" t="s">
        <v>431</v>
      </c>
      <c r="J3729" s="4" t="s">
        <v>9576</v>
      </c>
      <c r="K3729" s="1" t="s">
        <v>3288</v>
      </c>
      <c r="L3729" s="1" t="s">
        <v>9577</v>
      </c>
      <c r="M3729" s="1" t="s">
        <v>27</v>
      </c>
      <c r="N3729" s="1" t="s">
        <v>9578</v>
      </c>
      <c r="O3729" s="1" t="s">
        <v>1010</v>
      </c>
      <c r="P3729" s="1" t="s">
        <v>401</v>
      </c>
      <c r="Q3729" s="63" t="s">
        <v>9579</v>
      </c>
      <c r="R3729" s="1" t="s">
        <v>100</v>
      </c>
      <c r="S3729" s="13" t="s">
        <v>28</v>
      </c>
      <c r="BC3729" s="70"/>
      <c r="BD3729" s="70"/>
      <c r="BE3729" s="70"/>
      <c r="BF3729" s="70"/>
      <c r="BG3729" s="70"/>
      <c r="BH3729" s="70"/>
      <c r="BI3729" s="70"/>
      <c r="BJ3729" s="70"/>
    </row>
    <row r="3730" spans="1:63" ht="12" customHeight="1" x14ac:dyDescent="0.2">
      <c r="A3730" s="1" t="s">
        <v>9588</v>
      </c>
      <c r="B3730" s="1">
        <v>29</v>
      </c>
      <c r="C3730" s="1" t="s">
        <v>20</v>
      </c>
      <c r="D3730" s="1" t="s">
        <v>37</v>
      </c>
      <c r="E3730" s="1" t="s">
        <v>9589</v>
      </c>
      <c r="F3730" s="72">
        <v>41786</v>
      </c>
      <c r="G3730" s="1" t="s">
        <v>9590</v>
      </c>
      <c r="H3730" s="1" t="s">
        <v>1567</v>
      </c>
      <c r="I3730" s="1" t="s">
        <v>62</v>
      </c>
      <c r="J3730" s="4" t="s">
        <v>1568</v>
      </c>
      <c r="K3730" s="1" t="s">
        <v>638</v>
      </c>
      <c r="L3730" s="1" t="s">
        <v>1569</v>
      </c>
      <c r="M3730" s="1" t="s">
        <v>27</v>
      </c>
      <c r="N3730" s="1" t="s">
        <v>9591</v>
      </c>
      <c r="O3730" s="1" t="s">
        <v>550</v>
      </c>
      <c r="P3730" s="1" t="s">
        <v>401</v>
      </c>
      <c r="Q3730" s="63" t="s">
        <v>9592</v>
      </c>
      <c r="R3730" s="1" t="s">
        <v>100</v>
      </c>
      <c r="S3730" s="13" t="s">
        <v>28</v>
      </c>
      <c r="BC3730" s="70"/>
      <c r="BD3730" s="70"/>
      <c r="BE3730" s="70"/>
      <c r="BF3730" s="70"/>
      <c r="BG3730" s="70"/>
      <c r="BH3730" s="70"/>
      <c r="BI3730" s="70"/>
      <c r="BJ3730" s="70"/>
    </row>
    <row r="3731" spans="1:63" ht="12" customHeight="1" x14ac:dyDescent="0.2">
      <c r="A3731" s="1" t="s">
        <v>9580</v>
      </c>
      <c r="B3731" s="1">
        <v>42</v>
      </c>
      <c r="C3731" s="1" t="s">
        <v>20</v>
      </c>
      <c r="D3731" s="1" t="s">
        <v>37</v>
      </c>
      <c r="E3731" s="1" t="s">
        <v>9581</v>
      </c>
      <c r="F3731" s="72">
        <v>41786</v>
      </c>
      <c r="G3731" s="1" t="s">
        <v>9582</v>
      </c>
      <c r="H3731" s="1" t="s">
        <v>9583</v>
      </c>
      <c r="I3731" s="1" t="s">
        <v>69</v>
      </c>
      <c r="J3731" s="4" t="s">
        <v>9584</v>
      </c>
      <c r="K3731" s="1" t="s">
        <v>4062</v>
      </c>
      <c r="L3731" s="1" t="s">
        <v>9585</v>
      </c>
      <c r="M3731" s="1" t="s">
        <v>27</v>
      </c>
      <c r="N3731" s="1" t="s">
        <v>9586</v>
      </c>
      <c r="O3731" s="1" t="s">
        <v>550</v>
      </c>
      <c r="P3731" s="1" t="s">
        <v>401</v>
      </c>
      <c r="Q3731" s="63" t="s">
        <v>9587</v>
      </c>
      <c r="R3731" s="1" t="s">
        <v>100</v>
      </c>
      <c r="S3731" s="13" t="s">
        <v>28</v>
      </c>
      <c r="BC3731" s="70"/>
      <c r="BD3731" s="70"/>
      <c r="BE3731" s="70"/>
      <c r="BF3731" s="70"/>
      <c r="BG3731" s="70"/>
      <c r="BH3731" s="70"/>
      <c r="BI3731" s="70"/>
      <c r="BJ3731" s="70"/>
    </row>
    <row r="3732" spans="1:63" ht="12" customHeight="1" x14ac:dyDescent="0.15">
      <c r="A3732" s="1" t="s">
        <v>9598</v>
      </c>
      <c r="B3732" s="1">
        <v>23</v>
      </c>
      <c r="C3732" s="1" t="s">
        <v>20</v>
      </c>
      <c r="D3732" s="1" t="s">
        <v>48</v>
      </c>
      <c r="E3732" s="1" t="s">
        <v>9599</v>
      </c>
      <c r="F3732" s="72">
        <v>41785</v>
      </c>
      <c r="G3732" s="1" t="s">
        <v>9600</v>
      </c>
      <c r="H3732" s="1" t="s">
        <v>489</v>
      </c>
      <c r="I3732" s="1" t="s">
        <v>45</v>
      </c>
      <c r="J3732" s="4" t="s">
        <v>9601</v>
      </c>
      <c r="K3732" s="1" t="s">
        <v>98</v>
      </c>
      <c r="L3732" s="11" t="s">
        <v>414</v>
      </c>
      <c r="M3732" s="1" t="s">
        <v>27</v>
      </c>
      <c r="N3732" s="1" t="s">
        <v>9602</v>
      </c>
      <c r="O3732" s="1" t="s">
        <v>1010</v>
      </c>
      <c r="P3732" s="1" t="s">
        <v>401</v>
      </c>
      <c r="Q3732" s="63" t="s">
        <v>9603</v>
      </c>
      <c r="R3732" s="1" t="s">
        <v>100</v>
      </c>
      <c r="S3732" s="13" t="s">
        <v>28</v>
      </c>
    </row>
    <row r="3733" spans="1:63" ht="12" customHeight="1" x14ac:dyDescent="0.15">
      <c r="A3733" s="1" t="s">
        <v>9593</v>
      </c>
      <c r="B3733" s="1">
        <v>45</v>
      </c>
      <c r="C3733" s="1" t="s">
        <v>20</v>
      </c>
      <c r="D3733" s="1" t="s">
        <v>85</v>
      </c>
      <c r="E3733" s="1" t="s">
        <v>9594</v>
      </c>
      <c r="F3733" s="72">
        <v>41785</v>
      </c>
      <c r="G3733" s="1" t="s">
        <v>9595</v>
      </c>
      <c r="H3733" s="1" t="s">
        <v>1055</v>
      </c>
      <c r="I3733" s="1" t="s">
        <v>69</v>
      </c>
      <c r="J3733" s="4" t="s">
        <v>9596</v>
      </c>
      <c r="K3733" s="1" t="s">
        <v>1056</v>
      </c>
      <c r="L3733" s="1" t="s">
        <v>6011</v>
      </c>
      <c r="M3733" s="1" t="s">
        <v>27</v>
      </c>
      <c r="N3733" s="1" t="s">
        <v>9597</v>
      </c>
      <c r="O3733" s="1" t="s">
        <v>1010</v>
      </c>
      <c r="P3733" s="1" t="s">
        <v>401</v>
      </c>
      <c r="Q3733" s="6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3733" s="1" t="s">
        <v>29</v>
      </c>
      <c r="S3733" s="13" t="s">
        <v>28</v>
      </c>
      <c r="AX3733" s="11"/>
      <c r="AY3733" s="11"/>
      <c r="BC3733" s="11"/>
      <c r="BD3733" s="11"/>
      <c r="BE3733" s="11"/>
      <c r="BF3733" s="11"/>
      <c r="BG3733" s="11"/>
      <c r="BH3733" s="11"/>
      <c r="BI3733" s="11"/>
      <c r="BJ3733" s="11"/>
    </row>
    <row r="3734" spans="1:63" ht="12" customHeight="1" x14ac:dyDescent="0.15">
      <c r="A3734" s="1" t="s">
        <v>9604</v>
      </c>
      <c r="B3734" s="1">
        <v>26</v>
      </c>
      <c r="C3734" s="1" t="s">
        <v>20</v>
      </c>
      <c r="D3734" s="1" t="s">
        <v>85</v>
      </c>
      <c r="E3734" s="1" t="s">
        <v>9605</v>
      </c>
      <c r="F3734" s="72">
        <v>41784</v>
      </c>
      <c r="G3734" s="1" t="s">
        <v>9606</v>
      </c>
      <c r="H3734" s="1" t="s">
        <v>9607</v>
      </c>
      <c r="I3734" s="1" t="s">
        <v>366</v>
      </c>
      <c r="J3734" s="4" t="s">
        <v>9608</v>
      </c>
      <c r="K3734" s="1" t="s">
        <v>9363</v>
      </c>
      <c r="L3734" s="1" t="s">
        <v>20416</v>
      </c>
      <c r="M3734" s="1" t="s">
        <v>27</v>
      </c>
      <c r="N3734" s="1" t="s">
        <v>9609</v>
      </c>
      <c r="O3734" s="1" t="s">
        <v>550</v>
      </c>
      <c r="P3734" s="1" t="s">
        <v>401</v>
      </c>
      <c r="Q3734" s="63" t="s">
        <v>9610</v>
      </c>
      <c r="R3734" s="1" t="s">
        <v>100</v>
      </c>
      <c r="S3734" s="13" t="s">
        <v>18</v>
      </c>
      <c r="AX3734" s="11"/>
      <c r="AY3734" s="11"/>
      <c r="BC3734" s="11"/>
      <c r="BD3734" s="11"/>
      <c r="BE3734" s="11"/>
      <c r="BF3734" s="11"/>
      <c r="BG3734" s="11"/>
      <c r="BH3734" s="11"/>
      <c r="BI3734" s="11"/>
      <c r="BJ3734" s="11"/>
    </row>
    <row r="3735" spans="1:63" ht="12" customHeight="1" x14ac:dyDescent="0.2">
      <c r="A3735" s="1" t="s">
        <v>9611</v>
      </c>
      <c r="B3735" s="1">
        <v>26</v>
      </c>
      <c r="C3735" s="1" t="s">
        <v>20</v>
      </c>
      <c r="D3735" s="1" t="s">
        <v>37</v>
      </c>
      <c r="E3735" s="1" t="s">
        <v>9612</v>
      </c>
      <c r="F3735" s="72">
        <v>41784</v>
      </c>
      <c r="G3735" s="1" t="s">
        <v>9613</v>
      </c>
      <c r="H3735" s="1" t="s">
        <v>430</v>
      </c>
      <c r="I3735" s="1" t="s">
        <v>431</v>
      </c>
      <c r="J3735" s="4" t="s">
        <v>9614</v>
      </c>
      <c r="K3735" s="1" t="s">
        <v>433</v>
      </c>
      <c r="L3735" s="1" t="s">
        <v>434</v>
      </c>
      <c r="M3735" s="1" t="s">
        <v>27</v>
      </c>
      <c r="N3735" s="1" t="s">
        <v>9615</v>
      </c>
      <c r="O3735" s="1" t="s">
        <v>1010</v>
      </c>
      <c r="P3735" s="1" t="s">
        <v>401</v>
      </c>
      <c r="Q3735" s="63" t="s">
        <v>9616</v>
      </c>
      <c r="R3735" s="1" t="s">
        <v>555</v>
      </c>
      <c r="S3735" s="13" t="s">
        <v>28</v>
      </c>
      <c r="BA3735" s="44"/>
      <c r="BB3735" s="44"/>
      <c r="BC3735" s="70"/>
      <c r="BD3735" s="70"/>
      <c r="BE3735" s="70"/>
      <c r="BF3735" s="70"/>
      <c r="BG3735" s="70"/>
      <c r="BH3735" s="70"/>
      <c r="BI3735" s="70"/>
      <c r="BJ3735" s="70"/>
    </row>
    <row r="3736" spans="1:63" ht="12" customHeight="1" x14ac:dyDescent="0.15">
      <c r="A3736" s="1" t="s">
        <v>9622</v>
      </c>
      <c r="B3736" s="1">
        <v>27</v>
      </c>
      <c r="C3736" s="1" t="s">
        <v>20</v>
      </c>
      <c r="D3736" s="1" t="s">
        <v>85</v>
      </c>
      <c r="E3736" s="1" t="s">
        <v>9623</v>
      </c>
      <c r="F3736" s="72">
        <v>41783</v>
      </c>
      <c r="G3736" s="1" t="s">
        <v>9624</v>
      </c>
      <c r="H3736" s="1" t="s">
        <v>9625</v>
      </c>
      <c r="I3736" s="1" t="s">
        <v>423</v>
      </c>
      <c r="J3736" s="4" t="s">
        <v>9626</v>
      </c>
      <c r="K3736" s="1" t="s">
        <v>2463</v>
      </c>
      <c r="L3736" s="1" t="s">
        <v>9627</v>
      </c>
      <c r="M3736" s="1" t="s">
        <v>27</v>
      </c>
      <c r="N3736" s="1" t="s">
        <v>9628</v>
      </c>
      <c r="O3736" s="1" t="s">
        <v>1010</v>
      </c>
      <c r="P3736" s="1" t="s">
        <v>401</v>
      </c>
      <c r="Q3736" s="63" t="s">
        <v>9629</v>
      </c>
      <c r="R3736" s="11" t="s">
        <v>964</v>
      </c>
      <c r="S3736" s="13" t="s">
        <v>28</v>
      </c>
      <c r="AX3736" s="11"/>
      <c r="AY3736" s="11"/>
      <c r="BC3736" s="11"/>
      <c r="BD3736" s="11"/>
      <c r="BE3736" s="11"/>
      <c r="BF3736" s="11"/>
      <c r="BG3736" s="11"/>
      <c r="BH3736" s="11"/>
      <c r="BI3736" s="11"/>
      <c r="BJ3736" s="11"/>
    </row>
    <row r="3737" spans="1:63" ht="12" customHeight="1" x14ac:dyDescent="0.2">
      <c r="A3737" s="1" t="s">
        <v>9644</v>
      </c>
      <c r="B3737" s="1">
        <v>49</v>
      </c>
      <c r="C3737" s="1" t="s">
        <v>20</v>
      </c>
      <c r="D3737" s="1" t="s">
        <v>37</v>
      </c>
      <c r="F3737" s="72">
        <v>41783</v>
      </c>
      <c r="G3737" s="1" t="s">
        <v>9645</v>
      </c>
      <c r="H3737" s="1" t="s">
        <v>9646</v>
      </c>
      <c r="I3737" s="1" t="s">
        <v>45</v>
      </c>
      <c r="J3737" s="4" t="s">
        <v>9647</v>
      </c>
      <c r="K3737" s="1" t="s">
        <v>680</v>
      </c>
      <c r="L3737" s="1" t="s">
        <v>747</v>
      </c>
      <c r="M3737" s="1" t="s">
        <v>27</v>
      </c>
      <c r="N3737" s="1" t="s">
        <v>9648</v>
      </c>
      <c r="O3737" s="1" t="s">
        <v>1010</v>
      </c>
      <c r="P3737" s="1" t="s">
        <v>401</v>
      </c>
      <c r="Q3737" s="63" t="str">
        <f>HYPERLINK("http://www.bakersfieldnow.com/news/local/1-shot-killed-by-KC-deputy-in-Lebec-260562651.html","http://www.bakersfieldnow.com/news/local/1-shot-killed-by-KC-deputy-in-Lebec-260562651.html")</f>
        <v>http://www.bakersfieldnow.com/news/local/1-shot-killed-by-KC-deputy-in-Lebec-260562651.html</v>
      </c>
      <c r="R3737" s="1" t="s">
        <v>100</v>
      </c>
      <c r="S3737" s="13" t="s">
        <v>28</v>
      </c>
      <c r="BC3737" s="70"/>
      <c r="BD3737" s="70"/>
      <c r="BE3737" s="70"/>
      <c r="BF3737" s="70"/>
      <c r="BG3737" s="70"/>
      <c r="BH3737" s="70"/>
      <c r="BI3737" s="70"/>
      <c r="BJ3737" s="70"/>
    </row>
    <row r="3738" spans="1:63" ht="12" customHeight="1" x14ac:dyDescent="0.2">
      <c r="A3738" s="1" t="s">
        <v>9649</v>
      </c>
      <c r="B3738" s="1">
        <v>59</v>
      </c>
      <c r="C3738" s="1" t="s">
        <v>20</v>
      </c>
      <c r="D3738" s="1" t="s">
        <v>37</v>
      </c>
      <c r="E3738" s="1" t="s">
        <v>9650</v>
      </c>
      <c r="F3738" s="72">
        <v>41783</v>
      </c>
      <c r="G3738" s="1" t="s">
        <v>9651</v>
      </c>
      <c r="H3738" s="1" t="s">
        <v>9652</v>
      </c>
      <c r="I3738" s="1" t="s">
        <v>431</v>
      </c>
      <c r="J3738" s="4" t="s">
        <v>9653</v>
      </c>
      <c r="K3738" s="1" t="s">
        <v>5515</v>
      </c>
      <c r="L3738" s="1" t="s">
        <v>9654</v>
      </c>
      <c r="M3738" s="1" t="s">
        <v>27</v>
      </c>
      <c r="N3738" s="1" t="s">
        <v>9655</v>
      </c>
      <c r="O3738" s="1" t="s">
        <v>400</v>
      </c>
      <c r="P3738" s="1" t="s">
        <v>401</v>
      </c>
      <c r="Q3738" s="63" t="s">
        <v>9656</v>
      </c>
      <c r="R3738" s="1" t="s">
        <v>100</v>
      </c>
      <c r="S3738" s="13" t="s">
        <v>28</v>
      </c>
      <c r="BC3738" s="70"/>
      <c r="BD3738" s="70"/>
      <c r="BE3738" s="70"/>
      <c r="BF3738" s="70"/>
      <c r="BG3738" s="70"/>
      <c r="BH3738" s="70"/>
      <c r="BI3738" s="70"/>
      <c r="BJ3738" s="70"/>
    </row>
    <row r="3739" spans="1:63" ht="12" customHeight="1" x14ac:dyDescent="0.15">
      <c r="A3739" s="1" t="s">
        <v>9617</v>
      </c>
      <c r="B3739" s="1">
        <v>62</v>
      </c>
      <c r="C3739" s="1" t="s">
        <v>20</v>
      </c>
      <c r="D3739" s="1" t="s">
        <v>85</v>
      </c>
      <c r="F3739" s="72">
        <v>41783</v>
      </c>
      <c r="G3739" s="1" t="s">
        <v>9618</v>
      </c>
      <c r="H3739" s="1" t="s">
        <v>87</v>
      </c>
      <c r="I3739" s="1" t="s">
        <v>44</v>
      </c>
      <c r="J3739" s="4" t="s">
        <v>9619</v>
      </c>
      <c r="K3739" s="1" t="s">
        <v>88</v>
      </c>
      <c r="L3739" s="1" t="s">
        <v>89</v>
      </c>
      <c r="M3739" s="1" t="s">
        <v>27</v>
      </c>
      <c r="N3739" s="1" t="s">
        <v>9620</v>
      </c>
      <c r="O3739" s="1" t="s">
        <v>1010</v>
      </c>
      <c r="P3739" s="1" t="s">
        <v>401</v>
      </c>
      <c r="Q3739" s="63" t="s">
        <v>9621</v>
      </c>
      <c r="R3739" s="1" t="s">
        <v>29</v>
      </c>
      <c r="S3739" s="13" t="s">
        <v>28</v>
      </c>
      <c r="AX3739" s="11"/>
      <c r="AY3739" s="11"/>
      <c r="BC3739" s="11"/>
      <c r="BD3739" s="11"/>
      <c r="BE3739" s="11"/>
      <c r="BF3739" s="11"/>
      <c r="BG3739" s="11"/>
      <c r="BH3739" s="11"/>
      <c r="BI3739" s="11"/>
      <c r="BJ3739" s="11"/>
    </row>
    <row r="3740" spans="1:63" ht="12" customHeight="1" x14ac:dyDescent="0.15">
      <c r="A3740" s="1" t="s">
        <v>9630</v>
      </c>
      <c r="B3740" s="1">
        <v>17</v>
      </c>
      <c r="C3740" s="1" t="s">
        <v>20</v>
      </c>
      <c r="D3740" s="1" t="s">
        <v>48</v>
      </c>
      <c r="F3740" s="72">
        <v>41783</v>
      </c>
      <c r="G3740" s="1" t="s">
        <v>9631</v>
      </c>
      <c r="H3740" s="1" t="s">
        <v>9632</v>
      </c>
      <c r="I3740" s="1" t="s">
        <v>244</v>
      </c>
      <c r="J3740" s="4" t="s">
        <v>9633</v>
      </c>
      <c r="K3740" s="1" t="s">
        <v>9634</v>
      </c>
      <c r="L3740" s="1" t="s">
        <v>9635</v>
      </c>
      <c r="M3740" s="1" t="s">
        <v>27</v>
      </c>
      <c r="N3740" s="1" t="s">
        <v>9636</v>
      </c>
      <c r="O3740" s="1" t="s">
        <v>550</v>
      </c>
      <c r="P3740" s="1" t="s">
        <v>401</v>
      </c>
      <c r="Q3740" s="63" t="s">
        <v>9637</v>
      </c>
      <c r="R3740" s="1" t="s">
        <v>555</v>
      </c>
      <c r="S3740" s="13" t="s">
        <v>28</v>
      </c>
      <c r="BA3740" s="11"/>
      <c r="BB3740" s="11"/>
    </row>
    <row r="3741" spans="1:63" ht="12" customHeight="1" x14ac:dyDescent="0.2">
      <c r="A3741" s="1" t="s">
        <v>9638</v>
      </c>
      <c r="B3741" s="1">
        <v>54</v>
      </c>
      <c r="C3741" s="1" t="s">
        <v>20</v>
      </c>
      <c r="D3741" s="1" t="s">
        <v>48</v>
      </c>
      <c r="E3741" s="1" t="s">
        <v>9639</v>
      </c>
      <c r="F3741" s="72">
        <v>41783</v>
      </c>
      <c r="G3741" s="1" t="s">
        <v>9640</v>
      </c>
      <c r="H3741" s="1" t="s">
        <v>98</v>
      </c>
      <c r="I3741" s="1" t="s">
        <v>45</v>
      </c>
      <c r="J3741" s="4" t="s">
        <v>3922</v>
      </c>
      <c r="K3741" s="1" t="s">
        <v>98</v>
      </c>
      <c r="L3741" s="1" t="s">
        <v>99</v>
      </c>
      <c r="M3741" s="1" t="s">
        <v>9641</v>
      </c>
      <c r="N3741" s="1" t="s">
        <v>9642</v>
      </c>
      <c r="O3741" s="1" t="s">
        <v>1010</v>
      </c>
      <c r="P3741" s="1" t="s">
        <v>401</v>
      </c>
      <c r="Q3741" s="63" t="s">
        <v>9643</v>
      </c>
      <c r="R3741" s="1" t="s">
        <v>555</v>
      </c>
      <c r="S3741" s="13" t="s">
        <v>18</v>
      </c>
      <c r="AT3741" s="70"/>
      <c r="AU3741" s="70"/>
      <c r="AZ3741" s="11"/>
      <c r="BA3741" s="11"/>
      <c r="BK3741" s="78"/>
    </row>
    <row r="3742" spans="1:63" ht="12" customHeight="1" x14ac:dyDescent="0.15">
      <c r="A3742" s="1" t="s">
        <v>9657</v>
      </c>
      <c r="B3742" s="1">
        <v>42</v>
      </c>
      <c r="C3742" s="1" t="s">
        <v>20</v>
      </c>
      <c r="D3742" s="1" t="s">
        <v>30</v>
      </c>
      <c r="F3742" s="72">
        <v>41782</v>
      </c>
      <c r="G3742" s="1" t="s">
        <v>9658</v>
      </c>
      <c r="H3742" s="1" t="s">
        <v>1640</v>
      </c>
      <c r="I3742" s="1" t="s">
        <v>45</v>
      </c>
      <c r="J3742" s="4" t="s">
        <v>1641</v>
      </c>
      <c r="K3742" s="1" t="s">
        <v>1642</v>
      </c>
      <c r="L3742" s="1" t="s">
        <v>1643</v>
      </c>
      <c r="M3742" s="1" t="s">
        <v>27</v>
      </c>
      <c r="N3742" s="1" t="s">
        <v>9659</v>
      </c>
      <c r="O3742" s="1" t="s">
        <v>4684</v>
      </c>
      <c r="P3742" s="1" t="s">
        <v>401</v>
      </c>
      <c r="Q3742" s="63" t="s">
        <v>9660</v>
      </c>
      <c r="R3742" s="1" t="s">
        <v>100</v>
      </c>
      <c r="S3742" s="13" t="s">
        <v>18</v>
      </c>
    </row>
    <row r="3743" spans="1:63" ht="12" customHeight="1" x14ac:dyDescent="0.2">
      <c r="A3743" s="1" t="s">
        <v>9673</v>
      </c>
      <c r="B3743" s="1">
        <v>34</v>
      </c>
      <c r="C3743" s="1" t="s">
        <v>20</v>
      </c>
      <c r="D3743" s="1" t="s">
        <v>37</v>
      </c>
      <c r="F3743" s="72">
        <v>41781</v>
      </c>
      <c r="G3743" s="1" t="s">
        <v>9674</v>
      </c>
      <c r="H3743" s="1" t="s">
        <v>9675</v>
      </c>
      <c r="I3743" s="1" t="s">
        <v>173</v>
      </c>
      <c r="J3743" s="4" t="s">
        <v>9676</v>
      </c>
      <c r="K3743" s="1" t="s">
        <v>9677</v>
      </c>
      <c r="L3743" s="1" t="s">
        <v>9678</v>
      </c>
      <c r="M3743" s="1" t="s">
        <v>27</v>
      </c>
      <c r="N3743" s="1" t="s">
        <v>9679</v>
      </c>
      <c r="O3743" s="1" t="s">
        <v>550</v>
      </c>
      <c r="P3743" s="1" t="s">
        <v>401</v>
      </c>
      <c r="Q3743" s="63" t="s">
        <v>9680</v>
      </c>
      <c r="R3743" s="11" t="s">
        <v>964</v>
      </c>
      <c r="S3743" s="13" t="s">
        <v>35</v>
      </c>
      <c r="BC3743" s="70"/>
      <c r="BD3743" s="70"/>
      <c r="BE3743" s="70"/>
      <c r="BF3743" s="70"/>
      <c r="BG3743" s="70"/>
      <c r="BH3743" s="70"/>
      <c r="BI3743" s="70"/>
      <c r="BJ3743" s="70"/>
      <c r="BK3743" s="11"/>
    </row>
    <row r="3744" spans="1:63" ht="12" customHeight="1" x14ac:dyDescent="0.15">
      <c r="A3744" s="1" t="s">
        <v>9667</v>
      </c>
      <c r="B3744" s="1" t="s">
        <v>8724</v>
      </c>
      <c r="C3744" s="1" t="s">
        <v>20</v>
      </c>
      <c r="D3744" s="1" t="s">
        <v>48</v>
      </c>
      <c r="E3744" s="1" t="s">
        <v>9668</v>
      </c>
      <c r="F3744" s="72">
        <v>41781</v>
      </c>
      <c r="G3744" s="1" t="s">
        <v>9669</v>
      </c>
      <c r="H3744" s="1" t="s">
        <v>922</v>
      </c>
      <c r="I3744" s="1" t="s">
        <v>195</v>
      </c>
      <c r="J3744" s="4" t="s">
        <v>9670</v>
      </c>
      <c r="K3744" s="1" t="s">
        <v>467</v>
      </c>
      <c r="L3744" s="1" t="s">
        <v>4961</v>
      </c>
      <c r="M3744" s="1" t="s">
        <v>27</v>
      </c>
      <c r="N3744" s="1" t="s">
        <v>9671</v>
      </c>
      <c r="O3744" s="1" t="s">
        <v>29</v>
      </c>
      <c r="P3744" s="1" t="s">
        <v>401</v>
      </c>
      <c r="Q3744" s="63" t="s">
        <v>9672</v>
      </c>
      <c r="R3744" s="1" t="s">
        <v>100</v>
      </c>
      <c r="S3744" s="13" t="s">
        <v>28</v>
      </c>
    </row>
    <row r="3745" spans="1:62" ht="12" customHeight="1" x14ac:dyDescent="0.15">
      <c r="A3745" s="1" t="s">
        <v>9661</v>
      </c>
      <c r="B3745" s="1">
        <v>44</v>
      </c>
      <c r="C3745" s="1" t="s">
        <v>20</v>
      </c>
      <c r="D3745" s="1" t="s">
        <v>85</v>
      </c>
      <c r="E3745" s="1" t="s">
        <v>9662</v>
      </c>
      <c r="F3745" s="72">
        <v>41781</v>
      </c>
      <c r="G3745" s="1" t="s">
        <v>9663</v>
      </c>
      <c r="H3745" s="1" t="s">
        <v>430</v>
      </c>
      <c r="I3745" s="1" t="s">
        <v>363</v>
      </c>
      <c r="J3745" s="4" t="s">
        <v>9664</v>
      </c>
      <c r="K3745" s="1" t="s">
        <v>598</v>
      </c>
      <c r="L3745" s="1" t="s">
        <v>2121</v>
      </c>
      <c r="M3745" s="1" t="s">
        <v>14359</v>
      </c>
      <c r="N3745" s="1" t="s">
        <v>9665</v>
      </c>
      <c r="O3745" s="1" t="s">
        <v>4684</v>
      </c>
      <c r="P3745" s="1" t="s">
        <v>401</v>
      </c>
      <c r="Q3745" s="63" t="s">
        <v>9666</v>
      </c>
      <c r="R3745" s="1" t="s">
        <v>100</v>
      </c>
      <c r="S3745" s="13" t="s">
        <v>18</v>
      </c>
      <c r="AX3745" s="44"/>
      <c r="AY3745" s="44"/>
      <c r="BC3745" s="11"/>
      <c r="BD3745" s="11"/>
      <c r="BE3745" s="11"/>
      <c r="BF3745" s="11"/>
      <c r="BG3745" s="11"/>
      <c r="BH3745" s="11"/>
      <c r="BI3745" s="11"/>
      <c r="BJ3745" s="11"/>
    </row>
    <row r="3746" spans="1:62" ht="12" customHeight="1" x14ac:dyDescent="0.15">
      <c r="A3746" s="1" t="s">
        <v>9681</v>
      </c>
      <c r="B3746" s="1">
        <v>20</v>
      </c>
      <c r="C3746" s="1" t="s">
        <v>20</v>
      </c>
      <c r="D3746" s="1" t="s">
        <v>85</v>
      </c>
      <c r="E3746" s="1" t="s">
        <v>9682</v>
      </c>
      <c r="F3746" s="72">
        <v>41780</v>
      </c>
      <c r="G3746" s="1" t="s">
        <v>9683</v>
      </c>
      <c r="H3746" s="1" t="s">
        <v>1060</v>
      </c>
      <c r="I3746" s="1" t="s">
        <v>62</v>
      </c>
      <c r="J3746" s="4" t="s">
        <v>9684</v>
      </c>
      <c r="K3746" s="1" t="s">
        <v>1061</v>
      </c>
      <c r="L3746" s="1" t="s">
        <v>1062</v>
      </c>
      <c r="M3746" s="1" t="s">
        <v>27</v>
      </c>
      <c r="N3746" s="1" t="s">
        <v>9685</v>
      </c>
      <c r="O3746" s="1" t="s">
        <v>4684</v>
      </c>
      <c r="P3746" s="1" t="s">
        <v>401</v>
      </c>
      <c r="Q3746" s="63" t="s">
        <v>9686</v>
      </c>
      <c r="R3746" s="1" t="s">
        <v>100</v>
      </c>
      <c r="S3746" s="13" t="s">
        <v>28</v>
      </c>
      <c r="AX3746" s="11"/>
      <c r="AY3746" s="11"/>
      <c r="BC3746" s="11"/>
      <c r="BD3746" s="11"/>
      <c r="BE3746" s="11"/>
      <c r="BF3746" s="11"/>
      <c r="BG3746" s="11"/>
      <c r="BH3746" s="11"/>
      <c r="BI3746" s="11"/>
      <c r="BJ3746" s="11"/>
    </row>
    <row r="3747" spans="1:62" ht="12" customHeight="1" x14ac:dyDescent="0.15">
      <c r="A3747" s="1" t="s">
        <v>9687</v>
      </c>
      <c r="B3747" s="1">
        <v>31</v>
      </c>
      <c r="C3747" s="1" t="s">
        <v>20</v>
      </c>
      <c r="D3747" s="1" t="s">
        <v>48</v>
      </c>
      <c r="E3747" s="1" t="s">
        <v>9688</v>
      </c>
      <c r="F3747" s="72">
        <v>41780</v>
      </c>
      <c r="G3747" s="1" t="s">
        <v>9689</v>
      </c>
      <c r="H3747" s="1" t="s">
        <v>1703</v>
      </c>
      <c r="I3747" s="1" t="s">
        <v>209</v>
      </c>
      <c r="J3747" s="4" t="s">
        <v>1704</v>
      </c>
      <c r="K3747" s="1" t="s">
        <v>1705</v>
      </c>
      <c r="L3747" s="1" t="s">
        <v>1706</v>
      </c>
      <c r="M3747" s="1" t="s">
        <v>27</v>
      </c>
      <c r="N3747" s="1" t="s">
        <v>9690</v>
      </c>
      <c r="O3747" s="1" t="s">
        <v>550</v>
      </c>
      <c r="P3747" s="1" t="s">
        <v>401</v>
      </c>
      <c r="Q3747" s="63" t="s">
        <v>9691</v>
      </c>
      <c r="R3747" s="1" t="s">
        <v>100</v>
      </c>
      <c r="S3747" s="13" t="s">
        <v>28</v>
      </c>
    </row>
    <row r="3748" spans="1:62" ht="12" customHeight="1" x14ac:dyDescent="0.2">
      <c r="A3748" s="1" t="s">
        <v>9692</v>
      </c>
      <c r="B3748" s="1">
        <v>28</v>
      </c>
      <c r="C3748" s="1" t="s">
        <v>20</v>
      </c>
      <c r="D3748" s="1" t="s">
        <v>37</v>
      </c>
      <c r="E3748" s="1" t="s">
        <v>9693</v>
      </c>
      <c r="F3748" s="72">
        <v>41780</v>
      </c>
      <c r="G3748" s="1" t="s">
        <v>9694</v>
      </c>
      <c r="H3748" s="1" t="s">
        <v>561</v>
      </c>
      <c r="I3748" s="1" t="s">
        <v>123</v>
      </c>
      <c r="J3748" s="4" t="s">
        <v>7405</v>
      </c>
      <c r="K3748" s="1" t="s">
        <v>562</v>
      </c>
      <c r="L3748" s="1" t="s">
        <v>563</v>
      </c>
      <c r="M3748" s="1" t="s">
        <v>27</v>
      </c>
      <c r="N3748" s="1" t="s">
        <v>9695</v>
      </c>
      <c r="O3748" s="1" t="s">
        <v>4684</v>
      </c>
      <c r="P3748" s="1" t="s">
        <v>401</v>
      </c>
      <c r="Q3748" s="63" t="s">
        <v>9696</v>
      </c>
      <c r="R3748" s="1" t="s">
        <v>100</v>
      </c>
      <c r="S3748" s="13" t="s">
        <v>28</v>
      </c>
      <c r="BC3748" s="70"/>
      <c r="BD3748" s="70"/>
      <c r="BE3748" s="70"/>
      <c r="BF3748" s="70"/>
      <c r="BG3748" s="70"/>
      <c r="BH3748" s="70"/>
      <c r="BI3748" s="70"/>
      <c r="BJ3748" s="70"/>
    </row>
    <row r="3749" spans="1:62" ht="12" customHeight="1" x14ac:dyDescent="0.15">
      <c r="A3749" s="1" t="s">
        <v>9701</v>
      </c>
      <c r="B3749" s="1">
        <v>26</v>
      </c>
      <c r="C3749" s="1" t="s">
        <v>20</v>
      </c>
      <c r="D3749" s="1" t="s">
        <v>48</v>
      </c>
      <c r="E3749" s="1" t="s">
        <v>9702</v>
      </c>
      <c r="F3749" s="72">
        <v>41779</v>
      </c>
      <c r="G3749" s="1" t="s">
        <v>9703</v>
      </c>
      <c r="H3749" s="1" t="s">
        <v>200</v>
      </c>
      <c r="I3749" s="1" t="s">
        <v>45</v>
      </c>
      <c r="J3749" s="4" t="s">
        <v>9704</v>
      </c>
      <c r="K3749" s="1" t="s">
        <v>200</v>
      </c>
      <c r="L3749" s="1" t="s">
        <v>201</v>
      </c>
      <c r="M3749" s="1" t="s">
        <v>27</v>
      </c>
      <c r="N3749" s="1" t="s">
        <v>9705</v>
      </c>
      <c r="O3749" s="1" t="s">
        <v>1010</v>
      </c>
      <c r="P3749" s="1" t="s">
        <v>401</v>
      </c>
      <c r="Q3749" s="63" t="s">
        <v>9706</v>
      </c>
      <c r="R3749" s="11" t="s">
        <v>964</v>
      </c>
      <c r="S3749" s="13" t="s">
        <v>28</v>
      </c>
    </row>
    <row r="3750" spans="1:62" ht="12" customHeight="1" x14ac:dyDescent="0.15">
      <c r="A3750" s="1" t="s">
        <v>9707</v>
      </c>
      <c r="B3750" s="1">
        <v>27</v>
      </c>
      <c r="C3750" s="1" t="s">
        <v>114</v>
      </c>
      <c r="D3750" s="1" t="s">
        <v>30</v>
      </c>
      <c r="F3750" s="72">
        <v>41779</v>
      </c>
      <c r="G3750" s="1" t="s">
        <v>9708</v>
      </c>
      <c r="H3750" s="1" t="s">
        <v>984</v>
      </c>
      <c r="I3750" s="1" t="s">
        <v>73</v>
      </c>
      <c r="J3750" s="4" t="s">
        <v>9709</v>
      </c>
      <c r="K3750" s="1" t="s">
        <v>1056</v>
      </c>
      <c r="L3750" s="1" t="s">
        <v>9710</v>
      </c>
      <c r="M3750" s="1" t="s">
        <v>27</v>
      </c>
      <c r="N3750" s="1" t="s">
        <v>9711</v>
      </c>
      <c r="O3750" s="1" t="s">
        <v>1010</v>
      </c>
      <c r="P3750" s="1" t="s">
        <v>401</v>
      </c>
      <c r="Q3750" s="63" t="s">
        <v>9712</v>
      </c>
      <c r="R3750" s="11" t="s">
        <v>964</v>
      </c>
      <c r="S3750" s="13" t="s">
        <v>28</v>
      </c>
    </row>
    <row r="3751" spans="1:62" ht="12" customHeight="1" x14ac:dyDescent="0.15">
      <c r="A3751" s="1" t="s">
        <v>9697</v>
      </c>
      <c r="B3751" s="1">
        <v>44</v>
      </c>
      <c r="C3751" s="1" t="s">
        <v>20</v>
      </c>
      <c r="D3751" s="1" t="s">
        <v>48</v>
      </c>
      <c r="F3751" s="72">
        <v>41779</v>
      </c>
      <c r="G3751" s="1" t="s">
        <v>9698</v>
      </c>
      <c r="H3751" s="1" t="s">
        <v>6345</v>
      </c>
      <c r="I3751" s="1" t="s">
        <v>45</v>
      </c>
      <c r="J3751" s="4" t="s">
        <v>6346</v>
      </c>
      <c r="K3751" s="1" t="s">
        <v>65</v>
      </c>
      <c r="L3751" s="1" t="s">
        <v>6347</v>
      </c>
      <c r="M3751" s="1" t="s">
        <v>27</v>
      </c>
      <c r="N3751" s="1" t="s">
        <v>9699</v>
      </c>
      <c r="O3751" s="1" t="s">
        <v>4684</v>
      </c>
      <c r="P3751" s="1" t="s">
        <v>401</v>
      </c>
      <c r="Q3751" s="63" t="s">
        <v>9700</v>
      </c>
      <c r="R3751" s="1" t="s">
        <v>100</v>
      </c>
      <c r="S3751" s="13" t="s">
        <v>28</v>
      </c>
    </row>
    <row r="3752" spans="1:62" ht="12" customHeight="1" x14ac:dyDescent="0.15">
      <c r="A3752" s="1" t="s">
        <v>9713</v>
      </c>
      <c r="B3752" s="1">
        <v>39</v>
      </c>
      <c r="C3752" s="1" t="s">
        <v>20</v>
      </c>
      <c r="D3752" s="1" t="s">
        <v>85</v>
      </c>
      <c r="E3752" s="1" t="s">
        <v>9714</v>
      </c>
      <c r="F3752" s="72">
        <v>41778</v>
      </c>
      <c r="G3752" s="1" t="s">
        <v>9715</v>
      </c>
      <c r="H3752" s="1" t="s">
        <v>754</v>
      </c>
      <c r="I3752" s="1" t="s">
        <v>423</v>
      </c>
      <c r="J3752" s="4" t="s">
        <v>9716</v>
      </c>
      <c r="K3752" s="1" t="s">
        <v>754</v>
      </c>
      <c r="L3752" s="1" t="s">
        <v>582</v>
      </c>
      <c r="M3752" s="1" t="s">
        <v>27</v>
      </c>
      <c r="N3752" s="1" t="s">
        <v>9717</v>
      </c>
      <c r="O3752" s="1" t="s">
        <v>1010</v>
      </c>
      <c r="P3752" s="1" t="s">
        <v>401</v>
      </c>
      <c r="Q3752" s="63" t="s">
        <v>9718</v>
      </c>
      <c r="R3752" s="11" t="s">
        <v>964</v>
      </c>
      <c r="S3752" s="13" t="s">
        <v>28</v>
      </c>
      <c r="AX3752" s="11"/>
      <c r="AY3752" s="11"/>
      <c r="BC3752" s="11"/>
      <c r="BD3752" s="11"/>
      <c r="BE3752" s="11"/>
      <c r="BF3752" s="11"/>
      <c r="BG3752" s="11"/>
      <c r="BH3752" s="11"/>
      <c r="BI3752" s="11"/>
      <c r="BJ3752" s="11"/>
    </row>
    <row r="3753" spans="1:62" ht="12" customHeight="1" x14ac:dyDescent="0.15">
      <c r="A3753" s="1" t="s">
        <v>9719</v>
      </c>
      <c r="B3753" s="1">
        <v>37</v>
      </c>
      <c r="C3753" s="1" t="s">
        <v>20</v>
      </c>
      <c r="D3753" s="1" t="s">
        <v>48</v>
      </c>
      <c r="E3753" s="1" t="s">
        <v>9720</v>
      </c>
      <c r="F3753" s="72">
        <v>41778</v>
      </c>
      <c r="G3753" s="1" t="s">
        <v>9721</v>
      </c>
      <c r="H3753" s="1" t="s">
        <v>9722</v>
      </c>
      <c r="I3753" s="1" t="s">
        <v>52</v>
      </c>
      <c r="J3753" s="4" t="s">
        <v>9723</v>
      </c>
      <c r="K3753" s="1" t="s">
        <v>9724</v>
      </c>
      <c r="L3753" s="1" t="s">
        <v>9725</v>
      </c>
      <c r="M3753" s="1" t="s">
        <v>27</v>
      </c>
      <c r="N3753" s="1" t="s">
        <v>9726</v>
      </c>
      <c r="O3753" s="1" t="s">
        <v>1010</v>
      </c>
      <c r="P3753" s="1" t="s">
        <v>401</v>
      </c>
      <c r="Q3753" s="63" t="s">
        <v>9727</v>
      </c>
      <c r="R3753" s="1" t="s">
        <v>100</v>
      </c>
      <c r="S3753" s="13" t="s">
        <v>28</v>
      </c>
    </row>
    <row r="3754" spans="1:62" ht="12" customHeight="1" x14ac:dyDescent="0.15">
      <c r="A3754" s="1" t="s">
        <v>9728</v>
      </c>
      <c r="B3754" s="1">
        <v>56</v>
      </c>
      <c r="C3754" s="1" t="s">
        <v>20</v>
      </c>
      <c r="D3754" s="1" t="s">
        <v>30</v>
      </c>
      <c r="F3754" s="72">
        <v>41778</v>
      </c>
      <c r="G3754" s="1" t="s">
        <v>9729</v>
      </c>
      <c r="H3754" s="1" t="s">
        <v>9730</v>
      </c>
      <c r="I3754" s="1" t="s">
        <v>62</v>
      </c>
      <c r="J3754" s="4" t="s">
        <v>9731</v>
      </c>
      <c r="K3754" s="1" t="s">
        <v>9732</v>
      </c>
      <c r="L3754" s="1" t="s">
        <v>9733</v>
      </c>
      <c r="M3754" s="1" t="s">
        <v>27</v>
      </c>
      <c r="N3754" s="1" t="s">
        <v>9734</v>
      </c>
      <c r="O3754" s="1" t="s">
        <v>1010</v>
      </c>
      <c r="P3754" s="1" t="s">
        <v>401</v>
      </c>
      <c r="Q3754" s="63" t="s">
        <v>9735</v>
      </c>
      <c r="R3754" s="1" t="s">
        <v>100</v>
      </c>
      <c r="S3754" s="13" t="s">
        <v>28</v>
      </c>
    </row>
    <row r="3755" spans="1:62" ht="12" customHeight="1" x14ac:dyDescent="0.2">
      <c r="A3755" s="1" t="s">
        <v>9743</v>
      </c>
      <c r="B3755" s="1">
        <v>25</v>
      </c>
      <c r="C3755" s="1" t="s">
        <v>20</v>
      </c>
      <c r="D3755" s="1" t="s">
        <v>37</v>
      </c>
      <c r="E3755" s="1" t="str">
        <f>HYPERLINK("https://www.facebook.com/curtise.welford","https://www.facebook.com/curtise.welford")</f>
        <v>https://www.facebook.com/curtise.welford</v>
      </c>
      <c r="F3755" s="72">
        <v>41778</v>
      </c>
      <c r="G3755" s="1" t="s">
        <v>9744</v>
      </c>
      <c r="H3755" s="1" t="s">
        <v>9745</v>
      </c>
      <c r="I3755" s="1" t="s">
        <v>669</v>
      </c>
      <c r="J3755" s="4" t="s">
        <v>9746</v>
      </c>
      <c r="K3755" s="1" t="s">
        <v>7055</v>
      </c>
      <c r="L3755" s="1" t="s">
        <v>9747</v>
      </c>
      <c r="M3755" s="1" t="s">
        <v>27</v>
      </c>
      <c r="N3755" s="1" t="s">
        <v>9748</v>
      </c>
      <c r="O3755" s="1" t="s">
        <v>4684</v>
      </c>
      <c r="P3755" s="1" t="s">
        <v>401</v>
      </c>
      <c r="Q3755" s="63" t="s">
        <v>9749</v>
      </c>
      <c r="R3755" s="1" t="s">
        <v>100</v>
      </c>
      <c r="S3755" s="13" t="s">
        <v>28</v>
      </c>
      <c r="BC3755" s="70"/>
      <c r="BD3755" s="70"/>
      <c r="BE3755" s="70"/>
      <c r="BF3755" s="70"/>
      <c r="BG3755" s="70"/>
      <c r="BH3755" s="70"/>
      <c r="BI3755" s="70"/>
      <c r="BJ3755" s="70"/>
    </row>
    <row r="3756" spans="1:62" ht="12" customHeight="1" x14ac:dyDescent="0.15">
      <c r="A3756" s="1" t="s">
        <v>9736</v>
      </c>
      <c r="B3756" s="1">
        <v>41</v>
      </c>
      <c r="C3756" s="1" t="s">
        <v>20</v>
      </c>
      <c r="D3756" s="1" t="s">
        <v>30</v>
      </c>
      <c r="F3756" s="72">
        <v>41778</v>
      </c>
      <c r="G3756" s="1" t="s">
        <v>9737</v>
      </c>
      <c r="H3756" s="1" t="s">
        <v>9738</v>
      </c>
      <c r="I3756" s="1" t="s">
        <v>366</v>
      </c>
      <c r="J3756" s="4" t="s">
        <v>9739</v>
      </c>
      <c r="K3756" s="1" t="s">
        <v>3967</v>
      </c>
      <c r="L3756" s="1" t="s">
        <v>9740</v>
      </c>
      <c r="M3756" s="1" t="s">
        <v>27</v>
      </c>
      <c r="N3756" s="1" t="s">
        <v>9741</v>
      </c>
      <c r="O3756" s="1" t="s">
        <v>1010</v>
      </c>
      <c r="P3756" s="1" t="s">
        <v>401</v>
      </c>
      <c r="Q3756" s="63" t="s">
        <v>9742</v>
      </c>
      <c r="R3756" s="1" t="s">
        <v>29</v>
      </c>
      <c r="S3756" s="13" t="s">
        <v>28</v>
      </c>
    </row>
    <row r="3757" spans="1:62" ht="12" customHeight="1" x14ac:dyDescent="0.15">
      <c r="A3757" s="1" t="s">
        <v>9750</v>
      </c>
      <c r="B3757" s="1">
        <v>21</v>
      </c>
      <c r="C3757" s="1" t="s">
        <v>20</v>
      </c>
      <c r="D3757" s="1" t="s">
        <v>85</v>
      </c>
      <c r="F3757" s="72">
        <v>41777</v>
      </c>
      <c r="G3757" s="1" t="s">
        <v>9751</v>
      </c>
      <c r="H3757" s="1" t="s">
        <v>9752</v>
      </c>
      <c r="I3757" s="1" t="s">
        <v>978</v>
      </c>
      <c r="J3757" s="4" t="s">
        <v>9753</v>
      </c>
      <c r="K3757" s="1" t="s">
        <v>2495</v>
      </c>
      <c r="L3757" s="1" t="s">
        <v>9754</v>
      </c>
      <c r="M3757" s="1" t="s">
        <v>27</v>
      </c>
      <c r="N3757" s="1" t="s">
        <v>9755</v>
      </c>
      <c r="O3757" s="1" t="s">
        <v>1010</v>
      </c>
      <c r="P3757" s="1" t="s">
        <v>401</v>
      </c>
      <c r="Q3757" s="63" t="s">
        <v>9756</v>
      </c>
      <c r="R3757" s="1" t="s">
        <v>100</v>
      </c>
      <c r="S3757" s="13" t="s">
        <v>28</v>
      </c>
      <c r="AF3757" s="11"/>
      <c r="AG3757" s="11"/>
      <c r="AH3757" s="11"/>
      <c r="AX3757" s="11"/>
      <c r="AY3757" s="11"/>
      <c r="BC3757" s="11"/>
      <c r="BD3757" s="11"/>
      <c r="BE3757" s="11"/>
      <c r="BF3757" s="11"/>
      <c r="BG3757" s="11"/>
      <c r="BH3757" s="11"/>
      <c r="BI3757" s="11"/>
      <c r="BJ3757" s="11"/>
    </row>
    <row r="3758" spans="1:62" ht="12" customHeight="1" x14ac:dyDescent="0.2">
      <c r="A3758" s="1" t="s">
        <v>9774</v>
      </c>
      <c r="B3758" s="1">
        <v>47</v>
      </c>
      <c r="C3758" s="1" t="s">
        <v>20</v>
      </c>
      <c r="D3758" s="1" t="s">
        <v>37</v>
      </c>
      <c r="E3758" s="1" t="str">
        <f>HYPERLINK("http://nrvnews.com/wp-content/uploads/2014/05/saunders_thomas_neil.jpg","http://nrvnews.com/wp-content/uploads/2014/05/saunders_thomas_neil.jpg")</f>
        <v>http://nrvnews.com/wp-content/uploads/2014/05/saunders_thomas_neil.jpg</v>
      </c>
      <c r="F3758" s="72">
        <v>41777</v>
      </c>
      <c r="G3758" s="1" t="s">
        <v>9775</v>
      </c>
      <c r="H3758" s="1" t="s">
        <v>9776</v>
      </c>
      <c r="I3758" s="1" t="s">
        <v>244</v>
      </c>
      <c r="J3758" s="4" t="s">
        <v>9777</v>
      </c>
      <c r="K3758" s="1" t="s">
        <v>9778</v>
      </c>
      <c r="L3758" s="1" t="s">
        <v>9779</v>
      </c>
      <c r="M3758" s="1" t="s">
        <v>27</v>
      </c>
      <c r="N3758" s="1" t="s">
        <v>9780</v>
      </c>
      <c r="O3758" s="1" t="s">
        <v>400</v>
      </c>
      <c r="P3758" s="1" t="s">
        <v>401</v>
      </c>
      <c r="Q3758" s="63" t="str">
        <f>HYPERLINK("http://www.wdbj7.com/news/local/developing-story-officerinvolved-shooting-in-giles-county/26045058","http://www.wdbj7.com/news/local/developing-story-officerinvolved-shooting-in-giles-county/26045058")</f>
        <v>http://www.wdbj7.com/news/local/developing-story-officerinvolved-shooting-in-giles-county/26045058</v>
      </c>
      <c r="R3758" s="1" t="s">
        <v>100</v>
      </c>
      <c r="S3758" s="13" t="s">
        <v>28</v>
      </c>
      <c r="BC3758" s="70"/>
      <c r="BD3758" s="70"/>
      <c r="BE3758" s="70"/>
      <c r="BF3758" s="70"/>
      <c r="BG3758" s="70"/>
      <c r="BH3758" s="70"/>
      <c r="BI3758" s="70"/>
      <c r="BJ3758" s="70"/>
    </row>
    <row r="3759" spans="1:62" ht="12" customHeight="1" x14ac:dyDescent="0.2">
      <c r="A3759" s="1" t="s">
        <v>9767</v>
      </c>
      <c r="B3759" s="1">
        <v>26</v>
      </c>
      <c r="C3759" s="1" t="s">
        <v>114</v>
      </c>
      <c r="D3759" s="1" t="s">
        <v>37</v>
      </c>
      <c r="E3759" s="1" t="s">
        <v>9768</v>
      </c>
      <c r="F3759" s="72">
        <v>41777</v>
      </c>
      <c r="G3759" s="1" t="s">
        <v>9769</v>
      </c>
      <c r="H3759" s="1" t="s">
        <v>2160</v>
      </c>
      <c r="I3759" s="1" t="s">
        <v>438</v>
      </c>
      <c r="J3759" s="4" t="s">
        <v>9770</v>
      </c>
      <c r="K3759" s="1" t="s">
        <v>9771</v>
      </c>
      <c r="L3759" s="1" t="s">
        <v>3839</v>
      </c>
      <c r="M3759" s="1" t="s">
        <v>27</v>
      </c>
      <c r="N3759" s="1" t="s">
        <v>9772</v>
      </c>
      <c r="O3759" s="1" t="s">
        <v>1010</v>
      </c>
      <c r="P3759" s="1" t="s">
        <v>401</v>
      </c>
      <c r="Q3759" s="63" t="s">
        <v>9773</v>
      </c>
      <c r="R3759" s="1" t="s">
        <v>100</v>
      </c>
      <c r="S3759" s="13" t="s">
        <v>28</v>
      </c>
      <c r="BC3759" s="70"/>
      <c r="BD3759" s="70"/>
      <c r="BE3759" s="70"/>
      <c r="BF3759" s="70"/>
      <c r="BG3759" s="70"/>
      <c r="BH3759" s="70"/>
      <c r="BI3759" s="70"/>
      <c r="BJ3759" s="70"/>
    </row>
    <row r="3760" spans="1:62" ht="12" customHeight="1" x14ac:dyDescent="0.15">
      <c r="A3760" s="1" t="s">
        <v>9757</v>
      </c>
      <c r="B3760" s="1">
        <v>44</v>
      </c>
      <c r="C3760" s="1" t="s">
        <v>114</v>
      </c>
      <c r="D3760" s="1" t="s">
        <v>30</v>
      </c>
      <c r="F3760" s="72">
        <v>41777</v>
      </c>
      <c r="G3760" s="1" t="s">
        <v>9758</v>
      </c>
      <c r="H3760" s="1" t="s">
        <v>575</v>
      </c>
      <c r="I3760" s="1" t="s">
        <v>73</v>
      </c>
      <c r="J3760" s="4" t="s">
        <v>1580</v>
      </c>
      <c r="K3760" s="1" t="s">
        <v>576</v>
      </c>
      <c r="L3760" s="1" t="s">
        <v>577</v>
      </c>
      <c r="M3760" s="1" t="s">
        <v>27</v>
      </c>
      <c r="N3760" s="1" t="s">
        <v>9759</v>
      </c>
      <c r="O3760" s="1" t="s">
        <v>1010</v>
      </c>
      <c r="P3760" s="1" t="s">
        <v>401</v>
      </c>
      <c r="Q3760" s="63" t="str">
        <f>HYPERLINK("http://www.expressnews.com/news/local/article/Officer-shoots-kills-woman-who-police-said-5490353.php","http://www.expressnews.com/news/local/article/Officer-shoots-kills-woman-who-police-said-5490353.php")</f>
        <v>http://www.expressnews.com/news/local/article/Officer-shoots-kills-woman-who-police-said-5490353.php</v>
      </c>
      <c r="R3760" s="1" t="s">
        <v>29</v>
      </c>
      <c r="S3760" s="13" t="s">
        <v>28</v>
      </c>
    </row>
    <row r="3761" spans="1:63" ht="12" customHeight="1" x14ac:dyDescent="0.2">
      <c r="A3761" s="1" t="s">
        <v>9760</v>
      </c>
      <c r="B3761" s="1">
        <v>24</v>
      </c>
      <c r="C3761" s="1" t="s">
        <v>20</v>
      </c>
      <c r="D3761" s="1" t="s">
        <v>37</v>
      </c>
      <c r="F3761" s="72">
        <v>41777</v>
      </c>
      <c r="G3761" s="1" t="s">
        <v>9761</v>
      </c>
      <c r="H3761" s="1" t="s">
        <v>9762</v>
      </c>
      <c r="I3761" s="1" t="s">
        <v>45</v>
      </c>
      <c r="J3761" s="4" t="s">
        <v>9763</v>
      </c>
      <c r="K3761" s="1" t="s">
        <v>5235</v>
      </c>
      <c r="L3761" s="1" t="s">
        <v>9764</v>
      </c>
      <c r="M3761" s="1" t="s">
        <v>27</v>
      </c>
      <c r="N3761" s="1" t="s">
        <v>9765</v>
      </c>
      <c r="O3761" s="1" t="s">
        <v>1010</v>
      </c>
      <c r="P3761" s="1" t="s">
        <v>401</v>
      </c>
      <c r="Q3761" s="63" t="s">
        <v>9766</v>
      </c>
      <c r="R3761" s="1" t="s">
        <v>555</v>
      </c>
      <c r="S3761" s="13" t="s">
        <v>28</v>
      </c>
      <c r="BA3761" s="44"/>
      <c r="BB3761" s="44"/>
      <c r="BC3761" s="70"/>
      <c r="BD3761" s="70"/>
      <c r="BE3761" s="70"/>
      <c r="BF3761" s="70"/>
      <c r="BG3761" s="70"/>
      <c r="BH3761" s="70"/>
      <c r="BI3761" s="70"/>
      <c r="BJ3761" s="70"/>
    </row>
    <row r="3762" spans="1:63" ht="12" customHeight="1" x14ac:dyDescent="0.15">
      <c r="A3762" s="1" t="s">
        <v>9781</v>
      </c>
      <c r="B3762" s="1">
        <v>34</v>
      </c>
      <c r="C3762" s="1" t="s">
        <v>20</v>
      </c>
      <c r="D3762" s="1" t="s">
        <v>48</v>
      </c>
      <c r="F3762" s="72">
        <v>41776</v>
      </c>
      <c r="G3762" s="1" t="s">
        <v>9782</v>
      </c>
      <c r="H3762" s="1" t="s">
        <v>98</v>
      </c>
      <c r="I3762" s="1" t="s">
        <v>45</v>
      </c>
      <c r="J3762" s="4" t="s">
        <v>9783</v>
      </c>
      <c r="K3762" s="1" t="s">
        <v>98</v>
      </c>
      <c r="L3762" s="1" t="s">
        <v>99</v>
      </c>
      <c r="M3762" s="1" t="s">
        <v>27</v>
      </c>
      <c r="N3762" s="1" t="s">
        <v>9784</v>
      </c>
      <c r="O3762" s="1" t="s">
        <v>4684</v>
      </c>
      <c r="P3762" s="1" t="s">
        <v>401</v>
      </c>
      <c r="Q3762" s="63" t="s">
        <v>9785</v>
      </c>
      <c r="R3762" s="1" t="s">
        <v>100</v>
      </c>
      <c r="S3762" s="13" t="s">
        <v>28</v>
      </c>
    </row>
    <row r="3763" spans="1:63" ht="12" customHeight="1" x14ac:dyDescent="0.15">
      <c r="A3763" s="1" t="s">
        <v>9786</v>
      </c>
      <c r="B3763" s="1">
        <v>30</v>
      </c>
      <c r="C3763" s="1" t="s">
        <v>20</v>
      </c>
      <c r="D3763" s="1" t="s">
        <v>37</v>
      </c>
      <c r="E3763" s="1" t="s">
        <v>9787</v>
      </c>
      <c r="F3763" s="72">
        <v>41776</v>
      </c>
      <c r="G3763" s="1" t="s">
        <v>9788</v>
      </c>
      <c r="H3763" s="1" t="s">
        <v>9789</v>
      </c>
      <c r="I3763" s="1" t="s">
        <v>438</v>
      </c>
      <c r="J3763" s="4" t="s">
        <v>9790</v>
      </c>
      <c r="K3763" s="1" t="s">
        <v>2340</v>
      </c>
      <c r="L3763" s="1" t="s">
        <v>9791</v>
      </c>
      <c r="M3763" s="1" t="s">
        <v>27</v>
      </c>
      <c r="N3763" s="1" t="s">
        <v>9792</v>
      </c>
      <c r="O3763" s="1" t="s">
        <v>1010</v>
      </c>
      <c r="P3763" s="1" t="s">
        <v>401</v>
      </c>
      <c r="Q3763" s="63" t="s">
        <v>9793</v>
      </c>
      <c r="R3763" s="1" t="s">
        <v>100</v>
      </c>
      <c r="S3763" s="13" t="s">
        <v>28</v>
      </c>
    </row>
    <row r="3764" spans="1:63" ht="12" customHeight="1" x14ac:dyDescent="0.15">
      <c r="A3764" s="1" t="s">
        <v>9794</v>
      </c>
      <c r="B3764" s="1">
        <v>24</v>
      </c>
      <c r="C3764" s="1" t="s">
        <v>20</v>
      </c>
      <c r="D3764" s="1" t="s">
        <v>85</v>
      </c>
      <c r="E3764" s="1" t="s">
        <v>9795</v>
      </c>
      <c r="F3764" s="72">
        <v>41775</v>
      </c>
      <c r="G3764" s="1" t="s">
        <v>9796</v>
      </c>
      <c r="H3764" s="1" t="s">
        <v>430</v>
      </c>
      <c r="I3764" s="1" t="s">
        <v>363</v>
      </c>
      <c r="J3764" s="4" t="s">
        <v>9797</v>
      </c>
      <c r="K3764" s="1" t="s">
        <v>598</v>
      </c>
      <c r="L3764" s="1" t="s">
        <v>2121</v>
      </c>
      <c r="M3764" s="1" t="s">
        <v>27</v>
      </c>
      <c r="N3764" s="1" t="s">
        <v>9798</v>
      </c>
      <c r="O3764" s="1" t="s">
        <v>4684</v>
      </c>
      <c r="P3764" s="1" t="s">
        <v>401</v>
      </c>
      <c r="Q3764" s="63" t="str">
        <f>HYPERLINK("http://www.kansascity.com/2014/05/20/5035276/kck-standoff-suspect-killed-by.html","http://www.kansascity.com/2014/05/20/5035276/kck-standoff-suspect-killed-by.html")</f>
        <v>http://www.kansascity.com/2014/05/20/5035276/kck-standoff-suspect-killed-by.html</v>
      </c>
      <c r="R3764" s="1" t="s">
        <v>100</v>
      </c>
      <c r="S3764" s="13" t="s">
        <v>28</v>
      </c>
      <c r="AX3764" s="11"/>
      <c r="AY3764" s="11"/>
      <c r="BC3764" s="11"/>
      <c r="BD3764" s="11"/>
      <c r="BE3764" s="11"/>
      <c r="BF3764" s="11"/>
      <c r="BG3764" s="11"/>
      <c r="BH3764" s="11"/>
      <c r="BI3764" s="11"/>
      <c r="BJ3764" s="11"/>
    </row>
    <row r="3765" spans="1:63" ht="12" customHeight="1" x14ac:dyDescent="0.2">
      <c r="A3765" s="1" t="s">
        <v>9812</v>
      </c>
      <c r="B3765" s="1">
        <v>25</v>
      </c>
      <c r="C3765" s="1" t="s">
        <v>20</v>
      </c>
      <c r="D3765" s="1" t="s">
        <v>85</v>
      </c>
      <c r="E3765" s="1" t="s">
        <v>9813</v>
      </c>
      <c r="F3765" s="72">
        <v>41775</v>
      </c>
      <c r="G3765" s="1" t="s">
        <v>9806</v>
      </c>
      <c r="H3765" s="1" t="s">
        <v>9807</v>
      </c>
      <c r="I3765" s="1" t="s">
        <v>173</v>
      </c>
      <c r="J3765" s="4" t="s">
        <v>9808</v>
      </c>
      <c r="K3765" s="1" t="s">
        <v>7010</v>
      </c>
      <c r="L3765" s="1" t="s">
        <v>9809</v>
      </c>
      <c r="M3765" s="1" t="s">
        <v>379</v>
      </c>
      <c r="N3765" s="1" t="s">
        <v>9810</v>
      </c>
      <c r="O3765" s="1" t="s">
        <v>1010</v>
      </c>
      <c r="P3765" s="1" t="s">
        <v>401</v>
      </c>
      <c r="Q3765" s="63" t="s">
        <v>9811</v>
      </c>
      <c r="R3765" s="1" t="s">
        <v>100</v>
      </c>
      <c r="S3765" s="13" t="s">
        <v>18</v>
      </c>
      <c r="AX3765" s="44"/>
      <c r="AY3765" s="44"/>
      <c r="BC3765" s="11"/>
      <c r="BD3765" s="11"/>
      <c r="BE3765" s="11"/>
      <c r="BF3765" s="11"/>
      <c r="BG3765" s="11"/>
      <c r="BH3765" s="11"/>
      <c r="BI3765" s="11"/>
      <c r="BJ3765" s="11"/>
      <c r="BK3765" s="70"/>
    </row>
    <row r="3766" spans="1:63" ht="12" customHeight="1" x14ac:dyDescent="0.2">
      <c r="A3766" s="1" t="s">
        <v>9804</v>
      </c>
      <c r="B3766" s="1">
        <v>21</v>
      </c>
      <c r="C3766" s="1" t="s">
        <v>20</v>
      </c>
      <c r="D3766" s="1" t="s">
        <v>85</v>
      </c>
      <c r="E3766" s="1" t="s">
        <v>9805</v>
      </c>
      <c r="F3766" s="72">
        <v>41775</v>
      </c>
      <c r="G3766" s="1" t="s">
        <v>9806</v>
      </c>
      <c r="H3766" s="1" t="s">
        <v>9807</v>
      </c>
      <c r="I3766" s="1" t="s">
        <v>173</v>
      </c>
      <c r="J3766" s="4" t="s">
        <v>9808</v>
      </c>
      <c r="K3766" s="1" t="s">
        <v>7010</v>
      </c>
      <c r="L3766" s="1" t="s">
        <v>9809</v>
      </c>
      <c r="M3766" s="1" t="s">
        <v>379</v>
      </c>
      <c r="N3766" s="1" t="s">
        <v>9810</v>
      </c>
      <c r="O3766" s="1" t="s">
        <v>1010</v>
      </c>
      <c r="P3766" s="1" t="s">
        <v>401</v>
      </c>
      <c r="Q3766" s="63" t="s">
        <v>9811</v>
      </c>
      <c r="R3766" s="1" t="s">
        <v>100</v>
      </c>
      <c r="S3766" s="13" t="s">
        <v>18</v>
      </c>
      <c r="AX3766" s="44"/>
      <c r="AY3766" s="44"/>
      <c r="BC3766" s="11"/>
      <c r="BD3766" s="11"/>
      <c r="BE3766" s="11"/>
      <c r="BF3766" s="11"/>
      <c r="BG3766" s="11"/>
      <c r="BH3766" s="11"/>
      <c r="BI3766" s="11"/>
      <c r="BJ3766" s="11"/>
      <c r="BK3766" s="70"/>
    </row>
    <row r="3767" spans="1:63" ht="12" customHeight="1" x14ac:dyDescent="0.15">
      <c r="A3767" s="1" t="s">
        <v>9799</v>
      </c>
      <c r="B3767" s="1">
        <v>45</v>
      </c>
      <c r="C3767" s="1" t="s">
        <v>20</v>
      </c>
      <c r="D3767" s="1" t="s">
        <v>85</v>
      </c>
      <c r="E3767" s="1" t="s">
        <v>9800</v>
      </c>
      <c r="F3767" s="72">
        <v>41775</v>
      </c>
      <c r="G3767" s="1" t="s">
        <v>9801</v>
      </c>
      <c r="H3767" s="1" t="s">
        <v>754</v>
      </c>
      <c r="I3767" s="1" t="s">
        <v>423</v>
      </c>
      <c r="J3767" s="4" t="s">
        <v>9802</v>
      </c>
      <c r="K3767" s="1" t="s">
        <v>754</v>
      </c>
      <c r="L3767" s="1" t="s">
        <v>582</v>
      </c>
      <c r="M3767" s="1" t="s">
        <v>27</v>
      </c>
      <c r="N3767" s="1" t="s">
        <v>9803</v>
      </c>
      <c r="O3767" s="1" t="s">
        <v>400</v>
      </c>
      <c r="P3767" s="1" t="s">
        <v>401</v>
      </c>
      <c r="Q3767" s="63" t="str">
        <f>HYPERLINK("http://www.nbcnewyork.com/news/local/NYPD-Shooting-FDR-Drive-96-Street-259556971.html","http://www.nbcnewyork.com/news/local/NYPD-Shooting-FDR-Drive-96-Street-259556971.html")</f>
        <v>http://www.nbcnewyork.com/news/local/NYPD-Shooting-FDR-Drive-96-Street-259556971.html</v>
      </c>
      <c r="R3767" s="1" t="s">
        <v>29</v>
      </c>
      <c r="S3767" s="13" t="s">
        <v>28</v>
      </c>
      <c r="AX3767" s="11"/>
      <c r="AY3767" s="11"/>
      <c r="BC3767" s="11"/>
      <c r="BD3767" s="11"/>
      <c r="BE3767" s="11"/>
      <c r="BF3767" s="11"/>
      <c r="BG3767" s="11"/>
      <c r="BH3767" s="11"/>
      <c r="BI3767" s="11"/>
      <c r="BJ3767" s="11"/>
    </row>
    <row r="3768" spans="1:63" ht="12" customHeight="1" x14ac:dyDescent="0.15">
      <c r="A3768" s="1" t="s">
        <v>9814</v>
      </c>
      <c r="B3768" s="1">
        <v>47</v>
      </c>
      <c r="C3768" s="1" t="s">
        <v>20</v>
      </c>
      <c r="D3768" s="1" t="s">
        <v>30</v>
      </c>
      <c r="F3768" s="72">
        <v>41775</v>
      </c>
      <c r="G3768" s="1" t="s">
        <v>9815</v>
      </c>
      <c r="H3768" s="1" t="s">
        <v>9816</v>
      </c>
      <c r="I3768" s="1" t="s">
        <v>25</v>
      </c>
      <c r="J3768" s="4" t="s">
        <v>9817</v>
      </c>
      <c r="K3768" s="1" t="s">
        <v>1778</v>
      </c>
      <c r="L3768" s="1" t="s">
        <v>2425</v>
      </c>
      <c r="M3768" s="1" t="s">
        <v>27</v>
      </c>
      <c r="N3768" s="1" t="s">
        <v>9818</v>
      </c>
      <c r="O3768" s="1" t="s">
        <v>4684</v>
      </c>
      <c r="P3768" s="1" t="s">
        <v>401</v>
      </c>
      <c r="Q3768" s="63" t="s">
        <v>9819</v>
      </c>
      <c r="R3768" s="1" t="s">
        <v>29</v>
      </c>
      <c r="S3768" s="13" t="s">
        <v>28</v>
      </c>
    </row>
    <row r="3769" spans="1:63" ht="12" customHeight="1" x14ac:dyDescent="0.2">
      <c r="A3769" s="1" t="s">
        <v>9827</v>
      </c>
      <c r="B3769" s="1">
        <v>36</v>
      </c>
      <c r="C3769" s="1" t="s">
        <v>20</v>
      </c>
      <c r="D3769" s="1" t="s">
        <v>37</v>
      </c>
      <c r="E3769" s="1" t="s">
        <v>9828</v>
      </c>
      <c r="F3769" s="72">
        <v>41775</v>
      </c>
      <c r="G3769" s="1" t="s">
        <v>9829</v>
      </c>
      <c r="H3769" s="1" t="s">
        <v>9830</v>
      </c>
      <c r="I3769" s="1" t="s">
        <v>62</v>
      </c>
      <c r="J3769" s="4" t="s">
        <v>9831</v>
      </c>
      <c r="K3769" s="1" t="s">
        <v>2309</v>
      </c>
      <c r="L3769" s="1" t="s">
        <v>9832</v>
      </c>
      <c r="M3769" s="1" t="s">
        <v>27</v>
      </c>
      <c r="N3769" s="1" t="s">
        <v>9833</v>
      </c>
      <c r="O3769" s="1" t="s">
        <v>1010</v>
      </c>
      <c r="P3769" s="1" t="s">
        <v>401</v>
      </c>
      <c r="Q3769" s="63" t="s">
        <v>9834</v>
      </c>
      <c r="R3769" s="1" t="s">
        <v>29</v>
      </c>
      <c r="S3769" s="13" t="s">
        <v>28</v>
      </c>
      <c r="BA3769" s="70"/>
      <c r="BB3769" s="70"/>
    </row>
    <row r="3770" spans="1:63" ht="12" customHeight="1" x14ac:dyDescent="0.2">
      <c r="A3770" s="1" t="s">
        <v>9820</v>
      </c>
      <c r="B3770" s="1">
        <v>38</v>
      </c>
      <c r="C3770" s="1" t="s">
        <v>20</v>
      </c>
      <c r="D3770" s="1" t="s">
        <v>37</v>
      </c>
      <c r="E3770" s="1" t="s">
        <v>9821</v>
      </c>
      <c r="F3770" s="72">
        <v>41775</v>
      </c>
      <c r="G3770" s="1" t="s">
        <v>9822</v>
      </c>
      <c r="H3770" s="1" t="s">
        <v>9823</v>
      </c>
      <c r="I3770" s="1" t="s">
        <v>315</v>
      </c>
      <c r="J3770" s="4" t="s">
        <v>9824</v>
      </c>
      <c r="K3770" s="1" t="s">
        <v>7293</v>
      </c>
      <c r="L3770" s="1" t="s">
        <v>3367</v>
      </c>
      <c r="M3770" s="1" t="s">
        <v>27</v>
      </c>
      <c r="N3770" s="1" t="s">
        <v>9825</v>
      </c>
      <c r="O3770" s="1" t="s">
        <v>4684</v>
      </c>
      <c r="P3770" s="1" t="s">
        <v>401</v>
      </c>
      <c r="Q3770" s="63" t="s">
        <v>9826</v>
      </c>
      <c r="R3770" s="1" t="s">
        <v>29</v>
      </c>
      <c r="S3770" s="13" t="s">
        <v>28</v>
      </c>
      <c r="BA3770" s="70"/>
      <c r="BB3770" s="70"/>
    </row>
    <row r="3771" spans="1:63" ht="12" customHeight="1" x14ac:dyDescent="0.15">
      <c r="A3771" s="1" t="s">
        <v>9846</v>
      </c>
      <c r="B3771" s="1">
        <v>43</v>
      </c>
      <c r="C3771" s="1" t="s">
        <v>20</v>
      </c>
      <c r="D3771" s="1" t="s">
        <v>37</v>
      </c>
      <c r="E3771" s="1" t="s">
        <v>9847</v>
      </c>
      <c r="F3771" s="72">
        <v>41774</v>
      </c>
      <c r="G3771" s="1" t="s">
        <v>9848</v>
      </c>
      <c r="H3771" s="1" t="s">
        <v>9849</v>
      </c>
      <c r="I3771" s="1" t="s">
        <v>62</v>
      </c>
      <c r="J3771" s="4" t="s">
        <v>9850</v>
      </c>
      <c r="K3771" s="1" t="s">
        <v>4353</v>
      </c>
      <c r="L3771" s="1" t="s">
        <v>5400</v>
      </c>
      <c r="M3771" s="1" t="s">
        <v>27</v>
      </c>
      <c r="N3771" s="1" t="s">
        <v>9851</v>
      </c>
      <c r="O3771" s="1" t="s">
        <v>1010</v>
      </c>
      <c r="P3771" s="1" t="s">
        <v>401</v>
      </c>
      <c r="Q3771" s="63" t="s">
        <v>9852</v>
      </c>
      <c r="R3771" s="1" t="s">
        <v>100</v>
      </c>
      <c r="S3771" s="13" t="s">
        <v>28</v>
      </c>
    </row>
    <row r="3772" spans="1:63" ht="12" customHeight="1" x14ac:dyDescent="0.15">
      <c r="A3772" s="1" t="s">
        <v>9840</v>
      </c>
      <c r="B3772" s="1">
        <v>29</v>
      </c>
      <c r="C3772" s="1" t="s">
        <v>20</v>
      </c>
      <c r="D3772" s="1" t="s">
        <v>37</v>
      </c>
      <c r="F3772" s="72">
        <v>41774</v>
      </c>
      <c r="G3772" s="1" t="s">
        <v>9841</v>
      </c>
      <c r="H3772" s="1" t="s">
        <v>3897</v>
      </c>
      <c r="I3772" s="1" t="s">
        <v>46</v>
      </c>
      <c r="J3772" s="4" t="s">
        <v>9842</v>
      </c>
      <c r="K3772" s="1" t="s">
        <v>528</v>
      </c>
      <c r="L3772" s="1" t="s">
        <v>9843</v>
      </c>
      <c r="M3772" s="1" t="s">
        <v>27</v>
      </c>
      <c r="N3772" s="1" t="s">
        <v>9844</v>
      </c>
      <c r="O3772" s="1" t="s">
        <v>1010</v>
      </c>
      <c r="P3772" s="1" t="s">
        <v>401</v>
      </c>
      <c r="Q3772" s="63" t="s">
        <v>9845</v>
      </c>
      <c r="R3772" s="1" t="s">
        <v>100</v>
      </c>
      <c r="S3772" s="13" t="s">
        <v>28</v>
      </c>
    </row>
    <row r="3773" spans="1:63" ht="12" customHeight="1" x14ac:dyDescent="0.15">
      <c r="A3773" s="1" t="s">
        <v>9835</v>
      </c>
      <c r="B3773" s="1">
        <v>57</v>
      </c>
      <c r="C3773" s="1" t="s">
        <v>114</v>
      </c>
      <c r="D3773" s="1" t="s">
        <v>37</v>
      </c>
      <c r="E3773" s="1" t="s">
        <v>9836</v>
      </c>
      <c r="F3773" s="72">
        <v>41774</v>
      </c>
      <c r="G3773" s="1" t="s">
        <v>9837</v>
      </c>
      <c r="H3773" s="1" t="s">
        <v>6088</v>
      </c>
      <c r="I3773" s="1" t="s">
        <v>45</v>
      </c>
      <c r="J3773" s="4" t="s">
        <v>9838</v>
      </c>
      <c r="K3773" s="1" t="s">
        <v>4500</v>
      </c>
      <c r="L3773" s="1" t="s">
        <v>6090</v>
      </c>
      <c r="M3773" s="1" t="s">
        <v>27</v>
      </c>
      <c r="N3773" s="1" t="s">
        <v>9839</v>
      </c>
      <c r="O3773" s="1" t="s">
        <v>400</v>
      </c>
      <c r="P3773" s="1" t="s">
        <v>401</v>
      </c>
      <c r="Q3773" s="63" t="str">
        <f>HYPERLINK("http://www.mercurynews.com/my-town/ci_25773669/concord-police-shoot-kill-suspect-thursday-evening","http://www.mercurynews.com/my-town/ci_25773669/concord-police-shoot-kill-suspect-thursday-evening")</f>
        <v>http://www.mercurynews.com/my-town/ci_25773669/concord-police-shoot-kill-suspect-thursday-evening</v>
      </c>
      <c r="R3773" s="1" t="s">
        <v>555</v>
      </c>
      <c r="S3773" s="13" t="s">
        <v>28</v>
      </c>
      <c r="BA3773" s="44"/>
      <c r="BB3773" s="44"/>
    </row>
    <row r="3774" spans="1:63" ht="12" customHeight="1" x14ac:dyDescent="0.15">
      <c r="A3774" s="1" t="s">
        <v>9853</v>
      </c>
      <c r="B3774" s="1">
        <v>22</v>
      </c>
      <c r="C3774" s="1" t="s">
        <v>20</v>
      </c>
      <c r="D3774" s="1" t="s">
        <v>48</v>
      </c>
      <c r="E3774" s="1" t="s">
        <v>9854</v>
      </c>
      <c r="F3774" s="72">
        <v>41773</v>
      </c>
      <c r="G3774" s="1" t="s">
        <v>9855</v>
      </c>
      <c r="H3774" s="1" t="s">
        <v>8550</v>
      </c>
      <c r="I3774" s="1" t="s">
        <v>73</v>
      </c>
      <c r="J3774" s="4" t="s">
        <v>9856</v>
      </c>
      <c r="K3774" s="1" t="s">
        <v>683</v>
      </c>
      <c r="L3774" s="1" t="s">
        <v>8552</v>
      </c>
      <c r="M3774" s="1" t="s">
        <v>27</v>
      </c>
      <c r="N3774" s="1" t="s">
        <v>9857</v>
      </c>
      <c r="O3774" s="1" t="s">
        <v>1010</v>
      </c>
      <c r="P3774" s="1" t="s">
        <v>401</v>
      </c>
      <c r="Q3774" s="63" t="s">
        <v>9858</v>
      </c>
      <c r="R3774" s="1" t="s">
        <v>100</v>
      </c>
      <c r="S3774" s="13" t="s">
        <v>28</v>
      </c>
    </row>
    <row r="3775" spans="1:63" ht="12" customHeight="1" x14ac:dyDescent="0.15">
      <c r="A3775" s="1" t="s">
        <v>9863</v>
      </c>
      <c r="B3775" s="1">
        <v>41</v>
      </c>
      <c r="C3775" s="1" t="s">
        <v>20</v>
      </c>
      <c r="D3775" s="1" t="s">
        <v>37</v>
      </c>
      <c r="E3775" s="1" t="s">
        <v>9864</v>
      </c>
      <c r="F3775" s="72">
        <v>41772</v>
      </c>
      <c r="G3775" s="1" t="s">
        <v>9865</v>
      </c>
      <c r="H3775" s="1" t="s">
        <v>9866</v>
      </c>
      <c r="I3775" s="1" t="s">
        <v>62</v>
      </c>
      <c r="J3775" s="4" t="s">
        <v>9867</v>
      </c>
      <c r="K3775" s="1" t="s">
        <v>5988</v>
      </c>
      <c r="L3775" s="1" t="s">
        <v>5989</v>
      </c>
      <c r="M3775" s="1" t="s">
        <v>27</v>
      </c>
      <c r="N3775" s="1" t="s">
        <v>9868</v>
      </c>
      <c r="O3775" s="1" t="s">
        <v>1010</v>
      </c>
      <c r="P3775" s="1" t="s">
        <v>401</v>
      </c>
      <c r="Q3775" s="63" t="s">
        <v>9869</v>
      </c>
      <c r="R3775" s="1" t="s">
        <v>100</v>
      </c>
      <c r="S3775" s="13" t="s">
        <v>28</v>
      </c>
    </row>
    <row r="3776" spans="1:63" ht="12" customHeight="1" x14ac:dyDescent="0.2">
      <c r="A3776" s="1" t="s">
        <v>9870</v>
      </c>
      <c r="B3776" s="1">
        <v>50</v>
      </c>
      <c r="C3776" s="1" t="s">
        <v>114</v>
      </c>
      <c r="D3776" s="1" t="s">
        <v>37</v>
      </c>
      <c r="E3776" s="1" t="s">
        <v>9871</v>
      </c>
      <c r="F3776" s="72">
        <v>41772</v>
      </c>
      <c r="G3776" s="1" t="s">
        <v>9872</v>
      </c>
      <c r="H3776" s="1" t="s">
        <v>4182</v>
      </c>
      <c r="I3776" s="1" t="s">
        <v>431</v>
      </c>
      <c r="J3776" s="4" t="s">
        <v>4183</v>
      </c>
      <c r="K3776" s="1" t="s">
        <v>4946</v>
      </c>
      <c r="L3776" s="1" t="s">
        <v>9873</v>
      </c>
      <c r="M3776" s="1" t="s">
        <v>27</v>
      </c>
      <c r="N3776" s="1" t="s">
        <v>9874</v>
      </c>
      <c r="O3776" s="1" t="s">
        <v>550</v>
      </c>
      <c r="P3776" s="1" t="s">
        <v>401</v>
      </c>
      <c r="Q3776" s="63" t="s">
        <v>9875</v>
      </c>
      <c r="R3776" s="1" t="s">
        <v>29</v>
      </c>
      <c r="S3776" s="13" t="s">
        <v>28</v>
      </c>
      <c r="BA3776" s="70"/>
      <c r="BB3776" s="70"/>
    </row>
    <row r="3777" spans="1:63" ht="12" customHeight="1" x14ac:dyDescent="0.15">
      <c r="A3777" s="1" t="s">
        <v>9859</v>
      </c>
      <c r="B3777" s="1">
        <v>31</v>
      </c>
      <c r="C3777" s="1" t="s">
        <v>20</v>
      </c>
      <c r="D3777" s="1" t="s">
        <v>85</v>
      </c>
      <c r="E3777" s="1" t="s">
        <v>9860</v>
      </c>
      <c r="F3777" s="72">
        <v>41772</v>
      </c>
      <c r="G3777" s="1" t="s">
        <v>9861</v>
      </c>
      <c r="H3777" s="1" t="s">
        <v>723</v>
      </c>
      <c r="I3777" s="1" t="s">
        <v>73</v>
      </c>
      <c r="J3777" s="4">
        <v>77048</v>
      </c>
      <c r="K3777" s="1" t="s">
        <v>558</v>
      </c>
      <c r="L3777" s="1" t="s">
        <v>724</v>
      </c>
      <c r="M3777" s="1" t="s">
        <v>2291</v>
      </c>
      <c r="N3777" s="1" t="s">
        <v>9862</v>
      </c>
      <c r="O3777" s="1" t="s">
        <v>1010</v>
      </c>
      <c r="P3777" s="1" t="s">
        <v>401</v>
      </c>
      <c r="Q3777" s="63" t="str">
        <f>HYPERLINK("http://www.houstontx.gov/police/nr/2014/may/nr051314-3.htm","http://www.houstontx.gov/police/nr/2014/may/nr051314-3.htm")</f>
        <v>http://www.houstontx.gov/police/nr/2014/may/nr051314-3.htm</v>
      </c>
      <c r="R3777" s="1" t="s">
        <v>555</v>
      </c>
      <c r="S3777" s="13" t="s">
        <v>18</v>
      </c>
      <c r="AX3777" s="44"/>
      <c r="AY3777" s="44"/>
      <c r="BA3777" s="11"/>
      <c r="BB3777" s="11"/>
      <c r="BC3777" s="44"/>
      <c r="BD3777" s="44"/>
      <c r="BE3777" s="44"/>
      <c r="BF3777" s="44"/>
      <c r="BG3777" s="44"/>
      <c r="BH3777" s="44"/>
      <c r="BI3777" s="44"/>
      <c r="BJ3777" s="44"/>
    </row>
    <row r="3778" spans="1:63" ht="12" customHeight="1" x14ac:dyDescent="0.15">
      <c r="A3778" s="1" t="s">
        <v>9876</v>
      </c>
      <c r="B3778" s="1">
        <v>21</v>
      </c>
      <c r="C3778" s="1" t="s">
        <v>20</v>
      </c>
      <c r="D3778" s="1" t="s">
        <v>85</v>
      </c>
      <c r="E3778" s="1" t="s">
        <v>9877</v>
      </c>
      <c r="F3778" s="72">
        <v>41771</v>
      </c>
      <c r="G3778" s="1" t="s">
        <v>9878</v>
      </c>
      <c r="H3778" s="1" t="s">
        <v>9879</v>
      </c>
      <c r="I3778" s="1" t="s">
        <v>45</v>
      </c>
      <c r="J3778" s="4" t="s">
        <v>9880</v>
      </c>
      <c r="K3778" s="1" t="s">
        <v>98</v>
      </c>
      <c r="L3778" s="1" t="s">
        <v>99</v>
      </c>
      <c r="M3778" s="1" t="s">
        <v>27</v>
      </c>
      <c r="N3778" s="1" t="s">
        <v>9881</v>
      </c>
      <c r="O3778" s="1" t="s">
        <v>1010</v>
      </c>
      <c r="P3778" s="1" t="s">
        <v>401</v>
      </c>
      <c r="Q3778" s="63" t="s">
        <v>9882</v>
      </c>
      <c r="R3778" s="1" t="s">
        <v>100</v>
      </c>
      <c r="S3778" s="13" t="s">
        <v>28</v>
      </c>
      <c r="AX3778" s="11"/>
      <c r="AY3778" s="11"/>
      <c r="BC3778" s="11"/>
      <c r="BD3778" s="11"/>
      <c r="BE3778" s="11"/>
      <c r="BF3778" s="11"/>
      <c r="BG3778" s="11"/>
      <c r="BH3778" s="11"/>
      <c r="BI3778" s="11"/>
      <c r="BJ3778" s="11"/>
    </row>
    <row r="3779" spans="1:63" ht="12" customHeight="1" x14ac:dyDescent="0.15">
      <c r="A3779" s="1" t="s">
        <v>9883</v>
      </c>
      <c r="B3779" s="1">
        <v>39</v>
      </c>
      <c r="C3779" s="1" t="s">
        <v>20</v>
      </c>
      <c r="D3779" s="1" t="s">
        <v>85</v>
      </c>
      <c r="E3779" s="1" t="s">
        <v>9884</v>
      </c>
      <c r="F3779" s="72">
        <v>41771</v>
      </c>
      <c r="G3779" s="1" t="s">
        <v>9885</v>
      </c>
      <c r="H3779" s="1" t="s">
        <v>3498</v>
      </c>
      <c r="I3779" s="1" t="s">
        <v>62</v>
      </c>
      <c r="J3779" s="4" t="s">
        <v>9886</v>
      </c>
      <c r="K3779" s="1" t="s">
        <v>3500</v>
      </c>
      <c r="L3779" s="1" t="s">
        <v>3501</v>
      </c>
      <c r="M3779" s="1" t="s">
        <v>27</v>
      </c>
      <c r="N3779" s="1" t="s">
        <v>9887</v>
      </c>
      <c r="O3779" s="1" t="s">
        <v>550</v>
      </c>
      <c r="P3779" s="1" t="s">
        <v>401</v>
      </c>
      <c r="Q3779" s="63" t="s">
        <v>9888</v>
      </c>
      <c r="R3779" s="1" t="s">
        <v>100</v>
      </c>
      <c r="S3779" s="13" t="s">
        <v>28</v>
      </c>
      <c r="AX3779" s="11"/>
      <c r="AY3779" s="11"/>
      <c r="BC3779" s="11"/>
      <c r="BD3779" s="11"/>
      <c r="BE3779" s="11"/>
      <c r="BF3779" s="11"/>
      <c r="BG3779" s="11"/>
      <c r="BH3779" s="11"/>
      <c r="BI3779" s="11"/>
      <c r="BJ3779" s="11"/>
    </row>
    <row r="3780" spans="1:63" ht="12" customHeight="1" x14ac:dyDescent="0.15">
      <c r="A3780" s="1" t="s">
        <v>9889</v>
      </c>
      <c r="B3780" s="1">
        <v>39</v>
      </c>
      <c r="C3780" s="1" t="s">
        <v>20</v>
      </c>
      <c r="D3780" s="1" t="s">
        <v>37</v>
      </c>
      <c r="E3780" s="1" t="s">
        <v>9890</v>
      </c>
      <c r="F3780" s="72">
        <v>41771</v>
      </c>
      <c r="G3780" s="1" t="s">
        <v>9891</v>
      </c>
      <c r="H3780" s="1" t="s">
        <v>9892</v>
      </c>
      <c r="I3780" s="1" t="s">
        <v>94</v>
      </c>
      <c r="J3780" s="4" t="s">
        <v>9893</v>
      </c>
      <c r="K3780" s="1" t="s">
        <v>723</v>
      </c>
      <c r="L3780" s="1" t="s">
        <v>9894</v>
      </c>
      <c r="M3780" s="1" t="s">
        <v>27</v>
      </c>
      <c r="N3780" s="1" t="s">
        <v>9895</v>
      </c>
      <c r="O3780" s="1" t="s">
        <v>1010</v>
      </c>
      <c r="P3780" s="1" t="s">
        <v>401</v>
      </c>
      <c r="Q3780" s="63" t="s">
        <v>9896</v>
      </c>
      <c r="R3780" s="1" t="s">
        <v>100</v>
      </c>
      <c r="S3780" s="13" t="s">
        <v>28</v>
      </c>
    </row>
    <row r="3781" spans="1:63" ht="12" customHeight="1" x14ac:dyDescent="0.15">
      <c r="A3781" s="1" t="s">
        <v>9897</v>
      </c>
      <c r="B3781" s="1">
        <v>69</v>
      </c>
      <c r="C3781" s="1" t="s">
        <v>114</v>
      </c>
      <c r="D3781" s="1" t="s">
        <v>37</v>
      </c>
      <c r="E3781" s="1" t="s">
        <v>9898</v>
      </c>
      <c r="F3781" s="72">
        <v>41771</v>
      </c>
      <c r="G3781" s="1" t="s">
        <v>9899</v>
      </c>
      <c r="H3781" s="1" t="s">
        <v>9900</v>
      </c>
      <c r="I3781" s="1" t="s">
        <v>404</v>
      </c>
      <c r="J3781" s="4" t="s">
        <v>9901</v>
      </c>
      <c r="K3781" s="1" t="s">
        <v>9902</v>
      </c>
      <c r="L3781" s="1" t="s">
        <v>9903</v>
      </c>
      <c r="M3781" s="1" t="s">
        <v>379</v>
      </c>
      <c r="N3781" s="1" t="s">
        <v>9904</v>
      </c>
      <c r="O3781" s="1" t="s">
        <v>400</v>
      </c>
      <c r="P3781" s="1" t="s">
        <v>401</v>
      </c>
      <c r="Q3781" s="63" t="s">
        <v>9905</v>
      </c>
      <c r="R3781" s="1" t="s">
        <v>100</v>
      </c>
      <c r="S3781" s="66" t="s">
        <v>379</v>
      </c>
      <c r="T3781" s="66" t="s">
        <v>30738</v>
      </c>
    </row>
    <row r="3782" spans="1:63" ht="12" customHeight="1" x14ac:dyDescent="0.15">
      <c r="A3782" s="1" t="s">
        <v>9921</v>
      </c>
      <c r="B3782" s="1">
        <v>37</v>
      </c>
      <c r="C3782" s="1" t="s">
        <v>20</v>
      </c>
      <c r="D3782" s="1" t="s">
        <v>85</v>
      </c>
      <c r="F3782" s="72">
        <v>41770</v>
      </c>
      <c r="G3782" s="1" t="s">
        <v>9922</v>
      </c>
      <c r="H3782" s="1" t="s">
        <v>87</v>
      </c>
      <c r="I3782" s="1" t="s">
        <v>44</v>
      </c>
      <c r="J3782" s="4" t="s">
        <v>9923</v>
      </c>
      <c r="K3782" s="1" t="s">
        <v>88</v>
      </c>
      <c r="L3782" s="1" t="s">
        <v>89</v>
      </c>
      <c r="M3782" s="1" t="s">
        <v>27</v>
      </c>
      <c r="N3782" s="1" t="s">
        <v>9924</v>
      </c>
      <c r="O3782" s="1" t="s">
        <v>1010</v>
      </c>
      <c r="P3782" s="1" t="s">
        <v>401</v>
      </c>
      <c r="Q3782" s="63" t="str">
        <f>HYPERLINK("http://www.suntimes.com/27377311-761/armed-man-shot-by-police-on-west-side-dies.html#.U3DGe-hX-uY","http://www.suntimes.com/27377311-761/armed-man-shot-by-police-on-west-side-dies.html#.U3DGe-hX-uY")</f>
        <v>http://www.suntimes.com/27377311-761/armed-man-shot-by-police-on-west-side-dies.html#.U3DGe-hX-uY</v>
      </c>
      <c r="R3782" s="1" t="s">
        <v>100</v>
      </c>
      <c r="S3782" s="13" t="s">
        <v>28</v>
      </c>
      <c r="AX3782" s="11"/>
      <c r="AY3782" s="11"/>
      <c r="BC3782" s="11"/>
      <c r="BD3782" s="11"/>
      <c r="BE3782" s="11"/>
      <c r="BF3782" s="11"/>
      <c r="BG3782" s="11"/>
      <c r="BH3782" s="11"/>
      <c r="BI3782" s="11"/>
      <c r="BJ3782" s="11"/>
    </row>
    <row r="3783" spans="1:63" ht="12" customHeight="1" x14ac:dyDescent="0.15">
      <c r="A3783" s="1" t="s">
        <v>9925</v>
      </c>
      <c r="B3783" s="1">
        <v>25</v>
      </c>
      <c r="C3783" s="1" t="s">
        <v>20</v>
      </c>
      <c r="D3783" s="1" t="s">
        <v>48</v>
      </c>
      <c r="E3783" s="1" t="s">
        <v>9926</v>
      </c>
      <c r="F3783" s="72">
        <v>41770</v>
      </c>
      <c r="G3783" s="1" t="s">
        <v>9927</v>
      </c>
      <c r="H3783" s="1" t="s">
        <v>9928</v>
      </c>
      <c r="I3783" s="1" t="s">
        <v>123</v>
      </c>
      <c r="J3783" s="4" t="s">
        <v>9929</v>
      </c>
      <c r="K3783" s="1" t="s">
        <v>2390</v>
      </c>
      <c r="L3783" s="1" t="s">
        <v>2391</v>
      </c>
      <c r="M3783" s="1" t="s">
        <v>27</v>
      </c>
      <c r="N3783" s="1" t="s">
        <v>9930</v>
      </c>
      <c r="O3783" s="1" t="s">
        <v>1010</v>
      </c>
      <c r="P3783" s="1" t="s">
        <v>401</v>
      </c>
      <c r="Q3783" s="63" t="s">
        <v>9931</v>
      </c>
      <c r="R3783" s="1" t="s">
        <v>100</v>
      </c>
      <c r="S3783" s="13" t="s">
        <v>28</v>
      </c>
    </row>
    <row r="3784" spans="1:63" ht="12" customHeight="1" x14ac:dyDescent="0.2">
      <c r="A3784" s="1" t="s">
        <v>9906</v>
      </c>
      <c r="B3784" s="1">
        <v>32</v>
      </c>
      <c r="C3784" s="1" t="s">
        <v>20</v>
      </c>
      <c r="D3784" s="1" t="s">
        <v>85</v>
      </c>
      <c r="E3784" s="1" t="s">
        <v>9907</v>
      </c>
      <c r="F3784" s="72">
        <v>41770</v>
      </c>
      <c r="G3784" s="1" t="s">
        <v>9908</v>
      </c>
      <c r="H3784" s="1" t="s">
        <v>9909</v>
      </c>
      <c r="I3784" s="1" t="s">
        <v>45</v>
      </c>
      <c r="J3784" s="4" t="s">
        <v>9910</v>
      </c>
      <c r="K3784" s="1" t="s">
        <v>9909</v>
      </c>
      <c r="L3784" s="1" t="s">
        <v>957</v>
      </c>
      <c r="M3784" s="1" t="s">
        <v>3154</v>
      </c>
      <c r="N3784" s="1" t="s">
        <v>21001</v>
      </c>
      <c r="O3784" s="1" t="s">
        <v>1010</v>
      </c>
      <c r="P3784" s="1" t="s">
        <v>401</v>
      </c>
      <c r="Q3784" s="63" t="str">
        <f>HYPERLINK("http://www.dcclothesline.com/2014/05/19/veteran-stopped-front-license-plate-beat-death-5-cops/","http://www.dcclothesline.com/2014/05/19/veteran-stopped-front-license-plate-beat-death-5-cops/")</f>
        <v>http://www.dcclothesline.com/2014/05/19/veteran-stopped-front-license-plate-beat-death-5-cops/</v>
      </c>
      <c r="R3784" s="1" t="s">
        <v>100</v>
      </c>
      <c r="S3784" s="13" t="s">
        <v>18</v>
      </c>
      <c r="AT3784" s="70"/>
      <c r="AU3784" s="70"/>
      <c r="AV3784" s="70"/>
      <c r="AW3784" s="44"/>
      <c r="AX3784" s="44"/>
      <c r="BB3784" s="11"/>
      <c r="BC3784" s="11"/>
      <c r="BD3784" s="11"/>
      <c r="BE3784" s="11"/>
      <c r="BF3784" s="11"/>
      <c r="BG3784" s="11"/>
      <c r="BH3784" s="11"/>
      <c r="BI3784" s="11"/>
      <c r="BK3784" s="78"/>
    </row>
    <row r="3785" spans="1:63" ht="12" customHeight="1" x14ac:dyDescent="0.15">
      <c r="A3785" s="1" t="s">
        <v>9919</v>
      </c>
      <c r="B3785" s="1">
        <v>21</v>
      </c>
      <c r="C3785" s="1" t="s">
        <v>20</v>
      </c>
      <c r="D3785" s="1" t="s">
        <v>85</v>
      </c>
      <c r="E3785" s="1" t="s">
        <v>9920</v>
      </c>
      <c r="F3785" s="72">
        <v>41770</v>
      </c>
      <c r="G3785" s="1" t="s">
        <v>9913</v>
      </c>
      <c r="H3785" s="1" t="s">
        <v>9909</v>
      </c>
      <c r="I3785" s="1" t="s">
        <v>431</v>
      </c>
      <c r="J3785" s="4" t="s">
        <v>9914</v>
      </c>
      <c r="K3785" s="1" t="s">
        <v>1778</v>
      </c>
      <c r="L3785" s="1" t="s">
        <v>9915</v>
      </c>
      <c r="M3785" s="1" t="s">
        <v>379</v>
      </c>
      <c r="N3785" s="1" t="s">
        <v>21186</v>
      </c>
      <c r="O3785" s="1" t="s">
        <v>1010</v>
      </c>
      <c r="P3785" s="1" t="s">
        <v>401</v>
      </c>
      <c r="Q3785" s="63" t="s">
        <v>9917</v>
      </c>
      <c r="R3785" s="1" t="s">
        <v>100</v>
      </c>
      <c r="S3785" s="66" t="s">
        <v>379</v>
      </c>
      <c r="T3785" s="66" t="s">
        <v>30738</v>
      </c>
      <c r="AX3785" s="44"/>
      <c r="AY3785" s="44"/>
      <c r="BC3785" s="11"/>
      <c r="BD3785" s="11"/>
      <c r="BE3785" s="11"/>
      <c r="BF3785" s="11"/>
      <c r="BG3785" s="11"/>
      <c r="BH3785" s="11"/>
      <c r="BI3785" s="11"/>
      <c r="BJ3785" s="11"/>
    </row>
    <row r="3786" spans="1:63" ht="12" customHeight="1" x14ac:dyDescent="0.15">
      <c r="A3786" s="1" t="s">
        <v>9918</v>
      </c>
      <c r="B3786" s="1">
        <v>19</v>
      </c>
      <c r="C3786" s="1" t="s">
        <v>20</v>
      </c>
      <c r="D3786" s="1" t="s">
        <v>85</v>
      </c>
      <c r="F3786" s="72">
        <v>41770</v>
      </c>
      <c r="G3786" s="1" t="s">
        <v>9913</v>
      </c>
      <c r="H3786" s="1" t="s">
        <v>9909</v>
      </c>
      <c r="I3786" s="1" t="s">
        <v>431</v>
      </c>
      <c r="J3786" s="4" t="s">
        <v>9914</v>
      </c>
      <c r="K3786" s="1" t="s">
        <v>1778</v>
      </c>
      <c r="L3786" s="1" t="s">
        <v>9915</v>
      </c>
      <c r="M3786" s="1" t="s">
        <v>379</v>
      </c>
      <c r="N3786" s="1" t="s">
        <v>21187</v>
      </c>
      <c r="O3786" s="1" t="s">
        <v>1010</v>
      </c>
      <c r="P3786" s="1" t="s">
        <v>401</v>
      </c>
      <c r="Q3786" s="63" t="s">
        <v>9917</v>
      </c>
      <c r="R3786" s="1" t="s">
        <v>100</v>
      </c>
      <c r="S3786" s="66" t="s">
        <v>379</v>
      </c>
      <c r="T3786" s="66" t="s">
        <v>30738</v>
      </c>
      <c r="AX3786" s="44"/>
      <c r="AY3786" s="44"/>
      <c r="BC3786" s="11"/>
      <c r="BD3786" s="11"/>
      <c r="BE3786" s="11"/>
      <c r="BF3786" s="11"/>
      <c r="BG3786" s="11"/>
      <c r="BH3786" s="11"/>
      <c r="BI3786" s="11"/>
      <c r="BJ3786" s="11"/>
    </row>
    <row r="3787" spans="1:63" ht="12" customHeight="1" x14ac:dyDescent="0.15">
      <c r="A3787" s="1" t="s">
        <v>9911</v>
      </c>
      <c r="B3787" s="1">
        <v>18</v>
      </c>
      <c r="C3787" s="1" t="s">
        <v>20</v>
      </c>
      <c r="D3787" s="1" t="s">
        <v>85</v>
      </c>
      <c r="E3787" s="1" t="s">
        <v>9912</v>
      </c>
      <c r="F3787" s="72">
        <v>41770</v>
      </c>
      <c r="G3787" s="1" t="s">
        <v>9913</v>
      </c>
      <c r="H3787" s="1" t="s">
        <v>9909</v>
      </c>
      <c r="I3787" s="1" t="s">
        <v>431</v>
      </c>
      <c r="J3787" s="4" t="s">
        <v>9914</v>
      </c>
      <c r="K3787" s="1" t="s">
        <v>1778</v>
      </c>
      <c r="L3787" s="1" t="s">
        <v>9915</v>
      </c>
      <c r="M3787" s="1" t="s">
        <v>379</v>
      </c>
      <c r="N3787" s="1" t="s">
        <v>9916</v>
      </c>
      <c r="O3787" s="1" t="s">
        <v>1010</v>
      </c>
      <c r="P3787" s="1" t="s">
        <v>401</v>
      </c>
      <c r="Q3787" s="63" t="s">
        <v>9917</v>
      </c>
      <c r="R3787" s="1" t="s">
        <v>100</v>
      </c>
      <c r="S3787" s="13" t="s">
        <v>379</v>
      </c>
      <c r="AX3787" s="44"/>
      <c r="AY3787" s="44"/>
      <c r="BC3787" s="11"/>
      <c r="BD3787" s="11"/>
      <c r="BE3787" s="11"/>
      <c r="BF3787" s="11"/>
      <c r="BG3787" s="11"/>
      <c r="BH3787" s="11"/>
      <c r="BI3787" s="11"/>
      <c r="BJ3787" s="11"/>
    </row>
    <row r="3788" spans="1:63" ht="12" customHeight="1" x14ac:dyDescent="0.15">
      <c r="A3788" s="1" t="s">
        <v>9932</v>
      </c>
      <c r="B3788" s="1">
        <v>27</v>
      </c>
      <c r="C3788" s="1" t="s">
        <v>20</v>
      </c>
      <c r="D3788" s="1" t="s">
        <v>30</v>
      </c>
      <c r="F3788" s="72">
        <v>41770</v>
      </c>
      <c r="G3788" s="1" t="s">
        <v>9933</v>
      </c>
      <c r="H3788" s="1" t="s">
        <v>9934</v>
      </c>
      <c r="I3788" s="1" t="s">
        <v>52</v>
      </c>
      <c r="J3788" s="4" t="s">
        <v>9935</v>
      </c>
      <c r="K3788" s="1" t="s">
        <v>9936</v>
      </c>
      <c r="L3788" s="1" t="s">
        <v>695</v>
      </c>
      <c r="M3788" s="1" t="s">
        <v>379</v>
      </c>
      <c r="N3788" s="1" t="s">
        <v>9937</v>
      </c>
      <c r="O3788" s="1" t="s">
        <v>1010</v>
      </c>
      <c r="P3788" s="1" t="s">
        <v>401</v>
      </c>
      <c r="Q3788" s="63" t="s">
        <v>9938</v>
      </c>
      <c r="R3788" s="1" t="s">
        <v>100</v>
      </c>
      <c r="S3788" s="13" t="s">
        <v>379</v>
      </c>
    </row>
    <row r="3789" spans="1:63" ht="12" customHeight="1" x14ac:dyDescent="0.2">
      <c r="A3789" s="1" t="s">
        <v>9939</v>
      </c>
      <c r="B3789" s="1">
        <v>44</v>
      </c>
      <c r="C3789" s="1" t="s">
        <v>20</v>
      </c>
      <c r="D3789" s="1" t="s">
        <v>37</v>
      </c>
      <c r="E3789" s="1" t="s">
        <v>9940</v>
      </c>
      <c r="F3789" s="72">
        <v>41770</v>
      </c>
      <c r="G3789" s="1" t="s">
        <v>9941</v>
      </c>
      <c r="H3789" s="1" t="s">
        <v>9942</v>
      </c>
      <c r="I3789" s="1" t="s">
        <v>303</v>
      </c>
      <c r="J3789" s="4" t="s">
        <v>9943</v>
      </c>
      <c r="K3789" s="1" t="s">
        <v>883</v>
      </c>
      <c r="L3789" s="1" t="s">
        <v>9944</v>
      </c>
      <c r="M3789" s="1" t="s">
        <v>3154</v>
      </c>
      <c r="N3789" s="1" t="s">
        <v>9945</v>
      </c>
      <c r="O3789" s="1" t="s">
        <v>550</v>
      </c>
      <c r="P3789" s="1" t="s">
        <v>401</v>
      </c>
      <c r="Q3789" s="63" t="s">
        <v>21011</v>
      </c>
      <c r="R3789" s="1" t="s">
        <v>555</v>
      </c>
      <c r="S3789" s="13" t="s">
        <v>18</v>
      </c>
      <c r="AT3789" s="70"/>
      <c r="AU3789" s="70"/>
      <c r="AV3789" s="70"/>
      <c r="AW3789" s="44"/>
      <c r="AX3789" s="44"/>
      <c r="AY3789" s="44"/>
      <c r="BK3789" s="78"/>
    </row>
    <row r="3790" spans="1:63" ht="12" customHeight="1" x14ac:dyDescent="0.15">
      <c r="A3790" s="1" t="s">
        <v>9956</v>
      </c>
      <c r="B3790" s="1">
        <v>59</v>
      </c>
      <c r="C3790" s="1" t="s">
        <v>20</v>
      </c>
      <c r="D3790" s="1" t="s">
        <v>48</v>
      </c>
      <c r="E3790" s="1" t="s">
        <v>9957</v>
      </c>
      <c r="F3790" s="72">
        <v>41769</v>
      </c>
      <c r="G3790" s="1" t="s">
        <v>9958</v>
      </c>
      <c r="H3790" s="1" t="s">
        <v>485</v>
      </c>
      <c r="I3790" s="1" t="s">
        <v>45</v>
      </c>
      <c r="J3790" s="4" t="s">
        <v>2706</v>
      </c>
      <c r="K3790" s="1" t="s">
        <v>309</v>
      </c>
      <c r="L3790" s="1" t="s">
        <v>486</v>
      </c>
      <c r="M3790" s="1" t="s">
        <v>27</v>
      </c>
      <c r="N3790" s="1" t="s">
        <v>9959</v>
      </c>
      <c r="O3790" s="1" t="s">
        <v>400</v>
      </c>
      <c r="P3790" s="1" t="s">
        <v>401</v>
      </c>
      <c r="Q3790" s="6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3790" s="11" t="s">
        <v>964</v>
      </c>
      <c r="S3790" s="13" t="s">
        <v>35</v>
      </c>
      <c r="BK3790" s="11"/>
    </row>
    <row r="3791" spans="1:63" ht="12" customHeight="1" x14ac:dyDescent="0.15">
      <c r="A3791" s="1" t="s">
        <v>9950</v>
      </c>
      <c r="B3791" s="1">
        <v>32</v>
      </c>
      <c r="C3791" s="1" t="s">
        <v>20</v>
      </c>
      <c r="D3791" s="1" t="s">
        <v>85</v>
      </c>
      <c r="E3791" s="1" t="s">
        <v>9951</v>
      </c>
      <c r="F3791" s="72">
        <v>41769</v>
      </c>
      <c r="G3791" s="1" t="s">
        <v>9952</v>
      </c>
      <c r="H3791" s="1" t="s">
        <v>4144</v>
      </c>
      <c r="I3791" s="1" t="s">
        <v>94</v>
      </c>
      <c r="J3791" s="4" t="s">
        <v>9953</v>
      </c>
      <c r="K3791" s="1" t="s">
        <v>1778</v>
      </c>
      <c r="L3791" s="1" t="s">
        <v>4169</v>
      </c>
      <c r="M3791" s="1" t="s">
        <v>27</v>
      </c>
      <c r="N3791" s="1" t="s">
        <v>9954</v>
      </c>
      <c r="O3791" s="1" t="s">
        <v>4684</v>
      </c>
      <c r="P3791" s="1" t="s">
        <v>401</v>
      </c>
      <c r="Q3791" s="63" t="s">
        <v>9955</v>
      </c>
      <c r="R3791" s="1" t="s">
        <v>100</v>
      </c>
      <c r="S3791" s="13" t="s">
        <v>28</v>
      </c>
      <c r="AX3791" s="11"/>
      <c r="AY3791" s="11"/>
      <c r="BC3791" s="11"/>
      <c r="BD3791" s="11"/>
      <c r="BE3791" s="11"/>
      <c r="BF3791" s="11"/>
      <c r="BG3791" s="11"/>
      <c r="BH3791" s="11"/>
      <c r="BI3791" s="11"/>
      <c r="BJ3791" s="11"/>
    </row>
    <row r="3792" spans="1:63" ht="12" customHeight="1" x14ac:dyDescent="0.15">
      <c r="A3792" s="1" t="s">
        <v>9960</v>
      </c>
      <c r="B3792" s="1">
        <v>36</v>
      </c>
      <c r="C3792" s="1" t="s">
        <v>20</v>
      </c>
      <c r="D3792" s="1" t="s">
        <v>30</v>
      </c>
      <c r="F3792" s="72">
        <v>41769</v>
      </c>
      <c r="G3792" s="1" t="s">
        <v>9961</v>
      </c>
      <c r="H3792" s="1" t="s">
        <v>9962</v>
      </c>
      <c r="I3792" s="1" t="s">
        <v>150</v>
      </c>
      <c r="J3792" s="4" t="s">
        <v>9963</v>
      </c>
      <c r="K3792" s="1" t="s">
        <v>9964</v>
      </c>
      <c r="L3792" s="1" t="s">
        <v>17262</v>
      </c>
      <c r="M3792" s="1" t="s">
        <v>27</v>
      </c>
      <c r="N3792" s="1" t="s">
        <v>9965</v>
      </c>
      <c r="O3792" s="1" t="s">
        <v>1010</v>
      </c>
      <c r="P3792" s="1" t="s">
        <v>401</v>
      </c>
      <c r="Q3792" s="63" t="s">
        <v>9966</v>
      </c>
      <c r="R3792" s="1" t="s">
        <v>100</v>
      </c>
      <c r="S3792" s="13" t="s">
        <v>28</v>
      </c>
    </row>
    <row r="3793" spans="1:62" ht="12" customHeight="1" x14ac:dyDescent="0.15">
      <c r="A3793" s="1" t="s">
        <v>9967</v>
      </c>
      <c r="B3793" s="1">
        <v>50</v>
      </c>
      <c r="C3793" s="1" t="s">
        <v>20</v>
      </c>
      <c r="D3793" s="1" t="s">
        <v>37</v>
      </c>
      <c r="E3793" s="1" t="s">
        <v>9968</v>
      </c>
      <c r="F3793" s="72">
        <v>41769</v>
      </c>
      <c r="G3793" s="1" t="s">
        <v>9969</v>
      </c>
      <c r="H3793" s="1" t="s">
        <v>9519</v>
      </c>
      <c r="I3793" s="1" t="s">
        <v>315</v>
      </c>
      <c r="J3793" s="4" t="s">
        <v>9520</v>
      </c>
      <c r="K3793" s="1" t="s">
        <v>2502</v>
      </c>
      <c r="L3793" s="1" t="s">
        <v>3367</v>
      </c>
      <c r="M3793" s="1" t="s">
        <v>27</v>
      </c>
      <c r="N3793" s="1" t="s">
        <v>9970</v>
      </c>
      <c r="O3793" s="1" t="s">
        <v>1010</v>
      </c>
      <c r="P3793" s="1" t="s">
        <v>401</v>
      </c>
      <c r="Q3793" s="63" t="s">
        <v>9971</v>
      </c>
      <c r="R3793" s="1" t="s">
        <v>100</v>
      </c>
      <c r="S3793" s="13" t="s">
        <v>28</v>
      </c>
    </row>
    <row r="3794" spans="1:62" ht="12" customHeight="1" x14ac:dyDescent="0.15">
      <c r="A3794" s="1" t="s">
        <v>9946</v>
      </c>
      <c r="B3794" s="1">
        <v>34</v>
      </c>
      <c r="C3794" s="1" t="s">
        <v>20</v>
      </c>
      <c r="D3794" s="1" t="s">
        <v>85</v>
      </c>
      <c r="E3794" s="1" t="s">
        <v>9947</v>
      </c>
      <c r="F3794" s="72">
        <v>41769</v>
      </c>
      <c r="G3794" s="1" t="s">
        <v>9948</v>
      </c>
      <c r="H3794" s="1" t="s">
        <v>1287</v>
      </c>
      <c r="I3794" s="1" t="s">
        <v>69</v>
      </c>
      <c r="J3794" s="4">
        <v>43207</v>
      </c>
      <c r="K3794" s="1" t="s">
        <v>1288</v>
      </c>
      <c r="L3794" s="1" t="s">
        <v>12562</v>
      </c>
      <c r="M3794" s="1" t="s">
        <v>27</v>
      </c>
      <c r="N3794" s="1" t="s">
        <v>9949</v>
      </c>
      <c r="P3794" s="1" t="s">
        <v>401</v>
      </c>
      <c r="Q3794" s="6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3794" s="1" t="s">
        <v>555</v>
      </c>
      <c r="S3794" s="13" t="s">
        <v>28</v>
      </c>
      <c r="AX3794" s="11"/>
      <c r="AY3794" s="11"/>
      <c r="BC3794" s="44"/>
      <c r="BD3794" s="44"/>
      <c r="BE3794" s="44"/>
      <c r="BF3794" s="44"/>
      <c r="BG3794" s="44"/>
      <c r="BH3794" s="44"/>
      <c r="BI3794" s="44"/>
      <c r="BJ3794" s="44"/>
    </row>
    <row r="3795" spans="1:62" ht="12" customHeight="1" x14ac:dyDescent="0.15">
      <c r="A3795" s="1" t="s">
        <v>9977</v>
      </c>
      <c r="B3795" s="1">
        <v>26</v>
      </c>
      <c r="C3795" s="1" t="s">
        <v>20</v>
      </c>
      <c r="D3795" s="1" t="s">
        <v>48</v>
      </c>
      <c r="E3795" s="1" t="s">
        <v>9978</v>
      </c>
      <c r="F3795" s="72">
        <v>41768</v>
      </c>
      <c r="G3795" s="1" t="s">
        <v>9979</v>
      </c>
      <c r="H3795" s="1" t="s">
        <v>6345</v>
      </c>
      <c r="I3795" s="1" t="s">
        <v>45</v>
      </c>
      <c r="J3795" s="4" t="s">
        <v>6346</v>
      </c>
      <c r="K3795" s="1" t="s">
        <v>65</v>
      </c>
      <c r="L3795" s="1" t="s">
        <v>6347</v>
      </c>
      <c r="M3795" s="1" t="s">
        <v>27</v>
      </c>
      <c r="N3795" s="1" t="s">
        <v>9980</v>
      </c>
      <c r="O3795" s="1" t="s">
        <v>550</v>
      </c>
      <c r="P3795" s="1" t="s">
        <v>401</v>
      </c>
      <c r="Q3795" s="63" t="s">
        <v>9981</v>
      </c>
      <c r="R3795" s="11" t="s">
        <v>964</v>
      </c>
      <c r="S3795" s="13" t="s">
        <v>28</v>
      </c>
    </row>
    <row r="3796" spans="1:62" ht="12" customHeight="1" x14ac:dyDescent="0.15">
      <c r="A3796" s="1" t="s">
        <v>9972</v>
      </c>
      <c r="B3796" s="1">
        <v>21</v>
      </c>
      <c r="C3796" s="1" t="s">
        <v>20</v>
      </c>
      <c r="D3796" s="1" t="s">
        <v>85</v>
      </c>
      <c r="E3796" s="1" t="s">
        <v>9973</v>
      </c>
      <c r="F3796" s="72">
        <v>41768</v>
      </c>
      <c r="G3796" s="1" t="s">
        <v>9974</v>
      </c>
      <c r="H3796" s="1" t="s">
        <v>4144</v>
      </c>
      <c r="I3796" s="1" t="s">
        <v>94</v>
      </c>
      <c r="J3796" s="4" t="s">
        <v>4168</v>
      </c>
      <c r="K3796" s="1" t="s">
        <v>1778</v>
      </c>
      <c r="L3796" s="1" t="s">
        <v>1689</v>
      </c>
      <c r="M3796" s="1" t="s">
        <v>27</v>
      </c>
      <c r="N3796" s="1" t="s">
        <v>9975</v>
      </c>
      <c r="O3796" s="1" t="s">
        <v>1010</v>
      </c>
      <c r="P3796" s="1" t="s">
        <v>401</v>
      </c>
      <c r="Q3796" s="63" t="s">
        <v>9976</v>
      </c>
      <c r="R3796" s="1" t="s">
        <v>100</v>
      </c>
      <c r="S3796" s="13" t="s">
        <v>28</v>
      </c>
      <c r="AX3796" s="11"/>
      <c r="AY3796" s="11"/>
      <c r="BC3796" s="11"/>
      <c r="BD3796" s="11"/>
      <c r="BE3796" s="11"/>
      <c r="BF3796" s="11"/>
      <c r="BG3796" s="11"/>
      <c r="BH3796" s="11"/>
      <c r="BI3796" s="11"/>
      <c r="BJ3796" s="11"/>
    </row>
    <row r="3797" spans="1:62" ht="12" customHeight="1" x14ac:dyDescent="0.2">
      <c r="A3797" s="1" t="s">
        <v>9982</v>
      </c>
      <c r="B3797" s="1">
        <v>25</v>
      </c>
      <c r="C3797" s="1" t="s">
        <v>114</v>
      </c>
      <c r="D3797" s="1" t="s">
        <v>37</v>
      </c>
      <c r="E3797" s="1" t="s">
        <v>9983</v>
      </c>
      <c r="F3797" s="72">
        <v>41768</v>
      </c>
      <c r="G3797" s="1" t="s">
        <v>9984</v>
      </c>
      <c r="H3797" s="1" t="s">
        <v>2651</v>
      </c>
      <c r="I3797" s="1" t="s">
        <v>117</v>
      </c>
      <c r="J3797" s="4" t="s">
        <v>9985</v>
      </c>
      <c r="K3797" s="1" t="s">
        <v>420</v>
      </c>
      <c r="L3797" s="1" t="s">
        <v>2652</v>
      </c>
      <c r="M3797" s="1" t="s">
        <v>27</v>
      </c>
      <c r="N3797" s="1" t="s">
        <v>9986</v>
      </c>
      <c r="O3797" s="1" t="s">
        <v>550</v>
      </c>
      <c r="P3797" s="1" t="s">
        <v>401</v>
      </c>
      <c r="Q3797" s="6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3797" s="1" t="s">
        <v>29</v>
      </c>
      <c r="S3797" s="13" t="s">
        <v>28</v>
      </c>
      <c r="BA3797" s="70"/>
      <c r="BB3797" s="70"/>
    </row>
    <row r="3798" spans="1:62" ht="12" customHeight="1" x14ac:dyDescent="0.15">
      <c r="A3798" s="1" t="s">
        <v>10001</v>
      </c>
      <c r="B3798" s="1">
        <v>41</v>
      </c>
      <c r="C3798" s="1" t="s">
        <v>20</v>
      </c>
      <c r="D3798" s="1" t="s">
        <v>48</v>
      </c>
      <c r="E3798" s="1" t="s">
        <v>10002</v>
      </c>
      <c r="F3798" s="72">
        <v>41767</v>
      </c>
      <c r="G3798" s="1" t="s">
        <v>10003</v>
      </c>
      <c r="H3798" s="1" t="s">
        <v>10004</v>
      </c>
      <c r="I3798" s="1" t="s">
        <v>209</v>
      </c>
      <c r="J3798" s="4" t="s">
        <v>10005</v>
      </c>
      <c r="K3798" s="1" t="s">
        <v>10006</v>
      </c>
      <c r="L3798" s="1" t="s">
        <v>10007</v>
      </c>
      <c r="M3798" s="1" t="s">
        <v>27</v>
      </c>
      <c r="N3798" s="1" t="s">
        <v>10008</v>
      </c>
      <c r="O3798" s="1" t="s">
        <v>1010</v>
      </c>
      <c r="P3798" s="1" t="s">
        <v>401</v>
      </c>
      <c r="Q3798" s="63" t="s">
        <v>10009</v>
      </c>
      <c r="R3798" s="1" t="s">
        <v>100</v>
      </c>
      <c r="S3798" s="13" t="s">
        <v>28</v>
      </c>
    </row>
    <row r="3799" spans="1:62" ht="12" customHeight="1" x14ac:dyDescent="0.15">
      <c r="A3799" s="1" t="s">
        <v>10010</v>
      </c>
      <c r="B3799" s="1" t="s">
        <v>10011</v>
      </c>
      <c r="C3799" s="1" t="s">
        <v>20</v>
      </c>
      <c r="D3799" s="1" t="s">
        <v>48</v>
      </c>
      <c r="F3799" s="72">
        <v>41767</v>
      </c>
      <c r="G3799" s="1" t="s">
        <v>10012</v>
      </c>
      <c r="H3799" s="1" t="s">
        <v>10013</v>
      </c>
      <c r="I3799" s="1" t="s">
        <v>790</v>
      </c>
      <c r="J3799" s="4" t="s">
        <v>10014</v>
      </c>
      <c r="K3799" s="1" t="s">
        <v>10013</v>
      </c>
      <c r="L3799" s="1" t="s">
        <v>10015</v>
      </c>
      <c r="M3799" s="1" t="s">
        <v>27</v>
      </c>
      <c r="N3799" s="1" t="s">
        <v>10016</v>
      </c>
      <c r="O3799" s="1" t="s">
        <v>29</v>
      </c>
      <c r="P3799" s="1" t="s">
        <v>401</v>
      </c>
      <c r="Q3799" s="63" t="s">
        <v>10017</v>
      </c>
      <c r="R3799" s="1" t="s">
        <v>100</v>
      </c>
      <c r="S3799" s="13" t="s">
        <v>28</v>
      </c>
    </row>
    <row r="3800" spans="1:62" ht="12" customHeight="1" x14ac:dyDescent="0.15">
      <c r="A3800" s="1" t="s">
        <v>10018</v>
      </c>
      <c r="B3800" s="1">
        <v>69</v>
      </c>
      <c r="C3800" s="1" t="s">
        <v>20</v>
      </c>
      <c r="D3800" s="1" t="s">
        <v>37</v>
      </c>
      <c r="F3800" s="72">
        <v>41767</v>
      </c>
      <c r="G3800" s="1" t="s">
        <v>10019</v>
      </c>
      <c r="H3800" s="1" t="s">
        <v>10020</v>
      </c>
      <c r="I3800" s="1" t="s">
        <v>62</v>
      </c>
      <c r="J3800" s="4" t="s">
        <v>9731</v>
      </c>
      <c r="K3800" s="1" t="s">
        <v>9732</v>
      </c>
      <c r="L3800" s="1" t="s">
        <v>9733</v>
      </c>
      <c r="M3800" s="1" t="s">
        <v>27</v>
      </c>
      <c r="N3800" s="1" t="s">
        <v>10021</v>
      </c>
      <c r="O3800" s="1" t="s">
        <v>1010</v>
      </c>
      <c r="P3800" s="1" t="s">
        <v>401</v>
      </c>
      <c r="Q3800" s="63" t="s">
        <v>10022</v>
      </c>
      <c r="R3800" s="1" t="s">
        <v>100</v>
      </c>
      <c r="S3800" s="13" t="s">
        <v>28</v>
      </c>
    </row>
    <row r="3801" spans="1:62" ht="12" customHeight="1" x14ac:dyDescent="0.15">
      <c r="A3801" s="1" t="s">
        <v>9987</v>
      </c>
      <c r="B3801" s="1">
        <v>34</v>
      </c>
      <c r="C3801" s="1" t="s">
        <v>20</v>
      </c>
      <c r="D3801" s="1" t="s">
        <v>85</v>
      </c>
      <c r="E3801" s="1" t="s">
        <v>9988</v>
      </c>
      <c r="F3801" s="72">
        <v>41767</v>
      </c>
      <c r="G3801" s="1" t="s">
        <v>9989</v>
      </c>
      <c r="H3801" s="1" t="s">
        <v>9990</v>
      </c>
      <c r="I3801" s="1" t="s">
        <v>62</v>
      </c>
      <c r="J3801" s="4" t="s">
        <v>9991</v>
      </c>
      <c r="K3801" s="1" t="s">
        <v>1123</v>
      </c>
      <c r="L3801" s="1" t="s">
        <v>9992</v>
      </c>
      <c r="M3801" s="1" t="s">
        <v>27</v>
      </c>
      <c r="N3801" s="1" t="s">
        <v>9993</v>
      </c>
      <c r="O3801" s="1" t="s">
        <v>400</v>
      </c>
      <c r="P3801" s="1" t="s">
        <v>401</v>
      </c>
      <c r="Q3801" s="63" t="s">
        <v>9994</v>
      </c>
      <c r="R3801" s="1" t="s">
        <v>100</v>
      </c>
      <c r="S3801" s="13" t="s">
        <v>18</v>
      </c>
      <c r="AX3801" s="11"/>
      <c r="AY3801" s="11"/>
      <c r="BC3801" s="11"/>
      <c r="BD3801" s="11"/>
      <c r="BE3801" s="11"/>
      <c r="BF3801" s="11"/>
      <c r="BG3801" s="11"/>
      <c r="BH3801" s="11"/>
      <c r="BI3801" s="11"/>
      <c r="BJ3801" s="11"/>
    </row>
    <row r="3802" spans="1:62" ht="12" customHeight="1" x14ac:dyDescent="0.15">
      <c r="A3802" s="1" t="s">
        <v>9995</v>
      </c>
      <c r="B3802" s="1">
        <v>48</v>
      </c>
      <c r="C3802" s="1" t="s">
        <v>20</v>
      </c>
      <c r="D3802" s="1" t="s">
        <v>48</v>
      </c>
      <c r="F3802" s="72">
        <v>41767</v>
      </c>
      <c r="G3802" s="1" t="s">
        <v>9996</v>
      </c>
      <c r="H3802" s="1" t="s">
        <v>655</v>
      </c>
      <c r="I3802" s="1" t="s">
        <v>195</v>
      </c>
      <c r="J3802" s="4" t="s">
        <v>9997</v>
      </c>
      <c r="K3802" s="1" t="s">
        <v>9998</v>
      </c>
      <c r="L3802" s="1" t="s">
        <v>3085</v>
      </c>
      <c r="M3802" s="1" t="s">
        <v>27</v>
      </c>
      <c r="N3802" s="1" t="s">
        <v>9999</v>
      </c>
      <c r="O3802" s="1" t="s">
        <v>550</v>
      </c>
      <c r="P3802" s="1" t="s">
        <v>401</v>
      </c>
      <c r="Q3802" s="63" t="s">
        <v>10000</v>
      </c>
      <c r="R3802" s="1" t="s">
        <v>555</v>
      </c>
      <c r="S3802" s="13" t="s">
        <v>28</v>
      </c>
      <c r="BA3802" s="11"/>
      <c r="BB3802" s="11"/>
    </row>
    <row r="3803" spans="1:62" ht="12" customHeight="1" x14ac:dyDescent="0.15">
      <c r="A3803" s="1" t="s">
        <v>10023</v>
      </c>
      <c r="B3803" s="1">
        <v>31</v>
      </c>
      <c r="C3803" s="1" t="s">
        <v>20</v>
      </c>
      <c r="D3803" s="1" t="s">
        <v>37</v>
      </c>
      <c r="E3803" s="1" t="s">
        <v>10024</v>
      </c>
      <c r="F3803" s="72">
        <v>41767</v>
      </c>
      <c r="G3803" s="1" t="s">
        <v>10025</v>
      </c>
      <c r="H3803" s="1" t="s">
        <v>2579</v>
      </c>
      <c r="I3803" s="1" t="s">
        <v>57</v>
      </c>
      <c r="J3803" s="4">
        <v>48865</v>
      </c>
      <c r="K3803" s="1" t="s">
        <v>10026</v>
      </c>
      <c r="L3803" s="1" t="s">
        <v>10027</v>
      </c>
      <c r="M3803" s="1" t="s">
        <v>27</v>
      </c>
      <c r="N3803" s="1" t="s">
        <v>10028</v>
      </c>
      <c r="P3803" s="1" t="s">
        <v>401</v>
      </c>
      <c r="Q3803" s="63" t="str">
        <f>HYPERLINK("http://www.mlive.com/news/grand-rapids/index.ssf/2014/05/two_troopers_one_deputy_on_lea.html","http://www.mlive.com/news/grand-rapids/index.ssf/2014/05/two_troopers_one_deputy_on_lea.html")</f>
        <v>http://www.mlive.com/news/grand-rapids/index.ssf/2014/05/two_troopers_one_deputy_on_lea.html</v>
      </c>
      <c r="R3803" s="1" t="s">
        <v>29</v>
      </c>
      <c r="S3803" s="13" t="s">
        <v>28</v>
      </c>
    </row>
    <row r="3804" spans="1:62" ht="12" customHeight="1" x14ac:dyDescent="0.15">
      <c r="A3804" s="1" t="s">
        <v>10029</v>
      </c>
      <c r="B3804" s="1">
        <v>23</v>
      </c>
      <c r="C3804" s="1" t="s">
        <v>20</v>
      </c>
      <c r="D3804" s="1" t="s">
        <v>85</v>
      </c>
      <c r="E3804" s="1" t="s">
        <v>10030</v>
      </c>
      <c r="F3804" s="72">
        <v>41766</v>
      </c>
      <c r="G3804" s="1" t="s">
        <v>10031</v>
      </c>
      <c r="H3804" s="1" t="s">
        <v>87</v>
      </c>
      <c r="I3804" s="1" t="s">
        <v>44</v>
      </c>
      <c r="J3804" s="4" t="s">
        <v>10032</v>
      </c>
      <c r="K3804" s="1" t="s">
        <v>88</v>
      </c>
      <c r="L3804" s="1" t="s">
        <v>89</v>
      </c>
      <c r="M3804" s="1" t="s">
        <v>391</v>
      </c>
      <c r="N3804" s="1" t="s">
        <v>10033</v>
      </c>
      <c r="O3804" s="1" t="s">
        <v>4684</v>
      </c>
      <c r="P3804" s="1" t="s">
        <v>401</v>
      </c>
      <c r="Q3804" s="63" t="s">
        <v>10034</v>
      </c>
      <c r="R3804" s="1" t="s">
        <v>100</v>
      </c>
      <c r="S3804" s="13" t="s">
        <v>18</v>
      </c>
      <c r="AU3804" s="11"/>
      <c r="AV3804" s="11"/>
      <c r="AW3804" s="11"/>
      <c r="AX3804" s="44"/>
      <c r="AY3804" s="44"/>
      <c r="BC3804" s="11"/>
      <c r="BD3804" s="11"/>
      <c r="BE3804" s="11"/>
      <c r="BF3804" s="11"/>
      <c r="BG3804" s="11"/>
      <c r="BH3804" s="11"/>
      <c r="BI3804" s="11"/>
      <c r="BJ3804" s="11"/>
    </row>
    <row r="3805" spans="1:62" ht="12" customHeight="1" x14ac:dyDescent="0.15">
      <c r="A3805" s="1" t="s">
        <v>10041</v>
      </c>
      <c r="B3805" s="1">
        <v>30</v>
      </c>
      <c r="C3805" s="1" t="s">
        <v>20</v>
      </c>
      <c r="D3805" s="1" t="s">
        <v>48</v>
      </c>
      <c r="E3805" s="1" t="s">
        <v>10042</v>
      </c>
      <c r="F3805" s="72">
        <v>41766</v>
      </c>
      <c r="G3805" s="1" t="s">
        <v>10043</v>
      </c>
      <c r="H3805" s="1" t="s">
        <v>6636</v>
      </c>
      <c r="I3805" s="1" t="s">
        <v>73</v>
      </c>
      <c r="J3805" s="4" t="s">
        <v>10044</v>
      </c>
      <c r="K3805" s="1" t="s">
        <v>6636</v>
      </c>
      <c r="L3805" s="1" t="s">
        <v>7627</v>
      </c>
      <c r="M3805" s="1" t="s">
        <v>27</v>
      </c>
      <c r="N3805" s="1" t="s">
        <v>10045</v>
      </c>
      <c r="O3805" s="1" t="s">
        <v>1010</v>
      </c>
      <c r="P3805" s="1" t="s">
        <v>401</v>
      </c>
      <c r="Q3805" s="63" t="s">
        <v>10046</v>
      </c>
      <c r="R3805" s="1" t="s">
        <v>29</v>
      </c>
      <c r="S3805" s="13" t="s">
        <v>28</v>
      </c>
    </row>
    <row r="3806" spans="1:62" ht="12" customHeight="1" x14ac:dyDescent="0.15">
      <c r="A3806" s="1" t="s">
        <v>10035</v>
      </c>
      <c r="B3806" s="1">
        <v>19</v>
      </c>
      <c r="C3806" s="1" t="s">
        <v>20</v>
      </c>
      <c r="D3806" s="1" t="s">
        <v>85</v>
      </c>
      <c r="E3806" s="1" t="s">
        <v>10036</v>
      </c>
      <c r="F3806" s="72">
        <v>41766</v>
      </c>
      <c r="G3806" s="1" t="s">
        <v>10037</v>
      </c>
      <c r="H3806" s="1" t="s">
        <v>1592</v>
      </c>
      <c r="I3806" s="1" t="s">
        <v>52</v>
      </c>
      <c r="J3806" s="4" t="s">
        <v>10038</v>
      </c>
      <c r="K3806" s="1" t="s">
        <v>4697</v>
      </c>
      <c r="L3806" s="1" t="s">
        <v>2770</v>
      </c>
      <c r="M3806" s="1" t="s">
        <v>391</v>
      </c>
      <c r="N3806" s="1" t="s">
        <v>10039</v>
      </c>
      <c r="O3806" s="1" t="s">
        <v>4684</v>
      </c>
      <c r="P3806" s="1" t="s">
        <v>401</v>
      </c>
      <c r="Q3806" s="63" t="s">
        <v>10040</v>
      </c>
      <c r="R3806" s="1" t="s">
        <v>555</v>
      </c>
      <c r="S3806" s="13" t="s">
        <v>18</v>
      </c>
      <c r="AU3806" s="11"/>
      <c r="AV3806" s="11"/>
      <c r="AW3806" s="11"/>
      <c r="AX3806" s="44"/>
      <c r="AY3806" s="44"/>
      <c r="BA3806" s="11"/>
      <c r="BB3806" s="11"/>
      <c r="BC3806" s="11"/>
      <c r="BD3806" s="11"/>
      <c r="BE3806" s="11"/>
      <c r="BF3806" s="11"/>
      <c r="BG3806" s="11"/>
      <c r="BH3806" s="11"/>
      <c r="BI3806" s="11"/>
      <c r="BJ3806" s="11"/>
    </row>
    <row r="3807" spans="1:62" ht="12" customHeight="1" x14ac:dyDescent="0.15">
      <c r="A3807" s="1" t="s">
        <v>10062</v>
      </c>
      <c r="B3807" s="1">
        <v>43</v>
      </c>
      <c r="C3807" s="1" t="s">
        <v>20</v>
      </c>
      <c r="D3807" s="1" t="s">
        <v>37</v>
      </c>
      <c r="E3807" s="1" t="s">
        <v>10063</v>
      </c>
      <c r="F3807" s="72">
        <v>41765</v>
      </c>
      <c r="G3807" s="1" t="s">
        <v>10064</v>
      </c>
      <c r="H3807" s="1" t="s">
        <v>1330</v>
      </c>
      <c r="I3807" s="1" t="s">
        <v>45</v>
      </c>
      <c r="J3807" s="4" t="s">
        <v>10065</v>
      </c>
      <c r="K3807" s="1" t="s">
        <v>1331</v>
      </c>
      <c r="L3807" s="1" t="s">
        <v>10066</v>
      </c>
      <c r="M3807" s="1" t="s">
        <v>27</v>
      </c>
      <c r="N3807" s="1" t="s">
        <v>10067</v>
      </c>
      <c r="O3807" s="1" t="s">
        <v>4684</v>
      </c>
      <c r="P3807" s="1" t="s">
        <v>401</v>
      </c>
      <c r="Q3807" s="63" t="s">
        <v>10068</v>
      </c>
      <c r="R3807" s="1" t="s">
        <v>100</v>
      </c>
      <c r="S3807" s="13" t="s">
        <v>28</v>
      </c>
    </row>
    <row r="3808" spans="1:62" ht="12" customHeight="1" x14ac:dyDescent="0.15">
      <c r="A3808" s="1" t="s">
        <v>10054</v>
      </c>
      <c r="B3808" s="1">
        <v>28</v>
      </c>
      <c r="C3808" s="1" t="s">
        <v>20</v>
      </c>
      <c r="D3808" s="1" t="s">
        <v>37</v>
      </c>
      <c r="E3808" s="1" t="s">
        <v>10055</v>
      </c>
      <c r="F3808" s="72">
        <v>41765</v>
      </c>
      <c r="G3808" s="1" t="s">
        <v>10056</v>
      </c>
      <c r="H3808" s="1" t="s">
        <v>10057</v>
      </c>
      <c r="I3808" s="1" t="s">
        <v>62</v>
      </c>
      <c r="J3808" s="4" t="s">
        <v>10058</v>
      </c>
      <c r="K3808" s="1" t="s">
        <v>3891</v>
      </c>
      <c r="L3808" s="1" t="s">
        <v>10059</v>
      </c>
      <c r="M3808" s="1" t="s">
        <v>27</v>
      </c>
      <c r="N3808" s="1" t="s">
        <v>10060</v>
      </c>
      <c r="O3808" s="1" t="s">
        <v>550</v>
      </c>
      <c r="P3808" s="1" t="s">
        <v>401</v>
      </c>
      <c r="Q3808" s="63" t="s">
        <v>10061</v>
      </c>
      <c r="R3808" s="1" t="s">
        <v>100</v>
      </c>
      <c r="S3808" s="13" t="s">
        <v>18</v>
      </c>
    </row>
    <row r="3809" spans="1:63" ht="12" customHeight="1" x14ac:dyDescent="0.15">
      <c r="A3809" s="1" t="s">
        <v>10047</v>
      </c>
      <c r="B3809" s="1">
        <v>93</v>
      </c>
      <c r="C3809" s="1" t="s">
        <v>114</v>
      </c>
      <c r="D3809" s="1" t="s">
        <v>85</v>
      </c>
      <c r="E3809" s="1" t="s">
        <v>10048</v>
      </c>
      <c r="F3809" s="72">
        <v>41765</v>
      </c>
      <c r="G3809" s="1" t="s">
        <v>24473</v>
      </c>
      <c r="H3809" s="1" t="s">
        <v>10049</v>
      </c>
      <c r="I3809" s="1" t="s">
        <v>73</v>
      </c>
      <c r="J3809" s="4" t="s">
        <v>10050</v>
      </c>
      <c r="K3809" s="1" t="s">
        <v>10051</v>
      </c>
      <c r="L3809" s="1" t="s">
        <v>10052</v>
      </c>
      <c r="M3809" s="1" t="s">
        <v>27</v>
      </c>
      <c r="N3809" s="1" t="s">
        <v>10053</v>
      </c>
      <c r="O3809" s="1" t="s">
        <v>1010</v>
      </c>
      <c r="P3809" s="1" t="s">
        <v>401</v>
      </c>
      <c r="Q3809" s="6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3809" s="1" t="s">
        <v>555</v>
      </c>
      <c r="S3809" s="13" t="s">
        <v>28</v>
      </c>
      <c r="AX3809" s="11"/>
      <c r="AY3809" s="11"/>
      <c r="BC3809" s="11"/>
      <c r="BD3809" s="11"/>
      <c r="BE3809" s="11"/>
      <c r="BF3809" s="11"/>
      <c r="BG3809" s="11"/>
      <c r="BH3809" s="11"/>
      <c r="BI3809" s="11"/>
      <c r="BJ3809" s="11"/>
    </row>
    <row r="3810" spans="1:63" ht="12" customHeight="1" x14ac:dyDescent="0.15">
      <c r="A3810" s="1" t="s">
        <v>3252</v>
      </c>
      <c r="B3810" s="1" t="s">
        <v>29</v>
      </c>
      <c r="C3810" s="1" t="s">
        <v>20</v>
      </c>
      <c r="D3810" s="1" t="s">
        <v>85</v>
      </c>
      <c r="F3810" s="72">
        <v>41764</v>
      </c>
      <c r="G3810" s="1" t="s">
        <v>10077</v>
      </c>
      <c r="H3810" s="1" t="s">
        <v>723</v>
      </c>
      <c r="I3810" s="1" t="s">
        <v>73</v>
      </c>
      <c r="J3810" s="4" t="s">
        <v>10078</v>
      </c>
      <c r="K3810" s="1" t="s">
        <v>558</v>
      </c>
      <c r="L3810" s="1" t="s">
        <v>724</v>
      </c>
      <c r="M3810" s="1" t="s">
        <v>27</v>
      </c>
      <c r="N3810" s="1" t="s">
        <v>10079</v>
      </c>
      <c r="O3810" s="1" t="s">
        <v>1010</v>
      </c>
      <c r="P3810" s="1" t="s">
        <v>401</v>
      </c>
      <c r="Q3810" s="63" t="s">
        <v>10080</v>
      </c>
      <c r="R3810" s="1" t="s">
        <v>100</v>
      </c>
      <c r="S3810" s="13" t="s">
        <v>28</v>
      </c>
      <c r="AX3810" s="11"/>
      <c r="AY3810" s="11"/>
      <c r="BC3810" s="11"/>
      <c r="BD3810" s="11"/>
      <c r="BE3810" s="11"/>
      <c r="BF3810" s="11"/>
      <c r="BG3810" s="11"/>
      <c r="BH3810" s="11"/>
      <c r="BI3810" s="11"/>
      <c r="BJ3810" s="11"/>
    </row>
    <row r="3811" spans="1:63" ht="12" customHeight="1" x14ac:dyDescent="0.2">
      <c r="A3811" s="1" t="s">
        <v>10069</v>
      </c>
      <c r="B3811" s="1">
        <v>25</v>
      </c>
      <c r="C3811" s="1" t="s">
        <v>20</v>
      </c>
      <c r="D3811" s="1" t="s">
        <v>85</v>
      </c>
      <c r="E3811" s="1" t="s">
        <v>10070</v>
      </c>
      <c r="F3811" s="72">
        <v>41764</v>
      </c>
      <c r="G3811" s="1" t="s">
        <v>10071</v>
      </c>
      <c r="H3811" s="1" t="s">
        <v>433</v>
      </c>
      <c r="I3811" s="1" t="s">
        <v>669</v>
      </c>
      <c r="J3811" s="4" t="s">
        <v>10072</v>
      </c>
      <c r="K3811" s="1" t="s">
        <v>10073</v>
      </c>
      <c r="L3811" s="1" t="s">
        <v>10074</v>
      </c>
      <c r="M3811" s="1" t="s">
        <v>3154</v>
      </c>
      <c r="N3811" s="1" t="s">
        <v>10075</v>
      </c>
      <c r="O3811" s="1" t="s">
        <v>29643</v>
      </c>
      <c r="P3811" s="1" t="s">
        <v>29644</v>
      </c>
      <c r="Q3811" s="63" t="s">
        <v>10076</v>
      </c>
      <c r="R3811" s="1" t="s">
        <v>100</v>
      </c>
      <c r="S3811" s="13" t="s">
        <v>18</v>
      </c>
      <c r="AT3811" s="70"/>
      <c r="AU3811" s="70"/>
      <c r="AV3811" s="70"/>
      <c r="AW3811" s="44"/>
      <c r="AX3811" s="44"/>
      <c r="BB3811" s="11"/>
      <c r="BC3811" s="11"/>
      <c r="BD3811" s="11"/>
      <c r="BE3811" s="11"/>
      <c r="BF3811" s="11"/>
      <c r="BG3811" s="11"/>
      <c r="BH3811" s="11"/>
      <c r="BI3811" s="11"/>
      <c r="BK3811" s="78"/>
    </row>
    <row r="3812" spans="1:63" ht="12" customHeight="1" x14ac:dyDescent="0.15">
      <c r="A3812" s="1" t="s">
        <v>10081</v>
      </c>
      <c r="B3812" s="1">
        <v>38</v>
      </c>
      <c r="C3812" s="1" t="s">
        <v>20</v>
      </c>
      <c r="D3812" s="1" t="s">
        <v>85</v>
      </c>
      <c r="E3812" s="1" t="s">
        <v>10082</v>
      </c>
      <c r="F3812" s="72">
        <v>41763</v>
      </c>
      <c r="G3812" s="1" t="s">
        <v>10083</v>
      </c>
      <c r="H3812" s="1" t="s">
        <v>10084</v>
      </c>
      <c r="I3812" s="1" t="s">
        <v>73</v>
      </c>
      <c r="J3812" s="4" t="s">
        <v>10085</v>
      </c>
      <c r="K3812" s="1" t="s">
        <v>1193</v>
      </c>
      <c r="L3812" s="1" t="s">
        <v>10086</v>
      </c>
      <c r="M3812" s="1" t="s">
        <v>27</v>
      </c>
      <c r="N3812" s="1" t="s">
        <v>10087</v>
      </c>
      <c r="O3812" s="1" t="s">
        <v>550</v>
      </c>
      <c r="P3812" s="1" t="s">
        <v>401</v>
      </c>
      <c r="Q3812" s="63" t="s">
        <v>10088</v>
      </c>
      <c r="R3812" s="1" t="s">
        <v>100</v>
      </c>
      <c r="S3812" s="13" t="s">
        <v>379</v>
      </c>
      <c r="AX3812" s="11"/>
      <c r="AY3812" s="11"/>
      <c r="BC3812" s="11"/>
      <c r="BD3812" s="11"/>
      <c r="BE3812" s="11"/>
      <c r="BF3812" s="11"/>
      <c r="BG3812" s="11"/>
      <c r="BH3812" s="11"/>
      <c r="BI3812" s="11"/>
      <c r="BJ3812" s="11"/>
    </row>
    <row r="3813" spans="1:63" ht="12" customHeight="1" x14ac:dyDescent="0.2">
      <c r="A3813" s="1" t="s">
        <v>10096</v>
      </c>
      <c r="B3813" s="1">
        <v>31</v>
      </c>
      <c r="C3813" s="1" t="s">
        <v>20</v>
      </c>
      <c r="D3813" s="1" t="s">
        <v>37</v>
      </c>
      <c r="E3813" s="1" t="s">
        <v>10097</v>
      </c>
      <c r="F3813" s="72">
        <v>41763</v>
      </c>
      <c r="G3813" s="1" t="s">
        <v>10098</v>
      </c>
      <c r="H3813" s="1" t="s">
        <v>2579</v>
      </c>
      <c r="I3813" s="1" t="s">
        <v>57</v>
      </c>
      <c r="J3813" s="4" t="s">
        <v>10099</v>
      </c>
      <c r="K3813" s="1" t="s">
        <v>10026</v>
      </c>
      <c r="L3813" s="1" t="s">
        <v>10100</v>
      </c>
      <c r="M3813" s="1" t="s">
        <v>27</v>
      </c>
      <c r="N3813" s="1" t="s">
        <v>10101</v>
      </c>
      <c r="O3813" s="1" t="s">
        <v>550</v>
      </c>
      <c r="P3813" s="1" t="s">
        <v>401</v>
      </c>
      <c r="Q3813" s="63" t="s">
        <v>10102</v>
      </c>
      <c r="R3813" s="1" t="s">
        <v>29</v>
      </c>
      <c r="S3813" s="13" t="s">
        <v>28</v>
      </c>
      <c r="BA3813" s="70"/>
      <c r="BB3813" s="70"/>
    </row>
    <row r="3814" spans="1:63" ht="12" customHeight="1" x14ac:dyDescent="0.15">
      <c r="A3814" s="1" t="s">
        <v>10089</v>
      </c>
      <c r="B3814" s="1">
        <v>18</v>
      </c>
      <c r="C3814" s="1" t="s">
        <v>20</v>
      </c>
      <c r="D3814" s="1" t="s">
        <v>48</v>
      </c>
      <c r="E3814" s="1" t="s">
        <v>10090</v>
      </c>
      <c r="F3814" s="72">
        <v>41763</v>
      </c>
      <c r="G3814" s="1" t="s">
        <v>10091</v>
      </c>
      <c r="H3814" s="1" t="s">
        <v>3545</v>
      </c>
      <c r="I3814" s="1" t="s">
        <v>45</v>
      </c>
      <c r="J3814" s="4" t="s">
        <v>10092</v>
      </c>
      <c r="K3814" s="1" t="s">
        <v>602</v>
      </c>
      <c r="L3814" s="1" t="s">
        <v>10093</v>
      </c>
      <c r="M3814" s="1" t="s">
        <v>27</v>
      </c>
      <c r="N3814" s="1" t="s">
        <v>10094</v>
      </c>
      <c r="O3814" s="1" t="s">
        <v>1010</v>
      </c>
      <c r="P3814" s="1" t="s">
        <v>401</v>
      </c>
      <c r="Q3814" s="63" t="s">
        <v>10095</v>
      </c>
      <c r="R3814" s="1" t="s">
        <v>555</v>
      </c>
      <c r="S3814" s="13" t="s">
        <v>28</v>
      </c>
      <c r="BA3814" s="11"/>
      <c r="BB3814" s="11"/>
    </row>
    <row r="3815" spans="1:63" ht="12" customHeight="1" x14ac:dyDescent="0.15">
      <c r="A3815" s="1" t="s">
        <v>10103</v>
      </c>
      <c r="B3815" s="1">
        <v>44</v>
      </c>
      <c r="C3815" s="1" t="s">
        <v>20</v>
      </c>
      <c r="D3815" s="1" t="s">
        <v>85</v>
      </c>
      <c r="E3815" s="1" t="s">
        <v>10104</v>
      </c>
      <c r="F3815" s="72">
        <v>41762</v>
      </c>
      <c r="G3815" s="1" t="s">
        <v>10105</v>
      </c>
      <c r="H3815" s="1" t="s">
        <v>459</v>
      </c>
      <c r="I3815" s="1" t="s">
        <v>25</v>
      </c>
      <c r="J3815" s="4" t="s">
        <v>10106</v>
      </c>
      <c r="K3815" s="1" t="s">
        <v>5907</v>
      </c>
      <c r="L3815" s="1" t="s">
        <v>460</v>
      </c>
      <c r="M3815" s="1" t="s">
        <v>14359</v>
      </c>
      <c r="N3815" s="1" t="s">
        <v>10107</v>
      </c>
      <c r="O3815" s="1" t="s">
        <v>1010</v>
      </c>
      <c r="P3815" s="1" t="s">
        <v>401</v>
      </c>
      <c r="Q3815" s="63" t="str">
        <f>HYPERLINK("http://www.ksla.com/story/25422732/shreveport-police-confirm-man-who-fought-officers-has-died?clienttype=generic&amp;mobilecgbypass&amp;utm_content=buffer598c5&amp;utm_medium=social&amp;utm_source=twitter.com&amp;utm_campaign=buffer","http://www.ksla.com/story/25422732/shreveport-police-confirm-man-who-fought-officers-has-died?clienttype=generic&amp;mobilecgbypass&amp;utm_content=buffer598c5&amp;utm_medium=social&amp;utm_source=twitter.com&amp;utm_campaign=buffer")</f>
        <v>http://www.ksla.com/story/25422732/shreveport-police-confirm-man-who-fought-officers-has-died?clienttype=generic&amp;mobilecgbypass&amp;utm_content=buffer598c5&amp;utm_medium=social&amp;utm_source=twitter.com&amp;utm_campaign=buffer</v>
      </c>
      <c r="R3815" s="11" t="s">
        <v>964</v>
      </c>
      <c r="S3815" s="13" t="s">
        <v>18</v>
      </c>
      <c r="AX3815" s="44"/>
      <c r="AY3815" s="44"/>
      <c r="BC3815" s="11"/>
      <c r="BD3815" s="11"/>
      <c r="BE3815" s="11"/>
      <c r="BF3815" s="11"/>
      <c r="BG3815" s="11"/>
      <c r="BH3815" s="11"/>
      <c r="BI3815" s="11"/>
      <c r="BJ3815" s="11"/>
    </row>
    <row r="3816" spans="1:63" ht="12" customHeight="1" x14ac:dyDescent="0.15">
      <c r="A3816" s="1" t="s">
        <v>10108</v>
      </c>
      <c r="B3816" s="1" t="s">
        <v>10109</v>
      </c>
      <c r="C3816" s="1" t="s">
        <v>20</v>
      </c>
      <c r="D3816" s="1" t="s">
        <v>85</v>
      </c>
      <c r="E3816" s="1" t="s">
        <v>10110</v>
      </c>
      <c r="F3816" s="72">
        <v>41762</v>
      </c>
      <c r="G3816" s="1" t="s">
        <v>10111</v>
      </c>
      <c r="H3816" s="1" t="s">
        <v>922</v>
      </c>
      <c r="I3816" s="1" t="s">
        <v>195</v>
      </c>
      <c r="J3816" s="4" t="s">
        <v>10112</v>
      </c>
      <c r="K3816" s="1" t="s">
        <v>467</v>
      </c>
      <c r="L3816" s="1" t="s">
        <v>4961</v>
      </c>
      <c r="M3816" s="1" t="s">
        <v>27</v>
      </c>
      <c r="N3816" s="1" t="s">
        <v>10113</v>
      </c>
      <c r="O3816" s="1" t="s">
        <v>29</v>
      </c>
      <c r="P3816" s="1" t="s">
        <v>401</v>
      </c>
      <c r="Q3816" s="63" t="s">
        <v>10114</v>
      </c>
      <c r="R3816" s="1" t="s">
        <v>100</v>
      </c>
      <c r="S3816" s="13" t="s">
        <v>28</v>
      </c>
      <c r="AX3816" s="11"/>
      <c r="AY3816" s="11"/>
      <c r="BC3816" s="11"/>
      <c r="BD3816" s="11"/>
      <c r="BE3816" s="11"/>
      <c r="BF3816" s="11"/>
      <c r="BG3816" s="11"/>
      <c r="BH3816" s="11"/>
      <c r="BI3816" s="11"/>
      <c r="BJ3816" s="11"/>
    </row>
    <row r="3817" spans="1:63" ht="12" customHeight="1" x14ac:dyDescent="0.15">
      <c r="A3817" s="1" t="s">
        <v>10120</v>
      </c>
      <c r="B3817" s="1">
        <v>39</v>
      </c>
      <c r="C3817" s="1" t="s">
        <v>20</v>
      </c>
      <c r="D3817" s="1" t="s">
        <v>85</v>
      </c>
      <c r="E3817" s="1" t="s">
        <v>10121</v>
      </c>
      <c r="F3817" s="72">
        <v>41761</v>
      </c>
      <c r="G3817" s="1" t="s">
        <v>10122</v>
      </c>
      <c r="H3817" s="1" t="s">
        <v>10123</v>
      </c>
      <c r="I3817" s="1" t="s">
        <v>57</v>
      </c>
      <c r="J3817" s="4" t="s">
        <v>10124</v>
      </c>
      <c r="K3817" s="1" t="s">
        <v>10125</v>
      </c>
      <c r="L3817" s="1" t="s">
        <v>10126</v>
      </c>
      <c r="M3817" s="1" t="s">
        <v>27</v>
      </c>
      <c r="N3817" s="1" t="s">
        <v>10127</v>
      </c>
      <c r="O3817" s="1" t="s">
        <v>550</v>
      </c>
      <c r="P3817" s="1" t="s">
        <v>401</v>
      </c>
      <c r="Q3817" s="63" t="s">
        <v>10128</v>
      </c>
      <c r="R3817" s="1" t="s">
        <v>100</v>
      </c>
      <c r="S3817" s="13" t="s">
        <v>28</v>
      </c>
      <c r="AX3817" s="11"/>
      <c r="AY3817" s="11"/>
      <c r="BC3817" s="11"/>
      <c r="BD3817" s="11"/>
      <c r="BE3817" s="11"/>
      <c r="BF3817" s="11"/>
      <c r="BG3817" s="11"/>
      <c r="BH3817" s="11"/>
      <c r="BI3817" s="11"/>
      <c r="BJ3817" s="11"/>
    </row>
    <row r="3818" spans="1:63" ht="12" customHeight="1" x14ac:dyDescent="0.15">
      <c r="A3818" s="1" t="s">
        <v>10129</v>
      </c>
      <c r="B3818" s="1">
        <v>29</v>
      </c>
      <c r="C3818" s="1" t="s">
        <v>20</v>
      </c>
      <c r="D3818" s="1" t="s">
        <v>37</v>
      </c>
      <c r="F3818" s="72">
        <v>41761</v>
      </c>
      <c r="G3818" s="1" t="s">
        <v>10130</v>
      </c>
      <c r="H3818" s="1" t="s">
        <v>651</v>
      </c>
      <c r="I3818" s="1" t="s">
        <v>62</v>
      </c>
      <c r="J3818" s="4" t="s">
        <v>10131</v>
      </c>
      <c r="K3818" s="1" t="s">
        <v>652</v>
      </c>
      <c r="L3818" s="11" t="s">
        <v>653</v>
      </c>
      <c r="M3818" s="1" t="s">
        <v>27</v>
      </c>
      <c r="N3818" s="1" t="s">
        <v>10132</v>
      </c>
      <c r="O3818" s="1" t="s">
        <v>1010</v>
      </c>
      <c r="P3818" s="1" t="s">
        <v>401</v>
      </c>
      <c r="Q3818" s="63" t="s">
        <v>10133</v>
      </c>
      <c r="R3818" s="1" t="s">
        <v>100</v>
      </c>
      <c r="S3818" s="13" t="s">
        <v>28</v>
      </c>
    </row>
    <row r="3819" spans="1:63" ht="12" customHeight="1" x14ac:dyDescent="0.15">
      <c r="A3819" s="1" t="s">
        <v>10115</v>
      </c>
      <c r="B3819" s="1">
        <v>33</v>
      </c>
      <c r="C3819" s="1" t="s">
        <v>20</v>
      </c>
      <c r="D3819" s="1" t="s">
        <v>85</v>
      </c>
      <c r="E3819" s="1" t="s">
        <v>10116</v>
      </c>
      <c r="F3819" s="72">
        <v>41761</v>
      </c>
      <c r="G3819" s="1" t="s">
        <v>10117</v>
      </c>
      <c r="H3819" s="1" t="s">
        <v>2160</v>
      </c>
      <c r="I3819" s="1" t="s">
        <v>438</v>
      </c>
      <c r="J3819" s="4" t="s">
        <v>3838</v>
      </c>
      <c r="K3819" s="1" t="s">
        <v>9771</v>
      </c>
      <c r="L3819" s="1" t="s">
        <v>3839</v>
      </c>
      <c r="M3819" s="1" t="s">
        <v>27</v>
      </c>
      <c r="N3819" s="1" t="s">
        <v>10118</v>
      </c>
      <c r="O3819" s="1" t="s">
        <v>550</v>
      </c>
      <c r="P3819" s="1" t="s">
        <v>401</v>
      </c>
      <c r="Q3819" s="63" t="s">
        <v>10119</v>
      </c>
      <c r="R3819" s="1" t="s">
        <v>555</v>
      </c>
      <c r="S3819" s="13" t="s">
        <v>28</v>
      </c>
      <c r="AX3819" s="11"/>
      <c r="AY3819" s="11"/>
      <c r="BC3819" s="11"/>
      <c r="BD3819" s="11"/>
      <c r="BE3819" s="11"/>
      <c r="BF3819" s="11"/>
      <c r="BG3819" s="11"/>
      <c r="BH3819" s="11"/>
      <c r="BI3819" s="11"/>
      <c r="BJ3819" s="11"/>
    </row>
    <row r="3820" spans="1:63" ht="12" customHeight="1" x14ac:dyDescent="0.15">
      <c r="A3820" s="1" t="s">
        <v>10134</v>
      </c>
      <c r="B3820" s="1">
        <v>50</v>
      </c>
      <c r="C3820" s="1" t="s">
        <v>20</v>
      </c>
      <c r="D3820" s="1" t="s">
        <v>30</v>
      </c>
      <c r="F3820" s="72">
        <v>41760</v>
      </c>
      <c r="G3820" s="1" t="s">
        <v>10135</v>
      </c>
      <c r="H3820" s="1" t="s">
        <v>10136</v>
      </c>
      <c r="I3820" s="1" t="s">
        <v>438</v>
      </c>
      <c r="J3820" s="4" t="s">
        <v>10137</v>
      </c>
      <c r="K3820" s="1" t="s">
        <v>9771</v>
      </c>
      <c r="L3820" s="1" t="s">
        <v>10138</v>
      </c>
      <c r="M3820" s="1" t="s">
        <v>27</v>
      </c>
      <c r="N3820" s="1" t="s">
        <v>10139</v>
      </c>
      <c r="O3820" s="1" t="s">
        <v>550</v>
      </c>
      <c r="P3820" s="1" t="s">
        <v>401</v>
      </c>
      <c r="Q3820" s="63" t="s">
        <v>10140</v>
      </c>
      <c r="R3820" s="1" t="s">
        <v>555</v>
      </c>
      <c r="S3820" s="13" t="s">
        <v>28</v>
      </c>
      <c r="BA3820" s="11"/>
      <c r="BB3820" s="11"/>
    </row>
    <row r="3821" spans="1:63" ht="12" customHeight="1" x14ac:dyDescent="0.15">
      <c r="A3821" s="1" t="s">
        <v>10141</v>
      </c>
      <c r="B3821" s="1">
        <v>31</v>
      </c>
      <c r="C3821" s="1" t="s">
        <v>20</v>
      </c>
      <c r="D3821" s="1" t="s">
        <v>85</v>
      </c>
      <c r="E3821" s="1" t="s">
        <v>10142</v>
      </c>
      <c r="F3821" s="72">
        <v>41759</v>
      </c>
      <c r="G3821" s="1" t="s">
        <v>10143</v>
      </c>
      <c r="H3821" s="1" t="s">
        <v>887</v>
      </c>
      <c r="I3821" s="1" t="s">
        <v>438</v>
      </c>
      <c r="J3821" s="4" t="s">
        <v>10144</v>
      </c>
      <c r="K3821" s="1" t="s">
        <v>887</v>
      </c>
      <c r="L3821" s="1" t="s">
        <v>3865</v>
      </c>
      <c r="M3821" s="1" t="s">
        <v>27</v>
      </c>
      <c r="N3821" s="1" t="s">
        <v>10145</v>
      </c>
      <c r="O3821" s="1" t="s">
        <v>29</v>
      </c>
      <c r="P3821" s="1" t="s">
        <v>401</v>
      </c>
      <c r="Q3821" s="63" t="s">
        <v>10146</v>
      </c>
      <c r="R3821" s="1" t="s">
        <v>555</v>
      </c>
      <c r="S3821" s="13" t="s">
        <v>28</v>
      </c>
      <c r="AX3821" s="11"/>
      <c r="AY3821" s="11"/>
      <c r="BC3821" s="11"/>
      <c r="BD3821" s="11"/>
      <c r="BE3821" s="11"/>
      <c r="BF3821" s="11"/>
      <c r="BG3821" s="11"/>
      <c r="BH3821" s="11"/>
      <c r="BI3821" s="11"/>
      <c r="BJ3821" s="11"/>
    </row>
    <row r="3822" spans="1:63" ht="12" customHeight="1" x14ac:dyDescent="0.15">
      <c r="A3822" s="1" t="s">
        <v>10147</v>
      </c>
      <c r="B3822" s="1">
        <v>47</v>
      </c>
      <c r="C3822" s="1" t="s">
        <v>20</v>
      </c>
      <c r="D3822" s="1" t="s">
        <v>37</v>
      </c>
      <c r="E3822" s="1" t="s">
        <v>10148</v>
      </c>
      <c r="F3822" s="72">
        <v>41759</v>
      </c>
      <c r="G3822" s="1" t="s">
        <v>10149</v>
      </c>
      <c r="H3822" s="1" t="s">
        <v>2651</v>
      </c>
      <c r="I3822" s="1" t="s">
        <v>117</v>
      </c>
      <c r="J3822" s="4" t="s">
        <v>10150</v>
      </c>
      <c r="K3822" s="1" t="s">
        <v>420</v>
      </c>
      <c r="L3822" s="1" t="s">
        <v>2652</v>
      </c>
      <c r="M3822" s="1" t="s">
        <v>27</v>
      </c>
      <c r="N3822" s="1" t="s">
        <v>10151</v>
      </c>
      <c r="O3822" s="1" t="s">
        <v>550</v>
      </c>
      <c r="P3822" s="1" t="s">
        <v>401</v>
      </c>
      <c r="Q3822" s="63" t="s">
        <v>10152</v>
      </c>
      <c r="R3822" s="1" t="s">
        <v>555</v>
      </c>
      <c r="S3822" s="13" t="s">
        <v>28</v>
      </c>
      <c r="BA3822" s="44"/>
      <c r="BB3822" s="44"/>
    </row>
    <row r="3823" spans="1:63" ht="12" customHeight="1" x14ac:dyDescent="0.15">
      <c r="A3823" s="1" t="s">
        <v>10153</v>
      </c>
      <c r="B3823" s="1">
        <v>22</v>
      </c>
      <c r="C3823" s="1" t="s">
        <v>20</v>
      </c>
      <c r="D3823" s="1" t="s">
        <v>85</v>
      </c>
      <c r="E3823" s="1" t="s">
        <v>10154</v>
      </c>
      <c r="F3823" s="72">
        <v>41758</v>
      </c>
      <c r="G3823" s="1" t="s">
        <v>10155</v>
      </c>
      <c r="H3823" s="1" t="s">
        <v>10156</v>
      </c>
      <c r="I3823" s="1" t="s">
        <v>366</v>
      </c>
      <c r="J3823" s="4" t="s">
        <v>5950</v>
      </c>
      <c r="K3823" s="1" t="s">
        <v>3152</v>
      </c>
      <c r="L3823" s="1" t="s">
        <v>10157</v>
      </c>
      <c r="M3823" s="1" t="s">
        <v>27</v>
      </c>
      <c r="N3823" s="1" t="s">
        <v>10158</v>
      </c>
      <c r="O3823" s="1" t="s">
        <v>550</v>
      </c>
      <c r="P3823" s="1" t="s">
        <v>401</v>
      </c>
      <c r="Q3823" s="63" t="s">
        <v>10159</v>
      </c>
      <c r="R3823" s="1" t="s">
        <v>100</v>
      </c>
      <c r="S3823" s="13" t="s">
        <v>28</v>
      </c>
      <c r="AX3823" s="11"/>
      <c r="AY3823" s="11"/>
      <c r="BC3823" s="11"/>
      <c r="BD3823" s="11"/>
      <c r="BE3823" s="11"/>
      <c r="BF3823" s="11"/>
      <c r="BG3823" s="11"/>
      <c r="BH3823" s="11"/>
      <c r="BI3823" s="11"/>
      <c r="BJ3823" s="11"/>
    </row>
    <row r="3824" spans="1:63" ht="12" customHeight="1" x14ac:dyDescent="0.15">
      <c r="A3824" s="1" t="s">
        <v>10160</v>
      </c>
      <c r="B3824" s="1">
        <v>26</v>
      </c>
      <c r="C3824" s="1" t="s">
        <v>20</v>
      </c>
      <c r="D3824" s="1" t="s">
        <v>48</v>
      </c>
      <c r="F3824" s="72">
        <v>41758</v>
      </c>
      <c r="G3824" s="1" t="s">
        <v>10161</v>
      </c>
      <c r="H3824" s="1" t="s">
        <v>98</v>
      </c>
      <c r="I3824" s="1" t="s">
        <v>45</v>
      </c>
      <c r="J3824" s="4" t="s">
        <v>10162</v>
      </c>
      <c r="K3824" s="1" t="s">
        <v>98</v>
      </c>
      <c r="L3824" s="11" t="s">
        <v>414</v>
      </c>
      <c r="M3824" s="1" t="s">
        <v>27</v>
      </c>
      <c r="N3824" s="1" t="s">
        <v>10163</v>
      </c>
      <c r="O3824" s="1" t="s">
        <v>4684</v>
      </c>
      <c r="P3824" s="1" t="s">
        <v>401</v>
      </c>
      <c r="Q3824" s="63" t="s">
        <v>10164</v>
      </c>
      <c r="R3824" s="1" t="s">
        <v>100</v>
      </c>
      <c r="S3824" s="13" t="s">
        <v>28</v>
      </c>
    </row>
    <row r="3825" spans="1:62" ht="12" customHeight="1" x14ac:dyDescent="0.15">
      <c r="A3825" s="1" t="s">
        <v>3252</v>
      </c>
      <c r="B3825" s="1" t="s">
        <v>29</v>
      </c>
      <c r="C3825" s="1" t="s">
        <v>20</v>
      </c>
      <c r="D3825" s="1" t="s">
        <v>30</v>
      </c>
      <c r="F3825" s="72">
        <v>41758</v>
      </c>
      <c r="G3825" s="1" t="s">
        <v>10165</v>
      </c>
      <c r="H3825" s="1" t="s">
        <v>444</v>
      </c>
      <c r="I3825" s="1" t="s">
        <v>57</v>
      </c>
      <c r="J3825" s="4" t="s">
        <v>10166</v>
      </c>
      <c r="K3825" s="1" t="s">
        <v>1128</v>
      </c>
      <c r="L3825" s="1" t="s">
        <v>2177</v>
      </c>
      <c r="M3825" s="1" t="s">
        <v>27</v>
      </c>
      <c r="N3825" s="1" t="s">
        <v>10167</v>
      </c>
      <c r="O3825" s="1" t="s">
        <v>1010</v>
      </c>
      <c r="P3825" s="1" t="s">
        <v>401</v>
      </c>
      <c r="Q3825" s="63" t="s">
        <v>10168</v>
      </c>
      <c r="R3825" s="1" t="s">
        <v>100</v>
      </c>
      <c r="S3825" s="13" t="s">
        <v>28</v>
      </c>
    </row>
    <row r="3826" spans="1:62" ht="12" customHeight="1" x14ac:dyDescent="0.15">
      <c r="A3826" s="1" t="s">
        <v>10173</v>
      </c>
      <c r="B3826" s="1">
        <v>37</v>
      </c>
      <c r="C3826" s="1" t="s">
        <v>20</v>
      </c>
      <c r="D3826" s="1" t="s">
        <v>37</v>
      </c>
      <c r="E3826" s="1" t="s">
        <v>10174</v>
      </c>
      <c r="F3826" s="72">
        <v>41758</v>
      </c>
      <c r="G3826" s="1" t="s">
        <v>10175</v>
      </c>
      <c r="H3826" s="1" t="s">
        <v>838</v>
      </c>
      <c r="I3826" s="1" t="s">
        <v>303</v>
      </c>
      <c r="J3826" s="4" t="s">
        <v>2347</v>
      </c>
      <c r="K3826" s="1" t="s">
        <v>838</v>
      </c>
      <c r="L3826" s="1" t="s">
        <v>839</v>
      </c>
      <c r="M3826" s="1" t="s">
        <v>27</v>
      </c>
      <c r="N3826" s="1" t="s">
        <v>10176</v>
      </c>
      <c r="O3826" s="1" t="s">
        <v>400</v>
      </c>
      <c r="P3826" s="1" t="s">
        <v>401</v>
      </c>
      <c r="Q3826" s="63" t="s">
        <v>10177</v>
      </c>
      <c r="R3826" s="1" t="s">
        <v>100</v>
      </c>
      <c r="S3826" s="13" t="s">
        <v>28</v>
      </c>
    </row>
    <row r="3827" spans="1:62" ht="12" customHeight="1" x14ac:dyDescent="0.2">
      <c r="A3827" s="1" t="s">
        <v>10178</v>
      </c>
      <c r="B3827" s="1">
        <v>27</v>
      </c>
      <c r="C3827" s="1" t="s">
        <v>114</v>
      </c>
      <c r="D3827" s="1" t="s">
        <v>37</v>
      </c>
      <c r="E3827" s="1" t="s">
        <v>10179</v>
      </c>
      <c r="F3827" s="72">
        <v>41758</v>
      </c>
      <c r="G3827" s="1" t="s">
        <v>10180</v>
      </c>
      <c r="H3827" s="1" t="s">
        <v>10181</v>
      </c>
      <c r="I3827" s="1" t="s">
        <v>669</v>
      </c>
      <c r="J3827" s="4" t="s">
        <v>10182</v>
      </c>
      <c r="K3827" s="1" t="s">
        <v>5749</v>
      </c>
      <c r="L3827" s="1" t="s">
        <v>10183</v>
      </c>
      <c r="M3827" s="1" t="s">
        <v>27</v>
      </c>
      <c r="N3827" s="1" t="s">
        <v>10184</v>
      </c>
      <c r="O3827" s="1" t="s">
        <v>1010</v>
      </c>
      <c r="P3827" s="1" t="s">
        <v>401</v>
      </c>
      <c r="Q3827" s="63" t="s">
        <v>10185</v>
      </c>
      <c r="R3827" s="1" t="s">
        <v>29</v>
      </c>
      <c r="S3827" s="13" t="s">
        <v>18</v>
      </c>
      <c r="BA3827" s="70"/>
      <c r="BB3827" s="70"/>
    </row>
    <row r="3828" spans="1:62" ht="12" customHeight="1" x14ac:dyDescent="0.15">
      <c r="A3828" s="1" t="s">
        <v>10169</v>
      </c>
      <c r="B3828" s="1">
        <v>46</v>
      </c>
      <c r="C3828" s="1" t="s">
        <v>20</v>
      </c>
      <c r="D3828" s="1" t="s">
        <v>30</v>
      </c>
      <c r="F3828" s="72">
        <v>41758</v>
      </c>
      <c r="G3828" s="1" t="s">
        <v>10170</v>
      </c>
      <c r="H3828" s="1" t="s">
        <v>655</v>
      </c>
      <c r="I3828" s="1" t="s">
        <v>269</v>
      </c>
      <c r="J3828" s="4" t="s">
        <v>8306</v>
      </c>
      <c r="K3828" s="1" t="s">
        <v>570</v>
      </c>
      <c r="L3828" s="1" t="s">
        <v>571</v>
      </c>
      <c r="M3828" s="1" t="s">
        <v>27</v>
      </c>
      <c r="N3828" s="1" t="s">
        <v>10171</v>
      </c>
      <c r="O3828" s="1" t="s">
        <v>1010</v>
      </c>
      <c r="P3828" s="1" t="s">
        <v>401</v>
      </c>
      <c r="Q3828" s="63" t="s">
        <v>10172</v>
      </c>
      <c r="R3828" s="1" t="s">
        <v>555</v>
      </c>
      <c r="S3828" s="13" t="s">
        <v>28</v>
      </c>
      <c r="BA3828" s="11"/>
      <c r="BB3828" s="11"/>
    </row>
    <row r="3829" spans="1:62" ht="12" customHeight="1" x14ac:dyDescent="0.15">
      <c r="A3829" s="1" t="s">
        <v>10193</v>
      </c>
      <c r="B3829" s="1">
        <v>55</v>
      </c>
      <c r="C3829" s="1" t="s">
        <v>20</v>
      </c>
      <c r="D3829" s="1" t="s">
        <v>37</v>
      </c>
      <c r="F3829" s="72">
        <v>41757</v>
      </c>
      <c r="G3829" s="1" t="s">
        <v>10194</v>
      </c>
      <c r="H3829" s="1" t="s">
        <v>10195</v>
      </c>
      <c r="I3829" s="1" t="s">
        <v>117</v>
      </c>
      <c r="J3829" s="4" t="s">
        <v>10196</v>
      </c>
      <c r="K3829" s="1" t="s">
        <v>7516</v>
      </c>
      <c r="L3829" s="1" t="s">
        <v>10197</v>
      </c>
      <c r="M3829" s="1" t="s">
        <v>27</v>
      </c>
      <c r="N3829" s="1" t="s">
        <v>10198</v>
      </c>
      <c r="O3829" s="1" t="s">
        <v>550</v>
      </c>
      <c r="P3829" s="1" t="s">
        <v>401</v>
      </c>
      <c r="Q3829" s="6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3829" s="1" t="s">
        <v>100</v>
      </c>
      <c r="S3829" s="13" t="s">
        <v>28</v>
      </c>
    </row>
    <row r="3830" spans="1:62" ht="12" customHeight="1" x14ac:dyDescent="0.15">
      <c r="A3830" s="1" t="s">
        <v>10186</v>
      </c>
      <c r="B3830" s="1">
        <v>53</v>
      </c>
      <c r="C3830" s="1" t="s">
        <v>20</v>
      </c>
      <c r="D3830" s="1" t="s">
        <v>37</v>
      </c>
      <c r="E3830" s="1" t="s">
        <v>10187</v>
      </c>
      <c r="F3830" s="72">
        <v>41757</v>
      </c>
      <c r="G3830" s="1" t="s">
        <v>10188</v>
      </c>
      <c r="H3830" s="1" t="s">
        <v>9762</v>
      </c>
      <c r="I3830" s="1" t="s">
        <v>45</v>
      </c>
      <c r="J3830" s="4" t="s">
        <v>10189</v>
      </c>
      <c r="K3830" s="1" t="s">
        <v>5235</v>
      </c>
      <c r="L3830" s="1" t="s">
        <v>10190</v>
      </c>
      <c r="M3830" s="1" t="s">
        <v>27</v>
      </c>
      <c r="N3830" s="1" t="s">
        <v>10191</v>
      </c>
      <c r="O3830" s="1" t="s">
        <v>550</v>
      </c>
      <c r="P3830" s="1" t="s">
        <v>401</v>
      </c>
      <c r="Q3830" s="63" t="s">
        <v>10192</v>
      </c>
      <c r="R3830" s="1" t="s">
        <v>555</v>
      </c>
      <c r="S3830" s="13" t="s">
        <v>28</v>
      </c>
      <c r="BA3830" s="44"/>
      <c r="BB3830" s="44"/>
    </row>
    <row r="3831" spans="1:62" ht="12" customHeight="1" x14ac:dyDescent="0.15">
      <c r="A3831" s="1" t="s">
        <v>10206</v>
      </c>
      <c r="B3831" s="1">
        <v>36</v>
      </c>
      <c r="C3831" s="1" t="s">
        <v>20</v>
      </c>
      <c r="D3831" s="1" t="s">
        <v>37</v>
      </c>
      <c r="E3831" s="1" t="s">
        <v>10207</v>
      </c>
      <c r="F3831" s="72">
        <v>41756</v>
      </c>
      <c r="G3831" s="1" t="s">
        <v>10208</v>
      </c>
      <c r="H3831" s="1" t="s">
        <v>489</v>
      </c>
      <c r="I3831" s="1" t="s">
        <v>45</v>
      </c>
      <c r="J3831" s="4" t="s">
        <v>6340</v>
      </c>
      <c r="K3831" s="1" t="s">
        <v>98</v>
      </c>
      <c r="L3831" s="1" t="s">
        <v>490</v>
      </c>
      <c r="M3831" s="1" t="s">
        <v>27</v>
      </c>
      <c r="N3831" s="1" t="s">
        <v>10209</v>
      </c>
      <c r="O3831" s="1" t="s">
        <v>1010</v>
      </c>
      <c r="P3831" s="1" t="s">
        <v>401</v>
      </c>
      <c r="Q3831" s="63" t="s">
        <v>10210</v>
      </c>
      <c r="R3831" s="1" t="s">
        <v>100</v>
      </c>
      <c r="S3831" s="13" t="s">
        <v>28</v>
      </c>
    </row>
    <row r="3832" spans="1:62" ht="12" customHeight="1" x14ac:dyDescent="0.15">
      <c r="A3832" s="1" t="s">
        <v>10199</v>
      </c>
      <c r="B3832" s="1" t="s">
        <v>10200</v>
      </c>
      <c r="C3832" s="1" t="s">
        <v>20</v>
      </c>
      <c r="D3832" s="1" t="s">
        <v>85</v>
      </c>
      <c r="E3832" s="1" t="str">
        <f>HYPERLINK("http://www.news-graphic.com/image_5c8d94e0-b110-11e2-af2b-001a4bcf887a.html","http://www.news-graphic.com/image_5c8d94e0-b110-11e2-af2b-001a4bcf887a.html")</f>
        <v>http://www.news-graphic.com/image_5c8d94e0-b110-11e2-af2b-001a4bcf887a.html</v>
      </c>
      <c r="F3832" s="72">
        <v>41756</v>
      </c>
      <c r="G3832" s="1" t="s">
        <v>10201</v>
      </c>
      <c r="H3832" s="1" t="s">
        <v>8600</v>
      </c>
      <c r="I3832" s="1" t="s">
        <v>315</v>
      </c>
      <c r="J3832" s="4" t="s">
        <v>10202</v>
      </c>
      <c r="K3832" s="1" t="s">
        <v>7055</v>
      </c>
      <c r="L3832" s="1" t="s">
        <v>10203</v>
      </c>
      <c r="M3832" s="1" t="s">
        <v>27</v>
      </c>
      <c r="N3832" s="1" t="s">
        <v>10204</v>
      </c>
      <c r="O3832" s="1" t="s">
        <v>29</v>
      </c>
      <c r="P3832" s="1" t="s">
        <v>401</v>
      </c>
      <c r="Q3832" s="63" t="s">
        <v>10205</v>
      </c>
      <c r="R3832" s="1" t="s">
        <v>29</v>
      </c>
      <c r="S3832" s="13" t="s">
        <v>28</v>
      </c>
      <c r="AX3832" s="11"/>
      <c r="AY3832" s="11"/>
      <c r="BC3832" s="11"/>
      <c r="BD3832" s="11"/>
      <c r="BE3832" s="11"/>
      <c r="BF3832" s="11"/>
      <c r="BG3832" s="11"/>
      <c r="BH3832" s="11"/>
      <c r="BI3832" s="11"/>
      <c r="BJ3832" s="11"/>
    </row>
    <row r="3833" spans="1:62" ht="12" customHeight="1" x14ac:dyDescent="0.15">
      <c r="A3833" s="1" t="s">
        <v>10211</v>
      </c>
      <c r="B3833" s="1">
        <v>27</v>
      </c>
      <c r="C3833" s="1" t="s">
        <v>114</v>
      </c>
      <c r="D3833" s="1" t="s">
        <v>30</v>
      </c>
      <c r="F3833" s="72">
        <v>41755</v>
      </c>
      <c r="G3833" s="1" t="s">
        <v>10212</v>
      </c>
      <c r="H3833" s="1" t="s">
        <v>1423</v>
      </c>
      <c r="I3833" s="1" t="s">
        <v>45</v>
      </c>
      <c r="J3833" s="4" t="s">
        <v>10213</v>
      </c>
      <c r="K3833" s="1" t="s">
        <v>1423</v>
      </c>
      <c r="L3833" s="1" t="s">
        <v>10214</v>
      </c>
      <c r="M3833" s="1" t="s">
        <v>27</v>
      </c>
      <c r="N3833" s="1" t="s">
        <v>10215</v>
      </c>
      <c r="O3833" s="1" t="s">
        <v>550</v>
      </c>
      <c r="P3833" s="1" t="s">
        <v>401</v>
      </c>
      <c r="Q3833" s="63" t="s">
        <v>10216</v>
      </c>
      <c r="R3833" s="1" t="s">
        <v>100</v>
      </c>
      <c r="S3833" s="13" t="s">
        <v>28</v>
      </c>
    </row>
    <row r="3834" spans="1:62" ht="12" customHeight="1" x14ac:dyDescent="0.15">
      <c r="A3834" s="1" t="s">
        <v>10217</v>
      </c>
      <c r="B3834" s="1">
        <v>19</v>
      </c>
      <c r="C3834" s="1" t="s">
        <v>114</v>
      </c>
      <c r="D3834" s="1" t="s">
        <v>37</v>
      </c>
      <c r="E3834" s="1" t="s">
        <v>10218</v>
      </c>
      <c r="F3834" s="72">
        <v>41755</v>
      </c>
      <c r="G3834" s="1" t="s">
        <v>10219</v>
      </c>
      <c r="H3834" s="1" t="s">
        <v>10220</v>
      </c>
      <c r="I3834" s="1" t="s">
        <v>315</v>
      </c>
      <c r="J3834" s="4" t="s">
        <v>10221</v>
      </c>
      <c r="K3834" s="1" t="s">
        <v>2853</v>
      </c>
      <c r="L3834" s="1" t="s">
        <v>10222</v>
      </c>
      <c r="M3834" s="1" t="s">
        <v>27</v>
      </c>
      <c r="N3834" s="1" t="s">
        <v>10223</v>
      </c>
      <c r="O3834" s="1" t="s">
        <v>1010</v>
      </c>
      <c r="P3834" s="1" t="s">
        <v>401</v>
      </c>
      <c r="Q3834" s="63" t="s">
        <v>10224</v>
      </c>
      <c r="R3834" s="1" t="s">
        <v>100</v>
      </c>
      <c r="S3834" s="13" t="s">
        <v>379</v>
      </c>
    </row>
    <row r="3835" spans="1:62" ht="12" customHeight="1" x14ac:dyDescent="0.15">
      <c r="A3835" s="1" t="s">
        <v>10231</v>
      </c>
      <c r="B3835" s="1">
        <v>86</v>
      </c>
      <c r="C3835" s="1" t="s">
        <v>20</v>
      </c>
      <c r="D3835" s="1" t="s">
        <v>85</v>
      </c>
      <c r="E3835" s="1" t="s">
        <v>10232</v>
      </c>
      <c r="F3835" s="72">
        <v>41754</v>
      </c>
      <c r="G3835" s="1" t="s">
        <v>10233</v>
      </c>
      <c r="H3835" s="1" t="s">
        <v>87</v>
      </c>
      <c r="I3835" s="1" t="s">
        <v>44</v>
      </c>
      <c r="J3835" s="4" t="s">
        <v>7839</v>
      </c>
      <c r="K3835" s="1" t="s">
        <v>88</v>
      </c>
      <c r="L3835" s="1" t="s">
        <v>89</v>
      </c>
      <c r="M3835" s="1" t="s">
        <v>27</v>
      </c>
      <c r="N3835" s="1" t="s">
        <v>10234</v>
      </c>
      <c r="O3835" s="1" t="s">
        <v>1010</v>
      </c>
      <c r="P3835" s="1" t="s">
        <v>401</v>
      </c>
      <c r="Q3835" s="63" t="s">
        <v>10235</v>
      </c>
      <c r="R3835" s="1" t="s">
        <v>100</v>
      </c>
      <c r="S3835" s="13" t="s">
        <v>28</v>
      </c>
      <c r="AX3835" s="11"/>
      <c r="AY3835" s="11"/>
      <c r="BC3835" s="11"/>
      <c r="BD3835" s="11"/>
      <c r="BE3835" s="11"/>
      <c r="BF3835" s="11"/>
      <c r="BG3835" s="11"/>
      <c r="BH3835" s="11"/>
      <c r="BI3835" s="11"/>
      <c r="BJ3835" s="11"/>
    </row>
    <row r="3836" spans="1:62" ht="12" customHeight="1" x14ac:dyDescent="0.15">
      <c r="A3836" s="1" t="s">
        <v>10236</v>
      </c>
      <c r="B3836" s="1">
        <v>20</v>
      </c>
      <c r="C3836" s="1" t="s">
        <v>20</v>
      </c>
      <c r="D3836" s="1" t="s">
        <v>85</v>
      </c>
      <c r="E3836" s="1" t="s">
        <v>10237</v>
      </c>
      <c r="F3836" s="72">
        <v>41754</v>
      </c>
      <c r="G3836" s="1" t="s">
        <v>10238</v>
      </c>
      <c r="H3836" s="1" t="s">
        <v>2749</v>
      </c>
      <c r="I3836" s="1" t="s">
        <v>669</v>
      </c>
      <c r="J3836" s="4" t="s">
        <v>2750</v>
      </c>
      <c r="K3836" s="1" t="s">
        <v>2751</v>
      </c>
      <c r="L3836" s="1" t="s">
        <v>2752</v>
      </c>
      <c r="M3836" s="1" t="s">
        <v>27</v>
      </c>
      <c r="N3836" s="1" t="s">
        <v>10239</v>
      </c>
      <c r="O3836" s="1" t="s">
        <v>1010</v>
      </c>
      <c r="P3836" s="1" t="s">
        <v>401</v>
      </c>
      <c r="Q3836" s="63" t="str">
        <f>HYPERLINK("http://www.wtok.com/news/headlines/Update-on-Emmanuel-Wooten-Search-256704901.html","http://www.wtok.com/news/headlines/Update-on-Emmanuel-Wooten-Search-256704901.html")</f>
        <v>http://www.wtok.com/news/headlines/Update-on-Emmanuel-Wooten-Search-256704901.html</v>
      </c>
      <c r="R3836" s="1" t="s">
        <v>100</v>
      </c>
      <c r="S3836" s="13" t="s">
        <v>28</v>
      </c>
      <c r="AX3836" s="11"/>
      <c r="AY3836" s="11"/>
      <c r="BC3836" s="11"/>
      <c r="BD3836" s="11"/>
      <c r="BE3836" s="11"/>
      <c r="BF3836" s="11"/>
      <c r="BG3836" s="11"/>
      <c r="BH3836" s="11"/>
      <c r="BI3836" s="11"/>
      <c r="BJ3836" s="11"/>
    </row>
    <row r="3837" spans="1:62" ht="12" customHeight="1" x14ac:dyDescent="0.15">
      <c r="A3837" s="1" t="s">
        <v>10225</v>
      </c>
      <c r="B3837" s="1">
        <v>43</v>
      </c>
      <c r="C3837" s="1" t="s">
        <v>20</v>
      </c>
      <c r="D3837" s="1" t="s">
        <v>85</v>
      </c>
      <c r="E3837" s="1" t="s">
        <v>10226</v>
      </c>
      <c r="F3837" s="72">
        <v>41754</v>
      </c>
      <c r="G3837" s="1" t="s">
        <v>10227</v>
      </c>
      <c r="H3837" s="1" t="s">
        <v>10228</v>
      </c>
      <c r="I3837" s="1" t="s">
        <v>669</v>
      </c>
      <c r="J3837" s="4">
        <v>39120</v>
      </c>
      <c r="K3837" s="1" t="s">
        <v>1924</v>
      </c>
      <c r="L3837" s="1" t="s">
        <v>10229</v>
      </c>
      <c r="M3837" s="1" t="s">
        <v>391</v>
      </c>
      <c r="N3837" s="1" t="s">
        <v>10230</v>
      </c>
      <c r="O3837" s="1" t="s">
        <v>1010</v>
      </c>
      <c r="P3837" s="1" t="s">
        <v>401</v>
      </c>
      <c r="Q3837" s="6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3837" s="1" t="s">
        <v>100</v>
      </c>
      <c r="S3837" s="13" t="s">
        <v>18</v>
      </c>
      <c r="AU3837" s="11"/>
      <c r="AV3837" s="11"/>
      <c r="AW3837" s="11"/>
      <c r="AX3837" s="44"/>
      <c r="AY3837" s="44"/>
      <c r="BC3837" s="11"/>
      <c r="BD3837" s="11"/>
      <c r="BE3837" s="11"/>
      <c r="BF3837" s="11"/>
      <c r="BG3837" s="11"/>
      <c r="BH3837" s="11"/>
      <c r="BI3837" s="11"/>
      <c r="BJ3837" s="11"/>
    </row>
    <row r="3838" spans="1:62" ht="12" customHeight="1" x14ac:dyDescent="0.15">
      <c r="A3838" s="1" t="s">
        <v>10240</v>
      </c>
      <c r="B3838" s="1">
        <v>42</v>
      </c>
      <c r="C3838" s="1" t="s">
        <v>20</v>
      </c>
      <c r="D3838" s="1" t="s">
        <v>48</v>
      </c>
      <c r="F3838" s="72">
        <v>41754</v>
      </c>
      <c r="G3838" s="1" t="s">
        <v>10241</v>
      </c>
      <c r="H3838" s="1" t="s">
        <v>98</v>
      </c>
      <c r="I3838" s="1" t="s">
        <v>45</v>
      </c>
      <c r="J3838" s="4" t="s">
        <v>10242</v>
      </c>
      <c r="K3838" s="1" t="s">
        <v>98</v>
      </c>
      <c r="L3838" s="11" t="s">
        <v>414</v>
      </c>
      <c r="M3838" s="1" t="s">
        <v>27</v>
      </c>
      <c r="N3838" s="1" t="s">
        <v>10243</v>
      </c>
      <c r="O3838" s="1" t="s">
        <v>1010</v>
      </c>
      <c r="P3838" s="1" t="s">
        <v>401</v>
      </c>
      <c r="Q3838" s="63" t="s">
        <v>10244</v>
      </c>
      <c r="R3838" s="1" t="s">
        <v>555</v>
      </c>
      <c r="S3838" s="13" t="s">
        <v>28</v>
      </c>
      <c r="BA3838" s="11"/>
      <c r="BB3838" s="11"/>
    </row>
    <row r="3839" spans="1:62" ht="12" customHeight="1" x14ac:dyDescent="0.15">
      <c r="A3839" s="1" t="s">
        <v>10252</v>
      </c>
      <c r="B3839" s="1">
        <v>16</v>
      </c>
      <c r="C3839" s="1" t="s">
        <v>20</v>
      </c>
      <c r="D3839" s="1" t="s">
        <v>85</v>
      </c>
      <c r="E3839" s="1" t="s">
        <v>21195</v>
      </c>
      <c r="F3839" s="72">
        <v>41753</v>
      </c>
      <c r="G3839" s="1" t="s">
        <v>10246</v>
      </c>
      <c r="H3839" s="1" t="s">
        <v>10247</v>
      </c>
      <c r="I3839" s="1" t="s">
        <v>45</v>
      </c>
      <c r="J3839" s="4" t="s">
        <v>10248</v>
      </c>
      <c r="K3839" s="1" t="s">
        <v>3204</v>
      </c>
      <c r="L3839" s="1" t="s">
        <v>10249</v>
      </c>
      <c r="M3839" s="1" t="s">
        <v>379</v>
      </c>
      <c r="N3839" s="1" t="s">
        <v>20805</v>
      </c>
      <c r="O3839" s="1" t="s">
        <v>1010</v>
      </c>
      <c r="P3839" s="1" t="s">
        <v>401</v>
      </c>
      <c r="Q3839" s="63" t="s">
        <v>10250</v>
      </c>
      <c r="R3839" s="1" t="s">
        <v>100</v>
      </c>
      <c r="S3839" s="66" t="s">
        <v>379</v>
      </c>
      <c r="T3839" s="66" t="s">
        <v>30738</v>
      </c>
      <c r="AX3839" s="44"/>
      <c r="AY3839" s="44"/>
      <c r="BC3839" s="11"/>
      <c r="BD3839" s="11"/>
      <c r="BE3839" s="11"/>
      <c r="BF3839" s="11"/>
      <c r="BG3839" s="11"/>
      <c r="BH3839" s="11"/>
      <c r="BI3839" s="11"/>
      <c r="BJ3839" s="11"/>
    </row>
    <row r="3840" spans="1:62" ht="12" customHeight="1" x14ac:dyDescent="0.15">
      <c r="A3840" s="1" t="s">
        <v>10251</v>
      </c>
      <c r="B3840" s="1">
        <v>16</v>
      </c>
      <c r="C3840" s="1" t="s">
        <v>20</v>
      </c>
      <c r="D3840" s="1" t="s">
        <v>85</v>
      </c>
      <c r="E3840" s="1" t="s">
        <v>21194</v>
      </c>
      <c r="F3840" s="72">
        <v>41753</v>
      </c>
      <c r="G3840" s="1" t="s">
        <v>10246</v>
      </c>
      <c r="H3840" s="1" t="s">
        <v>10247</v>
      </c>
      <c r="I3840" s="1" t="s">
        <v>45</v>
      </c>
      <c r="J3840" s="4" t="s">
        <v>10248</v>
      </c>
      <c r="K3840" s="1" t="s">
        <v>3204</v>
      </c>
      <c r="L3840" s="1" t="s">
        <v>10249</v>
      </c>
      <c r="M3840" s="1" t="s">
        <v>379</v>
      </c>
      <c r="N3840" s="1" t="s">
        <v>20805</v>
      </c>
      <c r="O3840" s="1" t="s">
        <v>1010</v>
      </c>
      <c r="P3840" s="1" t="s">
        <v>401</v>
      </c>
      <c r="Q3840" s="63" t="s">
        <v>10250</v>
      </c>
      <c r="R3840" s="1" t="s">
        <v>100</v>
      </c>
      <c r="S3840" s="66" t="s">
        <v>379</v>
      </c>
      <c r="T3840" s="66" t="s">
        <v>30738</v>
      </c>
      <c r="AX3840" s="44"/>
      <c r="AY3840" s="44"/>
      <c r="BC3840" s="11"/>
      <c r="BD3840" s="11"/>
      <c r="BE3840" s="11"/>
      <c r="BF3840" s="11"/>
      <c r="BG3840" s="11"/>
      <c r="BH3840" s="11"/>
      <c r="BI3840" s="11"/>
      <c r="BJ3840" s="11"/>
    </row>
    <row r="3841" spans="1:63" ht="12" customHeight="1" x14ac:dyDescent="0.15">
      <c r="A3841" s="1" t="s">
        <v>10245</v>
      </c>
      <c r="B3841" s="1">
        <v>16</v>
      </c>
      <c r="C3841" s="1" t="s">
        <v>114</v>
      </c>
      <c r="D3841" s="1" t="s">
        <v>85</v>
      </c>
      <c r="E3841" s="1" t="s">
        <v>21196</v>
      </c>
      <c r="F3841" s="72">
        <v>41753</v>
      </c>
      <c r="G3841" s="1" t="s">
        <v>10246</v>
      </c>
      <c r="H3841" s="1" t="s">
        <v>10247</v>
      </c>
      <c r="I3841" s="1" t="s">
        <v>45</v>
      </c>
      <c r="J3841" s="4" t="s">
        <v>10248</v>
      </c>
      <c r="K3841" s="1" t="s">
        <v>3204</v>
      </c>
      <c r="L3841" s="1" t="s">
        <v>10249</v>
      </c>
      <c r="M3841" s="1" t="s">
        <v>379</v>
      </c>
      <c r="N3841" s="1" t="s">
        <v>20805</v>
      </c>
      <c r="O3841" s="1" t="s">
        <v>1010</v>
      </c>
      <c r="P3841" s="1" t="s">
        <v>401</v>
      </c>
      <c r="Q3841" s="63" t="s">
        <v>10250</v>
      </c>
      <c r="R3841" s="1" t="s">
        <v>100</v>
      </c>
      <c r="S3841" s="13" t="s">
        <v>379</v>
      </c>
      <c r="AX3841" s="44"/>
      <c r="AY3841" s="44"/>
      <c r="BC3841" s="11"/>
      <c r="BD3841" s="11"/>
      <c r="BE3841" s="11"/>
      <c r="BF3841" s="11"/>
      <c r="BG3841" s="11"/>
      <c r="BH3841" s="11"/>
      <c r="BI3841" s="11"/>
      <c r="BJ3841" s="11"/>
    </row>
    <row r="3842" spans="1:63" ht="12" customHeight="1" x14ac:dyDescent="0.15">
      <c r="A3842" s="1" t="s">
        <v>10253</v>
      </c>
      <c r="B3842" s="1">
        <v>55</v>
      </c>
      <c r="C3842" s="1" t="s">
        <v>114</v>
      </c>
      <c r="D3842" s="1" t="s">
        <v>37</v>
      </c>
      <c r="E3842" s="1" t="s">
        <v>10254</v>
      </c>
      <c r="F3842" s="72">
        <v>41753</v>
      </c>
      <c r="G3842" s="1" t="s">
        <v>10255</v>
      </c>
      <c r="H3842" s="1" t="s">
        <v>1492</v>
      </c>
      <c r="I3842" s="1" t="s">
        <v>32</v>
      </c>
      <c r="J3842" s="4" t="s">
        <v>2108</v>
      </c>
      <c r="K3842" s="1" t="s">
        <v>1492</v>
      </c>
      <c r="L3842" s="1" t="s">
        <v>9493</v>
      </c>
      <c r="M3842" s="1" t="s">
        <v>27</v>
      </c>
      <c r="N3842" s="1" t="s">
        <v>10256</v>
      </c>
      <c r="O3842" s="1" t="s">
        <v>1010</v>
      </c>
      <c r="P3842" s="1" t="s">
        <v>401</v>
      </c>
      <c r="Q3842" s="63" t="s">
        <v>10257</v>
      </c>
      <c r="R3842" s="1" t="s">
        <v>100</v>
      </c>
      <c r="S3842" s="13" t="s">
        <v>379</v>
      </c>
      <c r="BK3842" s="44"/>
    </row>
    <row r="3843" spans="1:63" ht="12" customHeight="1" x14ac:dyDescent="0.15">
      <c r="A3843" s="1" t="s">
        <v>10258</v>
      </c>
      <c r="B3843" s="1">
        <v>26</v>
      </c>
      <c r="C3843" s="1" t="s">
        <v>20</v>
      </c>
      <c r="D3843" s="1" t="s">
        <v>48</v>
      </c>
      <c r="E3843" s="1" t="s">
        <v>10259</v>
      </c>
      <c r="F3843" s="72">
        <v>41752</v>
      </c>
      <c r="G3843" s="1" t="s">
        <v>10260</v>
      </c>
      <c r="H3843" s="1" t="s">
        <v>10261</v>
      </c>
      <c r="I3843" s="1" t="s">
        <v>123</v>
      </c>
      <c r="J3843" s="4" t="s">
        <v>10262</v>
      </c>
      <c r="K3843" s="1" t="s">
        <v>633</v>
      </c>
      <c r="L3843" s="1" t="s">
        <v>1893</v>
      </c>
      <c r="M3843" s="1" t="s">
        <v>27</v>
      </c>
      <c r="N3843" s="1" t="s">
        <v>10263</v>
      </c>
      <c r="O3843" s="1" t="s">
        <v>1010</v>
      </c>
      <c r="P3843" s="1" t="s">
        <v>401</v>
      </c>
      <c r="Q3843" s="63" t="s">
        <v>10264</v>
      </c>
      <c r="R3843" s="1" t="s">
        <v>100</v>
      </c>
      <c r="S3843" s="13" t="s">
        <v>28</v>
      </c>
    </row>
    <row r="3844" spans="1:63" ht="12" customHeight="1" x14ac:dyDescent="0.15">
      <c r="A3844" s="1" t="s">
        <v>10273</v>
      </c>
      <c r="B3844" s="1">
        <v>53</v>
      </c>
      <c r="C3844" s="1" t="s">
        <v>20</v>
      </c>
      <c r="D3844" s="1" t="s">
        <v>30</v>
      </c>
      <c r="F3844" s="72">
        <v>41752</v>
      </c>
      <c r="G3844" s="1" t="s">
        <v>10274</v>
      </c>
      <c r="H3844" s="1" t="s">
        <v>10275</v>
      </c>
      <c r="I3844" s="1" t="s">
        <v>978</v>
      </c>
      <c r="J3844" s="4" t="s">
        <v>10276</v>
      </c>
      <c r="K3844" s="1" t="s">
        <v>2069</v>
      </c>
      <c r="L3844" s="1" t="s">
        <v>10277</v>
      </c>
      <c r="M3844" s="1" t="s">
        <v>27</v>
      </c>
      <c r="N3844" s="1" t="s">
        <v>10278</v>
      </c>
      <c r="O3844" s="1" t="s">
        <v>550</v>
      </c>
      <c r="P3844" s="1" t="s">
        <v>401</v>
      </c>
      <c r="Q3844" s="63" t="s">
        <v>10279</v>
      </c>
      <c r="R3844" s="1" t="s">
        <v>100</v>
      </c>
      <c r="S3844" s="13" t="s">
        <v>28</v>
      </c>
    </row>
    <row r="3845" spans="1:63" ht="12" customHeight="1" x14ac:dyDescent="0.15">
      <c r="A3845" s="1" t="s">
        <v>10265</v>
      </c>
      <c r="B3845" s="1">
        <v>55</v>
      </c>
      <c r="C3845" s="1" t="s">
        <v>20</v>
      </c>
      <c r="D3845" s="1" t="s">
        <v>30</v>
      </c>
      <c r="F3845" s="72">
        <v>41752</v>
      </c>
      <c r="G3845" s="1" t="s">
        <v>10266</v>
      </c>
      <c r="H3845" s="1" t="s">
        <v>10267</v>
      </c>
      <c r="I3845" s="1" t="s">
        <v>366</v>
      </c>
      <c r="J3845" s="4" t="s">
        <v>10268</v>
      </c>
      <c r="K3845" s="1" t="s">
        <v>10269</v>
      </c>
      <c r="L3845" s="1" t="s">
        <v>10270</v>
      </c>
      <c r="M3845" s="1" t="s">
        <v>27</v>
      </c>
      <c r="N3845" s="1" t="s">
        <v>10271</v>
      </c>
      <c r="O3845" s="1" t="s">
        <v>400</v>
      </c>
      <c r="P3845" s="1" t="s">
        <v>401</v>
      </c>
      <c r="Q3845" s="63" t="s">
        <v>10272</v>
      </c>
      <c r="R3845" s="1" t="s">
        <v>555</v>
      </c>
      <c r="S3845" s="13" t="s">
        <v>28</v>
      </c>
      <c r="BA3845" s="11"/>
      <c r="BB3845" s="11"/>
    </row>
    <row r="3846" spans="1:63" ht="12" customHeight="1" x14ac:dyDescent="0.15">
      <c r="A3846" s="1" t="s">
        <v>10287</v>
      </c>
      <c r="B3846" s="1" t="s">
        <v>29</v>
      </c>
      <c r="C3846" s="1" t="s">
        <v>20</v>
      </c>
      <c r="D3846" s="1" t="s">
        <v>37</v>
      </c>
      <c r="E3846" s="1" t="s">
        <v>10288</v>
      </c>
      <c r="F3846" s="72">
        <v>41751</v>
      </c>
      <c r="G3846" s="1" t="s">
        <v>10289</v>
      </c>
      <c r="H3846" s="1" t="s">
        <v>2316</v>
      </c>
      <c r="I3846" s="1" t="s">
        <v>44</v>
      </c>
      <c r="J3846" s="4" t="s">
        <v>10290</v>
      </c>
      <c r="K3846" s="1" t="s">
        <v>990</v>
      </c>
      <c r="L3846" s="1" t="s">
        <v>31422</v>
      </c>
      <c r="M3846" s="1" t="s">
        <v>27</v>
      </c>
      <c r="N3846" s="1" t="s">
        <v>10292</v>
      </c>
      <c r="O3846" s="1" t="s">
        <v>400</v>
      </c>
      <c r="P3846" s="1" t="s">
        <v>401</v>
      </c>
      <c r="Q3846" s="63" t="s">
        <v>10293</v>
      </c>
      <c r="R3846" s="11" t="s">
        <v>964</v>
      </c>
      <c r="S3846" s="13" t="s">
        <v>28</v>
      </c>
    </row>
    <row r="3847" spans="1:63" ht="12" customHeight="1" x14ac:dyDescent="0.15">
      <c r="A3847" s="1" t="s">
        <v>10294</v>
      </c>
      <c r="B3847" s="1">
        <v>26</v>
      </c>
      <c r="C3847" s="1" t="s">
        <v>20</v>
      </c>
      <c r="D3847" s="1" t="s">
        <v>37</v>
      </c>
      <c r="E3847" s="1" t="s">
        <v>10295</v>
      </c>
      <c r="F3847" s="72">
        <v>41751</v>
      </c>
      <c r="G3847" s="1" t="s">
        <v>10296</v>
      </c>
      <c r="H3847" s="1" t="s">
        <v>565</v>
      </c>
      <c r="I3847" s="1" t="s">
        <v>73</v>
      </c>
      <c r="J3847" s="4" t="s">
        <v>10297</v>
      </c>
      <c r="K3847" s="1" t="s">
        <v>10298</v>
      </c>
      <c r="L3847" s="1" t="s">
        <v>10299</v>
      </c>
      <c r="M3847" s="1" t="s">
        <v>27</v>
      </c>
      <c r="N3847" s="1" t="s">
        <v>10300</v>
      </c>
      <c r="O3847" s="1" t="s">
        <v>1010</v>
      </c>
      <c r="P3847" s="1" t="s">
        <v>401</v>
      </c>
      <c r="Q3847" s="63" t="s">
        <v>10301</v>
      </c>
      <c r="R3847" s="1" t="s">
        <v>100</v>
      </c>
      <c r="S3847" s="13" t="s">
        <v>28</v>
      </c>
    </row>
    <row r="3848" spans="1:63" ht="12" customHeight="1" x14ac:dyDescent="0.15">
      <c r="A3848" s="1" t="s">
        <v>10280</v>
      </c>
      <c r="B3848" s="1">
        <v>53</v>
      </c>
      <c r="C3848" s="1" t="s">
        <v>20</v>
      </c>
      <c r="D3848" s="1" t="s">
        <v>37</v>
      </c>
      <c r="F3848" s="72">
        <v>41751</v>
      </c>
      <c r="G3848" s="1" t="s">
        <v>10281</v>
      </c>
      <c r="H3848" s="1" t="s">
        <v>10282</v>
      </c>
      <c r="I3848" s="1" t="s">
        <v>94</v>
      </c>
      <c r="J3848" s="4" t="s">
        <v>10283</v>
      </c>
      <c r="K3848" s="1" t="s">
        <v>6104</v>
      </c>
      <c r="L3848" s="1" t="s">
        <v>10284</v>
      </c>
      <c r="M3848" s="1" t="s">
        <v>27</v>
      </c>
      <c r="N3848" s="1" t="s">
        <v>10285</v>
      </c>
      <c r="O3848" s="1" t="s">
        <v>1010</v>
      </c>
      <c r="P3848" s="1" t="s">
        <v>401</v>
      </c>
      <c r="Q3848" s="63" t="s">
        <v>10286</v>
      </c>
      <c r="R3848" s="1" t="s">
        <v>100</v>
      </c>
      <c r="S3848" s="13" t="s">
        <v>18</v>
      </c>
    </row>
    <row r="3849" spans="1:63" ht="12" customHeight="1" x14ac:dyDescent="0.15">
      <c r="A3849" s="1" t="s">
        <v>10320</v>
      </c>
      <c r="B3849" s="1">
        <v>30</v>
      </c>
      <c r="C3849" s="1" t="s">
        <v>20</v>
      </c>
      <c r="D3849" s="1" t="s">
        <v>37</v>
      </c>
      <c r="E3849" s="1" t="s">
        <v>10321</v>
      </c>
      <c r="F3849" s="72">
        <v>41750</v>
      </c>
      <c r="G3849" s="1" t="s">
        <v>10322</v>
      </c>
      <c r="H3849" s="1" t="s">
        <v>285</v>
      </c>
      <c r="I3849" s="1" t="s">
        <v>73</v>
      </c>
      <c r="J3849" s="4" t="s">
        <v>10323</v>
      </c>
      <c r="K3849" s="1" t="s">
        <v>285</v>
      </c>
      <c r="L3849" s="1" t="s">
        <v>286</v>
      </c>
      <c r="M3849" s="1" t="s">
        <v>27</v>
      </c>
      <c r="N3849" s="1" t="s">
        <v>10324</v>
      </c>
      <c r="O3849" s="1" t="s">
        <v>1010</v>
      </c>
      <c r="P3849" s="1" t="s">
        <v>401</v>
      </c>
      <c r="Q3849" s="63" t="s">
        <v>10325</v>
      </c>
      <c r="R3849" s="11" t="s">
        <v>964</v>
      </c>
      <c r="S3849" s="13" t="s">
        <v>28</v>
      </c>
    </row>
    <row r="3850" spans="1:63" ht="12" customHeight="1" x14ac:dyDescent="0.15">
      <c r="A3850" s="1" t="s">
        <v>10302</v>
      </c>
      <c r="B3850" s="1">
        <v>29</v>
      </c>
      <c r="C3850" s="1" t="s">
        <v>20</v>
      </c>
      <c r="D3850" s="1" t="s">
        <v>85</v>
      </c>
      <c r="E3850" s="1" t="s">
        <v>10303</v>
      </c>
      <c r="F3850" s="72">
        <v>41750</v>
      </c>
      <c r="G3850" s="1" t="s">
        <v>10304</v>
      </c>
      <c r="H3850" s="1" t="s">
        <v>10305</v>
      </c>
      <c r="I3850" s="1" t="s">
        <v>404</v>
      </c>
      <c r="J3850" s="4" t="s">
        <v>10306</v>
      </c>
      <c r="K3850" s="1" t="s">
        <v>1635</v>
      </c>
      <c r="L3850" s="1" t="s">
        <v>1636</v>
      </c>
      <c r="M3850" s="1" t="s">
        <v>27</v>
      </c>
      <c r="N3850" s="1" t="s">
        <v>10307</v>
      </c>
      <c r="O3850" s="1" t="s">
        <v>550</v>
      </c>
      <c r="P3850" s="1" t="s">
        <v>401</v>
      </c>
      <c r="Q3850" s="63" t="str">
        <f>HYPERLINK("http://triblive.com/news/allegheny/6036085-74/zappala-officer-police#axzz3Gj9fLtSM","http://triblive.com/news/allegheny/6036085-74/zappala-officer-police#axzz3Gj9fLtSM")</f>
        <v>http://triblive.com/news/allegheny/6036085-74/zappala-officer-police#axzz3Gj9fLtSM</v>
      </c>
      <c r="R3850" s="1" t="s">
        <v>100</v>
      </c>
      <c r="S3850" s="13" t="s">
        <v>28</v>
      </c>
      <c r="AX3850" s="11"/>
      <c r="AY3850" s="11"/>
      <c r="BC3850" s="11"/>
      <c r="BD3850" s="11"/>
      <c r="BE3850" s="11"/>
      <c r="BF3850" s="11"/>
      <c r="BG3850" s="11"/>
      <c r="BH3850" s="11"/>
      <c r="BI3850" s="11"/>
      <c r="BJ3850" s="11"/>
    </row>
    <row r="3851" spans="1:63" ht="12" customHeight="1" x14ac:dyDescent="0.15">
      <c r="A3851" s="1" t="s">
        <v>10308</v>
      </c>
      <c r="B3851" s="1">
        <v>25</v>
      </c>
      <c r="C3851" s="1" t="s">
        <v>20</v>
      </c>
      <c r="D3851" s="1" t="s">
        <v>942</v>
      </c>
      <c r="E3851" s="1" t="s">
        <v>10309</v>
      </c>
      <c r="F3851" s="72">
        <v>41750</v>
      </c>
      <c r="G3851" s="1" t="s">
        <v>10310</v>
      </c>
      <c r="H3851" s="1" t="s">
        <v>239</v>
      </c>
      <c r="I3851" s="1" t="s">
        <v>240</v>
      </c>
      <c r="J3851" s="4" t="s">
        <v>10311</v>
      </c>
      <c r="K3851" s="1" t="s">
        <v>611</v>
      </c>
      <c r="L3851" s="1" t="s">
        <v>5634</v>
      </c>
      <c r="M3851" s="1" t="s">
        <v>27</v>
      </c>
      <c r="N3851" s="1" t="s">
        <v>10312</v>
      </c>
      <c r="O3851" s="1" t="s">
        <v>400</v>
      </c>
      <c r="P3851" s="1" t="s">
        <v>401</v>
      </c>
      <c r="Q3851" s="63" t="s">
        <v>10313</v>
      </c>
      <c r="R3851" s="1" t="s">
        <v>100</v>
      </c>
      <c r="S3851" s="13" t="s">
        <v>28</v>
      </c>
    </row>
    <row r="3852" spans="1:63" ht="12" customHeight="1" x14ac:dyDescent="0.15">
      <c r="A3852" s="1" t="s">
        <v>10334</v>
      </c>
      <c r="B3852" s="1" t="s">
        <v>10335</v>
      </c>
      <c r="C3852" s="1" t="s">
        <v>114</v>
      </c>
      <c r="D3852" s="1" t="s">
        <v>37</v>
      </c>
      <c r="E3852" s="1" t="s">
        <v>10336</v>
      </c>
      <c r="F3852" s="72">
        <v>41750</v>
      </c>
      <c r="G3852" s="1" t="s">
        <v>10337</v>
      </c>
      <c r="H3852" s="1" t="s">
        <v>922</v>
      </c>
      <c r="I3852" s="1" t="s">
        <v>195</v>
      </c>
      <c r="J3852" s="4" t="s">
        <v>8441</v>
      </c>
      <c r="K3852" s="1" t="s">
        <v>467</v>
      </c>
      <c r="L3852" s="1" t="s">
        <v>4961</v>
      </c>
      <c r="M3852" s="1" t="s">
        <v>27</v>
      </c>
      <c r="N3852" s="1" t="s">
        <v>10338</v>
      </c>
      <c r="O3852" s="1" t="s">
        <v>400</v>
      </c>
      <c r="P3852" s="1" t="s">
        <v>401</v>
      </c>
      <c r="Q3852" s="63" t="s">
        <v>10114</v>
      </c>
      <c r="R3852" s="1" t="s">
        <v>100</v>
      </c>
      <c r="S3852" s="13" t="s">
        <v>28</v>
      </c>
    </row>
    <row r="3853" spans="1:63" ht="12" customHeight="1" x14ac:dyDescent="0.2">
      <c r="A3853" s="1" t="s">
        <v>10326</v>
      </c>
      <c r="B3853" s="1">
        <v>56</v>
      </c>
      <c r="C3853" s="1" t="s">
        <v>20</v>
      </c>
      <c r="D3853" s="1" t="s">
        <v>37</v>
      </c>
      <c r="E3853" s="1" t="s">
        <v>10327</v>
      </c>
      <c r="F3853" s="72">
        <v>41750</v>
      </c>
      <c r="G3853" s="1" t="s">
        <v>10328</v>
      </c>
      <c r="H3853" s="1" t="s">
        <v>10329</v>
      </c>
      <c r="I3853" s="1" t="s">
        <v>69</v>
      </c>
      <c r="J3853" s="4" t="s">
        <v>10330</v>
      </c>
      <c r="K3853" s="1" t="s">
        <v>5964</v>
      </c>
      <c r="L3853" s="1" t="s">
        <v>10331</v>
      </c>
      <c r="M3853" s="1" t="s">
        <v>27</v>
      </c>
      <c r="N3853" s="1" t="s">
        <v>10332</v>
      </c>
      <c r="O3853" s="1" t="s">
        <v>550</v>
      </c>
      <c r="P3853" s="1" t="s">
        <v>401</v>
      </c>
      <c r="Q3853" s="63" t="s">
        <v>10333</v>
      </c>
      <c r="R3853" s="1" t="s">
        <v>29</v>
      </c>
      <c r="S3853" s="13" t="s">
        <v>28</v>
      </c>
      <c r="BA3853" s="70"/>
      <c r="BB3853" s="70"/>
    </row>
    <row r="3854" spans="1:63" ht="12" customHeight="1" x14ac:dyDescent="0.15">
      <c r="A3854" s="1" t="s">
        <v>10314</v>
      </c>
      <c r="B3854" s="1">
        <v>58</v>
      </c>
      <c r="C3854" s="1" t="s">
        <v>20</v>
      </c>
      <c r="D3854" s="1" t="s">
        <v>37</v>
      </c>
      <c r="E3854" s="1" t="s">
        <v>10315</v>
      </c>
      <c r="F3854" s="72">
        <v>41750</v>
      </c>
      <c r="G3854" s="1" t="s">
        <v>10316</v>
      </c>
      <c r="H3854" s="1" t="s">
        <v>1891</v>
      </c>
      <c r="I3854" s="1" t="s">
        <v>45</v>
      </c>
      <c r="J3854" s="4" t="s">
        <v>10317</v>
      </c>
      <c r="K3854" s="1" t="s">
        <v>783</v>
      </c>
      <c r="L3854" s="1" t="s">
        <v>784</v>
      </c>
      <c r="M3854" s="1" t="s">
        <v>27</v>
      </c>
      <c r="N3854" s="1" t="s">
        <v>10318</v>
      </c>
      <c r="O3854" s="1" t="s">
        <v>1010</v>
      </c>
      <c r="P3854" s="1" t="s">
        <v>401</v>
      </c>
      <c r="Q3854" s="63" t="s">
        <v>10319</v>
      </c>
      <c r="R3854" s="1" t="s">
        <v>555</v>
      </c>
      <c r="S3854" s="13" t="s">
        <v>28</v>
      </c>
      <c r="BA3854" s="44"/>
      <c r="BB3854" s="44"/>
    </row>
    <row r="3855" spans="1:63" ht="12" customHeight="1" x14ac:dyDescent="0.15">
      <c r="A3855" s="1" t="s">
        <v>10351</v>
      </c>
      <c r="B3855" s="1">
        <v>20</v>
      </c>
      <c r="C3855" s="1" t="s">
        <v>20</v>
      </c>
      <c r="D3855" s="1" t="s">
        <v>37</v>
      </c>
      <c r="E3855" s="1" t="s">
        <v>10352</v>
      </c>
      <c r="F3855" s="72">
        <v>41749</v>
      </c>
      <c r="G3855" s="1" t="s">
        <v>10353</v>
      </c>
      <c r="H3855" s="1" t="s">
        <v>6636</v>
      </c>
      <c r="I3855" s="1" t="s">
        <v>73</v>
      </c>
      <c r="J3855" s="4" t="s">
        <v>10354</v>
      </c>
      <c r="K3855" s="1" t="s">
        <v>6636</v>
      </c>
      <c r="L3855" s="1" t="s">
        <v>281</v>
      </c>
      <c r="M3855" s="1" t="s">
        <v>27</v>
      </c>
      <c r="N3855" s="1" t="s">
        <v>21012</v>
      </c>
      <c r="O3855" s="1" t="s">
        <v>1010</v>
      </c>
      <c r="P3855" s="1" t="s">
        <v>401</v>
      </c>
      <c r="Q3855" s="63" t="s">
        <v>10355</v>
      </c>
      <c r="R3855" s="1" t="s">
        <v>100</v>
      </c>
      <c r="S3855" s="13" t="s">
        <v>18</v>
      </c>
    </row>
    <row r="3856" spans="1:63" ht="12" customHeight="1" x14ac:dyDescent="0.15">
      <c r="A3856" s="1" t="s">
        <v>10350</v>
      </c>
      <c r="B3856" s="1">
        <v>14</v>
      </c>
      <c r="C3856" s="1" t="s">
        <v>114</v>
      </c>
      <c r="D3856" s="1" t="s">
        <v>48</v>
      </c>
      <c r="F3856" s="72">
        <v>41749</v>
      </c>
      <c r="G3856" s="1" t="s">
        <v>10346</v>
      </c>
      <c r="H3856" s="1" t="s">
        <v>444</v>
      </c>
      <c r="I3856" s="1" t="s">
        <v>57</v>
      </c>
      <c r="J3856" s="4" t="s">
        <v>10347</v>
      </c>
      <c r="K3856" s="1" t="s">
        <v>1128</v>
      </c>
      <c r="L3856" s="1" t="s">
        <v>2177</v>
      </c>
      <c r="M3856" s="1" t="s">
        <v>379</v>
      </c>
      <c r="N3856" s="1" t="s">
        <v>10348</v>
      </c>
      <c r="O3856" s="1" t="s">
        <v>1010</v>
      </c>
      <c r="P3856" s="1" t="s">
        <v>401</v>
      </c>
      <c r="Q3856" s="63" t="s">
        <v>10349</v>
      </c>
      <c r="R3856" s="1" t="s">
        <v>100</v>
      </c>
      <c r="S3856" s="66" t="s">
        <v>379</v>
      </c>
      <c r="T3856" s="66" t="s">
        <v>30738</v>
      </c>
    </row>
    <row r="3857" spans="1:63" ht="12" customHeight="1" x14ac:dyDescent="0.15">
      <c r="A3857" s="1" t="s">
        <v>10345</v>
      </c>
      <c r="B3857" s="1">
        <v>16</v>
      </c>
      <c r="C3857" s="1" t="s">
        <v>114</v>
      </c>
      <c r="D3857" s="1" t="s">
        <v>48</v>
      </c>
      <c r="F3857" s="72">
        <v>41749</v>
      </c>
      <c r="G3857" s="1" t="s">
        <v>10346</v>
      </c>
      <c r="H3857" s="1" t="s">
        <v>444</v>
      </c>
      <c r="I3857" s="1" t="s">
        <v>57</v>
      </c>
      <c r="J3857" s="4" t="s">
        <v>10347</v>
      </c>
      <c r="K3857" s="1" t="s">
        <v>1128</v>
      </c>
      <c r="L3857" s="1" t="s">
        <v>2177</v>
      </c>
      <c r="M3857" s="1" t="s">
        <v>379</v>
      </c>
      <c r="N3857" s="1" t="s">
        <v>10348</v>
      </c>
      <c r="O3857" s="1" t="s">
        <v>1010</v>
      </c>
      <c r="P3857" s="1" t="s">
        <v>401</v>
      </c>
      <c r="Q3857" s="63" t="s">
        <v>10349</v>
      </c>
      <c r="R3857" s="1" t="s">
        <v>100</v>
      </c>
      <c r="S3857" s="66" t="s">
        <v>379</v>
      </c>
      <c r="T3857" s="66" t="s">
        <v>30738</v>
      </c>
    </row>
    <row r="3858" spans="1:63" ht="12" customHeight="1" x14ac:dyDescent="0.15">
      <c r="A3858" s="1" t="s">
        <v>10356</v>
      </c>
      <c r="B3858" s="1">
        <v>17</v>
      </c>
      <c r="C3858" s="1" t="s">
        <v>20</v>
      </c>
      <c r="D3858" s="1" t="s">
        <v>37</v>
      </c>
      <c r="E3858" s="1" t="s">
        <v>10357</v>
      </c>
      <c r="F3858" s="72">
        <v>41749</v>
      </c>
      <c r="G3858" s="1" t="s">
        <v>10346</v>
      </c>
      <c r="H3858" s="1" t="s">
        <v>444</v>
      </c>
      <c r="I3858" s="1" t="s">
        <v>57</v>
      </c>
      <c r="J3858" s="4" t="s">
        <v>10347</v>
      </c>
      <c r="K3858" s="1" t="s">
        <v>1128</v>
      </c>
      <c r="L3858" s="1" t="s">
        <v>2177</v>
      </c>
      <c r="M3858" s="1" t="s">
        <v>379</v>
      </c>
      <c r="N3858" s="1" t="s">
        <v>10348</v>
      </c>
      <c r="O3858" s="1" t="s">
        <v>1010</v>
      </c>
      <c r="P3858" s="1" t="s">
        <v>401</v>
      </c>
      <c r="Q3858" s="63" t="s">
        <v>10349</v>
      </c>
      <c r="R3858" s="1" t="s">
        <v>100</v>
      </c>
      <c r="S3858" s="13" t="s">
        <v>379</v>
      </c>
    </row>
    <row r="3859" spans="1:63" ht="12" customHeight="1" x14ac:dyDescent="0.15">
      <c r="A3859" s="1" t="s">
        <v>10339</v>
      </c>
      <c r="B3859" s="1">
        <v>50</v>
      </c>
      <c r="C3859" s="1" t="s">
        <v>114</v>
      </c>
      <c r="D3859" s="1" t="s">
        <v>48</v>
      </c>
      <c r="E3859" s="1" t="s">
        <v>10340</v>
      </c>
      <c r="F3859" s="72">
        <v>41749</v>
      </c>
      <c r="G3859" s="1" t="s">
        <v>10341</v>
      </c>
      <c r="H3859" s="1" t="s">
        <v>87</v>
      </c>
      <c r="I3859" s="1" t="s">
        <v>44</v>
      </c>
      <c r="J3859" s="4" t="s">
        <v>10342</v>
      </c>
      <c r="K3859" s="1" t="s">
        <v>88</v>
      </c>
      <c r="L3859" s="1" t="s">
        <v>89</v>
      </c>
      <c r="M3859" s="1" t="s">
        <v>27</v>
      </c>
      <c r="N3859" s="1" t="s">
        <v>10343</v>
      </c>
      <c r="O3859" s="1" t="s">
        <v>400</v>
      </c>
      <c r="P3859" s="1" t="s">
        <v>401</v>
      </c>
      <c r="Q3859" s="63" t="s">
        <v>10344</v>
      </c>
      <c r="R3859" s="1" t="s">
        <v>29</v>
      </c>
      <c r="S3859" s="13" t="s">
        <v>28</v>
      </c>
    </row>
    <row r="3860" spans="1:63" ht="12" customHeight="1" x14ac:dyDescent="0.2">
      <c r="A3860" s="1" t="s">
        <v>10358</v>
      </c>
      <c r="B3860" s="1">
        <v>30</v>
      </c>
      <c r="C3860" s="1" t="s">
        <v>20</v>
      </c>
      <c r="D3860" s="1" t="s">
        <v>37</v>
      </c>
      <c r="F3860" s="72">
        <v>41749</v>
      </c>
      <c r="G3860" s="1" t="s">
        <v>10359</v>
      </c>
      <c r="H3860" s="1" t="s">
        <v>575</v>
      </c>
      <c r="I3860" s="1" t="s">
        <v>73</v>
      </c>
      <c r="J3860" s="4" t="s">
        <v>10360</v>
      </c>
      <c r="K3860" s="1" t="s">
        <v>576</v>
      </c>
      <c r="L3860" s="1" t="s">
        <v>577</v>
      </c>
      <c r="M3860" s="1" t="s">
        <v>27</v>
      </c>
      <c r="N3860" s="1" t="s">
        <v>10361</v>
      </c>
      <c r="O3860" s="1" t="s">
        <v>1010</v>
      </c>
      <c r="P3860" s="1" t="s">
        <v>401</v>
      </c>
      <c r="Q3860" s="63" t="s">
        <v>10362</v>
      </c>
      <c r="R3860" s="1" t="s">
        <v>29</v>
      </c>
      <c r="S3860" s="13" t="s">
        <v>18</v>
      </c>
      <c r="BA3860" s="70"/>
      <c r="BB3860" s="70"/>
    </row>
    <row r="3861" spans="1:63" ht="12" customHeight="1" x14ac:dyDescent="0.15">
      <c r="A3861" s="1" t="s">
        <v>10363</v>
      </c>
      <c r="B3861" s="1">
        <v>18</v>
      </c>
      <c r="C3861" s="1" t="s">
        <v>114</v>
      </c>
      <c r="D3861" s="1" t="s">
        <v>48</v>
      </c>
      <c r="F3861" s="72">
        <v>41748</v>
      </c>
      <c r="G3861" s="1" t="s">
        <v>10364</v>
      </c>
      <c r="H3861" s="1" t="s">
        <v>2487</v>
      </c>
      <c r="I3861" s="1" t="s">
        <v>395</v>
      </c>
      <c r="J3861" s="4" t="s">
        <v>10365</v>
      </c>
      <c r="K3861" s="1" t="s">
        <v>2487</v>
      </c>
      <c r="L3861" s="1" t="s">
        <v>3114</v>
      </c>
      <c r="M3861" s="1" t="s">
        <v>27</v>
      </c>
      <c r="N3861" s="1" t="s">
        <v>10366</v>
      </c>
      <c r="O3861" s="1" t="s">
        <v>1010</v>
      </c>
      <c r="P3861" s="1" t="s">
        <v>401</v>
      </c>
      <c r="Q3861" s="63" t="s">
        <v>10367</v>
      </c>
      <c r="R3861" s="1" t="s">
        <v>100</v>
      </c>
      <c r="S3861" s="13" t="s">
        <v>18</v>
      </c>
    </row>
    <row r="3862" spans="1:63" ht="12" customHeight="1" x14ac:dyDescent="0.15">
      <c r="A3862" s="1" t="s">
        <v>3252</v>
      </c>
      <c r="B3862" s="1">
        <v>50</v>
      </c>
      <c r="C3862" s="1" t="s">
        <v>20</v>
      </c>
      <c r="D3862" s="1" t="s">
        <v>48</v>
      </c>
      <c r="F3862" s="72">
        <v>41748</v>
      </c>
      <c r="G3862" s="1" t="s">
        <v>10368</v>
      </c>
      <c r="H3862" s="1" t="s">
        <v>200</v>
      </c>
      <c r="I3862" s="1" t="s">
        <v>45</v>
      </c>
      <c r="J3862" s="4" t="s">
        <v>7089</v>
      </c>
      <c r="K3862" s="1" t="s">
        <v>200</v>
      </c>
      <c r="L3862" s="1" t="s">
        <v>1598</v>
      </c>
      <c r="M3862" s="1" t="s">
        <v>27</v>
      </c>
      <c r="N3862" s="1" t="s">
        <v>10369</v>
      </c>
      <c r="O3862" s="1" t="s">
        <v>1010</v>
      </c>
      <c r="P3862" s="1" t="s">
        <v>401</v>
      </c>
      <c r="Q3862" s="63" t="s">
        <v>10370</v>
      </c>
      <c r="R3862" s="1" t="s">
        <v>29</v>
      </c>
      <c r="S3862" s="13" t="s">
        <v>28</v>
      </c>
    </row>
    <row r="3863" spans="1:63" ht="12" customHeight="1" x14ac:dyDescent="0.15">
      <c r="A3863" s="1" t="s">
        <v>10371</v>
      </c>
      <c r="B3863" s="1">
        <v>19</v>
      </c>
      <c r="C3863" s="1" t="s">
        <v>20</v>
      </c>
      <c r="D3863" s="1" t="s">
        <v>48</v>
      </c>
      <c r="E3863" s="1" t="s">
        <v>10372</v>
      </c>
      <c r="F3863" s="72">
        <v>41747</v>
      </c>
      <c r="G3863" s="1" t="s">
        <v>10373</v>
      </c>
      <c r="H3863" s="1" t="s">
        <v>10374</v>
      </c>
      <c r="I3863" s="1" t="s">
        <v>45</v>
      </c>
      <c r="J3863" s="4" t="s">
        <v>10375</v>
      </c>
      <c r="K3863" s="1" t="s">
        <v>9909</v>
      </c>
      <c r="L3863" s="1" t="s">
        <v>10376</v>
      </c>
      <c r="M3863" s="1" t="s">
        <v>27</v>
      </c>
      <c r="N3863" s="1" t="s">
        <v>10377</v>
      </c>
      <c r="O3863" s="1" t="s">
        <v>1010</v>
      </c>
      <c r="P3863" s="1" t="s">
        <v>401</v>
      </c>
      <c r="Q3863" s="63" t="s">
        <v>10378</v>
      </c>
      <c r="R3863" s="1" t="s">
        <v>100</v>
      </c>
      <c r="S3863" s="13" t="s">
        <v>35</v>
      </c>
      <c r="BK3863" s="11"/>
    </row>
    <row r="3864" spans="1:63" ht="12" customHeight="1" x14ac:dyDescent="0.2">
      <c r="A3864" s="1" t="s">
        <v>10379</v>
      </c>
      <c r="B3864" s="1">
        <v>16</v>
      </c>
      <c r="C3864" s="1" t="s">
        <v>114</v>
      </c>
      <c r="D3864" s="1" t="s">
        <v>30</v>
      </c>
      <c r="F3864" s="72">
        <v>41747</v>
      </c>
      <c r="G3864" s="1" t="s">
        <v>10380</v>
      </c>
      <c r="H3864" s="1" t="s">
        <v>10381</v>
      </c>
      <c r="I3864" s="1" t="s">
        <v>404</v>
      </c>
      <c r="J3864" s="4" t="s">
        <v>10382</v>
      </c>
      <c r="K3864" s="1" t="s">
        <v>10381</v>
      </c>
      <c r="L3864" s="1" t="s">
        <v>9350</v>
      </c>
      <c r="M3864" s="1" t="s">
        <v>9486</v>
      </c>
      <c r="N3864" s="1" t="s">
        <v>10383</v>
      </c>
      <c r="O3864" s="1" t="s">
        <v>1010</v>
      </c>
      <c r="P3864" s="1" t="s">
        <v>401</v>
      </c>
      <c r="Q3864" s="63" t="s">
        <v>10384</v>
      </c>
      <c r="R3864" s="1" t="s">
        <v>100</v>
      </c>
      <c r="S3864" s="13" t="s">
        <v>379</v>
      </c>
      <c r="AT3864" s="70"/>
      <c r="AU3864" s="70"/>
      <c r="BJ3864" s="11"/>
      <c r="BK3864" s="78"/>
    </row>
    <row r="3865" spans="1:63" ht="12" customHeight="1" x14ac:dyDescent="0.15">
      <c r="A3865" s="1" t="s">
        <v>10385</v>
      </c>
      <c r="B3865" s="1">
        <v>35</v>
      </c>
      <c r="C3865" s="1" t="s">
        <v>20</v>
      </c>
      <c r="D3865" s="1" t="s">
        <v>48</v>
      </c>
      <c r="E3865" s="1" t="s">
        <v>10386</v>
      </c>
      <c r="F3865" s="72">
        <v>41746</v>
      </c>
      <c r="G3865" s="1" t="s">
        <v>10387</v>
      </c>
      <c r="H3865" s="1" t="s">
        <v>561</v>
      </c>
      <c r="I3865" s="1" t="s">
        <v>123</v>
      </c>
      <c r="J3865" s="4" t="s">
        <v>6766</v>
      </c>
      <c r="K3865" s="1" t="s">
        <v>562</v>
      </c>
      <c r="L3865" s="1" t="s">
        <v>563</v>
      </c>
      <c r="M3865" s="1" t="s">
        <v>27</v>
      </c>
      <c r="N3865" s="1" t="s">
        <v>10388</v>
      </c>
      <c r="O3865" s="1" t="s">
        <v>1010</v>
      </c>
      <c r="P3865" s="1" t="s">
        <v>401</v>
      </c>
      <c r="Q3865" s="63" t="s">
        <v>10389</v>
      </c>
      <c r="R3865" s="1" t="s">
        <v>100</v>
      </c>
      <c r="S3865" s="13" t="s">
        <v>28</v>
      </c>
    </row>
    <row r="3866" spans="1:63" ht="12" customHeight="1" x14ac:dyDescent="0.2">
      <c r="A3866" s="1" t="s">
        <v>10405</v>
      </c>
      <c r="B3866" s="1">
        <v>42</v>
      </c>
      <c r="C3866" s="1" t="s">
        <v>114</v>
      </c>
      <c r="D3866" s="1" t="s">
        <v>37</v>
      </c>
      <c r="E3866" s="1" t="s">
        <v>10406</v>
      </c>
      <c r="F3866" s="72">
        <v>41746</v>
      </c>
      <c r="G3866" s="1" t="s">
        <v>10407</v>
      </c>
      <c r="H3866" s="1" t="s">
        <v>216</v>
      </c>
      <c r="I3866" s="1" t="s">
        <v>217</v>
      </c>
      <c r="J3866" s="4" t="s">
        <v>10408</v>
      </c>
      <c r="K3866" s="1" t="s">
        <v>420</v>
      </c>
      <c r="L3866" s="1" t="s">
        <v>218</v>
      </c>
      <c r="M3866" s="1" t="s">
        <v>27</v>
      </c>
      <c r="N3866" s="1" t="s">
        <v>10409</v>
      </c>
      <c r="O3866" s="1" t="s">
        <v>1010</v>
      </c>
      <c r="P3866" s="1" t="s">
        <v>401</v>
      </c>
      <c r="Q3866" s="63" t="s">
        <v>10410</v>
      </c>
      <c r="R3866" s="1" t="s">
        <v>29</v>
      </c>
      <c r="S3866" s="13" t="s">
        <v>28</v>
      </c>
      <c r="BA3866" s="70"/>
      <c r="BB3866" s="70"/>
    </row>
    <row r="3867" spans="1:63" ht="12" customHeight="1" x14ac:dyDescent="0.15">
      <c r="A3867" s="1" t="s">
        <v>10397</v>
      </c>
      <c r="B3867" s="1">
        <v>25</v>
      </c>
      <c r="C3867" s="1" t="s">
        <v>20</v>
      </c>
      <c r="D3867" s="1" t="s">
        <v>37</v>
      </c>
      <c r="E3867" s="1" t="s">
        <v>10398</v>
      </c>
      <c r="F3867" s="72">
        <v>41746</v>
      </c>
      <c r="G3867" s="1" t="s">
        <v>10399</v>
      </c>
      <c r="H3867" s="1" t="s">
        <v>10400</v>
      </c>
      <c r="I3867" s="1" t="s">
        <v>370</v>
      </c>
      <c r="J3867" s="4" t="s">
        <v>10401</v>
      </c>
      <c r="K3867" s="1" t="s">
        <v>1406</v>
      </c>
      <c r="L3867" s="1" t="s">
        <v>10402</v>
      </c>
      <c r="M3867" s="1" t="s">
        <v>27</v>
      </c>
      <c r="N3867" s="1" t="s">
        <v>10403</v>
      </c>
      <c r="O3867" s="1" t="s">
        <v>1010</v>
      </c>
      <c r="P3867" s="1" t="s">
        <v>401</v>
      </c>
      <c r="Q3867" s="63" t="s">
        <v>10404</v>
      </c>
      <c r="R3867" s="1" t="s">
        <v>555</v>
      </c>
      <c r="S3867" s="13" t="s">
        <v>28</v>
      </c>
      <c r="BA3867" s="44"/>
      <c r="BB3867" s="44"/>
    </row>
    <row r="3868" spans="1:63" ht="12" customHeight="1" x14ac:dyDescent="0.15">
      <c r="A3868" s="1" t="s">
        <v>10390</v>
      </c>
      <c r="B3868" s="1">
        <v>57</v>
      </c>
      <c r="C3868" s="1" t="s">
        <v>20</v>
      </c>
      <c r="D3868" s="1" t="s">
        <v>37</v>
      </c>
      <c r="F3868" s="72">
        <v>41746</v>
      </c>
      <c r="G3868" s="1" t="s">
        <v>10391</v>
      </c>
      <c r="H3868" s="1" t="s">
        <v>10392</v>
      </c>
      <c r="I3868" s="1" t="s">
        <v>73</v>
      </c>
      <c r="J3868" s="4" t="s">
        <v>10393</v>
      </c>
      <c r="K3868" s="1" t="s">
        <v>74</v>
      </c>
      <c r="L3868" s="1" t="s">
        <v>10394</v>
      </c>
      <c r="M3868" s="1" t="s">
        <v>27</v>
      </c>
      <c r="N3868" s="1" t="s">
        <v>10395</v>
      </c>
      <c r="O3868" s="1" t="s">
        <v>1010</v>
      </c>
      <c r="P3868" s="1" t="s">
        <v>401</v>
      </c>
      <c r="Q3868" s="63" t="s">
        <v>10396</v>
      </c>
      <c r="R3868" s="1" t="s">
        <v>555</v>
      </c>
      <c r="S3868" s="13" t="s">
        <v>28</v>
      </c>
      <c r="BA3868" s="44"/>
      <c r="BB3868" s="44"/>
    </row>
    <row r="3869" spans="1:63" ht="12" customHeight="1" x14ac:dyDescent="0.15">
      <c r="A3869" s="1" t="s">
        <v>10411</v>
      </c>
      <c r="B3869" s="1">
        <v>23</v>
      </c>
      <c r="C3869" s="1" t="s">
        <v>20</v>
      </c>
      <c r="D3869" s="1" t="s">
        <v>85</v>
      </c>
      <c r="E3869" s="1" t="s">
        <v>10412</v>
      </c>
      <c r="F3869" s="72">
        <v>41745</v>
      </c>
      <c r="G3869" s="1" t="s">
        <v>10413</v>
      </c>
      <c r="H3869" s="1" t="s">
        <v>10414</v>
      </c>
      <c r="I3869" s="1" t="s">
        <v>431</v>
      </c>
      <c r="J3869" s="4" t="s">
        <v>10415</v>
      </c>
      <c r="K3869" s="1" t="s">
        <v>709</v>
      </c>
      <c r="L3869" s="1" t="s">
        <v>7158</v>
      </c>
      <c r="M3869" s="1" t="s">
        <v>27</v>
      </c>
      <c r="N3869" s="1" t="s">
        <v>10416</v>
      </c>
      <c r="O3869" s="1" t="s">
        <v>1010</v>
      </c>
      <c r="P3869" s="1" t="s">
        <v>401</v>
      </c>
      <c r="Q3869" s="63" t="s">
        <v>10417</v>
      </c>
      <c r="R3869" s="1" t="s">
        <v>100</v>
      </c>
      <c r="S3869" s="13" t="s">
        <v>28</v>
      </c>
      <c r="AX3869" s="11"/>
      <c r="AY3869" s="11"/>
      <c r="BC3869" s="11"/>
      <c r="BD3869" s="11"/>
      <c r="BE3869" s="11"/>
      <c r="BF3869" s="11"/>
      <c r="BG3869" s="11"/>
      <c r="BH3869" s="11"/>
      <c r="BI3869" s="11"/>
      <c r="BJ3869" s="11"/>
    </row>
    <row r="3870" spans="1:63" ht="12" customHeight="1" x14ac:dyDescent="0.15">
      <c r="A3870" s="1" t="s">
        <v>10424</v>
      </c>
      <c r="B3870" s="1">
        <v>49</v>
      </c>
      <c r="C3870" s="1" t="s">
        <v>20</v>
      </c>
      <c r="D3870" s="1" t="s">
        <v>37</v>
      </c>
      <c r="E3870" s="1" t="s">
        <v>10425</v>
      </c>
      <c r="F3870" s="72">
        <v>41745</v>
      </c>
      <c r="G3870" s="1" t="s">
        <v>10426</v>
      </c>
      <c r="H3870" s="1" t="s">
        <v>10427</v>
      </c>
      <c r="I3870" s="1" t="s">
        <v>669</v>
      </c>
      <c r="J3870" s="4" t="s">
        <v>10428</v>
      </c>
      <c r="K3870" s="1" t="s">
        <v>5538</v>
      </c>
      <c r="L3870" s="1" t="s">
        <v>10429</v>
      </c>
      <c r="M3870" s="1" t="s">
        <v>27</v>
      </c>
      <c r="N3870" s="1" t="s">
        <v>10430</v>
      </c>
      <c r="O3870" s="1" t="s">
        <v>550</v>
      </c>
      <c r="P3870" s="1" t="s">
        <v>401</v>
      </c>
      <c r="Q3870" s="63" t="s">
        <v>10431</v>
      </c>
      <c r="R3870" s="1" t="s">
        <v>100</v>
      </c>
      <c r="S3870" s="13" t="s">
        <v>28</v>
      </c>
    </row>
    <row r="3871" spans="1:63" ht="12" customHeight="1" x14ac:dyDescent="0.2">
      <c r="A3871" s="1" t="s">
        <v>10418</v>
      </c>
      <c r="B3871" s="1">
        <v>40</v>
      </c>
      <c r="C3871" s="1" t="s">
        <v>20</v>
      </c>
      <c r="D3871" s="1" t="s">
        <v>37</v>
      </c>
      <c r="E3871" s="1" t="s">
        <v>10419</v>
      </c>
      <c r="F3871" s="72">
        <v>41745</v>
      </c>
      <c r="G3871" s="1" t="s">
        <v>10420</v>
      </c>
      <c r="H3871" s="1" t="s">
        <v>723</v>
      </c>
      <c r="I3871" s="1" t="s">
        <v>73</v>
      </c>
      <c r="J3871" s="4" t="s">
        <v>10421</v>
      </c>
      <c r="K3871" s="1" t="s">
        <v>558</v>
      </c>
      <c r="L3871" s="1" t="s">
        <v>724</v>
      </c>
      <c r="M3871" s="1" t="s">
        <v>3154</v>
      </c>
      <c r="N3871" s="1" t="s">
        <v>10422</v>
      </c>
      <c r="O3871" s="1" t="s">
        <v>4684</v>
      </c>
      <c r="P3871" s="1" t="s">
        <v>401</v>
      </c>
      <c r="Q3871" s="63" t="s">
        <v>10423</v>
      </c>
      <c r="R3871" s="1" t="s">
        <v>29</v>
      </c>
      <c r="S3871" s="13" t="s">
        <v>18</v>
      </c>
      <c r="AT3871" s="70"/>
      <c r="AU3871" s="70"/>
      <c r="AV3871" s="70"/>
      <c r="AW3871" s="44"/>
      <c r="AX3871" s="44"/>
      <c r="AY3871" s="44"/>
      <c r="BK3871" s="78"/>
    </row>
    <row r="3872" spans="1:63" ht="12" customHeight="1" x14ac:dyDescent="0.2">
      <c r="A3872" s="1" t="s">
        <v>10432</v>
      </c>
      <c r="B3872" s="1">
        <v>52</v>
      </c>
      <c r="C3872" s="1" t="s">
        <v>20</v>
      </c>
      <c r="D3872" s="1" t="s">
        <v>37</v>
      </c>
      <c r="F3872" s="72">
        <v>41745</v>
      </c>
      <c r="G3872" s="1" t="s">
        <v>10433</v>
      </c>
      <c r="H3872" s="1" t="s">
        <v>10434</v>
      </c>
      <c r="I3872" s="1" t="s">
        <v>431</v>
      </c>
      <c r="J3872" s="4" t="s">
        <v>10435</v>
      </c>
      <c r="K3872" s="1" t="s">
        <v>10434</v>
      </c>
      <c r="L3872" s="1" t="s">
        <v>27612</v>
      </c>
      <c r="M3872" s="1" t="s">
        <v>27</v>
      </c>
      <c r="N3872" s="1" t="s">
        <v>10436</v>
      </c>
      <c r="O3872" s="1" t="s">
        <v>1010</v>
      </c>
      <c r="P3872" s="1" t="s">
        <v>401</v>
      </c>
      <c r="Q3872" s="63" t="s">
        <v>10437</v>
      </c>
      <c r="R3872" s="1" t="s">
        <v>29</v>
      </c>
      <c r="S3872" s="13" t="s">
        <v>18</v>
      </c>
      <c r="BA3872" s="70"/>
      <c r="BB3872" s="70"/>
    </row>
    <row r="3873" spans="1:63" ht="12" customHeight="1" x14ac:dyDescent="0.15">
      <c r="A3873" s="1" t="s">
        <v>10438</v>
      </c>
      <c r="B3873" s="1">
        <v>48</v>
      </c>
      <c r="C3873" s="1" t="s">
        <v>20</v>
      </c>
      <c r="D3873" s="1" t="s">
        <v>85</v>
      </c>
      <c r="E3873" s="1" t="s">
        <v>10439</v>
      </c>
      <c r="F3873" s="72">
        <v>41744</v>
      </c>
      <c r="G3873" s="1" t="s">
        <v>10440</v>
      </c>
      <c r="H3873" s="1" t="s">
        <v>7583</v>
      </c>
      <c r="I3873" s="1" t="s">
        <v>25</v>
      </c>
      <c r="J3873" s="4" t="s">
        <v>7584</v>
      </c>
      <c r="K3873" s="1" t="s">
        <v>10441</v>
      </c>
      <c r="L3873" s="1" t="s">
        <v>10442</v>
      </c>
      <c r="M3873" s="1" t="s">
        <v>27</v>
      </c>
      <c r="N3873" s="1" t="s">
        <v>10443</v>
      </c>
      <c r="O3873" s="1" t="s">
        <v>4684</v>
      </c>
      <c r="P3873" s="1" t="s">
        <v>401</v>
      </c>
      <c r="Q3873" s="63" t="s">
        <v>10444</v>
      </c>
      <c r="R3873" s="1" t="s">
        <v>100</v>
      </c>
      <c r="S3873" s="13" t="s">
        <v>28</v>
      </c>
      <c r="AX3873" s="11"/>
      <c r="AY3873" s="11"/>
      <c r="BC3873" s="11"/>
      <c r="BD3873" s="11"/>
      <c r="BE3873" s="11"/>
      <c r="BF3873" s="11"/>
      <c r="BG3873" s="11"/>
      <c r="BH3873" s="11"/>
      <c r="BI3873" s="11"/>
      <c r="BJ3873" s="11"/>
    </row>
    <row r="3874" spans="1:63" ht="12" customHeight="1" x14ac:dyDescent="0.15">
      <c r="A3874" s="1" t="s">
        <v>10459</v>
      </c>
      <c r="B3874" s="1">
        <v>24</v>
      </c>
      <c r="C3874" s="1" t="s">
        <v>20</v>
      </c>
      <c r="D3874" s="1" t="s">
        <v>37</v>
      </c>
      <c r="E3874" s="1" t="s">
        <v>10460</v>
      </c>
      <c r="F3874" s="72">
        <v>41743</v>
      </c>
      <c r="G3874" s="1" t="s">
        <v>10461</v>
      </c>
      <c r="H3874" s="1" t="s">
        <v>3572</v>
      </c>
      <c r="I3874" s="1" t="s">
        <v>62</v>
      </c>
      <c r="J3874" s="4" t="s">
        <v>7548</v>
      </c>
      <c r="K3874" s="1" t="s">
        <v>3574</v>
      </c>
      <c r="L3874" s="1" t="s">
        <v>3575</v>
      </c>
      <c r="M3874" s="1" t="s">
        <v>27</v>
      </c>
      <c r="N3874" s="1" t="s">
        <v>10462</v>
      </c>
      <c r="O3874" s="1" t="s">
        <v>1010</v>
      </c>
      <c r="P3874" s="1" t="s">
        <v>401</v>
      </c>
      <c r="Q3874" s="63" t="s">
        <v>10463</v>
      </c>
      <c r="R3874" s="1" t="s">
        <v>100</v>
      </c>
      <c r="S3874" s="13" t="s">
        <v>28</v>
      </c>
    </row>
    <row r="3875" spans="1:63" ht="12" customHeight="1" x14ac:dyDescent="0.15">
      <c r="A3875" s="1" t="s">
        <v>10445</v>
      </c>
      <c r="B3875" s="1">
        <v>38</v>
      </c>
      <c r="C3875" s="1" t="s">
        <v>20</v>
      </c>
      <c r="D3875" s="1" t="s">
        <v>48</v>
      </c>
      <c r="E3875" s="1" t="s">
        <v>10446</v>
      </c>
      <c r="F3875" s="72">
        <v>41743</v>
      </c>
      <c r="G3875" s="1" t="s">
        <v>10447</v>
      </c>
      <c r="H3875" s="1" t="s">
        <v>4573</v>
      </c>
      <c r="I3875" s="1" t="s">
        <v>854</v>
      </c>
      <c r="J3875" s="4" t="s">
        <v>4574</v>
      </c>
      <c r="K3875" s="1" t="s">
        <v>4575</v>
      </c>
      <c r="L3875" s="1" t="s">
        <v>10448</v>
      </c>
      <c r="M3875" s="1" t="s">
        <v>27</v>
      </c>
      <c r="N3875" s="1" t="s">
        <v>10449</v>
      </c>
      <c r="O3875" s="1" t="s">
        <v>4684</v>
      </c>
      <c r="P3875" s="1" t="s">
        <v>401</v>
      </c>
      <c r="Q3875" s="63" t="s">
        <v>10450</v>
      </c>
      <c r="R3875" s="1" t="s">
        <v>100</v>
      </c>
      <c r="S3875" s="13" t="s">
        <v>18</v>
      </c>
    </row>
    <row r="3876" spans="1:63" ht="12" customHeight="1" x14ac:dyDescent="0.15">
      <c r="A3876" s="1" t="s">
        <v>10451</v>
      </c>
      <c r="B3876" s="1">
        <v>45</v>
      </c>
      <c r="C3876" s="1" t="s">
        <v>20</v>
      </c>
      <c r="D3876" s="1" t="s">
        <v>30</v>
      </c>
      <c r="F3876" s="72">
        <v>41743</v>
      </c>
      <c r="G3876" s="1" t="s">
        <v>10452</v>
      </c>
      <c r="H3876" s="1" t="s">
        <v>10453</v>
      </c>
      <c r="I3876" s="1" t="s">
        <v>669</v>
      </c>
      <c r="J3876" s="4" t="s">
        <v>10454</v>
      </c>
      <c r="K3876" s="1" t="s">
        <v>10455</v>
      </c>
      <c r="L3876" s="1" t="s">
        <v>10456</v>
      </c>
      <c r="M3876" s="1" t="s">
        <v>27</v>
      </c>
      <c r="N3876" s="1" t="s">
        <v>10457</v>
      </c>
      <c r="O3876" s="1" t="s">
        <v>1010</v>
      </c>
      <c r="P3876" s="1" t="s">
        <v>401</v>
      </c>
      <c r="Q3876" s="63" t="s">
        <v>10458</v>
      </c>
      <c r="R3876" s="1" t="s">
        <v>555</v>
      </c>
      <c r="S3876" s="13" t="s">
        <v>28</v>
      </c>
      <c r="BA3876" s="11"/>
      <c r="BB3876" s="11"/>
    </row>
    <row r="3877" spans="1:63" ht="12" customHeight="1" x14ac:dyDescent="0.15">
      <c r="A3877" s="1" t="s">
        <v>10501</v>
      </c>
      <c r="B3877" s="1">
        <v>38</v>
      </c>
      <c r="C3877" s="1" t="s">
        <v>20</v>
      </c>
      <c r="D3877" s="1" t="s">
        <v>37</v>
      </c>
      <c r="E3877" s="1" t="s">
        <v>10502</v>
      </c>
      <c r="F3877" s="72">
        <v>41742</v>
      </c>
      <c r="G3877" s="1" t="s">
        <v>10503</v>
      </c>
      <c r="H3877" s="1" t="s">
        <v>3324</v>
      </c>
      <c r="I3877" s="1" t="s">
        <v>123</v>
      </c>
      <c r="J3877" s="4" t="s">
        <v>10504</v>
      </c>
      <c r="K3877" s="1" t="s">
        <v>633</v>
      </c>
      <c r="L3877" s="1" t="s">
        <v>634</v>
      </c>
      <c r="M3877" s="1" t="s">
        <v>391</v>
      </c>
      <c r="N3877" s="1" t="s">
        <v>10505</v>
      </c>
      <c r="O3877" s="1" t="s">
        <v>1010</v>
      </c>
      <c r="P3877" s="1" t="s">
        <v>401</v>
      </c>
      <c r="Q3877" s="63" t="s">
        <v>10506</v>
      </c>
      <c r="R3877" s="11" t="s">
        <v>964</v>
      </c>
      <c r="S3877" s="13" t="s">
        <v>35</v>
      </c>
      <c r="AU3877" s="11"/>
      <c r="AV3877" s="11"/>
      <c r="AW3877" s="11"/>
      <c r="BK3877" s="11"/>
    </row>
    <row r="3878" spans="1:63" ht="12" customHeight="1" x14ac:dyDescent="0.15">
      <c r="A3878" s="1" t="s">
        <v>10482</v>
      </c>
      <c r="B3878" s="1">
        <v>40</v>
      </c>
      <c r="C3878" s="1" t="s">
        <v>20</v>
      </c>
      <c r="D3878" s="1" t="s">
        <v>48</v>
      </c>
      <c r="E3878" s="1" t="s">
        <v>10483</v>
      </c>
      <c r="F3878" s="72">
        <v>41742</v>
      </c>
      <c r="G3878" s="1" t="s">
        <v>10484</v>
      </c>
      <c r="H3878" s="1" t="s">
        <v>122</v>
      </c>
      <c r="I3878" s="1" t="s">
        <v>123</v>
      </c>
      <c r="J3878" s="4" t="s">
        <v>10485</v>
      </c>
      <c r="K3878" s="1" t="s">
        <v>124</v>
      </c>
      <c r="L3878" s="1" t="s">
        <v>10486</v>
      </c>
      <c r="M3878" s="1" t="s">
        <v>27</v>
      </c>
      <c r="N3878" s="1" t="s">
        <v>10487</v>
      </c>
      <c r="O3878" s="1" t="s">
        <v>550</v>
      </c>
      <c r="P3878" s="1" t="s">
        <v>401</v>
      </c>
      <c r="Q3878" s="63" t="s">
        <v>10488</v>
      </c>
      <c r="R3878" s="1" t="s">
        <v>100</v>
      </c>
      <c r="S3878" s="13" t="s">
        <v>28</v>
      </c>
    </row>
    <row r="3879" spans="1:63" ht="12" customHeight="1" x14ac:dyDescent="0.15">
      <c r="A3879" s="1" t="s">
        <v>10507</v>
      </c>
      <c r="B3879" s="1">
        <v>67</v>
      </c>
      <c r="C3879" s="1" t="s">
        <v>20</v>
      </c>
      <c r="D3879" s="1" t="s">
        <v>37</v>
      </c>
      <c r="E3879" s="1" t="s">
        <v>10508</v>
      </c>
      <c r="F3879" s="72">
        <v>41742</v>
      </c>
      <c r="G3879" s="1" t="s">
        <v>10509</v>
      </c>
      <c r="H3879" s="1" t="s">
        <v>10510</v>
      </c>
      <c r="I3879" s="1" t="s">
        <v>366</v>
      </c>
      <c r="J3879" s="4" t="s">
        <v>10511</v>
      </c>
      <c r="K3879" s="1" t="s">
        <v>10512</v>
      </c>
      <c r="L3879" s="1" t="s">
        <v>6418</v>
      </c>
      <c r="M3879" s="1" t="s">
        <v>27</v>
      </c>
      <c r="N3879" s="1" t="s">
        <v>10513</v>
      </c>
      <c r="O3879" s="1" t="s">
        <v>550</v>
      </c>
      <c r="P3879" s="1" t="s">
        <v>401</v>
      </c>
      <c r="Q3879" s="63" t="str">
        <f>HYPERLINK("http://www.wwaytv3.com/2014/04/14/updated-sbi-investigating-officer-involved-shooting-pender-county","http://www.wwaytv3.com/2014/04/14/updated-sbi-investigating-officer-involved-shooting-pender-county")</f>
        <v>http://www.wwaytv3.com/2014/04/14/updated-sbi-investigating-officer-involved-shooting-pender-county</v>
      </c>
      <c r="R3879" s="1" t="s">
        <v>100</v>
      </c>
      <c r="S3879" s="13" t="s">
        <v>28</v>
      </c>
    </row>
    <row r="3880" spans="1:63" ht="12" customHeight="1" x14ac:dyDescent="0.15">
      <c r="A3880" s="1" t="s">
        <v>10474</v>
      </c>
      <c r="B3880" s="1">
        <v>22</v>
      </c>
      <c r="C3880" s="1" t="s">
        <v>20</v>
      </c>
      <c r="D3880" s="1" t="s">
        <v>48</v>
      </c>
      <c r="E3880" s="1" t="s">
        <v>10475</v>
      </c>
      <c r="F3880" s="72">
        <v>41742</v>
      </c>
      <c r="G3880" s="1" t="s">
        <v>10476</v>
      </c>
      <c r="H3880" s="1" t="s">
        <v>10477</v>
      </c>
      <c r="I3880" s="1" t="s">
        <v>41</v>
      </c>
      <c r="J3880" s="4" t="s">
        <v>10478</v>
      </c>
      <c r="K3880" s="1" t="s">
        <v>849</v>
      </c>
      <c r="L3880" s="1" t="s">
        <v>10479</v>
      </c>
      <c r="M3880" s="1" t="s">
        <v>391</v>
      </c>
      <c r="N3880" s="1" t="s">
        <v>10480</v>
      </c>
      <c r="O3880" s="1" t="s">
        <v>550</v>
      </c>
      <c r="P3880" s="1" t="s">
        <v>401</v>
      </c>
      <c r="Q3880" s="63" t="s">
        <v>10481</v>
      </c>
      <c r="R3880" s="1" t="s">
        <v>100</v>
      </c>
      <c r="S3880" s="13" t="s">
        <v>18</v>
      </c>
      <c r="AU3880" s="11"/>
      <c r="AV3880" s="11"/>
      <c r="AW3880" s="11"/>
    </row>
    <row r="3881" spans="1:63" ht="12" customHeight="1" x14ac:dyDescent="0.15">
      <c r="A3881" s="1" t="s">
        <v>10469</v>
      </c>
      <c r="B3881" s="1">
        <v>20</v>
      </c>
      <c r="C3881" s="1" t="s">
        <v>20</v>
      </c>
      <c r="D3881" s="1" t="s">
        <v>85</v>
      </c>
      <c r="E3881" s="1" t="s">
        <v>10470</v>
      </c>
      <c r="F3881" s="72">
        <v>41742</v>
      </c>
      <c r="G3881" s="1" t="s">
        <v>10471</v>
      </c>
      <c r="H3881" s="1" t="s">
        <v>2295</v>
      </c>
      <c r="I3881" s="1" t="s">
        <v>44</v>
      </c>
      <c r="J3881" s="4" t="s">
        <v>2296</v>
      </c>
      <c r="K3881" s="1" t="s">
        <v>88</v>
      </c>
      <c r="L3881" s="1" t="s">
        <v>2297</v>
      </c>
      <c r="M3881" s="1" t="s">
        <v>27</v>
      </c>
      <c r="N3881" s="1" t="s">
        <v>10472</v>
      </c>
      <c r="O3881" s="1" t="s">
        <v>400</v>
      </c>
      <c r="P3881" s="1" t="s">
        <v>401</v>
      </c>
      <c r="Q3881" s="63" t="s">
        <v>10473</v>
      </c>
      <c r="R3881" s="1" t="s">
        <v>100</v>
      </c>
      <c r="S3881" s="13" t="s">
        <v>379</v>
      </c>
      <c r="AX3881" s="11"/>
      <c r="AY3881" s="11"/>
      <c r="BC3881" s="11"/>
      <c r="BD3881" s="11"/>
      <c r="BE3881" s="11"/>
      <c r="BF3881" s="11"/>
      <c r="BG3881" s="11"/>
      <c r="BH3881" s="11"/>
      <c r="BI3881" s="11"/>
      <c r="BJ3881" s="11"/>
    </row>
    <row r="3882" spans="1:63" ht="12" customHeight="1" x14ac:dyDescent="0.2">
      <c r="A3882" s="1" t="s">
        <v>10464</v>
      </c>
      <c r="B3882" s="1">
        <v>45</v>
      </c>
      <c r="C3882" s="1" t="s">
        <v>20</v>
      </c>
      <c r="D3882" s="1" t="s">
        <v>21</v>
      </c>
      <c r="F3882" s="72">
        <v>41742</v>
      </c>
      <c r="G3882" s="1" t="s">
        <v>10465</v>
      </c>
      <c r="H3882" s="1" t="s">
        <v>98</v>
      </c>
      <c r="I3882" s="1" t="s">
        <v>45</v>
      </c>
      <c r="J3882" s="4" t="s">
        <v>10466</v>
      </c>
      <c r="K3882" s="1" t="s">
        <v>98</v>
      </c>
      <c r="L3882" s="1" t="s">
        <v>99</v>
      </c>
      <c r="M3882" s="1" t="s">
        <v>27</v>
      </c>
      <c r="N3882" s="1" t="s">
        <v>10467</v>
      </c>
      <c r="O3882" s="1" t="s">
        <v>1010</v>
      </c>
      <c r="P3882" s="1" t="s">
        <v>401</v>
      </c>
      <c r="Q3882" s="63" t="s">
        <v>10468</v>
      </c>
      <c r="R3882" s="1" t="s">
        <v>29</v>
      </c>
      <c r="S3882" s="13" t="s">
        <v>28</v>
      </c>
      <c r="AX3882" s="70"/>
      <c r="AY3882" s="70"/>
      <c r="BC3882" s="70"/>
      <c r="BD3882" s="70"/>
      <c r="BE3882" s="70"/>
      <c r="BF3882" s="70"/>
      <c r="BG3882" s="70"/>
      <c r="BH3882" s="70"/>
      <c r="BI3882" s="70"/>
      <c r="BJ3882" s="70"/>
    </row>
    <row r="3883" spans="1:63" ht="12" customHeight="1" x14ac:dyDescent="0.15">
      <c r="A3883" s="1" t="s">
        <v>3252</v>
      </c>
      <c r="B3883" s="1">
        <v>53</v>
      </c>
      <c r="C3883" s="1" t="s">
        <v>114</v>
      </c>
      <c r="D3883" s="1" t="s">
        <v>30</v>
      </c>
      <c r="F3883" s="72">
        <v>41742</v>
      </c>
      <c r="G3883" s="1" t="s">
        <v>10489</v>
      </c>
      <c r="H3883" s="1" t="s">
        <v>607</v>
      </c>
      <c r="I3883" s="1" t="s">
        <v>45</v>
      </c>
      <c r="J3883" s="4" t="s">
        <v>10490</v>
      </c>
      <c r="K3883" s="1" t="s">
        <v>607</v>
      </c>
      <c r="L3883" s="1" t="s">
        <v>3358</v>
      </c>
      <c r="M3883" s="1" t="s">
        <v>27</v>
      </c>
      <c r="N3883" s="1" t="s">
        <v>10491</v>
      </c>
      <c r="O3883" s="1" t="s">
        <v>1010</v>
      </c>
      <c r="P3883" s="1" t="s">
        <v>401</v>
      </c>
      <c r="Q3883" s="63" t="s">
        <v>10492</v>
      </c>
      <c r="R3883" s="1" t="s">
        <v>555</v>
      </c>
      <c r="S3883" s="13" t="s">
        <v>28</v>
      </c>
      <c r="BA3883" s="11"/>
      <c r="BB3883" s="11"/>
    </row>
    <row r="3884" spans="1:63" ht="12" customHeight="1" x14ac:dyDescent="0.15">
      <c r="A3884" s="1" t="s">
        <v>10493</v>
      </c>
      <c r="B3884" s="1">
        <v>38</v>
      </c>
      <c r="C3884" s="1" t="s">
        <v>20</v>
      </c>
      <c r="D3884" s="1" t="s">
        <v>37</v>
      </c>
      <c r="E3884" s="1" t="s">
        <v>10494</v>
      </c>
      <c r="F3884" s="72">
        <v>41742</v>
      </c>
      <c r="G3884" s="1" t="s">
        <v>10495</v>
      </c>
      <c r="H3884" s="1" t="s">
        <v>10496</v>
      </c>
      <c r="I3884" s="1" t="s">
        <v>240</v>
      </c>
      <c r="J3884" s="4" t="s">
        <v>10497</v>
      </c>
      <c r="K3884" s="1" t="s">
        <v>5002</v>
      </c>
      <c r="L3884" s="1" t="s">
        <v>10498</v>
      </c>
      <c r="M3884" s="1" t="s">
        <v>27</v>
      </c>
      <c r="N3884" s="1" t="s">
        <v>10499</v>
      </c>
      <c r="O3884" s="1" t="s">
        <v>1010</v>
      </c>
      <c r="P3884" s="1" t="s">
        <v>401</v>
      </c>
      <c r="Q3884" s="63" t="s">
        <v>10500</v>
      </c>
      <c r="R3884" s="1" t="s">
        <v>555</v>
      </c>
      <c r="S3884" s="13" t="s">
        <v>28</v>
      </c>
      <c r="BA3884" s="44"/>
      <c r="BB3884" s="44"/>
    </row>
    <row r="3885" spans="1:63" ht="12" customHeight="1" x14ac:dyDescent="0.15">
      <c r="A3885" s="1" t="s">
        <v>10528</v>
      </c>
      <c r="B3885" s="1">
        <v>41</v>
      </c>
      <c r="C3885" s="1" t="s">
        <v>20</v>
      </c>
      <c r="D3885" s="1" t="s">
        <v>37</v>
      </c>
      <c r="F3885" s="72">
        <v>41741</v>
      </c>
      <c r="G3885" s="1" t="s">
        <v>10529</v>
      </c>
      <c r="H3885" s="1" t="s">
        <v>10530</v>
      </c>
      <c r="I3885" s="1" t="s">
        <v>315</v>
      </c>
      <c r="J3885" s="4" t="s">
        <v>10531</v>
      </c>
      <c r="K3885" s="1" t="s">
        <v>10532</v>
      </c>
      <c r="L3885" s="1" t="s">
        <v>10533</v>
      </c>
      <c r="M3885" s="1" t="s">
        <v>27</v>
      </c>
      <c r="N3885" s="1" t="s">
        <v>10534</v>
      </c>
      <c r="O3885" s="1" t="s">
        <v>550</v>
      </c>
      <c r="P3885" s="1" t="s">
        <v>401</v>
      </c>
      <c r="Q3885" s="63" t="s">
        <v>10535</v>
      </c>
      <c r="R3885" s="11" t="s">
        <v>964</v>
      </c>
      <c r="S3885" s="13" t="s">
        <v>28</v>
      </c>
    </row>
    <row r="3886" spans="1:63" ht="12" customHeight="1" x14ac:dyDescent="0.15">
      <c r="A3886" s="1" t="s">
        <v>10536</v>
      </c>
      <c r="B3886" s="1">
        <v>86</v>
      </c>
      <c r="C3886" s="1" t="s">
        <v>20</v>
      </c>
      <c r="D3886" s="1" t="s">
        <v>37</v>
      </c>
      <c r="F3886" s="72">
        <v>41741</v>
      </c>
      <c r="G3886" s="1" t="s">
        <v>10537</v>
      </c>
      <c r="H3886" s="1" t="s">
        <v>754</v>
      </c>
      <c r="I3886" s="1" t="s">
        <v>423</v>
      </c>
      <c r="J3886" s="4" t="s">
        <v>10538</v>
      </c>
      <c r="K3886" s="1" t="s">
        <v>2675</v>
      </c>
      <c r="L3886" s="1" t="s">
        <v>582</v>
      </c>
      <c r="M3886" s="1" t="s">
        <v>27</v>
      </c>
      <c r="N3886" s="1" t="s">
        <v>10539</v>
      </c>
      <c r="O3886" s="1" t="s">
        <v>400</v>
      </c>
      <c r="P3886" s="1" t="s">
        <v>401</v>
      </c>
      <c r="Q3886" s="63" t="s">
        <v>10540</v>
      </c>
      <c r="R3886" s="1" t="s">
        <v>100</v>
      </c>
      <c r="S3886" s="13" t="s">
        <v>28</v>
      </c>
    </row>
    <row r="3887" spans="1:63" ht="12" customHeight="1" x14ac:dyDescent="0.15">
      <c r="A3887" s="1" t="s">
        <v>10514</v>
      </c>
      <c r="B3887" s="1">
        <v>24</v>
      </c>
      <c r="C3887" s="1" t="s">
        <v>20</v>
      </c>
      <c r="D3887" s="1" t="s">
        <v>48</v>
      </c>
      <c r="E3887" s="1" t="s">
        <v>10515</v>
      </c>
      <c r="F3887" s="72">
        <v>41741</v>
      </c>
      <c r="G3887" s="1" t="s">
        <v>10516</v>
      </c>
      <c r="H3887" s="1" t="s">
        <v>6250</v>
      </c>
      <c r="I3887" s="1" t="s">
        <v>303</v>
      </c>
      <c r="J3887" s="4" t="s">
        <v>10517</v>
      </c>
      <c r="K3887" s="1" t="s">
        <v>6250</v>
      </c>
      <c r="L3887" s="1" t="s">
        <v>10518</v>
      </c>
      <c r="M3887" s="1" t="s">
        <v>27</v>
      </c>
      <c r="N3887" s="1" t="s">
        <v>10519</v>
      </c>
      <c r="O3887" s="1" t="s">
        <v>400</v>
      </c>
      <c r="P3887" s="1" t="s">
        <v>401</v>
      </c>
      <c r="Q3887" s="63" t="s">
        <v>10520</v>
      </c>
      <c r="R3887" s="1" t="s">
        <v>29</v>
      </c>
      <c r="S3887" s="13" t="s">
        <v>28</v>
      </c>
    </row>
    <row r="3888" spans="1:63" ht="12" customHeight="1" x14ac:dyDescent="0.15">
      <c r="A3888" s="1" t="s">
        <v>10521</v>
      </c>
      <c r="B3888" s="1">
        <v>66</v>
      </c>
      <c r="C3888" s="1" t="s">
        <v>20</v>
      </c>
      <c r="D3888" s="1" t="s">
        <v>37</v>
      </c>
      <c r="E3888" s="1" t="s">
        <v>10522</v>
      </c>
      <c r="F3888" s="72">
        <v>41741</v>
      </c>
      <c r="G3888" s="1" t="s">
        <v>10523</v>
      </c>
      <c r="H3888" s="1" t="s">
        <v>10524</v>
      </c>
      <c r="I3888" s="1" t="s">
        <v>4371</v>
      </c>
      <c r="J3888" s="4" t="s">
        <v>10525</v>
      </c>
      <c r="K3888" s="1" t="s">
        <v>3152</v>
      </c>
      <c r="L3888" s="1" t="s">
        <v>6495</v>
      </c>
      <c r="M3888" s="1" t="s">
        <v>27</v>
      </c>
      <c r="N3888" s="1" t="s">
        <v>10526</v>
      </c>
      <c r="O3888" s="1" t="s">
        <v>550</v>
      </c>
      <c r="P3888" s="1" t="s">
        <v>401</v>
      </c>
      <c r="Q3888" s="63" t="s">
        <v>10527</v>
      </c>
      <c r="R3888" s="1" t="s">
        <v>555</v>
      </c>
      <c r="S3888" s="13" t="s">
        <v>28</v>
      </c>
      <c r="BA3888" s="44"/>
      <c r="BB3888" s="44"/>
    </row>
    <row r="3889" spans="1:63" ht="12" customHeight="1" x14ac:dyDescent="0.15">
      <c r="A3889" s="1" t="s">
        <v>10570</v>
      </c>
      <c r="B3889" s="1">
        <v>32</v>
      </c>
      <c r="C3889" s="1" t="s">
        <v>20</v>
      </c>
      <c r="D3889" s="1" t="s">
        <v>37</v>
      </c>
      <c r="E3889" s="1" t="s">
        <v>10571</v>
      </c>
      <c r="F3889" s="72">
        <v>41740</v>
      </c>
      <c r="G3889" s="1" t="s">
        <v>10572</v>
      </c>
      <c r="H3889" s="1" t="s">
        <v>632</v>
      </c>
      <c r="I3889" s="1" t="s">
        <v>123</v>
      </c>
      <c r="J3889" s="4" t="s">
        <v>10573</v>
      </c>
      <c r="K3889" s="1" t="s">
        <v>633</v>
      </c>
      <c r="L3889" s="1" t="s">
        <v>634</v>
      </c>
      <c r="M3889" s="1" t="s">
        <v>27</v>
      </c>
      <c r="N3889" s="1" t="s">
        <v>10574</v>
      </c>
      <c r="O3889" s="1" t="s">
        <v>1010</v>
      </c>
      <c r="P3889" s="1" t="s">
        <v>401</v>
      </c>
      <c r="Q3889" s="63" t="s">
        <v>10575</v>
      </c>
      <c r="R3889" s="1" t="s">
        <v>100</v>
      </c>
      <c r="S3889" s="13" t="s">
        <v>28</v>
      </c>
    </row>
    <row r="3890" spans="1:63" ht="12" customHeight="1" x14ac:dyDescent="0.15">
      <c r="A3890" s="1" t="s">
        <v>10564</v>
      </c>
      <c r="B3890" s="1">
        <v>53</v>
      </c>
      <c r="C3890" s="1" t="s">
        <v>20</v>
      </c>
      <c r="D3890" s="1" t="s">
        <v>37</v>
      </c>
      <c r="E3890" s="1" t="s">
        <v>10565</v>
      </c>
      <c r="F3890" s="72">
        <v>41740</v>
      </c>
      <c r="G3890" s="1" t="s">
        <v>10566</v>
      </c>
      <c r="H3890" s="1" t="s">
        <v>5436</v>
      </c>
      <c r="I3890" s="1" t="s">
        <v>62</v>
      </c>
      <c r="J3890" s="4" t="s">
        <v>10567</v>
      </c>
      <c r="K3890" s="1" t="s">
        <v>5437</v>
      </c>
      <c r="L3890" s="1" t="s">
        <v>5438</v>
      </c>
      <c r="M3890" s="1" t="s">
        <v>27</v>
      </c>
      <c r="N3890" s="1" t="s">
        <v>10568</v>
      </c>
      <c r="O3890" s="1" t="s">
        <v>1010</v>
      </c>
      <c r="P3890" s="1" t="s">
        <v>401</v>
      </c>
      <c r="Q3890" s="63" t="s">
        <v>10569</v>
      </c>
      <c r="R3890" s="1" t="s">
        <v>100</v>
      </c>
      <c r="S3890" s="13" t="s">
        <v>28</v>
      </c>
    </row>
    <row r="3891" spans="1:63" ht="12" customHeight="1" x14ac:dyDescent="0.15">
      <c r="A3891" s="1" t="s">
        <v>10553</v>
      </c>
      <c r="B3891" s="1">
        <v>24</v>
      </c>
      <c r="C3891" s="1" t="s">
        <v>20</v>
      </c>
      <c r="D3891" s="1" t="s">
        <v>85</v>
      </c>
      <c r="E3891" s="1" t="s">
        <v>10554</v>
      </c>
      <c r="F3891" s="72">
        <v>41740</v>
      </c>
      <c r="G3891" s="1" t="s">
        <v>10555</v>
      </c>
      <c r="H3891" s="1" t="s">
        <v>8224</v>
      </c>
      <c r="I3891" s="1" t="s">
        <v>173</v>
      </c>
      <c r="J3891" s="4" t="s">
        <v>10556</v>
      </c>
      <c r="K3891" s="1" t="s">
        <v>1556</v>
      </c>
      <c r="L3891" s="1" t="s">
        <v>10557</v>
      </c>
      <c r="M3891" s="1" t="s">
        <v>391</v>
      </c>
      <c r="N3891" s="1" t="s">
        <v>10558</v>
      </c>
      <c r="O3891" s="1" t="s">
        <v>30995</v>
      </c>
      <c r="P3891" s="1" t="s">
        <v>30994</v>
      </c>
      <c r="Q3891" s="63" t="s">
        <v>10559</v>
      </c>
      <c r="R3891" s="1" t="s">
        <v>100</v>
      </c>
      <c r="S3891" s="13" t="s">
        <v>18</v>
      </c>
      <c r="AU3891" s="11"/>
      <c r="AV3891" s="11"/>
      <c r="AW3891" s="11"/>
      <c r="AX3891" s="44"/>
      <c r="AY3891" s="44"/>
      <c r="BC3891" s="11"/>
      <c r="BD3891" s="11"/>
      <c r="BE3891" s="11"/>
      <c r="BF3891" s="11"/>
      <c r="BG3891" s="11"/>
      <c r="BH3891" s="11"/>
      <c r="BI3891" s="11"/>
      <c r="BJ3891" s="11"/>
    </row>
    <row r="3892" spans="1:63" ht="12" customHeight="1" x14ac:dyDescent="0.2">
      <c r="A3892" s="1" t="s">
        <v>10541</v>
      </c>
      <c r="B3892" s="1">
        <v>55</v>
      </c>
      <c r="C3892" s="1" t="s">
        <v>20</v>
      </c>
      <c r="D3892" s="1" t="s">
        <v>85</v>
      </c>
      <c r="E3892" s="1" t="s">
        <v>10542</v>
      </c>
      <c r="F3892" s="72">
        <v>41740</v>
      </c>
      <c r="G3892" s="1" t="s">
        <v>10543</v>
      </c>
      <c r="H3892" s="1" t="s">
        <v>10544</v>
      </c>
      <c r="I3892" s="1" t="s">
        <v>62</v>
      </c>
      <c r="J3892" s="4" t="s">
        <v>10545</v>
      </c>
      <c r="K3892" s="1" t="s">
        <v>4191</v>
      </c>
      <c r="L3892" s="1" t="s">
        <v>10546</v>
      </c>
      <c r="M3892" s="1" t="s">
        <v>3154</v>
      </c>
      <c r="N3892" s="1" t="s">
        <v>10547</v>
      </c>
      <c r="O3892" s="1" t="s">
        <v>1787</v>
      </c>
      <c r="P3892" s="1" t="s">
        <v>401</v>
      </c>
      <c r="Q3892" s="63" t="str">
        <f>HYPERLINK("http://www.miamiherald.com/news/local/crime/article2176191.html","http://www.miamiherald.com/news/local/crime/article2176191.html")</f>
        <v>http://www.miamiherald.com/news/local/crime/article2176191.html</v>
      </c>
      <c r="R3892" s="1" t="s">
        <v>100</v>
      </c>
      <c r="S3892" s="13" t="s">
        <v>18</v>
      </c>
      <c r="AT3892" s="70"/>
      <c r="AU3892" s="70"/>
      <c r="AV3892" s="70"/>
      <c r="AW3892" s="44"/>
      <c r="AX3892" s="44"/>
      <c r="BB3892" s="11"/>
      <c r="BC3892" s="11"/>
      <c r="BD3892" s="11"/>
      <c r="BE3892" s="11"/>
      <c r="BF3892" s="11"/>
      <c r="BG3892" s="11"/>
      <c r="BH3892" s="11"/>
      <c r="BI3892" s="11"/>
      <c r="BK3892" s="78"/>
    </row>
    <row r="3893" spans="1:63" ht="12" customHeight="1" x14ac:dyDescent="0.15">
      <c r="A3893" s="1" t="s">
        <v>10548</v>
      </c>
      <c r="B3893" s="1">
        <v>34</v>
      </c>
      <c r="C3893" s="1" t="s">
        <v>20</v>
      </c>
      <c r="D3893" s="1" t="s">
        <v>85</v>
      </c>
      <c r="E3893" s="1" t="s">
        <v>10549</v>
      </c>
      <c r="F3893" s="72">
        <v>41740</v>
      </c>
      <c r="G3893" s="1" t="s">
        <v>10550</v>
      </c>
      <c r="H3893" s="1" t="s">
        <v>1590</v>
      </c>
      <c r="I3893" s="1" t="s">
        <v>52</v>
      </c>
      <c r="J3893" s="4" t="s">
        <v>1591</v>
      </c>
      <c r="K3893" s="1" t="s">
        <v>1592</v>
      </c>
      <c r="L3893" s="1" t="s">
        <v>405</v>
      </c>
      <c r="M3893" s="1" t="s">
        <v>27</v>
      </c>
      <c r="N3893" s="1" t="s">
        <v>10551</v>
      </c>
      <c r="O3893" s="1" t="s">
        <v>550</v>
      </c>
      <c r="P3893" s="1" t="s">
        <v>401</v>
      </c>
      <c r="Q3893" s="63" t="s">
        <v>10552</v>
      </c>
      <c r="R3893" s="1" t="s">
        <v>100</v>
      </c>
      <c r="S3893" s="13" t="s">
        <v>379</v>
      </c>
      <c r="AX3893" s="11"/>
      <c r="AY3893" s="11"/>
      <c r="BC3893" s="11"/>
      <c r="BD3893" s="11"/>
      <c r="BE3893" s="11"/>
      <c r="BF3893" s="11"/>
      <c r="BG3893" s="11"/>
      <c r="BH3893" s="11"/>
      <c r="BI3893" s="11"/>
      <c r="BJ3893" s="11"/>
    </row>
    <row r="3894" spans="1:63" ht="12" customHeight="1" x14ac:dyDescent="0.15">
      <c r="A3894" s="1" t="s">
        <v>10560</v>
      </c>
      <c r="B3894" s="1">
        <v>26</v>
      </c>
      <c r="C3894" s="1" t="s">
        <v>20</v>
      </c>
      <c r="D3894" s="1" t="s">
        <v>48</v>
      </c>
      <c r="F3894" s="72">
        <v>41740</v>
      </c>
      <c r="G3894" s="1" t="s">
        <v>10561</v>
      </c>
      <c r="H3894" s="1" t="s">
        <v>87</v>
      </c>
      <c r="I3894" s="1" t="s">
        <v>44</v>
      </c>
      <c r="J3894" s="4" t="s">
        <v>8312</v>
      </c>
      <c r="K3894" s="1" t="s">
        <v>88</v>
      </c>
      <c r="L3894" s="1" t="s">
        <v>89</v>
      </c>
      <c r="M3894" s="1" t="s">
        <v>379</v>
      </c>
      <c r="N3894" s="1" t="s">
        <v>10562</v>
      </c>
      <c r="O3894" s="1" t="s">
        <v>1010</v>
      </c>
      <c r="P3894" s="1" t="s">
        <v>401</v>
      </c>
      <c r="Q3894" s="63" t="s">
        <v>10563</v>
      </c>
      <c r="R3894" s="1" t="s">
        <v>100</v>
      </c>
      <c r="S3894" s="13" t="s">
        <v>379</v>
      </c>
    </row>
    <row r="3895" spans="1:63" ht="12" customHeight="1" x14ac:dyDescent="0.2">
      <c r="A3895" s="1" t="s">
        <v>10576</v>
      </c>
      <c r="B3895" s="1">
        <v>45</v>
      </c>
      <c r="C3895" s="1" t="s">
        <v>20</v>
      </c>
      <c r="D3895" s="1" t="s">
        <v>37</v>
      </c>
      <c r="E3895" s="1" t="s">
        <v>10577</v>
      </c>
      <c r="F3895" s="72">
        <v>41740</v>
      </c>
      <c r="G3895" s="1" t="s">
        <v>10578</v>
      </c>
      <c r="H3895" s="1" t="s">
        <v>10579</v>
      </c>
      <c r="I3895" s="1" t="s">
        <v>173</v>
      </c>
      <c r="J3895" s="4" t="s">
        <v>10580</v>
      </c>
      <c r="K3895" s="1" t="s">
        <v>1575</v>
      </c>
      <c r="L3895" s="1" t="s">
        <v>10581</v>
      </c>
      <c r="M3895" s="1" t="s">
        <v>27</v>
      </c>
      <c r="N3895" s="1" t="s">
        <v>10582</v>
      </c>
      <c r="O3895" s="1" t="s">
        <v>550</v>
      </c>
      <c r="P3895" s="1" t="s">
        <v>401</v>
      </c>
      <c r="Q3895" s="63" t="s">
        <v>10583</v>
      </c>
      <c r="R3895" s="1" t="s">
        <v>29</v>
      </c>
      <c r="S3895" s="13" t="s">
        <v>28</v>
      </c>
      <c r="BA3895" s="70"/>
      <c r="BB3895" s="70"/>
    </row>
    <row r="3896" spans="1:63" ht="12" customHeight="1" x14ac:dyDescent="0.15">
      <c r="A3896" s="1" t="s">
        <v>10584</v>
      </c>
      <c r="B3896" s="1">
        <v>30</v>
      </c>
      <c r="C3896" s="1" t="s">
        <v>20</v>
      </c>
      <c r="D3896" s="1" t="s">
        <v>37</v>
      </c>
      <c r="E3896" s="1" t="s">
        <v>10585</v>
      </c>
      <c r="F3896" s="72">
        <v>41739</v>
      </c>
      <c r="G3896" s="1" t="s">
        <v>10586</v>
      </c>
      <c r="H3896" s="1" t="s">
        <v>10587</v>
      </c>
      <c r="I3896" s="1" t="s">
        <v>45</v>
      </c>
      <c r="J3896" s="4" t="s">
        <v>10588</v>
      </c>
      <c r="K3896" s="1" t="s">
        <v>98</v>
      </c>
      <c r="L3896" s="11" t="s">
        <v>414</v>
      </c>
      <c r="M3896" s="1" t="s">
        <v>27</v>
      </c>
      <c r="N3896" s="1" t="s">
        <v>10589</v>
      </c>
      <c r="O3896" s="1" t="s">
        <v>1010</v>
      </c>
      <c r="P3896" s="1" t="s">
        <v>401</v>
      </c>
      <c r="Q3896" s="63" t="s">
        <v>10590</v>
      </c>
      <c r="R3896" s="1" t="s">
        <v>100</v>
      </c>
      <c r="S3896" s="13" t="s">
        <v>18</v>
      </c>
    </row>
    <row r="3897" spans="1:63" ht="12" customHeight="1" x14ac:dyDescent="0.2">
      <c r="A3897" s="1" t="s">
        <v>10591</v>
      </c>
      <c r="B3897" s="1">
        <v>23</v>
      </c>
      <c r="C3897" s="1" t="s">
        <v>20</v>
      </c>
      <c r="D3897" s="1" t="s">
        <v>37</v>
      </c>
      <c r="F3897" s="72">
        <v>41739</v>
      </c>
      <c r="G3897" s="1" t="s">
        <v>10592</v>
      </c>
      <c r="H3897" s="1" t="s">
        <v>10593</v>
      </c>
      <c r="I3897" s="1" t="s">
        <v>45</v>
      </c>
      <c r="J3897" s="4" t="s">
        <v>10594</v>
      </c>
      <c r="K3897" s="1" t="s">
        <v>200</v>
      </c>
      <c r="L3897" s="1" t="s">
        <v>1598</v>
      </c>
      <c r="M3897" s="1" t="s">
        <v>27</v>
      </c>
      <c r="N3897" s="1" t="s">
        <v>10595</v>
      </c>
      <c r="O3897" s="1" t="s">
        <v>1010</v>
      </c>
      <c r="P3897" s="1" t="s">
        <v>401</v>
      </c>
      <c r="Q3897" s="63" t="s">
        <v>10596</v>
      </c>
      <c r="R3897" s="1" t="s">
        <v>29</v>
      </c>
      <c r="S3897" s="13" t="s">
        <v>28</v>
      </c>
      <c r="BA3897" s="70"/>
      <c r="BB3897" s="70"/>
    </row>
    <row r="3898" spans="1:63" ht="12" customHeight="1" x14ac:dyDescent="0.15">
      <c r="A3898" s="1" t="s">
        <v>10597</v>
      </c>
      <c r="B3898" s="1">
        <v>30</v>
      </c>
      <c r="C3898" s="1" t="s">
        <v>20</v>
      </c>
      <c r="D3898" s="1" t="s">
        <v>37</v>
      </c>
      <c r="E3898" s="1" t="s">
        <v>10598</v>
      </c>
      <c r="F3898" s="72">
        <v>41739</v>
      </c>
      <c r="G3898" s="1" t="s">
        <v>10599</v>
      </c>
      <c r="H3898" s="1" t="s">
        <v>683</v>
      </c>
      <c r="I3898" s="1" t="s">
        <v>363</v>
      </c>
      <c r="J3898" s="4" t="s">
        <v>10600</v>
      </c>
      <c r="K3898" s="1" t="s">
        <v>684</v>
      </c>
      <c r="L3898" s="1" t="s">
        <v>685</v>
      </c>
      <c r="M3898" s="1" t="s">
        <v>27</v>
      </c>
      <c r="N3898" s="1" t="s">
        <v>10601</v>
      </c>
      <c r="O3898" s="1" t="s">
        <v>1010</v>
      </c>
      <c r="P3898" s="1" t="s">
        <v>401</v>
      </c>
      <c r="Q3898" s="63" t="str">
        <f>HYPERLINK("http://www.kansas.com/2014/04/10/3396426/man-dead-after-officer-involved.html","http://www.kansas.com/2014/04/10/3396426/man-dead-after-officer-involved.html")</f>
        <v>http://www.kansas.com/2014/04/10/3396426/man-dead-after-officer-involved.html</v>
      </c>
      <c r="R3898" s="1" t="s">
        <v>555</v>
      </c>
      <c r="S3898" s="13" t="s">
        <v>28</v>
      </c>
      <c r="BA3898" s="44"/>
      <c r="BB3898" s="44"/>
    </row>
    <row r="3899" spans="1:63" ht="12" customHeight="1" x14ac:dyDescent="0.15">
      <c r="A3899" s="1" t="s">
        <v>10602</v>
      </c>
      <c r="B3899" s="1">
        <v>29</v>
      </c>
      <c r="C3899" s="1" t="s">
        <v>20</v>
      </c>
      <c r="D3899" s="1" t="s">
        <v>48</v>
      </c>
      <c r="F3899" s="72">
        <v>41738</v>
      </c>
      <c r="G3899" s="1" t="s">
        <v>10603</v>
      </c>
      <c r="H3899" s="1" t="s">
        <v>3421</v>
      </c>
      <c r="I3899" s="1" t="s">
        <v>45</v>
      </c>
      <c r="J3899" s="4" t="s">
        <v>10604</v>
      </c>
      <c r="K3899" s="1" t="s">
        <v>3423</v>
      </c>
      <c r="L3899" s="1" t="s">
        <v>3424</v>
      </c>
      <c r="M3899" s="1" t="s">
        <v>27</v>
      </c>
      <c r="N3899" s="1" t="s">
        <v>10605</v>
      </c>
      <c r="O3899" s="1" t="s">
        <v>1010</v>
      </c>
      <c r="P3899" s="1" t="s">
        <v>401</v>
      </c>
      <c r="Q3899" s="63" t="s">
        <v>10606</v>
      </c>
      <c r="R3899" s="1" t="s">
        <v>100</v>
      </c>
      <c r="S3899" s="13" t="s">
        <v>28</v>
      </c>
    </row>
    <row r="3900" spans="1:63" ht="12" customHeight="1" x14ac:dyDescent="0.15">
      <c r="A3900" s="1" t="s">
        <v>10607</v>
      </c>
      <c r="B3900" s="1">
        <v>66</v>
      </c>
      <c r="C3900" s="1" t="s">
        <v>20</v>
      </c>
      <c r="D3900" s="1" t="s">
        <v>37</v>
      </c>
      <c r="F3900" s="72">
        <v>41737</v>
      </c>
      <c r="G3900" s="1" t="s">
        <v>10608</v>
      </c>
      <c r="H3900" s="1" t="s">
        <v>5229</v>
      </c>
      <c r="I3900" s="1" t="s">
        <v>62</v>
      </c>
      <c r="J3900" s="4" t="s">
        <v>2396</v>
      </c>
      <c r="K3900" s="1" t="s">
        <v>2397</v>
      </c>
      <c r="L3900" s="1" t="s">
        <v>5487</v>
      </c>
      <c r="M3900" s="1" t="s">
        <v>27</v>
      </c>
      <c r="N3900" s="1" t="s">
        <v>10609</v>
      </c>
      <c r="O3900" s="1" t="s">
        <v>1010</v>
      </c>
      <c r="P3900" s="1" t="s">
        <v>401</v>
      </c>
      <c r="Q3900" s="63" t="s">
        <v>10610</v>
      </c>
      <c r="R3900" s="1" t="s">
        <v>100</v>
      </c>
      <c r="S3900" s="13" t="s">
        <v>28</v>
      </c>
    </row>
    <row r="3901" spans="1:63" ht="12" customHeight="1" x14ac:dyDescent="0.15">
      <c r="A3901" s="1" t="s">
        <v>10611</v>
      </c>
      <c r="B3901" s="1">
        <v>40</v>
      </c>
      <c r="C3901" s="1" t="s">
        <v>20</v>
      </c>
      <c r="D3901" s="1" t="s">
        <v>37</v>
      </c>
      <c r="E3901" s="1" t="s">
        <v>10612</v>
      </c>
      <c r="F3901" s="72">
        <v>41737</v>
      </c>
      <c r="G3901" s="1" t="s">
        <v>10613</v>
      </c>
      <c r="H3901" s="1" t="s">
        <v>655</v>
      </c>
      <c r="I3901" s="1" t="s">
        <v>269</v>
      </c>
      <c r="J3901" s="4" t="s">
        <v>10614</v>
      </c>
      <c r="K3901" s="1" t="s">
        <v>570</v>
      </c>
      <c r="L3901" s="1" t="s">
        <v>571</v>
      </c>
      <c r="M3901" s="1" t="s">
        <v>27</v>
      </c>
      <c r="N3901" s="1" t="s">
        <v>10615</v>
      </c>
      <c r="O3901" s="1" t="s">
        <v>1010</v>
      </c>
      <c r="P3901" s="1" t="s">
        <v>401</v>
      </c>
      <c r="Q3901" s="63" t="s">
        <v>10616</v>
      </c>
      <c r="R3901" s="1" t="s">
        <v>555</v>
      </c>
      <c r="S3901" s="13" t="s">
        <v>28</v>
      </c>
      <c r="BA3901" s="44"/>
      <c r="BB3901" s="44"/>
    </row>
    <row r="3902" spans="1:63" ht="12" customHeight="1" x14ac:dyDescent="0.15">
      <c r="A3902" s="1" t="s">
        <v>10617</v>
      </c>
      <c r="B3902" s="1">
        <v>28</v>
      </c>
      <c r="C3902" s="1" t="s">
        <v>20</v>
      </c>
      <c r="D3902" s="1" t="s">
        <v>37</v>
      </c>
      <c r="E3902" s="1" t="str">
        <f>HYPERLINK("http://www.wrhi.com/2014/04/officer-involved-shooting-in-york-county-leaves-one-man-dead-91986","http://www.wrhi.com/2014/04/officer-involved-shooting-in-york-county-leaves-one-man-dead-91986")</f>
        <v>http://www.wrhi.com/2014/04/officer-involved-shooting-in-york-county-leaves-one-man-dead-91986</v>
      </c>
      <c r="F3902" s="72">
        <v>41737</v>
      </c>
      <c r="G3902" s="1" t="s">
        <v>10618</v>
      </c>
      <c r="H3902" s="1" t="s">
        <v>10619</v>
      </c>
      <c r="I3902" s="1" t="s">
        <v>32</v>
      </c>
      <c r="J3902" s="4" t="s">
        <v>10620</v>
      </c>
      <c r="K3902" s="1" t="s">
        <v>1604</v>
      </c>
      <c r="L3902" s="1" t="s">
        <v>10621</v>
      </c>
      <c r="M3902" s="1" t="s">
        <v>27</v>
      </c>
      <c r="N3902" s="1" t="s">
        <v>10622</v>
      </c>
      <c r="O3902" s="1" t="s">
        <v>1010</v>
      </c>
      <c r="P3902" s="1" t="s">
        <v>401</v>
      </c>
      <c r="Q3902" s="63" t="str">
        <f>HYPERLINK("http://www.charlotteobserver.com/2014/04/09/4830144_experts-weigh-in-on-york-county.html#.VD2-WVewUSc","http://www.charlotteobserver.com/2014/04/09/4830144_experts-weigh-in-on-york-county.html#.VD2-WVewUSc")</f>
        <v>http://www.charlotteobserver.com/2014/04/09/4830144_experts-weigh-in-on-york-county.html#.VD2-WVewUSc</v>
      </c>
      <c r="R3902" s="1" t="s">
        <v>555</v>
      </c>
      <c r="S3902" s="13" t="s">
        <v>28</v>
      </c>
      <c r="BA3902" s="44"/>
      <c r="BB3902" s="44"/>
    </row>
    <row r="3903" spans="1:63" ht="12" customHeight="1" x14ac:dyDescent="0.15">
      <c r="A3903" s="1" t="s">
        <v>10629</v>
      </c>
      <c r="B3903" s="1">
        <v>31</v>
      </c>
      <c r="C3903" s="1" t="s">
        <v>20</v>
      </c>
      <c r="D3903" s="1" t="s">
        <v>85</v>
      </c>
      <c r="E3903" s="1" t="s">
        <v>10630</v>
      </c>
      <c r="F3903" s="72">
        <v>41736</v>
      </c>
      <c r="G3903" s="1" t="s">
        <v>10631</v>
      </c>
      <c r="H3903" s="1" t="s">
        <v>61</v>
      </c>
      <c r="I3903" s="1" t="s">
        <v>62</v>
      </c>
      <c r="J3903" s="4" t="s">
        <v>10632</v>
      </c>
      <c r="K3903" s="1" t="s">
        <v>5318</v>
      </c>
      <c r="L3903" s="1" t="s">
        <v>63</v>
      </c>
      <c r="M3903" s="1" t="s">
        <v>27</v>
      </c>
      <c r="N3903" s="1" t="s">
        <v>10633</v>
      </c>
      <c r="O3903" s="1" t="s">
        <v>550</v>
      </c>
      <c r="P3903" s="1" t="s">
        <v>401</v>
      </c>
      <c r="Q3903" s="63" t="str">
        <f>HYPERLINK("http://www.palmbeachpost.com/news/news/pbso-investigating-officer-involved-shooting-in-su/nfTT5/","http://www.palmbeachpost.com/news/news/pbso-investigating-officer-involved-shooting-in-su/nfTT5/")</f>
        <v>http://www.palmbeachpost.com/news/news/pbso-investigating-officer-involved-shooting-in-su/nfTT5/</v>
      </c>
      <c r="R3903" s="1" t="s">
        <v>100</v>
      </c>
      <c r="S3903" s="13" t="s">
        <v>28</v>
      </c>
      <c r="AX3903" s="11"/>
      <c r="AY3903" s="11"/>
      <c r="BC3903" s="11"/>
      <c r="BD3903" s="11"/>
      <c r="BE3903" s="11"/>
      <c r="BF3903" s="11"/>
      <c r="BG3903" s="11"/>
      <c r="BH3903" s="11"/>
      <c r="BI3903" s="11"/>
      <c r="BJ3903" s="11"/>
    </row>
    <row r="3904" spans="1:63" ht="12" customHeight="1" x14ac:dyDescent="0.15">
      <c r="A3904" s="1" t="s">
        <v>10634</v>
      </c>
      <c r="B3904" s="1">
        <v>21</v>
      </c>
      <c r="C3904" s="1" t="s">
        <v>20</v>
      </c>
      <c r="D3904" s="1" t="s">
        <v>48</v>
      </c>
      <c r="E3904" s="1" t="s">
        <v>10635</v>
      </c>
      <c r="F3904" s="72">
        <v>41736</v>
      </c>
      <c r="G3904" s="1" t="s">
        <v>10636</v>
      </c>
      <c r="H3904" s="1" t="s">
        <v>87</v>
      </c>
      <c r="I3904" s="1" t="s">
        <v>44</v>
      </c>
      <c r="J3904" s="4" t="s">
        <v>8461</v>
      </c>
      <c r="K3904" s="1" t="s">
        <v>88</v>
      </c>
      <c r="L3904" s="1" t="s">
        <v>89</v>
      </c>
      <c r="M3904" s="1" t="s">
        <v>27</v>
      </c>
      <c r="N3904" s="1" t="s">
        <v>10637</v>
      </c>
      <c r="O3904" s="1" t="s">
        <v>400</v>
      </c>
      <c r="P3904" s="1" t="s">
        <v>401</v>
      </c>
      <c r="Q3904" s="63" t="s">
        <v>10638</v>
      </c>
      <c r="R3904" s="1" t="s">
        <v>100</v>
      </c>
      <c r="S3904" s="13" t="s">
        <v>28</v>
      </c>
    </row>
    <row r="3905" spans="1:63" ht="12" customHeight="1" x14ac:dyDescent="0.15">
      <c r="A3905" s="1" t="s">
        <v>3252</v>
      </c>
      <c r="B3905" s="1">
        <v>24</v>
      </c>
      <c r="C3905" s="1" t="s">
        <v>20</v>
      </c>
      <c r="D3905" s="1" t="s">
        <v>30</v>
      </c>
      <c r="F3905" s="72">
        <v>41736</v>
      </c>
      <c r="G3905" s="1" t="s">
        <v>10639</v>
      </c>
      <c r="H3905" s="1" t="s">
        <v>893</v>
      </c>
      <c r="I3905" s="1" t="s">
        <v>45</v>
      </c>
      <c r="J3905" s="4" t="s">
        <v>10640</v>
      </c>
      <c r="K3905" s="1" t="s">
        <v>156</v>
      </c>
      <c r="L3905" s="1" t="s">
        <v>10641</v>
      </c>
      <c r="M3905" s="1" t="s">
        <v>27</v>
      </c>
      <c r="N3905" s="1" t="s">
        <v>10642</v>
      </c>
      <c r="O3905" s="1" t="s">
        <v>1010</v>
      </c>
      <c r="P3905" s="1" t="s">
        <v>401</v>
      </c>
      <c r="Q3905" s="63" t="s">
        <v>10643</v>
      </c>
      <c r="R3905" s="1" t="s">
        <v>100</v>
      </c>
      <c r="S3905" s="13" t="s">
        <v>28</v>
      </c>
    </row>
    <row r="3906" spans="1:63" ht="12" customHeight="1" x14ac:dyDescent="0.15">
      <c r="A3906" s="1" t="s">
        <v>10644</v>
      </c>
      <c r="B3906" s="1">
        <v>36</v>
      </c>
      <c r="C3906" s="1" t="s">
        <v>20</v>
      </c>
      <c r="D3906" s="1" t="s">
        <v>37</v>
      </c>
      <c r="E3906" s="1" t="s">
        <v>10645</v>
      </c>
      <c r="F3906" s="72">
        <v>41736</v>
      </c>
      <c r="G3906" s="1" t="s">
        <v>10646</v>
      </c>
      <c r="H3906" s="1" t="s">
        <v>10647</v>
      </c>
      <c r="I3906" s="1" t="s">
        <v>44</v>
      </c>
      <c r="J3906" s="4" t="s">
        <v>10648</v>
      </c>
      <c r="K3906" s="1" t="s">
        <v>1256</v>
      </c>
      <c r="L3906" s="1" t="s">
        <v>10649</v>
      </c>
      <c r="M3906" s="1" t="s">
        <v>27</v>
      </c>
      <c r="N3906" s="1" t="s">
        <v>10650</v>
      </c>
      <c r="O3906" s="1" t="s">
        <v>550</v>
      </c>
      <c r="P3906" s="1" t="s">
        <v>401</v>
      </c>
      <c r="Q3906" s="63" t="s">
        <v>10651</v>
      </c>
      <c r="R3906" s="1" t="s">
        <v>100</v>
      </c>
      <c r="S3906" s="13" t="s">
        <v>28</v>
      </c>
    </row>
    <row r="3907" spans="1:63" ht="12" customHeight="1" x14ac:dyDescent="0.15">
      <c r="A3907" s="1" t="s">
        <v>10623</v>
      </c>
      <c r="B3907" s="1">
        <v>29</v>
      </c>
      <c r="C3907" s="1" t="s">
        <v>20</v>
      </c>
      <c r="D3907" s="1" t="s">
        <v>85</v>
      </c>
      <c r="E3907" s="1" t="s">
        <v>10624</v>
      </c>
      <c r="F3907" s="72">
        <v>41736</v>
      </c>
      <c r="G3907" s="1" t="s">
        <v>10625</v>
      </c>
      <c r="H3907" s="1" t="s">
        <v>98</v>
      </c>
      <c r="I3907" s="1" t="s">
        <v>45</v>
      </c>
      <c r="J3907" s="4" t="s">
        <v>10626</v>
      </c>
      <c r="K3907" s="1" t="s">
        <v>98</v>
      </c>
      <c r="L3907" s="1" t="s">
        <v>99</v>
      </c>
      <c r="M3907" s="1" t="s">
        <v>27</v>
      </c>
      <c r="N3907" s="1" t="s">
        <v>10627</v>
      </c>
      <c r="O3907" s="1" t="s">
        <v>1010</v>
      </c>
      <c r="P3907" s="1" t="s">
        <v>401</v>
      </c>
      <c r="Q3907" s="63" t="s">
        <v>10628</v>
      </c>
      <c r="R3907" s="1" t="s">
        <v>29</v>
      </c>
      <c r="S3907" s="13" t="s">
        <v>28</v>
      </c>
      <c r="AX3907" s="11"/>
      <c r="AY3907" s="11"/>
      <c r="BC3907" s="11"/>
      <c r="BD3907" s="11"/>
      <c r="BE3907" s="11"/>
      <c r="BF3907" s="11"/>
      <c r="BG3907" s="11"/>
      <c r="BH3907" s="11"/>
      <c r="BI3907" s="11"/>
      <c r="BJ3907" s="11"/>
    </row>
    <row r="3908" spans="1:63" ht="12" customHeight="1" x14ac:dyDescent="0.15">
      <c r="A3908" s="1" t="s">
        <v>10652</v>
      </c>
      <c r="B3908" s="1">
        <v>33</v>
      </c>
      <c r="C3908" s="1" t="s">
        <v>20</v>
      </c>
      <c r="D3908" s="1" t="s">
        <v>30</v>
      </c>
      <c r="F3908" s="72">
        <v>41735</v>
      </c>
      <c r="G3908" s="1" t="s">
        <v>10653</v>
      </c>
      <c r="H3908" s="1" t="s">
        <v>118</v>
      </c>
      <c r="I3908" s="1" t="s">
        <v>3664</v>
      </c>
      <c r="J3908" s="4" t="s">
        <v>10654</v>
      </c>
      <c r="K3908" s="1" t="s">
        <v>3666</v>
      </c>
      <c r="L3908" s="1" t="s">
        <v>19405</v>
      </c>
      <c r="M3908" s="1" t="s">
        <v>27</v>
      </c>
      <c r="N3908" s="1" t="s">
        <v>10655</v>
      </c>
      <c r="O3908" s="1" t="s">
        <v>1010</v>
      </c>
      <c r="P3908" s="1" t="s">
        <v>401</v>
      </c>
      <c r="Q3908" s="63" t="s">
        <v>10656</v>
      </c>
      <c r="R3908" s="1" t="s">
        <v>100</v>
      </c>
      <c r="S3908" s="13" t="s">
        <v>28</v>
      </c>
    </row>
    <row r="3909" spans="1:63" ht="12" customHeight="1" x14ac:dyDescent="0.15">
      <c r="A3909" s="1" t="s">
        <v>10663</v>
      </c>
      <c r="B3909" s="1">
        <v>34</v>
      </c>
      <c r="C3909" s="1" t="s">
        <v>20</v>
      </c>
      <c r="D3909" s="1" t="s">
        <v>37</v>
      </c>
      <c r="E3909" s="1" t="s">
        <v>10664</v>
      </c>
      <c r="F3909" s="72">
        <v>41735</v>
      </c>
      <c r="G3909" s="1" t="s">
        <v>10665</v>
      </c>
      <c r="H3909" s="1" t="s">
        <v>10666</v>
      </c>
      <c r="I3909" s="1" t="s">
        <v>73</v>
      </c>
      <c r="J3909" s="4" t="s">
        <v>10667</v>
      </c>
      <c r="K3909" s="1" t="s">
        <v>1056</v>
      </c>
      <c r="L3909" s="1" t="s">
        <v>9710</v>
      </c>
      <c r="M3909" s="1" t="s">
        <v>27</v>
      </c>
      <c r="N3909" s="1" t="s">
        <v>10668</v>
      </c>
      <c r="O3909" s="1" t="s">
        <v>1010</v>
      </c>
      <c r="P3909" s="1" t="s">
        <v>401</v>
      </c>
      <c r="Q3909" s="63" t="str">
        <f>HYPERLINK("http://www.click2houston.com/news/man-killed-after-pulling-gun-on-deputies-serving-warrant/25349872","http://www.click2houston.com/news/man-killed-after-pulling-gun-on-deputies-serving-warrant/25349872")</f>
        <v>http://www.click2houston.com/news/man-killed-after-pulling-gun-on-deputies-serving-warrant/25349872</v>
      </c>
      <c r="R3909" s="1" t="s">
        <v>100</v>
      </c>
      <c r="S3909" s="13" t="s">
        <v>28</v>
      </c>
    </row>
    <row r="3910" spans="1:63" ht="12" customHeight="1" x14ac:dyDescent="0.15">
      <c r="A3910" s="1" t="s">
        <v>10657</v>
      </c>
      <c r="B3910" s="1">
        <v>48</v>
      </c>
      <c r="C3910" s="1" t="s">
        <v>20</v>
      </c>
      <c r="D3910" s="1" t="s">
        <v>37</v>
      </c>
      <c r="F3910" s="72">
        <v>41735</v>
      </c>
      <c r="G3910" s="1" t="s">
        <v>10658</v>
      </c>
      <c r="H3910" s="1" t="s">
        <v>2978</v>
      </c>
      <c r="I3910" s="1" t="s">
        <v>45</v>
      </c>
      <c r="J3910" s="4" t="s">
        <v>10659</v>
      </c>
      <c r="K3910" s="1" t="s">
        <v>2669</v>
      </c>
      <c r="L3910" s="1" t="s">
        <v>10660</v>
      </c>
      <c r="M3910" s="1" t="s">
        <v>14359</v>
      </c>
      <c r="N3910" s="1" t="s">
        <v>10661</v>
      </c>
      <c r="O3910" s="1" t="s">
        <v>1010</v>
      </c>
      <c r="P3910" s="1" t="s">
        <v>401</v>
      </c>
      <c r="Q3910" s="63" t="s">
        <v>10662</v>
      </c>
      <c r="R3910" s="1" t="s">
        <v>100</v>
      </c>
      <c r="S3910" s="13" t="s">
        <v>18</v>
      </c>
      <c r="AX3910" s="44"/>
      <c r="AY3910" s="44"/>
      <c r="AZ3910" s="44"/>
    </row>
    <row r="3911" spans="1:63" ht="12" customHeight="1" x14ac:dyDescent="0.15">
      <c r="A3911" s="1" t="s">
        <v>10669</v>
      </c>
      <c r="B3911" s="1">
        <v>23</v>
      </c>
      <c r="C3911" s="1" t="s">
        <v>20</v>
      </c>
      <c r="D3911" s="1" t="s">
        <v>37</v>
      </c>
      <c r="E3911" s="1" t="s">
        <v>10670</v>
      </c>
      <c r="F3911" s="72">
        <v>41735</v>
      </c>
      <c r="G3911" s="1" t="s">
        <v>10671</v>
      </c>
      <c r="H3911" s="1" t="s">
        <v>252</v>
      </c>
      <c r="I3911" s="1" t="s">
        <v>217</v>
      </c>
      <c r="J3911" s="4" t="s">
        <v>10672</v>
      </c>
      <c r="K3911" s="1" t="s">
        <v>2160</v>
      </c>
      <c r="L3911" s="1" t="s">
        <v>10673</v>
      </c>
      <c r="M3911" s="1" t="s">
        <v>379</v>
      </c>
      <c r="N3911" s="1" t="s">
        <v>10674</v>
      </c>
      <c r="O3911" s="1" t="s">
        <v>1158</v>
      </c>
      <c r="P3911" s="1" t="s">
        <v>1159</v>
      </c>
      <c r="Q3911" s="63" t="s">
        <v>10675</v>
      </c>
      <c r="R3911" s="1" t="s">
        <v>100</v>
      </c>
      <c r="S3911" s="66" t="s">
        <v>379</v>
      </c>
      <c r="T3911" s="66" t="s">
        <v>30738</v>
      </c>
    </row>
    <row r="3912" spans="1:63" ht="12" customHeight="1" x14ac:dyDescent="0.15">
      <c r="A3912" s="1" t="s">
        <v>10676</v>
      </c>
      <c r="B3912" s="1">
        <v>38</v>
      </c>
      <c r="C3912" s="1" t="s">
        <v>20</v>
      </c>
      <c r="D3912" s="1" t="s">
        <v>85</v>
      </c>
      <c r="E3912" s="1" t="s">
        <v>10677</v>
      </c>
      <c r="F3912" s="72">
        <v>41734</v>
      </c>
      <c r="G3912" s="1" t="s">
        <v>10678</v>
      </c>
      <c r="H3912" s="1" t="s">
        <v>1697</v>
      </c>
      <c r="I3912" s="1" t="s">
        <v>46</v>
      </c>
      <c r="J3912" s="4" t="s">
        <v>10679</v>
      </c>
      <c r="K3912" s="1" t="s">
        <v>1699</v>
      </c>
      <c r="L3912" s="1" t="s">
        <v>3230</v>
      </c>
      <c r="M3912" s="1" t="s">
        <v>27</v>
      </c>
      <c r="N3912" s="1" t="s">
        <v>10680</v>
      </c>
      <c r="O3912" s="1" t="s">
        <v>29</v>
      </c>
      <c r="P3912" s="1" t="s">
        <v>401</v>
      </c>
      <c r="Q3912" s="63" t="s">
        <v>10681</v>
      </c>
      <c r="R3912" s="1" t="s">
        <v>100</v>
      </c>
      <c r="S3912" s="13" t="s">
        <v>28</v>
      </c>
      <c r="AX3912" s="11"/>
      <c r="AY3912" s="11"/>
      <c r="BC3912" s="11"/>
      <c r="BD3912" s="11"/>
      <c r="BE3912" s="11"/>
      <c r="BF3912" s="11"/>
      <c r="BG3912" s="11"/>
      <c r="BH3912" s="11"/>
      <c r="BI3912" s="11"/>
      <c r="BJ3912" s="11"/>
    </row>
    <row r="3913" spans="1:63" ht="12" customHeight="1" x14ac:dyDescent="0.15">
      <c r="A3913" s="1" t="s">
        <v>10682</v>
      </c>
      <c r="B3913" s="1">
        <v>24</v>
      </c>
      <c r="C3913" s="1" t="s">
        <v>20</v>
      </c>
      <c r="D3913" s="1" t="s">
        <v>85</v>
      </c>
      <c r="E3913" s="1" t="s">
        <v>10683</v>
      </c>
      <c r="F3913" s="72">
        <v>41734</v>
      </c>
      <c r="G3913" s="1" t="s">
        <v>10684</v>
      </c>
      <c r="H3913" s="1" t="s">
        <v>758</v>
      </c>
      <c r="I3913" s="1" t="s">
        <v>52</v>
      </c>
      <c r="J3913" s="4" t="s">
        <v>10685</v>
      </c>
      <c r="K3913" s="1" t="s">
        <v>2377</v>
      </c>
      <c r="L3913" s="1" t="s">
        <v>759</v>
      </c>
      <c r="M3913" s="1" t="s">
        <v>27</v>
      </c>
      <c r="N3913" s="1" t="s">
        <v>10686</v>
      </c>
      <c r="O3913" s="1" t="s">
        <v>1010</v>
      </c>
      <c r="P3913" s="1" t="s">
        <v>401</v>
      </c>
      <c r="Q3913" s="6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3913" s="1" t="s">
        <v>100</v>
      </c>
      <c r="S3913" s="13" t="s">
        <v>28</v>
      </c>
      <c r="AX3913" s="11"/>
      <c r="AY3913" s="11"/>
      <c r="BC3913" s="11"/>
      <c r="BD3913" s="11"/>
      <c r="BE3913" s="11"/>
      <c r="BF3913" s="11"/>
      <c r="BG3913" s="11"/>
      <c r="BH3913" s="11"/>
      <c r="BI3913" s="11"/>
      <c r="BJ3913" s="11"/>
    </row>
    <row r="3914" spans="1:63" ht="12" customHeight="1" x14ac:dyDescent="0.15">
      <c r="A3914" s="1" t="s">
        <v>10692</v>
      </c>
      <c r="B3914" s="1">
        <v>35</v>
      </c>
      <c r="C3914" s="1" t="s">
        <v>20</v>
      </c>
      <c r="D3914" s="1" t="s">
        <v>48</v>
      </c>
      <c r="F3914" s="72">
        <v>41733</v>
      </c>
      <c r="G3914" s="1" t="s">
        <v>10693</v>
      </c>
      <c r="H3914" s="1" t="s">
        <v>10694</v>
      </c>
      <c r="I3914" s="1" t="s">
        <v>10695</v>
      </c>
      <c r="J3914" s="4" t="s">
        <v>10696</v>
      </c>
      <c r="K3914" s="1" t="s">
        <v>10524</v>
      </c>
      <c r="L3914" s="1" t="s">
        <v>10697</v>
      </c>
      <c r="M3914" s="1" t="s">
        <v>27</v>
      </c>
      <c r="N3914" s="1" t="s">
        <v>10698</v>
      </c>
      <c r="O3914" s="1" t="s">
        <v>29</v>
      </c>
      <c r="P3914" s="1" t="s">
        <v>401</v>
      </c>
      <c r="Q3914" s="63" t="s">
        <v>10699</v>
      </c>
      <c r="R3914" s="1" t="s">
        <v>100</v>
      </c>
      <c r="S3914" s="13" t="s">
        <v>28</v>
      </c>
    </row>
    <row r="3915" spans="1:63" ht="12" customHeight="1" x14ac:dyDescent="0.15">
      <c r="A3915" s="1" t="s">
        <v>10706</v>
      </c>
      <c r="B3915" s="1">
        <v>52</v>
      </c>
      <c r="C3915" s="1" t="s">
        <v>20</v>
      </c>
      <c r="D3915" s="1" t="s">
        <v>37</v>
      </c>
      <c r="E3915" s="1" t="s">
        <v>10707</v>
      </c>
      <c r="F3915" s="72">
        <v>41733</v>
      </c>
      <c r="G3915" s="1" t="s">
        <v>10708</v>
      </c>
      <c r="H3915" s="1" t="s">
        <v>2158</v>
      </c>
      <c r="I3915" s="1" t="s">
        <v>94</v>
      </c>
      <c r="J3915" s="4" t="s">
        <v>6811</v>
      </c>
      <c r="K3915" s="1" t="s">
        <v>2160</v>
      </c>
      <c r="L3915" s="1" t="s">
        <v>2161</v>
      </c>
      <c r="M3915" s="1" t="s">
        <v>27</v>
      </c>
      <c r="N3915" s="1" t="s">
        <v>10709</v>
      </c>
      <c r="O3915" s="1" t="s">
        <v>1010</v>
      </c>
      <c r="P3915" s="1" t="s">
        <v>401</v>
      </c>
      <c r="Q3915" s="6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3915" s="1" t="s">
        <v>100</v>
      </c>
      <c r="S3915" s="13" t="s">
        <v>28</v>
      </c>
    </row>
    <row r="3916" spans="1:63" ht="12" customHeight="1" x14ac:dyDescent="0.15">
      <c r="A3916" s="1" t="s">
        <v>10700</v>
      </c>
      <c r="B3916" s="1">
        <v>26</v>
      </c>
      <c r="C3916" s="1" t="s">
        <v>20</v>
      </c>
      <c r="D3916" s="1" t="s">
        <v>37</v>
      </c>
      <c r="E3916" s="1" t="s">
        <v>10701</v>
      </c>
      <c r="F3916" s="72">
        <v>41733</v>
      </c>
      <c r="G3916" s="1" t="s">
        <v>10702</v>
      </c>
      <c r="H3916" s="1" t="s">
        <v>285</v>
      </c>
      <c r="I3916" s="1" t="s">
        <v>73</v>
      </c>
      <c r="J3916" s="4" t="s">
        <v>10703</v>
      </c>
      <c r="K3916" s="1" t="s">
        <v>285</v>
      </c>
      <c r="L3916" s="1" t="s">
        <v>286</v>
      </c>
      <c r="M3916" s="1" t="s">
        <v>27</v>
      </c>
      <c r="N3916" s="1" t="s">
        <v>10704</v>
      </c>
      <c r="O3916" s="1" t="s">
        <v>1010</v>
      </c>
      <c r="P3916" s="1" t="s">
        <v>401</v>
      </c>
      <c r="Q3916" s="63" t="s">
        <v>10705</v>
      </c>
      <c r="R3916" s="1" t="s">
        <v>100</v>
      </c>
      <c r="S3916" s="13" t="s">
        <v>28</v>
      </c>
    </row>
    <row r="3917" spans="1:63" ht="12" customHeight="1" x14ac:dyDescent="0.15">
      <c r="A3917" s="1" t="s">
        <v>10687</v>
      </c>
      <c r="B3917" s="1">
        <v>24</v>
      </c>
      <c r="C3917" s="1" t="s">
        <v>20</v>
      </c>
      <c r="D3917" s="1" t="s">
        <v>48</v>
      </c>
      <c r="F3917" s="72">
        <v>41733</v>
      </c>
      <c r="G3917" s="1" t="s">
        <v>10688</v>
      </c>
      <c r="H3917" s="1" t="s">
        <v>98</v>
      </c>
      <c r="I3917" s="1" t="s">
        <v>45</v>
      </c>
      <c r="J3917" s="4" t="s">
        <v>10689</v>
      </c>
      <c r="K3917" s="1" t="s">
        <v>98</v>
      </c>
      <c r="L3917" s="1" t="s">
        <v>99</v>
      </c>
      <c r="M3917" s="1" t="s">
        <v>27</v>
      </c>
      <c r="N3917" s="1" t="s">
        <v>10690</v>
      </c>
      <c r="O3917" s="1" t="s">
        <v>1010</v>
      </c>
      <c r="P3917" s="1" t="s">
        <v>401</v>
      </c>
      <c r="Q3917" s="63" t="s">
        <v>10691</v>
      </c>
      <c r="R3917" s="1" t="s">
        <v>555</v>
      </c>
      <c r="S3917" s="13" t="s">
        <v>28</v>
      </c>
      <c r="BA3917" s="11"/>
      <c r="BB3917" s="11"/>
    </row>
    <row r="3918" spans="1:63" ht="12" customHeight="1" x14ac:dyDescent="0.15">
      <c r="A3918" s="1" t="s">
        <v>10710</v>
      </c>
      <c r="B3918" s="1">
        <v>45</v>
      </c>
      <c r="C3918" s="1" t="s">
        <v>20</v>
      </c>
      <c r="D3918" s="1" t="s">
        <v>85</v>
      </c>
      <c r="E3918" s="1" t="s">
        <v>10711</v>
      </c>
      <c r="F3918" s="72">
        <v>41732</v>
      </c>
      <c r="G3918" s="1" t="s">
        <v>10712</v>
      </c>
      <c r="H3918" s="1" t="s">
        <v>5410</v>
      </c>
      <c r="I3918" s="1" t="s">
        <v>319</v>
      </c>
      <c r="J3918" s="4" t="s">
        <v>6994</v>
      </c>
      <c r="K3918" s="1" t="s">
        <v>10713</v>
      </c>
      <c r="L3918" s="1" t="s">
        <v>10714</v>
      </c>
      <c r="M3918" s="1" t="s">
        <v>14359</v>
      </c>
      <c r="N3918" s="1" t="s">
        <v>10715</v>
      </c>
      <c r="O3918" s="1" t="s">
        <v>1010</v>
      </c>
      <c r="P3918" s="1" t="s">
        <v>401</v>
      </c>
      <c r="Q3918" s="63" t="s">
        <v>10716</v>
      </c>
      <c r="R3918" s="11" t="s">
        <v>964</v>
      </c>
      <c r="S3918" s="13" t="s">
        <v>18</v>
      </c>
      <c r="AX3918" s="44"/>
      <c r="AY3918" s="44"/>
      <c r="BC3918" s="11"/>
      <c r="BD3918" s="11"/>
      <c r="BE3918" s="11"/>
      <c r="BF3918" s="11"/>
      <c r="BG3918" s="11"/>
      <c r="BH3918" s="11"/>
      <c r="BI3918" s="11"/>
      <c r="BJ3918" s="11"/>
    </row>
    <row r="3919" spans="1:63" ht="12" customHeight="1" x14ac:dyDescent="0.15">
      <c r="A3919" s="1" t="s">
        <v>10723</v>
      </c>
      <c r="B3919" s="1">
        <v>26</v>
      </c>
      <c r="C3919" s="1" t="s">
        <v>20</v>
      </c>
      <c r="D3919" s="1" t="s">
        <v>37</v>
      </c>
      <c r="E3919" s="1" t="s">
        <v>10724</v>
      </c>
      <c r="F3919" s="72">
        <v>41732</v>
      </c>
      <c r="G3919" s="1" t="s">
        <v>10725</v>
      </c>
      <c r="H3919" s="1" t="s">
        <v>1208</v>
      </c>
      <c r="I3919" s="1" t="s">
        <v>303</v>
      </c>
      <c r="J3919" s="4" t="s">
        <v>10726</v>
      </c>
      <c r="K3919" s="1" t="s">
        <v>1209</v>
      </c>
      <c r="L3919" s="1" t="s">
        <v>1210</v>
      </c>
      <c r="M3919" s="1" t="s">
        <v>27</v>
      </c>
      <c r="N3919" s="1" t="s">
        <v>10727</v>
      </c>
      <c r="O3919" s="1" t="s">
        <v>1010</v>
      </c>
      <c r="P3919" s="1" t="s">
        <v>401</v>
      </c>
      <c r="Q3919" s="63" t="s">
        <v>10728</v>
      </c>
      <c r="R3919" s="1" t="s">
        <v>100</v>
      </c>
      <c r="S3919" s="13" t="s">
        <v>28</v>
      </c>
    </row>
    <row r="3920" spans="1:63" ht="12" customHeight="1" x14ac:dyDescent="0.2">
      <c r="A3920" s="1" t="s">
        <v>10717</v>
      </c>
      <c r="B3920" s="1">
        <v>28</v>
      </c>
      <c r="C3920" s="1" t="s">
        <v>114</v>
      </c>
      <c r="D3920" s="1" t="s">
        <v>30</v>
      </c>
      <c r="F3920" s="72">
        <v>41732</v>
      </c>
      <c r="G3920" s="1" t="s">
        <v>10718</v>
      </c>
      <c r="H3920" s="1" t="s">
        <v>2821</v>
      </c>
      <c r="I3920" s="1" t="s">
        <v>52</v>
      </c>
      <c r="J3920" s="4" t="s">
        <v>2822</v>
      </c>
      <c r="K3920" s="1" t="s">
        <v>118</v>
      </c>
      <c r="L3920" s="1" t="s">
        <v>10719</v>
      </c>
      <c r="M3920" s="1" t="s">
        <v>379</v>
      </c>
      <c r="N3920" s="1" t="s">
        <v>10720</v>
      </c>
      <c r="O3920" s="1" t="s">
        <v>3381</v>
      </c>
      <c r="P3920" s="1" t="s">
        <v>401</v>
      </c>
      <c r="Q3920" s="63" t="s">
        <v>10721</v>
      </c>
      <c r="R3920" s="1" t="s">
        <v>100</v>
      </c>
      <c r="S3920" s="13" t="s">
        <v>18</v>
      </c>
      <c r="BK3920" s="70"/>
    </row>
    <row r="3921" spans="1:63" ht="12" customHeight="1" x14ac:dyDescent="0.15">
      <c r="A3921" s="1" t="s">
        <v>10729</v>
      </c>
      <c r="B3921" s="1">
        <v>41</v>
      </c>
      <c r="C3921" s="1" t="s">
        <v>20</v>
      </c>
      <c r="D3921" s="1" t="s">
        <v>37</v>
      </c>
      <c r="E3921" s="1" t="s">
        <v>10730</v>
      </c>
      <c r="F3921" s="72">
        <v>41732</v>
      </c>
      <c r="G3921" s="1" t="s">
        <v>10731</v>
      </c>
      <c r="H3921" s="1" t="s">
        <v>10732</v>
      </c>
      <c r="I3921" s="1" t="s">
        <v>319</v>
      </c>
      <c r="J3921" s="4" t="s">
        <v>10733</v>
      </c>
      <c r="K3921" s="1" t="s">
        <v>420</v>
      </c>
      <c r="L3921" s="1" t="s">
        <v>10734</v>
      </c>
      <c r="M3921" s="1" t="s">
        <v>27</v>
      </c>
      <c r="N3921" s="1" t="s">
        <v>10735</v>
      </c>
      <c r="O3921" s="1" t="s">
        <v>1010</v>
      </c>
      <c r="P3921" s="1" t="s">
        <v>401</v>
      </c>
      <c r="Q3921" s="63" t="s">
        <v>10736</v>
      </c>
      <c r="R3921" s="1" t="s">
        <v>100</v>
      </c>
      <c r="S3921" s="13" t="s">
        <v>18</v>
      </c>
    </row>
    <row r="3922" spans="1:63" ht="12" customHeight="1" x14ac:dyDescent="0.15">
      <c r="A3922" s="1" t="s">
        <v>10737</v>
      </c>
      <c r="B3922" s="1">
        <v>22</v>
      </c>
      <c r="C3922" s="1" t="s">
        <v>20</v>
      </c>
      <c r="D3922" s="1" t="s">
        <v>85</v>
      </c>
      <c r="E3922" s="1" t="s">
        <v>10738</v>
      </c>
      <c r="F3922" s="72">
        <v>41731</v>
      </c>
      <c r="G3922" s="1" t="s">
        <v>10739</v>
      </c>
      <c r="H3922" s="1" t="s">
        <v>2450</v>
      </c>
      <c r="I3922" s="1" t="s">
        <v>173</v>
      </c>
      <c r="J3922" s="4" t="s">
        <v>2451</v>
      </c>
      <c r="K3922" s="1" t="s">
        <v>1325</v>
      </c>
      <c r="L3922" s="1" t="s">
        <v>1326</v>
      </c>
      <c r="M3922" s="1" t="s">
        <v>27</v>
      </c>
      <c r="N3922" s="1" t="s">
        <v>10740</v>
      </c>
      <c r="O3922" s="1" t="s">
        <v>1010</v>
      </c>
      <c r="P3922" s="1" t="s">
        <v>401</v>
      </c>
      <c r="Q3922" s="63" t="str">
        <f>HYPERLINK("http://www.wsbtv.com/news/news/local/officer-injured-suspect-killed-lawrenceville-apart/nfQTQ/","http://www.wsbtv.com/news/news/local/officer-injured-suspect-killed-lawrenceville-apart/nfQTQ/")</f>
        <v>http://www.wsbtv.com/news/news/local/officer-injured-suspect-killed-lawrenceville-apart/nfQTQ/</v>
      </c>
      <c r="R3922" s="1" t="s">
        <v>100</v>
      </c>
      <c r="S3922" s="13" t="s">
        <v>28</v>
      </c>
      <c r="AX3922" s="11"/>
      <c r="AY3922" s="11"/>
      <c r="BC3922" s="11"/>
      <c r="BD3922" s="11"/>
      <c r="BE3922" s="11"/>
      <c r="BF3922" s="11"/>
      <c r="BG3922" s="11"/>
      <c r="BH3922" s="11"/>
      <c r="BI3922" s="11"/>
      <c r="BJ3922" s="11"/>
    </row>
    <row r="3923" spans="1:63" ht="12" customHeight="1" x14ac:dyDescent="0.15">
      <c r="A3923" s="1" t="s">
        <v>10751</v>
      </c>
      <c r="B3923" s="1">
        <v>28</v>
      </c>
      <c r="C3923" s="1" t="s">
        <v>20</v>
      </c>
      <c r="D3923" s="1" t="s">
        <v>37</v>
      </c>
      <c r="E3923" s="1" t="s">
        <v>10752</v>
      </c>
      <c r="F3923" s="72">
        <v>41731</v>
      </c>
      <c r="G3923" s="1" t="s">
        <v>10753</v>
      </c>
      <c r="H3923" s="1" t="s">
        <v>10754</v>
      </c>
      <c r="I3923" s="1" t="s">
        <v>62</v>
      </c>
      <c r="J3923" s="4" t="s">
        <v>10755</v>
      </c>
      <c r="K3923" s="1" t="s">
        <v>5318</v>
      </c>
      <c r="L3923" s="1" t="s">
        <v>10756</v>
      </c>
      <c r="M3923" s="1" t="s">
        <v>27</v>
      </c>
      <c r="N3923" s="1" t="s">
        <v>10757</v>
      </c>
      <c r="O3923" s="1" t="s">
        <v>1010</v>
      </c>
      <c r="P3923" s="1" t="s">
        <v>401</v>
      </c>
      <c r="Q3923" s="63" t="s">
        <v>10758</v>
      </c>
      <c r="R3923" s="1" t="s">
        <v>100</v>
      </c>
      <c r="S3923" s="13" t="s">
        <v>28</v>
      </c>
    </row>
    <row r="3924" spans="1:63" ht="12" customHeight="1" x14ac:dyDescent="0.15">
      <c r="A3924" s="1" t="s">
        <v>10750</v>
      </c>
      <c r="B3924" s="1">
        <v>27</v>
      </c>
      <c r="C3924" s="1" t="s">
        <v>114</v>
      </c>
      <c r="D3924" s="1" t="s">
        <v>37</v>
      </c>
      <c r="E3924" s="1" t="s">
        <v>10742</v>
      </c>
      <c r="F3924" s="72">
        <v>41731</v>
      </c>
      <c r="G3924" s="1" t="s">
        <v>10743</v>
      </c>
      <c r="H3924" s="1" t="s">
        <v>10744</v>
      </c>
      <c r="I3924" s="1" t="s">
        <v>32</v>
      </c>
      <c r="J3924" s="4" t="s">
        <v>10745</v>
      </c>
      <c r="K3924" s="1" t="s">
        <v>10746</v>
      </c>
      <c r="L3924" s="1" t="s">
        <v>10747</v>
      </c>
      <c r="M3924" s="1" t="s">
        <v>379</v>
      </c>
      <c r="N3924" s="1" t="s">
        <v>10748</v>
      </c>
      <c r="O3924" s="1" t="s">
        <v>1010</v>
      </c>
      <c r="P3924" s="1" t="s">
        <v>401</v>
      </c>
      <c r="Q3924" s="63" t="s">
        <v>10749</v>
      </c>
      <c r="R3924" s="1" t="s">
        <v>100</v>
      </c>
      <c r="S3924" s="66" t="s">
        <v>379</v>
      </c>
      <c r="T3924" s="66" t="s">
        <v>30738</v>
      </c>
    </row>
    <row r="3925" spans="1:63" ht="12" customHeight="1" x14ac:dyDescent="0.15">
      <c r="A3925" s="1" t="s">
        <v>10741</v>
      </c>
      <c r="B3925" s="1">
        <v>23</v>
      </c>
      <c r="C3925" s="1" t="s">
        <v>20</v>
      </c>
      <c r="D3925" s="1" t="s">
        <v>37</v>
      </c>
      <c r="E3925" s="1" t="s">
        <v>10742</v>
      </c>
      <c r="F3925" s="72">
        <v>41731</v>
      </c>
      <c r="G3925" s="1" t="s">
        <v>10743</v>
      </c>
      <c r="H3925" s="1" t="s">
        <v>10744</v>
      </c>
      <c r="I3925" s="1" t="s">
        <v>32</v>
      </c>
      <c r="J3925" s="4" t="s">
        <v>10745</v>
      </c>
      <c r="K3925" s="1" t="s">
        <v>10746</v>
      </c>
      <c r="L3925" s="1" t="s">
        <v>10747</v>
      </c>
      <c r="M3925" s="1" t="s">
        <v>379</v>
      </c>
      <c r="N3925" s="1" t="s">
        <v>10748</v>
      </c>
      <c r="O3925" s="1" t="s">
        <v>1010</v>
      </c>
      <c r="P3925" s="1" t="s">
        <v>401</v>
      </c>
      <c r="Q3925" s="63" t="s">
        <v>10749</v>
      </c>
      <c r="R3925" s="1" t="s">
        <v>100</v>
      </c>
      <c r="S3925" s="66" t="s">
        <v>379</v>
      </c>
      <c r="T3925" s="66" t="s">
        <v>30738</v>
      </c>
    </row>
    <row r="3926" spans="1:63" ht="12" customHeight="1" x14ac:dyDescent="0.2">
      <c r="A3926" s="1" t="s">
        <v>10759</v>
      </c>
      <c r="B3926" s="1">
        <v>44</v>
      </c>
      <c r="C3926" s="1" t="s">
        <v>114</v>
      </c>
      <c r="D3926" s="1" t="s">
        <v>48</v>
      </c>
      <c r="E3926" s="1" t="s">
        <v>10760</v>
      </c>
      <c r="F3926" s="72">
        <v>41730</v>
      </c>
      <c r="G3926" s="1" t="s">
        <v>10761</v>
      </c>
      <c r="H3926" s="1" t="s">
        <v>971</v>
      </c>
      <c r="I3926" s="1" t="s">
        <v>195</v>
      </c>
      <c r="J3926" s="4" t="s">
        <v>10762</v>
      </c>
      <c r="K3926" s="1" t="s">
        <v>467</v>
      </c>
      <c r="L3926" s="1" t="s">
        <v>10763</v>
      </c>
      <c r="M3926" s="1" t="s">
        <v>379</v>
      </c>
      <c r="N3926" s="1" t="s">
        <v>10764</v>
      </c>
      <c r="O3926" s="1" t="s">
        <v>29645</v>
      </c>
      <c r="P3926" s="1" t="s">
        <v>29646</v>
      </c>
      <c r="Q3926" s="63" t="s">
        <v>10765</v>
      </c>
      <c r="R3926" s="1" t="s">
        <v>100</v>
      </c>
      <c r="S3926" s="13" t="s">
        <v>18</v>
      </c>
      <c r="BK3926" s="70"/>
    </row>
    <row r="3927" spans="1:63" ht="12" customHeight="1" x14ac:dyDescent="0.15">
      <c r="A3927" s="1" t="s">
        <v>10771</v>
      </c>
      <c r="B3927" s="1">
        <v>28</v>
      </c>
      <c r="C3927" s="1" t="s">
        <v>114</v>
      </c>
      <c r="D3927" s="1" t="s">
        <v>37</v>
      </c>
      <c r="E3927" s="1" t="s">
        <v>10772</v>
      </c>
      <c r="F3927" s="72">
        <v>41729</v>
      </c>
      <c r="G3927" s="1" t="s">
        <v>10773</v>
      </c>
      <c r="H3927" s="1" t="s">
        <v>10774</v>
      </c>
      <c r="I3927" s="1" t="s">
        <v>366</v>
      </c>
      <c r="J3927" s="4" t="s">
        <v>10775</v>
      </c>
      <c r="K3927" s="1" t="s">
        <v>1864</v>
      </c>
      <c r="L3927" s="1" t="s">
        <v>24810</v>
      </c>
      <c r="M3927" s="1" t="s">
        <v>379</v>
      </c>
      <c r="N3927" s="1" t="s">
        <v>10776</v>
      </c>
      <c r="O3927" s="1" t="s">
        <v>1010</v>
      </c>
      <c r="P3927" s="1" t="s">
        <v>401</v>
      </c>
      <c r="Q3927" s="63" t="s">
        <v>10777</v>
      </c>
      <c r="R3927" s="1" t="s">
        <v>100</v>
      </c>
      <c r="S3927" s="66" t="s">
        <v>379</v>
      </c>
      <c r="T3927" s="66" t="s">
        <v>30738</v>
      </c>
    </row>
    <row r="3928" spans="1:63" ht="12" customHeight="1" x14ac:dyDescent="0.15">
      <c r="A3928" s="1" t="s">
        <v>10766</v>
      </c>
      <c r="B3928" s="1">
        <v>74</v>
      </c>
      <c r="C3928" s="1" t="s">
        <v>114</v>
      </c>
      <c r="D3928" s="1" t="s">
        <v>30</v>
      </c>
      <c r="F3928" s="72">
        <v>41729</v>
      </c>
      <c r="G3928" s="1" t="s">
        <v>10767</v>
      </c>
      <c r="H3928" s="1" t="s">
        <v>1240</v>
      </c>
      <c r="I3928" s="1" t="s">
        <v>173</v>
      </c>
      <c r="J3928" s="4" t="s">
        <v>10768</v>
      </c>
      <c r="K3928" s="1" t="s">
        <v>1338</v>
      </c>
      <c r="L3928" s="1" t="s">
        <v>1339</v>
      </c>
      <c r="M3928" s="1" t="s">
        <v>27</v>
      </c>
      <c r="N3928" s="1" t="s">
        <v>10769</v>
      </c>
      <c r="O3928" s="1" t="s">
        <v>1010</v>
      </c>
      <c r="P3928" s="1" t="s">
        <v>401</v>
      </c>
      <c r="Q3928" s="63" t="s">
        <v>10770</v>
      </c>
      <c r="R3928" s="1" t="s">
        <v>555</v>
      </c>
      <c r="S3928" s="13" t="s">
        <v>28</v>
      </c>
      <c r="BA3928" s="11"/>
      <c r="BB3928" s="11"/>
    </row>
    <row r="3929" spans="1:63" ht="12" customHeight="1" x14ac:dyDescent="0.15">
      <c r="A3929" s="1" t="s">
        <v>10778</v>
      </c>
      <c r="B3929" s="1">
        <v>43</v>
      </c>
      <c r="C3929" s="1" t="s">
        <v>20</v>
      </c>
      <c r="D3929" s="1" t="s">
        <v>37</v>
      </c>
      <c r="E3929" s="1" t="s">
        <v>10779</v>
      </c>
      <c r="F3929" s="72">
        <v>41729</v>
      </c>
      <c r="G3929" s="1" t="s">
        <v>10780</v>
      </c>
      <c r="H3929" s="1" t="s">
        <v>10781</v>
      </c>
      <c r="I3929" s="1" t="s">
        <v>423</v>
      </c>
      <c r="J3929" s="4">
        <v>13790</v>
      </c>
      <c r="K3929" s="1" t="s">
        <v>10782</v>
      </c>
      <c r="L3929" s="1" t="s">
        <v>10783</v>
      </c>
      <c r="M3929" s="1" t="s">
        <v>27</v>
      </c>
      <c r="N3929" s="1" t="s">
        <v>10784</v>
      </c>
      <c r="P3929" s="1" t="s">
        <v>401</v>
      </c>
      <c r="Q3929" s="6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3929" s="1" t="s">
        <v>555</v>
      </c>
      <c r="S3929" s="13" t="s">
        <v>28</v>
      </c>
      <c r="BA3929" s="44"/>
      <c r="BB3929" s="44"/>
    </row>
    <row r="3930" spans="1:63" ht="12" customHeight="1" x14ac:dyDescent="0.15">
      <c r="A3930" s="1" t="s">
        <v>10785</v>
      </c>
      <c r="B3930" s="1">
        <v>20</v>
      </c>
      <c r="C3930" s="1" t="s">
        <v>20</v>
      </c>
      <c r="D3930" s="1" t="s">
        <v>85</v>
      </c>
      <c r="E3930" s="1" t="s">
        <v>10786</v>
      </c>
      <c r="F3930" s="72">
        <v>41728</v>
      </c>
      <c r="G3930" s="1" t="s">
        <v>10787</v>
      </c>
      <c r="H3930" s="1" t="s">
        <v>1287</v>
      </c>
      <c r="I3930" s="1" t="s">
        <v>173</v>
      </c>
      <c r="J3930" s="4" t="s">
        <v>10788</v>
      </c>
      <c r="K3930" s="1" t="s">
        <v>10789</v>
      </c>
      <c r="L3930" s="1" t="s">
        <v>10790</v>
      </c>
      <c r="M3930" s="1" t="s">
        <v>27</v>
      </c>
      <c r="N3930" s="1" t="s">
        <v>10791</v>
      </c>
      <c r="O3930" s="1" t="s">
        <v>1010</v>
      </c>
      <c r="P3930" s="1" t="s">
        <v>401</v>
      </c>
      <c r="Q3930" s="63" t="s">
        <v>21013</v>
      </c>
      <c r="R3930" s="1" t="s">
        <v>100</v>
      </c>
      <c r="S3930" s="13" t="s">
        <v>18</v>
      </c>
      <c r="AX3930" s="11"/>
      <c r="AY3930" s="11"/>
      <c r="BC3930" s="11"/>
      <c r="BD3930" s="11"/>
      <c r="BE3930" s="11"/>
      <c r="BF3930" s="11"/>
      <c r="BG3930" s="11"/>
      <c r="BH3930" s="11"/>
      <c r="BI3930" s="11"/>
      <c r="BJ3930" s="11"/>
    </row>
    <row r="3931" spans="1:63" ht="12" customHeight="1" x14ac:dyDescent="0.15">
      <c r="A3931" s="1" t="s">
        <v>10792</v>
      </c>
      <c r="B3931" s="1">
        <v>20</v>
      </c>
      <c r="C3931" s="1" t="s">
        <v>20</v>
      </c>
      <c r="D3931" s="1" t="s">
        <v>85</v>
      </c>
      <c r="E3931" s="1" t="s">
        <v>10793</v>
      </c>
      <c r="F3931" s="72">
        <v>41727</v>
      </c>
      <c r="G3931" s="1" t="s">
        <v>10794</v>
      </c>
      <c r="H3931" s="1" t="s">
        <v>87</v>
      </c>
      <c r="I3931" s="1" t="s">
        <v>44</v>
      </c>
      <c r="J3931" s="4" t="s">
        <v>1677</v>
      </c>
      <c r="K3931" s="1" t="s">
        <v>88</v>
      </c>
      <c r="L3931" s="1" t="s">
        <v>89</v>
      </c>
      <c r="M3931" s="1" t="s">
        <v>27</v>
      </c>
      <c r="N3931" s="1" t="s">
        <v>10795</v>
      </c>
      <c r="O3931" s="1" t="s">
        <v>1010</v>
      </c>
      <c r="P3931" s="1" t="s">
        <v>401</v>
      </c>
      <c r="Q3931" s="63" t="str">
        <f>HYPERLINK("http://www.myfoxchicago.com/story/25108986/raason-shaw-man-shot-to-death-by-police-in-woodlawn","http://www.myfoxchicago.com/story/25108986/raason-shaw-man-shot-to-death-by-police-in-woodlawn")</f>
        <v>http://www.myfoxchicago.com/story/25108986/raason-shaw-man-shot-to-death-by-police-in-woodlawn</v>
      </c>
      <c r="R3931" s="1" t="s">
        <v>100</v>
      </c>
      <c r="S3931" s="13" t="s">
        <v>28</v>
      </c>
      <c r="AX3931" s="11"/>
      <c r="AY3931" s="11"/>
      <c r="BC3931" s="11"/>
      <c r="BD3931" s="11"/>
      <c r="BE3931" s="11"/>
      <c r="BF3931" s="11"/>
      <c r="BG3931" s="11"/>
      <c r="BH3931" s="11"/>
      <c r="BI3931" s="11"/>
      <c r="BJ3931" s="11"/>
    </row>
    <row r="3932" spans="1:63" ht="12" customHeight="1" x14ac:dyDescent="0.15">
      <c r="A3932" s="1" t="s">
        <v>10803</v>
      </c>
      <c r="B3932" s="1">
        <v>25</v>
      </c>
      <c r="C3932" s="1" t="s">
        <v>20</v>
      </c>
      <c r="D3932" s="1" t="s">
        <v>85</v>
      </c>
      <c r="E3932" s="1" t="s">
        <v>10804</v>
      </c>
      <c r="F3932" s="72">
        <v>41726</v>
      </c>
      <c r="G3932" s="1" t="s">
        <v>10805</v>
      </c>
      <c r="H3932" s="1" t="s">
        <v>890</v>
      </c>
      <c r="I3932" s="1" t="s">
        <v>315</v>
      </c>
      <c r="J3932" s="4" t="s">
        <v>10806</v>
      </c>
      <c r="K3932" s="1" t="s">
        <v>1778</v>
      </c>
      <c r="L3932" s="1" t="s">
        <v>891</v>
      </c>
      <c r="M3932" s="1" t="s">
        <v>27</v>
      </c>
      <c r="N3932" s="1" t="s">
        <v>10807</v>
      </c>
      <c r="O3932" s="1" t="s">
        <v>1010</v>
      </c>
      <c r="P3932" s="1" t="s">
        <v>401</v>
      </c>
      <c r="Q3932" s="63" t="s">
        <v>10808</v>
      </c>
      <c r="R3932" s="1" t="s">
        <v>29</v>
      </c>
      <c r="S3932" s="13" t="s">
        <v>28</v>
      </c>
      <c r="AX3932" s="11"/>
      <c r="AY3932" s="11"/>
      <c r="BC3932" s="11"/>
      <c r="BD3932" s="11"/>
      <c r="BE3932" s="11"/>
      <c r="BF3932" s="11"/>
      <c r="BG3932" s="11"/>
      <c r="BH3932" s="11"/>
      <c r="BI3932" s="11"/>
      <c r="BJ3932" s="11"/>
    </row>
    <row r="3933" spans="1:63" ht="12" customHeight="1" x14ac:dyDescent="0.15">
      <c r="A3933" s="1" t="s">
        <v>10796</v>
      </c>
      <c r="B3933" s="1">
        <v>35</v>
      </c>
      <c r="C3933" s="1" t="s">
        <v>20</v>
      </c>
      <c r="D3933" s="1" t="s">
        <v>85</v>
      </c>
      <c r="E3933" s="1" t="s">
        <v>10797</v>
      </c>
      <c r="F3933" s="72">
        <v>41726</v>
      </c>
      <c r="G3933" s="1" t="s">
        <v>10798</v>
      </c>
      <c r="H3933" s="1" t="s">
        <v>10799</v>
      </c>
      <c r="I3933" s="1" t="s">
        <v>366</v>
      </c>
      <c r="J3933" s="4" t="s">
        <v>10800</v>
      </c>
      <c r="K3933" s="1" t="s">
        <v>5610</v>
      </c>
      <c r="L3933" s="1" t="s">
        <v>10801</v>
      </c>
      <c r="M3933" s="1" t="s">
        <v>27</v>
      </c>
      <c r="N3933" s="1" t="s">
        <v>10802</v>
      </c>
      <c r="O3933" s="1" t="s">
        <v>1010</v>
      </c>
      <c r="P3933" s="1" t="s">
        <v>401</v>
      </c>
      <c r="Q3933" s="63" t="str">
        <f>HYPERLINK("http://www.wcti12.com/news/city-official-two-officers-injured-one-suspect-dead-in-shooting/25226556","http://www.wcti12.com/news/city-official-two-officers-injured-one-suspect-dead-in-shooting/25226556")</f>
        <v>http://www.wcti12.com/news/city-official-two-officers-injured-one-suspect-dead-in-shooting/25226556</v>
      </c>
      <c r="R3933" s="1" t="s">
        <v>29</v>
      </c>
      <c r="S3933" s="13" t="s">
        <v>28</v>
      </c>
      <c r="AX3933" s="11"/>
      <c r="AY3933" s="11"/>
      <c r="BC3933" s="11"/>
      <c r="BD3933" s="11"/>
      <c r="BE3933" s="11"/>
      <c r="BF3933" s="11"/>
      <c r="BG3933" s="11"/>
      <c r="BH3933" s="11"/>
      <c r="BI3933" s="11"/>
      <c r="BJ3933" s="11"/>
    </row>
    <row r="3934" spans="1:63" ht="12" customHeight="1" x14ac:dyDescent="0.15">
      <c r="A3934" s="1" t="s">
        <v>10809</v>
      </c>
      <c r="B3934" s="1">
        <v>35</v>
      </c>
      <c r="C3934" s="1" t="s">
        <v>20</v>
      </c>
      <c r="D3934" s="1" t="s">
        <v>942</v>
      </c>
      <c r="E3934" s="1" t="str">
        <f>HYPERLINK("http://fox13now.com/2014/03/28/2-police-officers-hurt-1-man-dead-after-salt-lake-city-shooting/","http://fox13now.com/2014/03/28/2-police-officers-hurt-1-man-dead-after-salt-lake-city-shooting/")</f>
        <v>http://fox13now.com/2014/03/28/2-police-officers-hurt-1-man-dead-after-salt-lake-city-shooting/</v>
      </c>
      <c r="F3934" s="72">
        <v>41726</v>
      </c>
      <c r="G3934" s="1" t="s">
        <v>10810</v>
      </c>
      <c r="H3934" s="1" t="s">
        <v>239</v>
      </c>
      <c r="I3934" s="1" t="s">
        <v>240</v>
      </c>
      <c r="J3934" s="4" t="s">
        <v>10811</v>
      </c>
      <c r="K3934" s="1" t="s">
        <v>239</v>
      </c>
      <c r="L3934" s="1" t="s">
        <v>241</v>
      </c>
      <c r="M3934" s="1" t="s">
        <v>27</v>
      </c>
      <c r="N3934" s="1" t="s">
        <v>10812</v>
      </c>
      <c r="O3934" s="1" t="s">
        <v>550</v>
      </c>
      <c r="P3934" s="1" t="s">
        <v>401</v>
      </c>
      <c r="Q3934" s="63" t="s">
        <v>10813</v>
      </c>
      <c r="R3934" s="1" t="s">
        <v>29</v>
      </c>
      <c r="S3934" s="13" t="s">
        <v>28</v>
      </c>
    </row>
    <row r="3935" spans="1:63" ht="12" customHeight="1" x14ac:dyDescent="0.15">
      <c r="A3935" s="1" t="s">
        <v>10814</v>
      </c>
      <c r="B3935" s="1">
        <v>40</v>
      </c>
      <c r="C3935" s="1" t="s">
        <v>20</v>
      </c>
      <c r="D3935" s="1" t="s">
        <v>30</v>
      </c>
      <c r="F3935" s="72">
        <v>41726</v>
      </c>
      <c r="G3935" s="1" t="s">
        <v>10815</v>
      </c>
      <c r="H3935" s="1" t="s">
        <v>10816</v>
      </c>
      <c r="I3935" s="1" t="s">
        <v>366</v>
      </c>
      <c r="J3935" s="4" t="s">
        <v>10817</v>
      </c>
      <c r="K3935" s="1" t="s">
        <v>2316</v>
      </c>
      <c r="L3935" s="1" t="s">
        <v>10818</v>
      </c>
      <c r="M3935" s="1" t="s">
        <v>27</v>
      </c>
      <c r="N3935" s="1" t="s">
        <v>10819</v>
      </c>
      <c r="O3935" s="1" t="s">
        <v>1010</v>
      </c>
      <c r="P3935" s="1" t="s">
        <v>401</v>
      </c>
      <c r="Q3935" s="63" t="s">
        <v>10820</v>
      </c>
      <c r="R3935" s="1" t="s">
        <v>29</v>
      </c>
      <c r="S3935" s="13" t="s">
        <v>28</v>
      </c>
    </row>
    <row r="3936" spans="1:63" ht="12" customHeight="1" x14ac:dyDescent="0.2">
      <c r="A3936" s="1" t="s">
        <v>10821</v>
      </c>
      <c r="B3936" s="1">
        <v>25</v>
      </c>
      <c r="C3936" s="1" t="s">
        <v>20</v>
      </c>
      <c r="D3936" s="1" t="s">
        <v>37</v>
      </c>
      <c r="F3936" s="72">
        <v>41726</v>
      </c>
      <c r="G3936" s="1" t="s">
        <v>10822</v>
      </c>
      <c r="H3936" s="1" t="s">
        <v>10823</v>
      </c>
      <c r="I3936" s="1" t="s">
        <v>45</v>
      </c>
      <c r="J3936" s="4" t="s">
        <v>10824</v>
      </c>
      <c r="K3936" s="1" t="s">
        <v>309</v>
      </c>
      <c r="L3936" s="1" t="s">
        <v>310</v>
      </c>
      <c r="M3936" s="1" t="s">
        <v>27</v>
      </c>
      <c r="N3936" s="1" t="s">
        <v>10825</v>
      </c>
      <c r="O3936" s="1" t="s">
        <v>1010</v>
      </c>
      <c r="P3936" s="1" t="s">
        <v>401</v>
      </c>
      <c r="Q3936" s="63" t="s">
        <v>10826</v>
      </c>
      <c r="R3936" s="1" t="s">
        <v>29</v>
      </c>
      <c r="S3936" s="13" t="s">
        <v>28</v>
      </c>
      <c r="BA3936" s="70"/>
      <c r="BB3936" s="70"/>
    </row>
    <row r="3937" spans="1:62" ht="12" customHeight="1" x14ac:dyDescent="0.15">
      <c r="A3937" s="1" t="s">
        <v>10827</v>
      </c>
      <c r="B3937" s="1">
        <v>27</v>
      </c>
      <c r="C3937" s="1" t="s">
        <v>20</v>
      </c>
      <c r="D3937" s="1" t="s">
        <v>85</v>
      </c>
      <c r="F3937" s="72">
        <v>41725</v>
      </c>
      <c r="G3937" s="1" t="s">
        <v>10828</v>
      </c>
      <c r="H3937" s="1" t="s">
        <v>1399</v>
      </c>
      <c r="I3937" s="1" t="s">
        <v>81</v>
      </c>
      <c r="J3937" s="4" t="s">
        <v>7320</v>
      </c>
      <c r="K3937" s="1" t="s">
        <v>1400</v>
      </c>
      <c r="L3937" s="1" t="s">
        <v>1401</v>
      </c>
      <c r="M3937" s="1" t="s">
        <v>27</v>
      </c>
      <c r="N3937" s="1" t="s">
        <v>10829</v>
      </c>
      <c r="O3937" s="1" t="s">
        <v>1010</v>
      </c>
      <c r="P3937" s="1" t="s">
        <v>401</v>
      </c>
      <c r="Q3937" s="63" t="s">
        <v>10830</v>
      </c>
      <c r="R3937" s="1" t="s">
        <v>100</v>
      </c>
      <c r="S3937" s="13" t="s">
        <v>28</v>
      </c>
      <c r="AX3937" s="11"/>
      <c r="AY3937" s="11"/>
      <c r="BC3937" s="11"/>
      <c r="BD3937" s="11"/>
      <c r="BE3937" s="11"/>
      <c r="BF3937" s="11"/>
      <c r="BG3937" s="11"/>
      <c r="BH3937" s="11"/>
      <c r="BI3937" s="11"/>
      <c r="BJ3937" s="11"/>
    </row>
    <row r="3938" spans="1:62" ht="12" customHeight="1" x14ac:dyDescent="0.15">
      <c r="A3938" s="1" t="s">
        <v>10831</v>
      </c>
      <c r="B3938" s="1">
        <v>19</v>
      </c>
      <c r="C3938" s="1" t="s">
        <v>20</v>
      </c>
      <c r="D3938" s="1" t="s">
        <v>48</v>
      </c>
      <c r="F3938" s="72">
        <v>41725</v>
      </c>
      <c r="G3938" s="1" t="s">
        <v>10832</v>
      </c>
      <c r="H3938" s="1" t="s">
        <v>7939</v>
      </c>
      <c r="I3938" s="1" t="s">
        <v>73</v>
      </c>
      <c r="J3938" s="4" t="s">
        <v>10833</v>
      </c>
      <c r="K3938" s="1" t="s">
        <v>1778</v>
      </c>
      <c r="L3938" s="1" t="s">
        <v>10834</v>
      </c>
      <c r="M3938" s="1" t="s">
        <v>27</v>
      </c>
      <c r="N3938" s="1" t="s">
        <v>21002</v>
      </c>
      <c r="O3938" s="1" t="s">
        <v>550</v>
      </c>
      <c r="P3938" s="1" t="s">
        <v>401</v>
      </c>
      <c r="Q3938" s="63" t="s">
        <v>10835</v>
      </c>
      <c r="R3938" s="1" t="s">
        <v>100</v>
      </c>
      <c r="S3938" s="13" t="s">
        <v>18</v>
      </c>
    </row>
    <row r="3939" spans="1:62" ht="12" customHeight="1" x14ac:dyDescent="0.15">
      <c r="A3939" s="1" t="s">
        <v>10836</v>
      </c>
      <c r="B3939" s="1">
        <v>58</v>
      </c>
      <c r="C3939" s="1" t="s">
        <v>20</v>
      </c>
      <c r="D3939" s="1" t="s">
        <v>30</v>
      </c>
      <c r="F3939" s="72">
        <v>41725</v>
      </c>
      <c r="G3939" s="1" t="s">
        <v>10837</v>
      </c>
      <c r="H3939" s="1" t="s">
        <v>10838</v>
      </c>
      <c r="I3939" s="1" t="s">
        <v>73</v>
      </c>
      <c r="J3939" s="4" t="s">
        <v>10839</v>
      </c>
      <c r="K3939" s="1" t="s">
        <v>10840</v>
      </c>
      <c r="L3939" s="1" t="s">
        <v>10841</v>
      </c>
      <c r="M3939" s="1" t="s">
        <v>27</v>
      </c>
      <c r="N3939" s="1" t="s">
        <v>10842</v>
      </c>
      <c r="O3939" s="1" t="s">
        <v>1010</v>
      </c>
      <c r="P3939" s="1" t="s">
        <v>401</v>
      </c>
      <c r="Q3939" s="63" t="s">
        <v>10843</v>
      </c>
      <c r="R3939" s="1" t="s">
        <v>29</v>
      </c>
      <c r="S3939" s="13" t="s">
        <v>28</v>
      </c>
    </row>
    <row r="3940" spans="1:62" ht="12" customHeight="1" x14ac:dyDescent="0.15">
      <c r="A3940" s="1" t="s">
        <v>10844</v>
      </c>
      <c r="B3940" s="1">
        <v>43</v>
      </c>
      <c r="C3940" s="1" t="s">
        <v>20</v>
      </c>
      <c r="D3940" s="1" t="s">
        <v>37</v>
      </c>
      <c r="E3940" s="1" t="s">
        <v>10845</v>
      </c>
      <c r="F3940" s="72">
        <v>41725</v>
      </c>
      <c r="G3940" s="1" t="s">
        <v>10846</v>
      </c>
      <c r="H3940" s="1" t="s">
        <v>10847</v>
      </c>
      <c r="I3940" s="1" t="s">
        <v>395</v>
      </c>
      <c r="J3940" s="4" t="s">
        <v>10848</v>
      </c>
      <c r="K3940" s="1" t="s">
        <v>10849</v>
      </c>
      <c r="L3940" s="1" t="s">
        <v>10850</v>
      </c>
      <c r="M3940" s="1" t="s">
        <v>27</v>
      </c>
      <c r="N3940" s="1" t="s">
        <v>10851</v>
      </c>
      <c r="O3940" s="1" t="s">
        <v>1010</v>
      </c>
      <c r="P3940" s="1" t="s">
        <v>401</v>
      </c>
      <c r="Q3940" s="63" t="s">
        <v>10852</v>
      </c>
      <c r="R3940" s="1" t="s">
        <v>29</v>
      </c>
      <c r="S3940" s="13" t="s">
        <v>28</v>
      </c>
    </row>
    <row r="3941" spans="1:62" ht="12" customHeight="1" x14ac:dyDescent="0.15">
      <c r="A3941" s="1" t="s">
        <v>10858</v>
      </c>
      <c r="B3941" s="1">
        <v>30</v>
      </c>
      <c r="C3941" s="1" t="s">
        <v>20</v>
      </c>
      <c r="D3941" s="1" t="s">
        <v>37</v>
      </c>
      <c r="E3941" s="1" t="s">
        <v>10859</v>
      </c>
      <c r="F3941" s="72">
        <v>41724</v>
      </c>
      <c r="G3941" s="1" t="s">
        <v>10860</v>
      </c>
      <c r="H3941" s="1" t="s">
        <v>838</v>
      </c>
      <c r="I3941" s="1" t="s">
        <v>303</v>
      </c>
      <c r="J3941" s="4" t="s">
        <v>10861</v>
      </c>
      <c r="K3941" s="1" t="s">
        <v>838</v>
      </c>
      <c r="L3941" s="1" t="s">
        <v>839</v>
      </c>
      <c r="M3941" s="1" t="s">
        <v>27</v>
      </c>
      <c r="N3941" s="1" t="s">
        <v>10862</v>
      </c>
      <c r="O3941" s="1" t="s">
        <v>1010</v>
      </c>
      <c r="P3941" s="1" t="s">
        <v>401</v>
      </c>
      <c r="Q3941" s="63" t="s">
        <v>10863</v>
      </c>
      <c r="R3941" s="1" t="s">
        <v>100</v>
      </c>
      <c r="S3941" s="13" t="s">
        <v>28</v>
      </c>
    </row>
    <row r="3942" spans="1:62" ht="12" customHeight="1" x14ac:dyDescent="0.15">
      <c r="A3942" s="1" t="s">
        <v>10853</v>
      </c>
      <c r="B3942" s="1">
        <v>41</v>
      </c>
      <c r="C3942" s="1" t="s">
        <v>20</v>
      </c>
      <c r="D3942" s="1" t="s">
        <v>37</v>
      </c>
      <c r="F3942" s="72">
        <v>41724</v>
      </c>
      <c r="G3942" s="1" t="s">
        <v>10854</v>
      </c>
      <c r="H3942" s="1" t="s">
        <v>10855</v>
      </c>
      <c r="I3942" s="1" t="s">
        <v>45</v>
      </c>
      <c r="J3942" s="4" t="s">
        <v>3479</v>
      </c>
      <c r="K3942" s="1" t="s">
        <v>680</v>
      </c>
      <c r="L3942" s="1" t="s">
        <v>747</v>
      </c>
      <c r="M3942" s="1" t="s">
        <v>27</v>
      </c>
      <c r="N3942" s="1" t="s">
        <v>10856</v>
      </c>
      <c r="O3942" s="1" t="s">
        <v>550</v>
      </c>
      <c r="P3942" s="1" t="s">
        <v>401</v>
      </c>
      <c r="Q3942" s="63" t="s">
        <v>10857</v>
      </c>
      <c r="R3942" s="1" t="s">
        <v>100</v>
      </c>
      <c r="S3942" s="13" t="s">
        <v>18</v>
      </c>
    </row>
    <row r="3943" spans="1:62" ht="12" customHeight="1" x14ac:dyDescent="0.15">
      <c r="A3943" s="1" t="s">
        <v>10895</v>
      </c>
      <c r="B3943" s="1">
        <v>65</v>
      </c>
      <c r="C3943" s="1" t="s">
        <v>20</v>
      </c>
      <c r="D3943" s="1" t="s">
        <v>37</v>
      </c>
      <c r="E3943" s="1" t="s">
        <v>10896</v>
      </c>
      <c r="F3943" s="72">
        <v>41723</v>
      </c>
      <c r="G3943" s="1" t="s">
        <v>10897</v>
      </c>
      <c r="H3943" s="1" t="s">
        <v>10898</v>
      </c>
      <c r="I3943" s="1" t="s">
        <v>69</v>
      </c>
      <c r="J3943" s="4" t="s">
        <v>10899</v>
      </c>
      <c r="K3943" s="1" t="s">
        <v>105</v>
      </c>
      <c r="L3943" s="1" t="s">
        <v>10900</v>
      </c>
      <c r="M3943" s="1" t="s">
        <v>27</v>
      </c>
      <c r="N3943" s="1" t="s">
        <v>10901</v>
      </c>
      <c r="O3943" s="1" t="s">
        <v>550</v>
      </c>
      <c r="P3943" s="1" t="s">
        <v>401</v>
      </c>
      <c r="Q3943" s="63" t="s">
        <v>10902</v>
      </c>
      <c r="R3943" s="11" t="s">
        <v>964</v>
      </c>
      <c r="S3943" s="13" t="s">
        <v>28</v>
      </c>
    </row>
    <row r="3944" spans="1:62" ht="12" customHeight="1" x14ac:dyDescent="0.15">
      <c r="A3944" s="1" t="s">
        <v>10903</v>
      </c>
      <c r="B3944" s="1">
        <v>41</v>
      </c>
      <c r="C3944" s="1" t="s">
        <v>20</v>
      </c>
      <c r="D3944" s="1" t="s">
        <v>37</v>
      </c>
      <c r="E3944" s="1" t="s">
        <v>10904</v>
      </c>
      <c r="F3944" s="72">
        <v>41723</v>
      </c>
      <c r="G3944" s="1" t="s">
        <v>10905</v>
      </c>
      <c r="H3944" s="1" t="s">
        <v>10906</v>
      </c>
      <c r="I3944" s="1" t="s">
        <v>303</v>
      </c>
      <c r="J3944" s="4" t="s">
        <v>10907</v>
      </c>
      <c r="K3944" s="1" t="s">
        <v>714</v>
      </c>
      <c r="L3944" s="1" t="s">
        <v>10908</v>
      </c>
      <c r="M3944" s="1" t="s">
        <v>27</v>
      </c>
      <c r="N3944" s="1" t="s">
        <v>10909</v>
      </c>
      <c r="O3944" s="1" t="s">
        <v>550</v>
      </c>
      <c r="P3944" s="1" t="s">
        <v>401</v>
      </c>
      <c r="Q3944" s="63" t="s">
        <v>10910</v>
      </c>
      <c r="R3944" s="11" t="s">
        <v>964</v>
      </c>
      <c r="S3944" s="13" t="s">
        <v>28</v>
      </c>
    </row>
    <row r="3945" spans="1:62" ht="12" customHeight="1" x14ac:dyDescent="0.15">
      <c r="A3945" s="1" t="s">
        <v>10870</v>
      </c>
      <c r="B3945" s="1">
        <v>27</v>
      </c>
      <c r="C3945" s="1" t="s">
        <v>20</v>
      </c>
      <c r="D3945" s="1" t="s">
        <v>85</v>
      </c>
      <c r="E3945" s="1" t="s">
        <v>10871</v>
      </c>
      <c r="F3945" s="72">
        <v>41723</v>
      </c>
      <c r="G3945" s="1" t="s">
        <v>10872</v>
      </c>
      <c r="H3945" s="1" t="s">
        <v>2487</v>
      </c>
      <c r="I3945" s="1" t="s">
        <v>395</v>
      </c>
      <c r="J3945" s="4" t="s">
        <v>10873</v>
      </c>
      <c r="K3945" s="1" t="s">
        <v>2487</v>
      </c>
      <c r="L3945" s="1" t="s">
        <v>3379</v>
      </c>
      <c r="M3945" s="1" t="s">
        <v>27</v>
      </c>
      <c r="N3945" s="1" t="s">
        <v>10874</v>
      </c>
      <c r="O3945" s="1" t="s">
        <v>550</v>
      </c>
      <c r="P3945" s="1" t="s">
        <v>401</v>
      </c>
      <c r="Q3945" s="63" t="s">
        <v>10875</v>
      </c>
      <c r="R3945" s="11" t="s">
        <v>964</v>
      </c>
      <c r="S3945" s="13" t="s">
        <v>18</v>
      </c>
      <c r="AX3945" s="11"/>
      <c r="AY3945" s="11"/>
      <c r="BC3945" s="11"/>
      <c r="BD3945" s="11"/>
      <c r="BE3945" s="11"/>
      <c r="BF3945" s="11"/>
      <c r="BG3945" s="11"/>
      <c r="BH3945" s="11"/>
      <c r="BI3945" s="11"/>
      <c r="BJ3945" s="11"/>
    </row>
    <row r="3946" spans="1:62" ht="12" customHeight="1" x14ac:dyDescent="0.15">
      <c r="A3946" s="1" t="s">
        <v>10882</v>
      </c>
      <c r="B3946" s="1">
        <v>20</v>
      </c>
      <c r="C3946" s="1" t="s">
        <v>20</v>
      </c>
      <c r="D3946" s="1" t="s">
        <v>85</v>
      </c>
      <c r="E3946" s="1" t="s">
        <v>10883</v>
      </c>
      <c r="F3946" s="72">
        <v>41723</v>
      </c>
      <c r="G3946" s="1" t="s">
        <v>10884</v>
      </c>
      <c r="H3946" s="1" t="s">
        <v>3897</v>
      </c>
      <c r="I3946" s="1" t="s">
        <v>366</v>
      </c>
      <c r="J3946" s="4" t="s">
        <v>10885</v>
      </c>
      <c r="K3946" s="1" t="s">
        <v>10886</v>
      </c>
      <c r="L3946" s="1" t="s">
        <v>10887</v>
      </c>
      <c r="M3946" s="1" t="s">
        <v>27</v>
      </c>
      <c r="N3946" s="1" t="s">
        <v>10888</v>
      </c>
      <c r="O3946" s="1" t="s">
        <v>400</v>
      </c>
      <c r="P3946" s="1" t="s">
        <v>401</v>
      </c>
      <c r="Q3946" s="63" t="s">
        <v>10889</v>
      </c>
      <c r="R3946" s="1" t="s">
        <v>100</v>
      </c>
      <c r="S3946" s="13" t="s">
        <v>28</v>
      </c>
      <c r="AX3946" s="11"/>
      <c r="AY3946" s="11"/>
      <c r="BC3946" s="11"/>
      <c r="BD3946" s="11"/>
      <c r="BE3946" s="11"/>
      <c r="BF3946" s="11"/>
      <c r="BG3946" s="11"/>
      <c r="BH3946" s="11"/>
      <c r="BI3946" s="11"/>
      <c r="BJ3946" s="11"/>
    </row>
    <row r="3947" spans="1:62" ht="12" customHeight="1" x14ac:dyDescent="0.15">
      <c r="A3947" s="1" t="s">
        <v>10876</v>
      </c>
      <c r="B3947" s="1" t="s">
        <v>10877</v>
      </c>
      <c r="C3947" s="1" t="s">
        <v>20</v>
      </c>
      <c r="D3947" s="1" t="s">
        <v>85</v>
      </c>
      <c r="E3947" s="1" t="s">
        <v>10878</v>
      </c>
      <c r="F3947" s="72">
        <v>41723</v>
      </c>
      <c r="G3947" s="1" t="s">
        <v>10879</v>
      </c>
      <c r="H3947" s="1" t="s">
        <v>922</v>
      </c>
      <c r="I3947" s="1" t="s">
        <v>195</v>
      </c>
      <c r="J3947" s="4" t="s">
        <v>10880</v>
      </c>
      <c r="K3947" s="1" t="s">
        <v>467</v>
      </c>
      <c r="L3947" s="1" t="s">
        <v>4961</v>
      </c>
      <c r="M3947" s="1" t="s">
        <v>27</v>
      </c>
      <c r="N3947" s="1" t="s">
        <v>10881</v>
      </c>
      <c r="O3947" s="1" t="s">
        <v>29</v>
      </c>
      <c r="P3947" s="1" t="s">
        <v>401</v>
      </c>
      <c r="Q3947" s="63" t="s">
        <v>10114</v>
      </c>
      <c r="R3947" s="1" t="s">
        <v>100</v>
      </c>
      <c r="S3947" s="13" t="s">
        <v>28</v>
      </c>
      <c r="AX3947" s="11"/>
      <c r="AY3947" s="11"/>
      <c r="BC3947" s="11"/>
      <c r="BD3947" s="11"/>
      <c r="BE3947" s="11"/>
      <c r="BF3947" s="11"/>
      <c r="BG3947" s="11"/>
      <c r="BH3947" s="11"/>
      <c r="BI3947" s="11"/>
      <c r="BJ3947" s="11"/>
    </row>
    <row r="3948" spans="1:62" ht="12" customHeight="1" x14ac:dyDescent="0.2">
      <c r="A3948" s="1" t="s">
        <v>10864</v>
      </c>
      <c r="B3948" s="1">
        <v>47</v>
      </c>
      <c r="C3948" s="1" t="s">
        <v>114</v>
      </c>
      <c r="D3948" s="1" t="s">
        <v>21</v>
      </c>
      <c r="E3948" s="1" t="s">
        <v>10865</v>
      </c>
      <c r="F3948" s="72">
        <v>41723</v>
      </c>
      <c r="G3948" s="1" t="s">
        <v>10866</v>
      </c>
      <c r="H3948" s="1" t="s">
        <v>6466</v>
      </c>
      <c r="I3948" s="1" t="s">
        <v>366</v>
      </c>
      <c r="J3948" s="4" t="s">
        <v>10722</v>
      </c>
      <c r="K3948" s="1" t="s">
        <v>647</v>
      </c>
      <c r="L3948" s="1" t="s">
        <v>10867</v>
      </c>
      <c r="M3948" s="1" t="s">
        <v>27</v>
      </c>
      <c r="N3948" s="1" t="s">
        <v>10868</v>
      </c>
      <c r="O3948" s="1" t="s">
        <v>550</v>
      </c>
      <c r="P3948" s="1" t="s">
        <v>401</v>
      </c>
      <c r="Q3948" s="63" t="s">
        <v>10869</v>
      </c>
      <c r="R3948" s="1" t="s">
        <v>29</v>
      </c>
      <c r="S3948" s="13" t="s">
        <v>28</v>
      </c>
      <c r="AX3948" s="70"/>
      <c r="AY3948" s="70"/>
      <c r="BC3948" s="70"/>
      <c r="BD3948" s="70"/>
      <c r="BE3948" s="70"/>
      <c r="BF3948" s="70"/>
      <c r="BG3948" s="70"/>
      <c r="BH3948" s="70"/>
      <c r="BI3948" s="70"/>
      <c r="BJ3948" s="70"/>
    </row>
    <row r="3949" spans="1:62" ht="12" customHeight="1" x14ac:dyDescent="0.15">
      <c r="A3949" s="1" t="s">
        <v>10890</v>
      </c>
      <c r="B3949" s="1">
        <v>42</v>
      </c>
      <c r="C3949" s="1" t="s">
        <v>20</v>
      </c>
      <c r="D3949" s="1" t="s">
        <v>37</v>
      </c>
      <c r="E3949" s="1" t="s">
        <v>10891</v>
      </c>
      <c r="F3949" s="72">
        <v>41723</v>
      </c>
      <c r="G3949" s="1" t="s">
        <v>10892</v>
      </c>
      <c r="H3949" s="1" t="s">
        <v>7299</v>
      </c>
      <c r="I3949" s="1" t="s">
        <v>73</v>
      </c>
      <c r="J3949" s="4">
        <v>76903</v>
      </c>
      <c r="K3949" s="1" t="s">
        <v>7301</v>
      </c>
      <c r="L3949" s="1" t="s">
        <v>7302</v>
      </c>
      <c r="M3949" s="1" t="s">
        <v>27</v>
      </c>
      <c r="N3949" s="1" t="s">
        <v>10893</v>
      </c>
      <c r="O3949" s="1" t="s">
        <v>29</v>
      </c>
      <c r="P3949" s="1" t="s">
        <v>401</v>
      </c>
      <c r="Q3949" s="63" t="s">
        <v>10894</v>
      </c>
      <c r="R3949" s="1" t="s">
        <v>555</v>
      </c>
      <c r="S3949" s="13" t="s">
        <v>28</v>
      </c>
      <c r="BA3949" s="44"/>
      <c r="BB3949" s="44"/>
    </row>
    <row r="3950" spans="1:62" ht="12" customHeight="1" x14ac:dyDescent="0.15">
      <c r="A3950" s="1" t="s">
        <v>10911</v>
      </c>
      <c r="B3950" s="1">
        <v>27</v>
      </c>
      <c r="C3950" s="1" t="s">
        <v>20</v>
      </c>
      <c r="D3950" s="1" t="s">
        <v>37</v>
      </c>
      <c r="E3950" s="1" t="s">
        <v>10912</v>
      </c>
      <c r="F3950" s="72">
        <v>41722</v>
      </c>
      <c r="G3950" s="1" t="s">
        <v>10913</v>
      </c>
      <c r="H3950" s="1" t="s">
        <v>98</v>
      </c>
      <c r="I3950" s="1" t="s">
        <v>45</v>
      </c>
      <c r="J3950" s="4" t="s">
        <v>10914</v>
      </c>
      <c r="K3950" s="1" t="s">
        <v>98</v>
      </c>
      <c r="L3950" s="1" t="s">
        <v>99</v>
      </c>
      <c r="M3950" s="1" t="s">
        <v>27</v>
      </c>
      <c r="N3950" s="1" t="s">
        <v>10915</v>
      </c>
      <c r="O3950" s="1" t="s">
        <v>1010</v>
      </c>
      <c r="P3950" s="1" t="s">
        <v>401</v>
      </c>
      <c r="Q3950" s="63" t="s">
        <v>10916</v>
      </c>
      <c r="R3950" s="1" t="s">
        <v>100</v>
      </c>
      <c r="S3950" s="13" t="s">
        <v>28</v>
      </c>
    </row>
    <row r="3951" spans="1:62" ht="12" customHeight="1" x14ac:dyDescent="0.15">
      <c r="A3951" s="1" t="s">
        <v>10917</v>
      </c>
      <c r="B3951" s="1">
        <v>25</v>
      </c>
      <c r="C3951" s="1" t="s">
        <v>20</v>
      </c>
      <c r="D3951" s="1" t="s">
        <v>85</v>
      </c>
      <c r="E3951" s="1" t="s">
        <v>10918</v>
      </c>
      <c r="F3951" s="72">
        <v>41721</v>
      </c>
      <c r="G3951" s="1" t="s">
        <v>10919</v>
      </c>
      <c r="H3951" s="1" t="s">
        <v>632</v>
      </c>
      <c r="I3951" s="1" t="s">
        <v>123</v>
      </c>
      <c r="J3951" s="4" t="s">
        <v>10920</v>
      </c>
      <c r="K3951" s="1" t="s">
        <v>633</v>
      </c>
      <c r="L3951" s="1" t="s">
        <v>634</v>
      </c>
      <c r="M3951" s="1" t="s">
        <v>27</v>
      </c>
      <c r="N3951" s="1" t="s">
        <v>10921</v>
      </c>
      <c r="O3951" s="1" t="s">
        <v>1010</v>
      </c>
      <c r="P3951" s="1" t="s">
        <v>401</v>
      </c>
      <c r="Q3951" s="63" t="s">
        <v>10922</v>
      </c>
      <c r="R3951" s="1" t="s">
        <v>29</v>
      </c>
      <c r="S3951" s="13" t="s">
        <v>18</v>
      </c>
      <c r="AX3951" s="11"/>
      <c r="AY3951" s="11"/>
      <c r="BC3951" s="11"/>
      <c r="BD3951" s="11"/>
      <c r="BE3951" s="11"/>
      <c r="BF3951" s="11"/>
      <c r="BG3951" s="11"/>
      <c r="BH3951" s="11"/>
      <c r="BI3951" s="11"/>
      <c r="BJ3951" s="11"/>
    </row>
    <row r="3952" spans="1:62" ht="12" customHeight="1" x14ac:dyDescent="0.15">
      <c r="A3952" s="1" t="s">
        <v>10923</v>
      </c>
      <c r="B3952" s="1">
        <v>73</v>
      </c>
      <c r="C3952" s="1" t="s">
        <v>20</v>
      </c>
      <c r="D3952" s="1" t="s">
        <v>37</v>
      </c>
      <c r="E3952" s="1" t="s">
        <v>10924</v>
      </c>
      <c r="F3952" s="72">
        <v>41721</v>
      </c>
      <c r="G3952" s="1" t="s">
        <v>10925</v>
      </c>
      <c r="H3952" s="1" t="s">
        <v>1094</v>
      </c>
      <c r="I3952" s="1" t="s">
        <v>395</v>
      </c>
      <c r="J3952" s="4" t="s">
        <v>4037</v>
      </c>
      <c r="K3952" s="1" t="s">
        <v>1095</v>
      </c>
      <c r="L3952" s="1" t="s">
        <v>1096</v>
      </c>
      <c r="M3952" s="1" t="s">
        <v>27</v>
      </c>
      <c r="N3952" s="1" t="s">
        <v>10926</v>
      </c>
      <c r="O3952" s="1" t="s">
        <v>1010</v>
      </c>
      <c r="P3952" s="1" t="s">
        <v>401</v>
      </c>
      <c r="Q3952" s="63" t="s">
        <v>10927</v>
      </c>
      <c r="R3952" s="1" t="s">
        <v>555</v>
      </c>
      <c r="S3952" s="13" t="s">
        <v>28</v>
      </c>
      <c r="BA3952" s="44"/>
      <c r="BB3952" s="44"/>
    </row>
    <row r="3953" spans="1:63" ht="12" customHeight="1" x14ac:dyDescent="0.15">
      <c r="A3953" s="1" t="s">
        <v>10935</v>
      </c>
      <c r="B3953" s="1">
        <v>25</v>
      </c>
      <c r="C3953" s="1" t="s">
        <v>20</v>
      </c>
      <c r="D3953" s="1" t="s">
        <v>37</v>
      </c>
      <c r="E3953" s="1" t="s">
        <v>10936</v>
      </c>
      <c r="F3953" s="72">
        <v>41720</v>
      </c>
      <c r="G3953" s="1" t="s">
        <v>10937</v>
      </c>
      <c r="H3953" s="1" t="s">
        <v>9942</v>
      </c>
      <c r="I3953" s="1" t="s">
        <v>303</v>
      </c>
      <c r="J3953" s="4" t="s">
        <v>9943</v>
      </c>
      <c r="K3953" s="1" t="s">
        <v>883</v>
      </c>
      <c r="L3953" s="1" t="s">
        <v>10938</v>
      </c>
      <c r="M3953" s="1" t="s">
        <v>27</v>
      </c>
      <c r="N3953" s="1" t="s">
        <v>10939</v>
      </c>
      <c r="O3953" s="1" t="s">
        <v>550</v>
      </c>
      <c r="P3953" s="1" t="s">
        <v>401</v>
      </c>
      <c r="Q3953" s="63" t="s">
        <v>10940</v>
      </c>
      <c r="R3953" s="11" t="s">
        <v>964</v>
      </c>
      <c r="S3953" s="13" t="s">
        <v>28</v>
      </c>
    </row>
    <row r="3954" spans="1:63" ht="12" customHeight="1" x14ac:dyDescent="0.15">
      <c r="A3954" s="1" t="s">
        <v>10928</v>
      </c>
      <c r="B3954" s="1">
        <v>18</v>
      </c>
      <c r="C3954" s="1" t="s">
        <v>20</v>
      </c>
      <c r="D3954" s="1" t="s">
        <v>85</v>
      </c>
      <c r="E3954" s="1" t="s">
        <v>10929</v>
      </c>
      <c r="F3954" s="72">
        <v>41720</v>
      </c>
      <c r="G3954" s="1" t="s">
        <v>10930</v>
      </c>
      <c r="H3954" s="1" t="s">
        <v>471</v>
      </c>
      <c r="I3954" s="1" t="s">
        <v>472</v>
      </c>
      <c r="J3954" s="4" t="s">
        <v>10931</v>
      </c>
      <c r="K3954" s="1" t="s">
        <v>471</v>
      </c>
      <c r="L3954" s="1" t="s">
        <v>10932</v>
      </c>
      <c r="M3954" s="1" t="s">
        <v>27</v>
      </c>
      <c r="N3954" s="1" t="s">
        <v>10933</v>
      </c>
      <c r="O3954" s="1" t="s">
        <v>1010</v>
      </c>
      <c r="P3954" s="1" t="s">
        <v>401</v>
      </c>
      <c r="Q3954" s="63" t="s">
        <v>10934</v>
      </c>
      <c r="R3954" s="1" t="s">
        <v>100</v>
      </c>
      <c r="S3954" s="13" t="s">
        <v>28</v>
      </c>
      <c r="AX3954" s="11"/>
      <c r="AY3954" s="11"/>
      <c r="BC3954" s="11"/>
      <c r="BD3954" s="11"/>
      <c r="BE3954" s="11"/>
      <c r="BF3954" s="11"/>
      <c r="BG3954" s="11"/>
      <c r="BH3954" s="11"/>
      <c r="BI3954" s="11"/>
      <c r="BJ3954" s="11"/>
    </row>
    <row r="3955" spans="1:63" ht="12" customHeight="1" x14ac:dyDescent="0.15">
      <c r="A3955" s="1" t="s">
        <v>10957</v>
      </c>
      <c r="B3955" s="1">
        <v>51</v>
      </c>
      <c r="C3955" s="1" t="s">
        <v>20</v>
      </c>
      <c r="D3955" s="1" t="s">
        <v>85</v>
      </c>
      <c r="E3955" s="1" t="s">
        <v>10958</v>
      </c>
      <c r="F3955" s="72">
        <v>41719</v>
      </c>
      <c r="G3955" s="1" t="s">
        <v>10959</v>
      </c>
      <c r="H3955" s="1" t="s">
        <v>2028</v>
      </c>
      <c r="I3955" s="1" t="s">
        <v>319</v>
      </c>
      <c r="J3955" s="4" t="s">
        <v>10960</v>
      </c>
      <c r="K3955" s="1" t="s">
        <v>879</v>
      </c>
      <c r="L3955" s="1" t="s">
        <v>880</v>
      </c>
      <c r="M3955" s="1" t="s">
        <v>27</v>
      </c>
      <c r="N3955" s="1" t="s">
        <v>10961</v>
      </c>
      <c r="O3955" s="1" t="s">
        <v>1010</v>
      </c>
      <c r="P3955" s="1" t="s">
        <v>401</v>
      </c>
      <c r="Q3955" s="6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3955" s="11" t="s">
        <v>964</v>
      </c>
      <c r="S3955" s="13" t="s">
        <v>28</v>
      </c>
      <c r="AX3955" s="11"/>
      <c r="AY3955" s="11"/>
      <c r="BC3955" s="11"/>
      <c r="BD3955" s="11"/>
      <c r="BE3955" s="11"/>
      <c r="BF3955" s="11"/>
      <c r="BG3955" s="11"/>
      <c r="BH3955" s="11"/>
      <c r="BI3955" s="11"/>
      <c r="BJ3955" s="11"/>
    </row>
    <row r="3956" spans="1:63" ht="12" customHeight="1" x14ac:dyDescent="0.2">
      <c r="A3956" s="1" t="s">
        <v>10967</v>
      </c>
      <c r="B3956" s="1">
        <v>44</v>
      </c>
      <c r="C3956" s="1" t="s">
        <v>20</v>
      </c>
      <c r="D3956" s="1" t="s">
        <v>37</v>
      </c>
      <c r="E3956" s="1" t="s">
        <v>10968</v>
      </c>
      <c r="F3956" s="72">
        <v>41719</v>
      </c>
      <c r="G3956" s="1" t="s">
        <v>10969</v>
      </c>
      <c r="H3956" s="1" t="s">
        <v>10970</v>
      </c>
      <c r="I3956" s="1" t="s">
        <v>73</v>
      </c>
      <c r="J3956" s="4" t="s">
        <v>10971</v>
      </c>
      <c r="K3956" s="1" t="s">
        <v>2583</v>
      </c>
      <c r="L3956" s="1" t="s">
        <v>10972</v>
      </c>
      <c r="M3956" s="1" t="s">
        <v>3154</v>
      </c>
      <c r="N3956" s="1" t="s">
        <v>10973</v>
      </c>
      <c r="O3956" s="1" t="s">
        <v>29</v>
      </c>
      <c r="P3956" s="1" t="s">
        <v>401</v>
      </c>
      <c r="Q3956" s="63" t="s">
        <v>10974</v>
      </c>
      <c r="R3956" s="11" t="s">
        <v>964</v>
      </c>
      <c r="S3956" s="13" t="s">
        <v>18</v>
      </c>
      <c r="AT3956" s="70"/>
      <c r="AU3956" s="70"/>
      <c r="AV3956" s="70"/>
      <c r="AW3956" s="44"/>
      <c r="AX3956" s="44"/>
      <c r="AY3956" s="44"/>
      <c r="BK3956" s="78"/>
    </row>
    <row r="3957" spans="1:63" ht="12" customHeight="1" x14ac:dyDescent="0.2">
      <c r="A3957" s="1" t="s">
        <v>10952</v>
      </c>
      <c r="B3957" s="1">
        <v>45</v>
      </c>
      <c r="C3957" s="1" t="s">
        <v>20</v>
      </c>
      <c r="D3957" s="1" t="s">
        <v>85</v>
      </c>
      <c r="E3957" s="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3957" s="72">
        <v>41719</v>
      </c>
      <c r="G3957" s="1" t="s">
        <v>10953</v>
      </c>
      <c r="H3957" s="1" t="s">
        <v>9244</v>
      </c>
      <c r="I3957" s="1" t="s">
        <v>423</v>
      </c>
      <c r="J3957" s="4" t="s">
        <v>10954</v>
      </c>
      <c r="K3957" s="1" t="s">
        <v>581</v>
      </c>
      <c r="L3957" s="1" t="s">
        <v>9246</v>
      </c>
      <c r="M3957" s="1" t="s">
        <v>9641</v>
      </c>
      <c r="N3957" s="1" t="s">
        <v>10955</v>
      </c>
      <c r="O3957" s="1" t="s">
        <v>400</v>
      </c>
      <c r="P3957" s="1" t="s">
        <v>401</v>
      </c>
      <c r="Q3957" s="63" t="s">
        <v>10956</v>
      </c>
      <c r="R3957" s="1" t="s">
        <v>100</v>
      </c>
      <c r="S3957" s="13" t="s">
        <v>28</v>
      </c>
      <c r="AT3957" s="70"/>
      <c r="AU3957" s="70"/>
      <c r="AW3957" s="44"/>
      <c r="AX3957" s="44"/>
      <c r="BB3957" s="11"/>
      <c r="BC3957" s="11"/>
      <c r="BD3957" s="11"/>
      <c r="BE3957" s="11"/>
      <c r="BF3957" s="11"/>
      <c r="BG3957" s="11"/>
      <c r="BH3957" s="11"/>
      <c r="BI3957" s="11"/>
      <c r="BJ3957" s="78"/>
      <c r="BK3957" s="78"/>
    </row>
    <row r="3958" spans="1:63" ht="12" customHeight="1" x14ac:dyDescent="0.15">
      <c r="A3958" s="1" t="s">
        <v>10947</v>
      </c>
      <c r="B3958" s="1">
        <v>21</v>
      </c>
      <c r="C3958" s="1" t="s">
        <v>20</v>
      </c>
      <c r="D3958" s="1" t="s">
        <v>85</v>
      </c>
      <c r="F3958" s="72">
        <v>41719</v>
      </c>
      <c r="G3958" s="1" t="s">
        <v>10948</v>
      </c>
      <c r="H3958" s="1" t="s">
        <v>651</v>
      </c>
      <c r="I3958" s="1" t="s">
        <v>62</v>
      </c>
      <c r="J3958" s="4" t="s">
        <v>10949</v>
      </c>
      <c r="K3958" s="1" t="s">
        <v>652</v>
      </c>
      <c r="L3958" s="11" t="s">
        <v>653</v>
      </c>
      <c r="M3958" s="1" t="s">
        <v>27</v>
      </c>
      <c r="N3958" s="1" t="s">
        <v>10950</v>
      </c>
      <c r="O3958" s="1" t="s">
        <v>400</v>
      </c>
      <c r="P3958" s="1" t="s">
        <v>401</v>
      </c>
      <c r="Q3958" s="63" t="s">
        <v>10951</v>
      </c>
      <c r="R3958" s="1" t="s">
        <v>100</v>
      </c>
      <c r="S3958" s="13" t="s">
        <v>28</v>
      </c>
      <c r="AX3958" s="11"/>
      <c r="AY3958" s="11"/>
      <c r="BC3958" s="11"/>
      <c r="BD3958" s="11"/>
      <c r="BE3958" s="11"/>
      <c r="BF3958" s="11"/>
      <c r="BG3958" s="11"/>
      <c r="BH3958" s="11"/>
      <c r="BI3958" s="11"/>
      <c r="BJ3958" s="11"/>
    </row>
    <row r="3959" spans="1:63" ht="12" customHeight="1" x14ac:dyDescent="0.15">
      <c r="A3959" s="1" t="s">
        <v>10941</v>
      </c>
      <c r="B3959" s="1">
        <v>29</v>
      </c>
      <c r="C3959" s="1" t="s">
        <v>20</v>
      </c>
      <c r="D3959" s="1" t="s">
        <v>85</v>
      </c>
      <c r="E3959" s="1" t="s">
        <v>10942</v>
      </c>
      <c r="F3959" s="72">
        <v>41719</v>
      </c>
      <c r="G3959" s="1" t="s">
        <v>10943</v>
      </c>
      <c r="H3959" s="1" t="s">
        <v>10944</v>
      </c>
      <c r="I3959" s="1" t="s">
        <v>52</v>
      </c>
      <c r="J3959" s="4" t="s">
        <v>10945</v>
      </c>
      <c r="K3959" s="1" t="s">
        <v>9724</v>
      </c>
      <c r="L3959" s="1" t="s">
        <v>695</v>
      </c>
      <c r="M3959" s="1" t="s">
        <v>27</v>
      </c>
      <c r="N3959" s="1" t="s">
        <v>21170</v>
      </c>
      <c r="O3959" s="1" t="s">
        <v>400</v>
      </c>
      <c r="P3959" s="1" t="s">
        <v>401</v>
      </c>
      <c r="Q3959" s="63" t="s">
        <v>10946</v>
      </c>
      <c r="R3959" s="1" t="s">
        <v>100</v>
      </c>
      <c r="S3959" s="13" t="s">
        <v>379</v>
      </c>
      <c r="AX3959" s="11"/>
      <c r="AY3959" s="11"/>
      <c r="BC3959" s="11"/>
      <c r="BD3959" s="11"/>
      <c r="BE3959" s="11"/>
      <c r="BF3959" s="11"/>
      <c r="BG3959" s="11"/>
      <c r="BH3959" s="11"/>
      <c r="BI3959" s="11"/>
      <c r="BJ3959" s="11"/>
    </row>
    <row r="3960" spans="1:63" ht="12" customHeight="1" x14ac:dyDescent="0.15">
      <c r="A3960" s="1" t="s">
        <v>10962</v>
      </c>
      <c r="B3960" s="1">
        <v>28</v>
      </c>
      <c r="C3960" s="1" t="s">
        <v>20</v>
      </c>
      <c r="D3960" s="1" t="s">
        <v>48</v>
      </c>
      <c r="E3960" s="1" t="s">
        <v>10963</v>
      </c>
      <c r="F3960" s="72">
        <v>41719</v>
      </c>
      <c r="G3960" s="1" t="s">
        <v>10964</v>
      </c>
      <c r="H3960" s="1" t="s">
        <v>945</v>
      </c>
      <c r="I3960" s="1" t="s">
        <v>45</v>
      </c>
      <c r="J3960" s="4" t="s">
        <v>4009</v>
      </c>
      <c r="K3960" s="1" t="s">
        <v>945</v>
      </c>
      <c r="L3960" s="1" t="s">
        <v>946</v>
      </c>
      <c r="M3960" s="1" t="s">
        <v>27</v>
      </c>
      <c r="N3960" s="1" t="s">
        <v>10965</v>
      </c>
      <c r="O3960" s="1" t="s">
        <v>1010</v>
      </c>
      <c r="P3960" s="1" t="s">
        <v>401</v>
      </c>
      <c r="Q3960" s="63" t="s">
        <v>10966</v>
      </c>
      <c r="R3960" s="1" t="s">
        <v>555</v>
      </c>
      <c r="S3960" s="13" t="s">
        <v>28</v>
      </c>
      <c r="BA3960" s="44"/>
      <c r="BB3960" s="44"/>
    </row>
    <row r="3961" spans="1:63" ht="12" customHeight="1" x14ac:dyDescent="0.15">
      <c r="A3961" s="1" t="s">
        <v>10975</v>
      </c>
      <c r="B3961" s="1">
        <v>74</v>
      </c>
      <c r="C3961" s="1" t="s">
        <v>20</v>
      </c>
      <c r="D3961" s="1" t="s">
        <v>37</v>
      </c>
      <c r="E3961" s="1" t="s">
        <v>10976</v>
      </c>
      <c r="F3961" s="72">
        <v>41719</v>
      </c>
      <c r="G3961" s="1" t="s">
        <v>10977</v>
      </c>
      <c r="H3961" s="1" t="s">
        <v>98</v>
      </c>
      <c r="I3961" s="1" t="s">
        <v>45</v>
      </c>
      <c r="J3961" s="4">
        <v>91356</v>
      </c>
      <c r="K3961" s="1" t="s">
        <v>98</v>
      </c>
      <c r="L3961" s="11" t="s">
        <v>414</v>
      </c>
      <c r="M3961" s="1" t="s">
        <v>27</v>
      </c>
      <c r="N3961" s="1" t="s">
        <v>10978</v>
      </c>
      <c r="P3961" s="1" t="s">
        <v>401</v>
      </c>
      <c r="Q3961" s="63" t="s">
        <v>10979</v>
      </c>
      <c r="R3961" s="1" t="s">
        <v>29</v>
      </c>
      <c r="S3961" s="13" t="s">
        <v>28</v>
      </c>
    </row>
    <row r="3962" spans="1:63" ht="12" customHeight="1" x14ac:dyDescent="0.15">
      <c r="A3962" s="1" t="s">
        <v>10997</v>
      </c>
      <c r="B3962" s="1">
        <v>30</v>
      </c>
      <c r="C3962" s="1" t="s">
        <v>20</v>
      </c>
      <c r="D3962" s="1" t="s">
        <v>37</v>
      </c>
      <c r="E3962" s="1" t="s">
        <v>10998</v>
      </c>
      <c r="F3962" s="72">
        <v>41718</v>
      </c>
      <c r="G3962" s="1" t="s">
        <v>10999</v>
      </c>
      <c r="H3962" s="1" t="s">
        <v>1627</v>
      </c>
      <c r="I3962" s="1" t="s">
        <v>463</v>
      </c>
      <c r="J3962" s="4" t="s">
        <v>4102</v>
      </c>
      <c r="K3962" s="1" t="s">
        <v>938</v>
      </c>
      <c r="L3962" s="1" t="s">
        <v>2253</v>
      </c>
      <c r="M3962" s="1" t="s">
        <v>27</v>
      </c>
      <c r="N3962" s="1" t="s">
        <v>11000</v>
      </c>
      <c r="O3962" s="1" t="s">
        <v>550</v>
      </c>
      <c r="P3962" s="1" t="s">
        <v>401</v>
      </c>
      <c r="Q3962" s="63" t="str">
        <f>HYPERLINK("http://www.ketv.com/news/police-id-man-killed-in-officer-involved-shooting/25060968#!bIoKti","http://www.ketv.com/news/police-id-man-killed-in-officer-involved-shooting/25060968#!bIoKti")</f>
        <v>http://www.ketv.com/news/police-id-man-killed-in-officer-involved-shooting/25060968#!bIoKti</v>
      </c>
      <c r="R3962" s="11" t="s">
        <v>964</v>
      </c>
      <c r="S3962" s="13" t="s">
        <v>28</v>
      </c>
    </row>
    <row r="3963" spans="1:63" ht="12" customHeight="1" x14ac:dyDescent="0.15">
      <c r="A3963" s="1" t="s">
        <v>10993</v>
      </c>
      <c r="B3963" s="1">
        <v>21</v>
      </c>
      <c r="C3963" s="1" t="s">
        <v>20</v>
      </c>
      <c r="D3963" s="1" t="s">
        <v>37</v>
      </c>
      <c r="E3963" s="1" t="s">
        <v>10994</v>
      </c>
      <c r="F3963" s="72">
        <v>41718</v>
      </c>
      <c r="G3963" s="1" t="s">
        <v>10995</v>
      </c>
      <c r="H3963" s="1" t="s">
        <v>1879</v>
      </c>
      <c r="I3963" s="1" t="s">
        <v>45</v>
      </c>
      <c r="J3963" s="4" t="s">
        <v>1880</v>
      </c>
      <c r="K3963" s="1" t="s">
        <v>1061</v>
      </c>
      <c r="L3963" s="1" t="s">
        <v>1881</v>
      </c>
      <c r="M3963" s="1" t="s">
        <v>27</v>
      </c>
      <c r="N3963" s="1" t="s">
        <v>10996</v>
      </c>
      <c r="O3963" s="1" t="s">
        <v>550</v>
      </c>
      <c r="P3963" s="1" t="s">
        <v>401</v>
      </c>
      <c r="Q3963" s="63" t="str">
        <f>HYPERLINK("http://blogs.ocweekly.com/navelgazing/2014/03/police_shooting_in_anaheim_lea.php?page=2","http://blogs.ocweekly.com/navelgazing/2014/03/police_shooting_in_anaheim_lea.php?page=2")</f>
        <v>http://blogs.ocweekly.com/navelgazing/2014/03/police_shooting_in_anaheim_lea.php?page=2</v>
      </c>
      <c r="R3963" s="1" t="s">
        <v>100</v>
      </c>
      <c r="S3963" s="13" t="s">
        <v>28</v>
      </c>
    </row>
    <row r="3964" spans="1:63" ht="12" customHeight="1" x14ac:dyDescent="0.15">
      <c r="A3964" s="1" t="s">
        <v>10980</v>
      </c>
      <c r="B3964" s="1">
        <v>42</v>
      </c>
      <c r="C3964" s="1" t="s">
        <v>20</v>
      </c>
      <c r="D3964" s="1" t="s">
        <v>48</v>
      </c>
      <c r="E3964" s="1" t="s">
        <v>10981</v>
      </c>
      <c r="F3964" s="72">
        <v>41718</v>
      </c>
      <c r="G3964" s="1" t="s">
        <v>10982</v>
      </c>
      <c r="H3964" s="1" t="s">
        <v>6345</v>
      </c>
      <c r="I3964" s="1" t="s">
        <v>45</v>
      </c>
      <c r="J3964" s="4" t="s">
        <v>6346</v>
      </c>
      <c r="K3964" s="1" t="s">
        <v>65</v>
      </c>
      <c r="L3964" s="1" t="s">
        <v>6347</v>
      </c>
      <c r="M3964" s="1" t="s">
        <v>27</v>
      </c>
      <c r="N3964" s="1" t="s">
        <v>10983</v>
      </c>
      <c r="O3964" s="1" t="s">
        <v>550</v>
      </c>
      <c r="P3964" s="1" t="s">
        <v>401</v>
      </c>
      <c r="Q3964" s="63" t="s">
        <v>10984</v>
      </c>
      <c r="R3964" s="1" t="s">
        <v>29</v>
      </c>
      <c r="S3964" s="13" t="s">
        <v>28</v>
      </c>
    </row>
    <row r="3965" spans="1:63" ht="12" customHeight="1" x14ac:dyDescent="0.15">
      <c r="A3965" s="1" t="s">
        <v>10985</v>
      </c>
      <c r="B3965" s="1">
        <v>40</v>
      </c>
      <c r="C3965" s="1" t="s">
        <v>20</v>
      </c>
      <c r="D3965" s="1" t="s">
        <v>48</v>
      </c>
      <c r="E3965" s="1" t="s">
        <v>10986</v>
      </c>
      <c r="F3965" s="72">
        <v>41718</v>
      </c>
      <c r="G3965" s="1" t="s">
        <v>10987</v>
      </c>
      <c r="H3965" s="1" t="s">
        <v>10988</v>
      </c>
      <c r="I3965" s="1" t="s">
        <v>45</v>
      </c>
      <c r="J3965" s="4" t="s">
        <v>10989</v>
      </c>
      <c r="K3965" s="1" t="s">
        <v>65</v>
      </c>
      <c r="L3965" s="1" t="s">
        <v>10990</v>
      </c>
      <c r="M3965" s="1" t="s">
        <v>27</v>
      </c>
      <c r="N3965" s="1" t="s">
        <v>10991</v>
      </c>
      <c r="O3965" s="1" t="s">
        <v>1010</v>
      </c>
      <c r="P3965" s="1" t="s">
        <v>401</v>
      </c>
      <c r="Q3965" s="63" t="s">
        <v>10992</v>
      </c>
      <c r="R3965" s="1" t="s">
        <v>29</v>
      </c>
      <c r="S3965" s="13" t="s">
        <v>35</v>
      </c>
      <c r="BK3965" s="11"/>
    </row>
    <row r="3966" spans="1:63" ht="12" customHeight="1" x14ac:dyDescent="0.15">
      <c r="A3966" s="1" t="s">
        <v>11009</v>
      </c>
      <c r="B3966" s="1">
        <v>50</v>
      </c>
      <c r="C3966" s="1" t="s">
        <v>20</v>
      </c>
      <c r="D3966" s="1" t="s">
        <v>37</v>
      </c>
      <c r="E3966" s="1" t="s">
        <v>11010</v>
      </c>
      <c r="F3966" s="72">
        <v>41717</v>
      </c>
      <c r="G3966" s="1" t="s">
        <v>11011</v>
      </c>
      <c r="H3966" s="1" t="s">
        <v>3823</v>
      </c>
      <c r="I3966" s="1" t="s">
        <v>209</v>
      </c>
      <c r="J3966" s="4" t="s">
        <v>11012</v>
      </c>
      <c r="K3966" s="1" t="s">
        <v>1924</v>
      </c>
      <c r="L3966" s="1" t="s">
        <v>3826</v>
      </c>
      <c r="M3966" s="1" t="s">
        <v>27</v>
      </c>
      <c r="N3966" s="1" t="s">
        <v>11013</v>
      </c>
      <c r="O3966" s="1" t="s">
        <v>550</v>
      </c>
      <c r="P3966" s="1" t="s">
        <v>401</v>
      </c>
      <c r="Q3966" s="63" t="s">
        <v>11014</v>
      </c>
      <c r="R3966" s="11" t="s">
        <v>964</v>
      </c>
      <c r="S3966" s="13" t="s">
        <v>28</v>
      </c>
    </row>
    <row r="3967" spans="1:63" ht="12" customHeight="1" x14ac:dyDescent="0.2">
      <c r="A3967" s="1" t="s">
        <v>11001</v>
      </c>
      <c r="B3967" s="1">
        <v>34</v>
      </c>
      <c r="C3967" s="1" t="s">
        <v>20</v>
      </c>
      <c r="D3967" s="1" t="s">
        <v>21</v>
      </c>
      <c r="E3967" s="1" t="s">
        <v>11002</v>
      </c>
      <c r="F3967" s="72">
        <v>41717</v>
      </c>
      <c r="G3967" s="1" t="s">
        <v>11003</v>
      </c>
      <c r="H3967" s="1" t="s">
        <v>11004</v>
      </c>
      <c r="I3967" s="1" t="s">
        <v>45</v>
      </c>
      <c r="J3967" s="4" t="s">
        <v>11005</v>
      </c>
      <c r="K3967" s="1" t="s">
        <v>4631</v>
      </c>
      <c r="L3967" s="1" t="s">
        <v>11006</v>
      </c>
      <c r="M3967" s="1" t="s">
        <v>27</v>
      </c>
      <c r="N3967" s="1" t="s">
        <v>11007</v>
      </c>
      <c r="O3967" s="1" t="s">
        <v>550</v>
      </c>
      <c r="P3967" s="1" t="s">
        <v>401</v>
      </c>
      <c r="Q3967" s="63" t="s">
        <v>11008</v>
      </c>
      <c r="R3967" s="1" t="s">
        <v>555</v>
      </c>
      <c r="S3967" s="13" t="s">
        <v>28</v>
      </c>
      <c r="AX3967" s="70"/>
      <c r="AY3967" s="70"/>
      <c r="BC3967" s="70"/>
      <c r="BD3967" s="70"/>
      <c r="BE3967" s="70"/>
      <c r="BF3967" s="70"/>
      <c r="BG3967" s="70"/>
      <c r="BH3967" s="70"/>
      <c r="BI3967" s="70"/>
      <c r="BJ3967" s="70"/>
    </row>
    <row r="3968" spans="1:63" ht="12" customHeight="1" x14ac:dyDescent="0.15">
      <c r="A3968" s="1" t="s">
        <v>11015</v>
      </c>
      <c r="B3968" s="1">
        <v>19</v>
      </c>
      <c r="C3968" s="1" t="s">
        <v>20</v>
      </c>
      <c r="D3968" s="1" t="s">
        <v>85</v>
      </c>
      <c r="F3968" s="72">
        <v>41716</v>
      </c>
      <c r="G3968" s="1" t="s">
        <v>11016</v>
      </c>
      <c r="H3968" s="1" t="s">
        <v>118</v>
      </c>
      <c r="I3968" s="1" t="s">
        <v>3664</v>
      </c>
      <c r="J3968" s="4" t="s">
        <v>11017</v>
      </c>
      <c r="K3968" s="1" t="s">
        <v>3666</v>
      </c>
      <c r="L3968" s="1" t="s">
        <v>11018</v>
      </c>
      <c r="M3968" s="1" t="s">
        <v>27</v>
      </c>
      <c r="N3968" s="1" t="s">
        <v>11019</v>
      </c>
      <c r="O3968" s="1" t="s">
        <v>1010</v>
      </c>
      <c r="P3968" s="1" t="s">
        <v>401</v>
      </c>
      <c r="Q3968" s="6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3968" s="1" t="s">
        <v>100</v>
      </c>
      <c r="S3968" s="13" t="s">
        <v>28</v>
      </c>
      <c r="AX3968" s="11"/>
      <c r="AY3968" s="11"/>
      <c r="BC3968" s="11"/>
      <c r="BD3968" s="11"/>
      <c r="BE3968" s="11"/>
      <c r="BF3968" s="11"/>
      <c r="BG3968" s="11"/>
      <c r="BH3968" s="11"/>
      <c r="BI3968" s="11"/>
      <c r="BJ3968" s="11"/>
    </row>
    <row r="3969" spans="1:62" ht="12" customHeight="1" x14ac:dyDescent="0.15">
      <c r="A3969" s="1" t="s">
        <v>11020</v>
      </c>
      <c r="B3969" s="1">
        <v>32</v>
      </c>
      <c r="C3969" s="1" t="s">
        <v>20</v>
      </c>
      <c r="D3969" s="1" t="s">
        <v>85</v>
      </c>
      <c r="E3969" s="1" t="s">
        <v>11021</v>
      </c>
      <c r="F3969" s="72">
        <v>41716</v>
      </c>
      <c r="G3969" s="1" t="s">
        <v>11022</v>
      </c>
      <c r="H3969" s="1" t="s">
        <v>3897</v>
      </c>
      <c r="I3969" s="1" t="s">
        <v>52</v>
      </c>
      <c r="J3969" s="4" t="s">
        <v>3898</v>
      </c>
      <c r="K3969" s="1" t="s">
        <v>3899</v>
      </c>
      <c r="L3969" s="1" t="s">
        <v>695</v>
      </c>
      <c r="M3969" s="1" t="s">
        <v>27</v>
      </c>
      <c r="N3969" s="1" t="s">
        <v>11023</v>
      </c>
      <c r="O3969" s="1" t="s">
        <v>1010</v>
      </c>
      <c r="P3969" s="1" t="s">
        <v>401</v>
      </c>
      <c r="Q3969" s="63" t="s">
        <v>11024</v>
      </c>
      <c r="R3969" s="1" t="s">
        <v>100</v>
      </c>
      <c r="S3969" s="13" t="s">
        <v>28</v>
      </c>
      <c r="AX3969" s="11"/>
      <c r="AY3969" s="11"/>
      <c r="BC3969" s="11"/>
      <c r="BD3969" s="11"/>
      <c r="BE3969" s="11"/>
      <c r="BF3969" s="11"/>
      <c r="BG3969" s="11"/>
      <c r="BH3969" s="11"/>
      <c r="BI3969" s="11"/>
      <c r="BJ3969" s="11"/>
    </row>
    <row r="3970" spans="1:62" ht="12" customHeight="1" x14ac:dyDescent="0.15">
      <c r="A3970" s="1" t="s">
        <v>11031</v>
      </c>
      <c r="B3970" s="1">
        <v>26</v>
      </c>
      <c r="C3970" s="1" t="s">
        <v>20</v>
      </c>
      <c r="D3970" s="1" t="s">
        <v>37</v>
      </c>
      <c r="E3970" s="1" t="s">
        <v>11032</v>
      </c>
      <c r="F3970" s="72">
        <v>41716</v>
      </c>
      <c r="G3970" s="1" t="s">
        <v>11033</v>
      </c>
      <c r="H3970" s="1" t="s">
        <v>632</v>
      </c>
      <c r="I3970" s="1" t="s">
        <v>123</v>
      </c>
      <c r="J3970" s="4" t="s">
        <v>11034</v>
      </c>
      <c r="K3970" s="1" t="s">
        <v>633</v>
      </c>
      <c r="L3970" s="1" t="s">
        <v>634</v>
      </c>
      <c r="M3970" s="1" t="s">
        <v>27</v>
      </c>
      <c r="N3970" s="1" t="s">
        <v>21003</v>
      </c>
      <c r="O3970" s="1" t="s">
        <v>550</v>
      </c>
      <c r="P3970" s="1" t="s">
        <v>401</v>
      </c>
      <c r="Q3970" s="63" t="s">
        <v>21014</v>
      </c>
      <c r="R3970" s="1" t="s">
        <v>100</v>
      </c>
      <c r="S3970" s="13" t="s">
        <v>18</v>
      </c>
    </row>
    <row r="3971" spans="1:62" ht="12" customHeight="1" x14ac:dyDescent="0.15">
      <c r="A3971" s="1" t="s">
        <v>11025</v>
      </c>
      <c r="B3971" s="1">
        <v>21</v>
      </c>
      <c r="C3971" s="1" t="s">
        <v>20</v>
      </c>
      <c r="D3971" s="1" t="s">
        <v>37</v>
      </c>
      <c r="E3971" s="1" t="str">
        <f>HYPERLINK("http://www.peacefulalternatives.com/fh/obituaries/obituary.cfm?o_id=2458194&amp;fh_id=14153","http://www.peacefulalternatives.com/fh/obituaries/obituary.cfm?o_id=2458194&amp;fh_id=14153")</f>
        <v>http://www.peacefulalternatives.com/fh/obituaries/obituary.cfm?o_id=2458194&amp;fh_id=14153</v>
      </c>
      <c r="F3971" s="72">
        <v>41716</v>
      </c>
      <c r="G3971" s="1" t="s">
        <v>11026</v>
      </c>
      <c r="H3971" s="1" t="s">
        <v>11027</v>
      </c>
      <c r="I3971" s="1" t="s">
        <v>52</v>
      </c>
      <c r="J3971" s="4" t="s">
        <v>11028</v>
      </c>
      <c r="K3971" s="1" t="s">
        <v>1592</v>
      </c>
      <c r="L3971" s="1" t="s">
        <v>231</v>
      </c>
      <c r="M3971" s="1" t="s">
        <v>27</v>
      </c>
      <c r="N3971" s="1" t="s">
        <v>11029</v>
      </c>
      <c r="O3971" s="1" t="s">
        <v>1010</v>
      </c>
      <c r="P3971" s="1" t="s">
        <v>401</v>
      </c>
      <c r="Q3971" s="63" t="s">
        <v>11030</v>
      </c>
      <c r="R3971" s="1" t="s">
        <v>29</v>
      </c>
      <c r="S3971" s="13" t="s">
        <v>28</v>
      </c>
    </row>
    <row r="3972" spans="1:62" ht="12" customHeight="1" x14ac:dyDescent="0.15">
      <c r="A3972" s="1" t="s">
        <v>11045</v>
      </c>
      <c r="B3972" s="1">
        <v>29</v>
      </c>
      <c r="C3972" s="1" t="s">
        <v>20</v>
      </c>
      <c r="D3972" s="1" t="s">
        <v>37</v>
      </c>
      <c r="F3972" s="72">
        <v>41715</v>
      </c>
      <c r="G3972" s="1" t="s">
        <v>11046</v>
      </c>
      <c r="H3972" s="1" t="s">
        <v>9625</v>
      </c>
      <c r="I3972" s="1" t="s">
        <v>423</v>
      </c>
      <c r="J3972" s="4" t="s">
        <v>9626</v>
      </c>
      <c r="K3972" s="1" t="s">
        <v>2463</v>
      </c>
      <c r="L3972" s="1" t="s">
        <v>11047</v>
      </c>
      <c r="M3972" s="1" t="s">
        <v>27</v>
      </c>
      <c r="N3972" s="1" t="s">
        <v>11048</v>
      </c>
      <c r="O3972" s="1" t="s">
        <v>1010</v>
      </c>
      <c r="P3972" s="1" t="s">
        <v>401</v>
      </c>
      <c r="Q3972" s="63" t="s">
        <v>11049</v>
      </c>
      <c r="R3972" s="11" t="s">
        <v>964</v>
      </c>
      <c r="S3972" s="13" t="s">
        <v>28</v>
      </c>
    </row>
    <row r="3973" spans="1:62" ht="12" customHeight="1" x14ac:dyDescent="0.15">
      <c r="A3973" s="1" t="s">
        <v>11040</v>
      </c>
      <c r="B3973" s="1">
        <v>52</v>
      </c>
      <c r="C3973" s="1" t="s">
        <v>20</v>
      </c>
      <c r="D3973" s="1" t="s">
        <v>30</v>
      </c>
      <c r="F3973" s="72">
        <v>41715</v>
      </c>
      <c r="G3973" s="1" t="s">
        <v>11041</v>
      </c>
      <c r="H3973" s="1" t="s">
        <v>9361</v>
      </c>
      <c r="I3973" s="1" t="s">
        <v>173</v>
      </c>
      <c r="J3973" s="4" t="s">
        <v>11042</v>
      </c>
      <c r="K3973" s="1" t="s">
        <v>9363</v>
      </c>
      <c r="L3973" s="1" t="s">
        <v>11043</v>
      </c>
      <c r="M3973" s="1" t="s">
        <v>27</v>
      </c>
      <c r="N3973" s="1" t="s">
        <v>11044</v>
      </c>
      <c r="O3973" s="1" t="s">
        <v>550</v>
      </c>
      <c r="P3973" s="1" t="s">
        <v>401</v>
      </c>
      <c r="Q3973" s="63" t="str">
        <f>HYPERLINK("http://www.ajc.com/news/news/local/man-shot-and-killed-by-forsyth-county-deputies/nfFC8/","http://www.ajc.com/news/news/local/man-shot-and-killed-by-forsyth-county-deputies/nfFC8/")</f>
        <v>http://www.ajc.com/news/news/local/man-shot-and-killed-by-forsyth-county-deputies/nfFC8/</v>
      </c>
      <c r="R3973" s="1" t="s">
        <v>100</v>
      </c>
      <c r="S3973" s="13" t="s">
        <v>28</v>
      </c>
    </row>
    <row r="3974" spans="1:62" ht="12" customHeight="1" x14ac:dyDescent="0.15">
      <c r="A3974" s="1" t="s">
        <v>11035</v>
      </c>
      <c r="B3974" s="1">
        <v>26</v>
      </c>
      <c r="C3974" s="1" t="s">
        <v>20</v>
      </c>
      <c r="D3974" s="1" t="s">
        <v>85</v>
      </c>
      <c r="E3974" s="1" t="s">
        <v>11036</v>
      </c>
      <c r="F3974" s="72">
        <v>41715</v>
      </c>
      <c r="G3974" s="1" t="s">
        <v>11037</v>
      </c>
      <c r="H3974" s="1" t="s">
        <v>723</v>
      </c>
      <c r="I3974" s="1" t="s">
        <v>73</v>
      </c>
      <c r="J3974" s="4" t="s">
        <v>6834</v>
      </c>
      <c r="K3974" s="1" t="s">
        <v>558</v>
      </c>
      <c r="L3974" s="1" t="s">
        <v>724</v>
      </c>
      <c r="M3974" s="1" t="s">
        <v>27</v>
      </c>
      <c r="N3974" s="1" t="s">
        <v>11038</v>
      </c>
      <c r="O3974" s="1" t="s">
        <v>1010</v>
      </c>
      <c r="P3974" s="1" t="s">
        <v>401</v>
      </c>
      <c r="Q3974" s="63" t="s">
        <v>11039</v>
      </c>
      <c r="R3974" s="1" t="s">
        <v>555</v>
      </c>
      <c r="S3974" s="13" t="s">
        <v>18</v>
      </c>
      <c r="AX3974" s="11"/>
      <c r="AY3974" s="11"/>
      <c r="BC3974" s="11"/>
      <c r="BD3974" s="11"/>
      <c r="BE3974" s="11"/>
      <c r="BF3974" s="11"/>
      <c r="BG3974" s="11"/>
      <c r="BH3974" s="11"/>
      <c r="BI3974" s="11"/>
      <c r="BJ3974" s="11"/>
    </row>
    <row r="3975" spans="1:62" ht="12" customHeight="1" x14ac:dyDescent="0.2">
      <c r="A3975" s="1" t="s">
        <v>11050</v>
      </c>
      <c r="B3975" s="1">
        <v>51</v>
      </c>
      <c r="C3975" s="1" t="s">
        <v>20</v>
      </c>
      <c r="D3975" s="1" t="s">
        <v>21</v>
      </c>
      <c r="E3975" s="1" t="s">
        <v>11051</v>
      </c>
      <c r="F3975" s="72">
        <v>41714</v>
      </c>
      <c r="G3975" s="1" t="s">
        <v>11052</v>
      </c>
      <c r="H3975" s="1" t="s">
        <v>1818</v>
      </c>
      <c r="I3975" s="1" t="s">
        <v>62</v>
      </c>
      <c r="J3975" s="4" t="s">
        <v>4383</v>
      </c>
      <c r="K3975" s="1" t="s">
        <v>1123</v>
      </c>
      <c r="L3975" s="1" t="s">
        <v>4384</v>
      </c>
      <c r="M3975" s="1" t="s">
        <v>27</v>
      </c>
      <c r="N3975" s="1" t="s">
        <v>11053</v>
      </c>
      <c r="O3975" s="1" t="s">
        <v>1010</v>
      </c>
      <c r="P3975" s="1" t="s">
        <v>401</v>
      </c>
      <c r="Q3975" s="63" t="s">
        <v>11054</v>
      </c>
      <c r="R3975" s="1" t="s">
        <v>100</v>
      </c>
      <c r="S3975" s="13" t="s">
        <v>28</v>
      </c>
      <c r="AX3975" s="70"/>
      <c r="AY3975" s="70"/>
      <c r="BC3975" s="70"/>
      <c r="BD3975" s="70"/>
      <c r="BE3975" s="70"/>
      <c r="BF3975" s="70"/>
      <c r="BG3975" s="70"/>
      <c r="BH3975" s="70"/>
      <c r="BI3975" s="70"/>
      <c r="BJ3975" s="70"/>
    </row>
    <row r="3976" spans="1:62" ht="12" customHeight="1" x14ac:dyDescent="0.15">
      <c r="A3976" s="1" t="s">
        <v>11073</v>
      </c>
      <c r="B3976" s="1">
        <v>28</v>
      </c>
      <c r="C3976" s="1" t="s">
        <v>20</v>
      </c>
      <c r="D3976" s="1" t="s">
        <v>37</v>
      </c>
      <c r="E3976" s="1" t="s">
        <v>11074</v>
      </c>
      <c r="F3976" s="72">
        <v>41714</v>
      </c>
      <c r="G3976" s="1" t="s">
        <v>11075</v>
      </c>
      <c r="H3976" s="1" t="s">
        <v>1007</v>
      </c>
      <c r="I3976" s="1" t="s">
        <v>69</v>
      </c>
      <c r="J3976" s="4" t="s">
        <v>11076</v>
      </c>
      <c r="K3976" s="1" t="s">
        <v>2589</v>
      </c>
      <c r="L3976" s="1" t="s">
        <v>11077</v>
      </c>
      <c r="M3976" s="1" t="s">
        <v>27</v>
      </c>
      <c r="N3976" s="1" t="s">
        <v>11078</v>
      </c>
      <c r="O3976" s="1" t="s">
        <v>400</v>
      </c>
      <c r="P3976" s="1" t="s">
        <v>401</v>
      </c>
      <c r="Q3976" s="63" t="s">
        <v>11079</v>
      </c>
      <c r="R3976" s="1" t="s">
        <v>100</v>
      </c>
      <c r="S3976" s="13" t="s">
        <v>18</v>
      </c>
    </row>
    <row r="3977" spans="1:62" ht="12" customHeight="1" x14ac:dyDescent="0.2">
      <c r="A3977" s="66" t="s">
        <v>30690</v>
      </c>
      <c r="B3977" s="66">
        <v>22</v>
      </c>
      <c r="C3977" s="66" t="s">
        <v>20</v>
      </c>
      <c r="D3977" s="66" t="s">
        <v>85</v>
      </c>
      <c r="E3977" s="66" t="s">
        <v>30691</v>
      </c>
      <c r="F3977" s="69">
        <v>41714</v>
      </c>
      <c r="G3977" s="66" t="s">
        <v>30692</v>
      </c>
      <c r="H3977" s="66" t="s">
        <v>16060</v>
      </c>
      <c r="I3977" s="66" t="s">
        <v>438</v>
      </c>
      <c r="J3977" s="66" t="s">
        <v>16061</v>
      </c>
      <c r="K3977" s="66" t="s">
        <v>16062</v>
      </c>
      <c r="L3977" s="66" t="s">
        <v>16063</v>
      </c>
      <c r="M3977" s="66" t="s">
        <v>379</v>
      </c>
      <c r="N3977" s="66" t="s">
        <v>30693</v>
      </c>
      <c r="O3977" s="66" t="s">
        <v>1010</v>
      </c>
      <c r="P3977" s="66" t="s">
        <v>30375</v>
      </c>
      <c r="Q3977" s="76" t="s">
        <v>30694</v>
      </c>
      <c r="R3977" s="66" t="s">
        <v>100</v>
      </c>
      <c r="S3977" s="66" t="s">
        <v>379</v>
      </c>
      <c r="T3977" s="77"/>
      <c r="U3977" s="77"/>
      <c r="V3977" s="77"/>
      <c r="W3977" s="77"/>
      <c r="X3977" s="77"/>
      <c r="Y3977" s="66"/>
      <c r="Z3977" s="66"/>
      <c r="AA3977" s="66"/>
      <c r="AB3977" s="66"/>
      <c r="AC3977" s="66"/>
      <c r="AD3977" s="66"/>
      <c r="AE3977" s="66"/>
      <c r="AF3977" s="66"/>
      <c r="AG3977" s="66"/>
      <c r="AH3977" s="66"/>
      <c r="AI3977" s="66"/>
      <c r="AJ3977" s="66"/>
      <c r="AK3977" s="66"/>
      <c r="AL3977" s="66"/>
      <c r="AM3977" s="66"/>
      <c r="AN3977" s="66"/>
      <c r="AO3977" s="66"/>
      <c r="AP3977" s="66"/>
      <c r="AQ3977" s="66"/>
      <c r="AR3977" s="66"/>
      <c r="AS3977" s="66"/>
      <c r="AT3977" s="66"/>
      <c r="AU3977" s="66"/>
      <c r="AV3977" s="78"/>
      <c r="AW3977" s="78"/>
      <c r="AX3977" s="78"/>
      <c r="AY3977" s="78"/>
      <c r="AZ3977" s="78"/>
      <c r="BA3977" s="78"/>
      <c r="BB3977" s="78"/>
      <c r="BC3977" s="78"/>
      <c r="BD3977" s="78"/>
      <c r="BE3977" s="78"/>
      <c r="BF3977" s="78"/>
      <c r="BG3977" s="78"/>
      <c r="BH3977" s="78"/>
      <c r="BI3977" s="78"/>
      <c r="BJ3977" s="78"/>
    </row>
    <row r="3978" spans="1:62" ht="12" customHeight="1" x14ac:dyDescent="0.15">
      <c r="A3978" s="1" t="s">
        <v>11064</v>
      </c>
      <c r="B3978" s="1">
        <v>50</v>
      </c>
      <c r="C3978" s="1" t="s">
        <v>20</v>
      </c>
      <c r="D3978" s="1" t="s">
        <v>30</v>
      </c>
      <c r="F3978" s="72">
        <v>41714</v>
      </c>
      <c r="G3978" s="1" t="s">
        <v>11065</v>
      </c>
      <c r="H3978" s="1" t="s">
        <v>6538</v>
      </c>
      <c r="I3978" s="1" t="s">
        <v>269</v>
      </c>
      <c r="J3978" s="4" t="s">
        <v>11066</v>
      </c>
      <c r="K3978" s="1" t="s">
        <v>570</v>
      </c>
      <c r="L3978" s="1" t="s">
        <v>571</v>
      </c>
      <c r="M3978" s="1" t="s">
        <v>27</v>
      </c>
      <c r="N3978" s="1" t="s">
        <v>11067</v>
      </c>
      <c r="O3978" s="1" t="s">
        <v>1010</v>
      </c>
      <c r="P3978" s="1" t="s">
        <v>401</v>
      </c>
      <c r="Q3978" s="63" t="s">
        <v>11068</v>
      </c>
      <c r="R3978" s="1" t="s">
        <v>29</v>
      </c>
      <c r="S3978" s="13" t="s">
        <v>28</v>
      </c>
    </row>
    <row r="3979" spans="1:62" ht="12" customHeight="1" x14ac:dyDescent="0.15">
      <c r="A3979" s="1" t="s">
        <v>11055</v>
      </c>
      <c r="B3979" s="1">
        <v>47</v>
      </c>
      <c r="C3979" s="1" t="s">
        <v>20</v>
      </c>
      <c r="D3979" s="1" t="s">
        <v>85</v>
      </c>
      <c r="E3979" s="1" t="s">
        <v>11056</v>
      </c>
      <c r="F3979" s="72">
        <v>41714</v>
      </c>
      <c r="G3979" s="1" t="s">
        <v>11057</v>
      </c>
      <c r="H3979" s="1" t="s">
        <v>11058</v>
      </c>
      <c r="I3979" s="1" t="s">
        <v>395</v>
      </c>
      <c r="J3979" s="4" t="s">
        <v>11059</v>
      </c>
      <c r="K3979" s="1" t="s">
        <v>11060</v>
      </c>
      <c r="L3979" s="1" t="s">
        <v>11061</v>
      </c>
      <c r="M3979" s="1" t="s">
        <v>27</v>
      </c>
      <c r="N3979" s="1" t="s">
        <v>11062</v>
      </c>
      <c r="O3979" s="1" t="s">
        <v>550</v>
      </c>
      <c r="P3979" s="1" t="s">
        <v>401</v>
      </c>
      <c r="Q3979" s="63" t="s">
        <v>11063</v>
      </c>
      <c r="R3979" s="1" t="s">
        <v>555</v>
      </c>
      <c r="S3979" s="13" t="s">
        <v>28</v>
      </c>
      <c r="AX3979" s="11"/>
      <c r="AY3979" s="11"/>
      <c r="BC3979" s="11"/>
      <c r="BD3979" s="11"/>
      <c r="BE3979" s="11"/>
      <c r="BF3979" s="11"/>
      <c r="BG3979" s="11"/>
      <c r="BH3979" s="11"/>
      <c r="BI3979" s="11"/>
      <c r="BJ3979" s="11"/>
    </row>
    <row r="3980" spans="1:62" ht="12" customHeight="1" x14ac:dyDescent="0.15">
      <c r="A3980" s="1" t="s">
        <v>11069</v>
      </c>
      <c r="B3980" s="1" t="s">
        <v>11070</v>
      </c>
      <c r="C3980" s="1" t="s">
        <v>20</v>
      </c>
      <c r="D3980" s="1" t="s">
        <v>37</v>
      </c>
      <c r="F3980" s="72">
        <v>41714</v>
      </c>
      <c r="G3980" s="1" t="s">
        <v>11071</v>
      </c>
      <c r="H3980" s="1" t="s">
        <v>922</v>
      </c>
      <c r="I3980" s="1" t="s">
        <v>195</v>
      </c>
      <c r="J3980" s="4" t="s">
        <v>8441</v>
      </c>
      <c r="K3980" s="1" t="s">
        <v>467</v>
      </c>
      <c r="L3980" s="1" t="s">
        <v>4961</v>
      </c>
      <c r="M3980" s="1" t="s">
        <v>27</v>
      </c>
      <c r="N3980" s="1" t="s">
        <v>11072</v>
      </c>
      <c r="O3980" s="1" t="s">
        <v>29627</v>
      </c>
      <c r="P3980" s="1" t="s">
        <v>29633</v>
      </c>
      <c r="Q3980" s="63" t="s">
        <v>10114</v>
      </c>
      <c r="R3980" s="1" t="s">
        <v>555</v>
      </c>
      <c r="S3980" s="13" t="s">
        <v>28</v>
      </c>
      <c r="BA3980" s="44"/>
      <c r="BB3980" s="44"/>
    </row>
    <row r="3981" spans="1:62" ht="12" customHeight="1" x14ac:dyDescent="0.15">
      <c r="A3981" s="1" t="s">
        <v>11088</v>
      </c>
      <c r="B3981" s="1">
        <v>60</v>
      </c>
      <c r="C3981" s="1" t="s">
        <v>20</v>
      </c>
      <c r="D3981" s="1" t="s">
        <v>37</v>
      </c>
      <c r="E3981" s="1" t="s">
        <v>11089</v>
      </c>
      <c r="F3981" s="72">
        <v>41712</v>
      </c>
      <c r="G3981" s="1" t="s">
        <v>11090</v>
      </c>
      <c r="H3981" s="1" t="s">
        <v>7654</v>
      </c>
      <c r="I3981" s="1" t="s">
        <v>62</v>
      </c>
      <c r="J3981" s="4" t="s">
        <v>7655</v>
      </c>
      <c r="K3981" s="1" t="s">
        <v>51</v>
      </c>
      <c r="L3981" s="1" t="s">
        <v>11091</v>
      </c>
      <c r="M3981" s="1" t="s">
        <v>27</v>
      </c>
      <c r="N3981" s="1" t="s">
        <v>11092</v>
      </c>
      <c r="O3981" s="1" t="s">
        <v>550</v>
      </c>
      <c r="P3981" s="1" t="s">
        <v>401</v>
      </c>
      <c r="Q3981" s="63" t="str">
        <f>HYPERLINK("http://www.firstcoastnews.com/story/news/crime/2014/03/15/lake-city-killed-police/6457449/","http://www.firstcoastnews.com/story/news/crime/2014/03/15/lake-city-killed-police/6457449/")</f>
        <v>http://www.firstcoastnews.com/story/news/crime/2014/03/15/lake-city-killed-police/6457449/</v>
      </c>
      <c r="R3981" s="1" t="s">
        <v>100</v>
      </c>
      <c r="S3981" s="13" t="s">
        <v>28</v>
      </c>
    </row>
    <row r="3982" spans="1:62" ht="12" customHeight="1" x14ac:dyDescent="0.15">
      <c r="A3982" s="1" t="s">
        <v>11080</v>
      </c>
      <c r="B3982" s="1">
        <v>36</v>
      </c>
      <c r="C3982" s="1" t="s">
        <v>20</v>
      </c>
      <c r="D3982" s="1" t="s">
        <v>37</v>
      </c>
      <c r="E3982" s="1" t="s">
        <v>11081</v>
      </c>
      <c r="F3982" s="72">
        <v>41712</v>
      </c>
      <c r="G3982" s="1" t="s">
        <v>11082</v>
      </c>
      <c r="H3982" s="1" t="s">
        <v>11083</v>
      </c>
      <c r="I3982" s="1" t="s">
        <v>303</v>
      </c>
      <c r="J3982" s="4" t="s">
        <v>11084</v>
      </c>
      <c r="K3982" s="1" t="s">
        <v>570</v>
      </c>
      <c r="L3982" s="1" t="s">
        <v>11085</v>
      </c>
      <c r="M3982" s="1" t="s">
        <v>27</v>
      </c>
      <c r="N3982" s="1" t="s">
        <v>11086</v>
      </c>
      <c r="O3982" s="1" t="s">
        <v>1010</v>
      </c>
      <c r="P3982" s="1" t="s">
        <v>401</v>
      </c>
      <c r="Q3982" s="63" t="s">
        <v>11087</v>
      </c>
      <c r="R3982" s="1" t="s">
        <v>100</v>
      </c>
      <c r="S3982" s="13" t="s">
        <v>28</v>
      </c>
    </row>
    <row r="3983" spans="1:62" ht="12" customHeight="1" x14ac:dyDescent="0.15">
      <c r="A3983" s="1" t="s">
        <v>11097</v>
      </c>
      <c r="B3983" s="1">
        <v>60</v>
      </c>
      <c r="C3983" s="1" t="s">
        <v>20</v>
      </c>
      <c r="D3983" s="1" t="s">
        <v>30</v>
      </c>
      <c r="F3983" s="72">
        <v>41711</v>
      </c>
      <c r="G3983" s="1" t="s">
        <v>11098</v>
      </c>
      <c r="H3983" s="1" t="s">
        <v>11099</v>
      </c>
      <c r="I3983" s="1" t="s">
        <v>45</v>
      </c>
      <c r="J3983" s="4" t="s">
        <v>11100</v>
      </c>
      <c r="K3983" s="1" t="s">
        <v>7576</v>
      </c>
      <c r="L3983" s="1" t="s">
        <v>11101</v>
      </c>
      <c r="M3983" s="1" t="s">
        <v>27</v>
      </c>
      <c r="N3983" s="1" t="s">
        <v>11102</v>
      </c>
      <c r="O3983" s="1" t="s">
        <v>1010</v>
      </c>
      <c r="P3983" s="1" t="s">
        <v>401</v>
      </c>
      <c r="Q3983" s="63" t="s">
        <v>11103</v>
      </c>
      <c r="R3983" s="1" t="s">
        <v>555</v>
      </c>
      <c r="S3983" s="13" t="s">
        <v>28</v>
      </c>
      <c r="BA3983" s="11"/>
      <c r="BB3983" s="11"/>
    </row>
    <row r="3984" spans="1:62" ht="12" customHeight="1" x14ac:dyDescent="0.15">
      <c r="A3984" s="1" t="s">
        <v>11093</v>
      </c>
      <c r="B3984" s="1">
        <v>26</v>
      </c>
      <c r="C3984" s="1" t="s">
        <v>20</v>
      </c>
      <c r="D3984" s="1" t="s">
        <v>48</v>
      </c>
      <c r="F3984" s="72">
        <v>41711</v>
      </c>
      <c r="G3984" s="1" t="s">
        <v>11094</v>
      </c>
      <c r="H3984" s="1" t="s">
        <v>632</v>
      </c>
      <c r="I3984" s="1" t="s">
        <v>123</v>
      </c>
      <c r="J3984" s="4" t="s">
        <v>6383</v>
      </c>
      <c r="K3984" s="1" t="s">
        <v>633</v>
      </c>
      <c r="L3984" s="1" t="s">
        <v>634</v>
      </c>
      <c r="M3984" s="1" t="s">
        <v>27</v>
      </c>
      <c r="N3984" s="1" t="s">
        <v>11095</v>
      </c>
      <c r="O3984" s="1" t="s">
        <v>1010</v>
      </c>
      <c r="P3984" s="1" t="s">
        <v>401</v>
      </c>
      <c r="Q3984" s="63" t="s">
        <v>11096</v>
      </c>
      <c r="R3984" s="1" t="s">
        <v>555</v>
      </c>
      <c r="S3984" s="13" t="s">
        <v>18</v>
      </c>
      <c r="BA3984" s="11"/>
      <c r="BB3984" s="11"/>
    </row>
    <row r="3985" spans="1:62" ht="12" customHeight="1" x14ac:dyDescent="0.15">
      <c r="A3985" s="1" t="s">
        <v>11108</v>
      </c>
      <c r="B3985" s="1">
        <v>38</v>
      </c>
      <c r="C3985" s="1" t="s">
        <v>20</v>
      </c>
      <c r="D3985" s="1" t="s">
        <v>37</v>
      </c>
      <c r="E3985" s="1" t="s">
        <v>11109</v>
      </c>
      <c r="F3985" s="72">
        <v>41710</v>
      </c>
      <c r="G3985" s="1" t="s">
        <v>11110</v>
      </c>
      <c r="H3985" s="1" t="s">
        <v>1934</v>
      </c>
      <c r="I3985" s="1" t="s">
        <v>366</v>
      </c>
      <c r="J3985" s="4" t="s">
        <v>11111</v>
      </c>
      <c r="K3985" s="1" t="s">
        <v>11112</v>
      </c>
      <c r="L3985" s="1" t="s">
        <v>11113</v>
      </c>
      <c r="M3985" s="1" t="s">
        <v>27</v>
      </c>
      <c r="N3985" s="1" t="s">
        <v>11114</v>
      </c>
      <c r="O3985" s="1" t="s">
        <v>1010</v>
      </c>
      <c r="P3985" s="1" t="s">
        <v>401</v>
      </c>
      <c r="Q3985" s="63" t="s">
        <v>11115</v>
      </c>
      <c r="R3985" s="1" t="s">
        <v>29</v>
      </c>
      <c r="S3985" s="13" t="s">
        <v>28</v>
      </c>
    </row>
    <row r="3986" spans="1:62" ht="12" customHeight="1" x14ac:dyDescent="0.15">
      <c r="A3986" s="1" t="s">
        <v>11116</v>
      </c>
      <c r="B3986" s="1">
        <v>49</v>
      </c>
      <c r="C3986" s="1" t="s">
        <v>20</v>
      </c>
      <c r="D3986" s="1" t="s">
        <v>37</v>
      </c>
      <c r="E3986" s="1" t="s">
        <v>11117</v>
      </c>
      <c r="F3986" s="72">
        <v>41710</v>
      </c>
      <c r="G3986" s="1" t="s">
        <v>11118</v>
      </c>
      <c r="H3986" s="1" t="s">
        <v>1561</v>
      </c>
      <c r="I3986" s="1" t="s">
        <v>117</v>
      </c>
      <c r="J3986" s="4" t="s">
        <v>11119</v>
      </c>
      <c r="K3986" s="1" t="s">
        <v>1563</v>
      </c>
      <c r="L3986" s="1" t="s">
        <v>17750</v>
      </c>
      <c r="M3986" s="1" t="s">
        <v>27</v>
      </c>
      <c r="N3986" s="1" t="s">
        <v>11120</v>
      </c>
      <c r="O3986" s="1" t="s">
        <v>550</v>
      </c>
      <c r="P3986" s="1" t="s">
        <v>401</v>
      </c>
      <c r="Q3986" s="63" t="s">
        <v>11121</v>
      </c>
      <c r="R3986" s="1" t="s">
        <v>555</v>
      </c>
      <c r="S3986" s="13" t="s">
        <v>28</v>
      </c>
      <c r="BA3986" s="44"/>
      <c r="BB3986" s="44"/>
    </row>
    <row r="3987" spans="1:62" ht="12" customHeight="1" x14ac:dyDescent="0.15">
      <c r="A3987" s="1" t="s">
        <v>11104</v>
      </c>
      <c r="B3987" s="1">
        <v>25</v>
      </c>
      <c r="C3987" s="1" t="s">
        <v>20</v>
      </c>
      <c r="D3987" s="1" t="s">
        <v>37</v>
      </c>
      <c r="F3987" s="72">
        <v>41710</v>
      </c>
      <c r="G3987" s="1" t="s">
        <v>11105</v>
      </c>
      <c r="H3987" s="1" t="s">
        <v>2887</v>
      </c>
      <c r="I3987" s="1" t="s">
        <v>45</v>
      </c>
      <c r="J3987" s="4">
        <v>92346</v>
      </c>
      <c r="K3987" s="1" t="s">
        <v>309</v>
      </c>
      <c r="L3987" s="1" t="s">
        <v>310</v>
      </c>
      <c r="M3987" s="1" t="s">
        <v>27</v>
      </c>
      <c r="N3987" s="1" t="s">
        <v>11106</v>
      </c>
      <c r="P3987" s="1" t="s">
        <v>401</v>
      </c>
      <c r="Q3987" s="63" t="s">
        <v>11107</v>
      </c>
      <c r="R3987" s="1" t="s">
        <v>29</v>
      </c>
      <c r="S3987" s="13" t="s">
        <v>28</v>
      </c>
    </row>
    <row r="3988" spans="1:62" ht="12" customHeight="1" x14ac:dyDescent="0.15">
      <c r="A3988" s="1" t="s">
        <v>11128</v>
      </c>
      <c r="B3988" s="1">
        <v>53</v>
      </c>
      <c r="C3988" s="1" t="s">
        <v>20</v>
      </c>
      <c r="D3988" s="1" t="s">
        <v>37</v>
      </c>
      <c r="E3988" s="1" t="s">
        <v>11129</v>
      </c>
      <c r="F3988" s="72">
        <v>41709</v>
      </c>
      <c r="G3988" s="1" t="s">
        <v>11130</v>
      </c>
      <c r="H3988" s="1" t="s">
        <v>890</v>
      </c>
      <c r="I3988" s="1" t="s">
        <v>315</v>
      </c>
      <c r="J3988" s="4" t="s">
        <v>11131</v>
      </c>
      <c r="K3988" s="1" t="s">
        <v>1778</v>
      </c>
      <c r="L3988" s="1" t="s">
        <v>11132</v>
      </c>
      <c r="M3988" s="1" t="s">
        <v>27</v>
      </c>
      <c r="N3988" s="1" t="s">
        <v>11133</v>
      </c>
      <c r="O3988" s="1" t="s">
        <v>550</v>
      </c>
      <c r="P3988" s="1" t="s">
        <v>401</v>
      </c>
      <c r="Q3988" s="63" t="s">
        <v>11134</v>
      </c>
      <c r="R3988" s="1" t="s">
        <v>100</v>
      </c>
      <c r="S3988" s="13" t="s">
        <v>28</v>
      </c>
    </row>
    <row r="3989" spans="1:62" ht="12" customHeight="1" x14ac:dyDescent="0.15">
      <c r="A3989" s="1" t="s">
        <v>11122</v>
      </c>
      <c r="B3989" s="1" t="s">
        <v>29</v>
      </c>
      <c r="C3989" s="1" t="s">
        <v>20</v>
      </c>
      <c r="D3989" s="1" t="s">
        <v>37</v>
      </c>
      <c r="F3989" s="72">
        <v>41709</v>
      </c>
      <c r="G3989" s="1" t="s">
        <v>11123</v>
      </c>
      <c r="H3989" s="1" t="s">
        <v>11124</v>
      </c>
      <c r="I3989" s="1" t="s">
        <v>62</v>
      </c>
      <c r="J3989" s="4" t="s">
        <v>11125</v>
      </c>
      <c r="K3989" s="1" t="s">
        <v>118</v>
      </c>
      <c r="L3989" s="1" t="s">
        <v>10719</v>
      </c>
      <c r="M3989" s="1" t="s">
        <v>27</v>
      </c>
      <c r="N3989" s="1" t="s">
        <v>11126</v>
      </c>
      <c r="O3989" s="1" t="s">
        <v>550</v>
      </c>
      <c r="P3989" s="1" t="s">
        <v>401</v>
      </c>
      <c r="Q3989" s="63" t="s">
        <v>11127</v>
      </c>
      <c r="R3989" s="1" t="s">
        <v>29</v>
      </c>
      <c r="S3989" s="13" t="s">
        <v>18</v>
      </c>
    </row>
    <row r="3990" spans="1:62" ht="12" customHeight="1" x14ac:dyDescent="0.15">
      <c r="A3990" s="1" t="s">
        <v>11138</v>
      </c>
      <c r="B3990" s="1">
        <v>25</v>
      </c>
      <c r="C3990" s="1" t="s">
        <v>20</v>
      </c>
      <c r="D3990" s="1" t="s">
        <v>48</v>
      </c>
      <c r="E3990" s="1" t="s">
        <v>11139</v>
      </c>
      <c r="F3990" s="72">
        <v>41708</v>
      </c>
      <c r="G3990" s="1" t="s">
        <v>11140</v>
      </c>
      <c r="H3990" s="1" t="s">
        <v>3905</v>
      </c>
      <c r="I3990" s="1" t="s">
        <v>123</v>
      </c>
      <c r="J3990" s="4" t="s">
        <v>11141</v>
      </c>
      <c r="K3990" s="1" t="s">
        <v>633</v>
      </c>
      <c r="L3990" s="1" t="s">
        <v>11142</v>
      </c>
      <c r="M3990" s="1" t="s">
        <v>27</v>
      </c>
      <c r="N3990" s="1" t="s">
        <v>11143</v>
      </c>
      <c r="O3990" s="1" t="s">
        <v>1010</v>
      </c>
      <c r="P3990" s="1" t="s">
        <v>401</v>
      </c>
      <c r="Q3990" s="63" t="s">
        <v>11144</v>
      </c>
      <c r="R3990" s="1" t="s">
        <v>100</v>
      </c>
      <c r="S3990" s="13" t="s">
        <v>28</v>
      </c>
    </row>
    <row r="3991" spans="1:62" ht="12" customHeight="1" x14ac:dyDescent="0.15">
      <c r="A3991" s="1" t="s">
        <v>11163</v>
      </c>
      <c r="B3991" s="1">
        <v>23</v>
      </c>
      <c r="C3991" s="1" t="s">
        <v>20</v>
      </c>
      <c r="D3991" s="1" t="s">
        <v>37</v>
      </c>
      <c r="E3991" s="1" t="s">
        <v>11164</v>
      </c>
      <c r="F3991" s="72">
        <v>41708</v>
      </c>
      <c r="G3991" s="1" t="s">
        <v>11165</v>
      </c>
      <c r="H3991" s="1" t="s">
        <v>11166</v>
      </c>
      <c r="I3991" s="1" t="s">
        <v>363</v>
      </c>
      <c r="J3991" s="4" t="s">
        <v>11167</v>
      </c>
      <c r="K3991" s="1" t="s">
        <v>1034</v>
      </c>
      <c r="L3991" s="1" t="s">
        <v>7481</v>
      </c>
      <c r="M3991" s="1" t="s">
        <v>27</v>
      </c>
      <c r="N3991" s="1" t="s">
        <v>11168</v>
      </c>
      <c r="O3991" s="1" t="s">
        <v>1010</v>
      </c>
      <c r="P3991" s="1" t="s">
        <v>401</v>
      </c>
      <c r="Q3991" s="63" t="s">
        <v>11169</v>
      </c>
      <c r="R3991" s="1" t="s">
        <v>100</v>
      </c>
      <c r="S3991" s="13" t="s">
        <v>28</v>
      </c>
    </row>
    <row r="3992" spans="1:62" ht="12" customHeight="1" x14ac:dyDescent="0.15">
      <c r="A3992" s="1" t="s">
        <v>11158</v>
      </c>
      <c r="B3992" s="1">
        <v>35</v>
      </c>
      <c r="C3992" s="1" t="s">
        <v>20</v>
      </c>
      <c r="D3992" s="1" t="s">
        <v>37</v>
      </c>
      <c r="F3992" s="72">
        <v>41708</v>
      </c>
      <c r="G3992" s="1" t="s">
        <v>11159</v>
      </c>
      <c r="H3992" s="1" t="s">
        <v>2003</v>
      </c>
      <c r="I3992" s="1" t="s">
        <v>506</v>
      </c>
      <c r="J3992" s="4" t="s">
        <v>11160</v>
      </c>
      <c r="K3992" s="1" t="s">
        <v>11161</v>
      </c>
      <c r="L3992" s="1" t="s">
        <v>11162</v>
      </c>
      <c r="M3992" s="1" t="s">
        <v>27</v>
      </c>
      <c r="N3992" s="1" t="s">
        <v>21015</v>
      </c>
      <c r="O3992" s="1" t="s">
        <v>550</v>
      </c>
      <c r="P3992" s="1" t="s">
        <v>401</v>
      </c>
      <c r="Q3992" s="63" t="s">
        <v>21016</v>
      </c>
      <c r="R3992" s="1" t="s">
        <v>100</v>
      </c>
      <c r="S3992" s="13" t="s">
        <v>18</v>
      </c>
    </row>
    <row r="3993" spans="1:62" ht="12" customHeight="1" x14ac:dyDescent="0.15">
      <c r="A3993" s="1" t="s">
        <v>11135</v>
      </c>
      <c r="B3993" s="1">
        <v>38</v>
      </c>
      <c r="C3993" s="1" t="s">
        <v>20</v>
      </c>
      <c r="D3993" s="1" t="s">
        <v>85</v>
      </c>
      <c r="F3993" s="72">
        <v>41708</v>
      </c>
      <c r="G3993" s="1" t="s">
        <v>11136</v>
      </c>
      <c r="H3993" s="1" t="s">
        <v>268</v>
      </c>
      <c r="I3993" s="1" t="s">
        <v>269</v>
      </c>
      <c r="J3993" s="4" t="s">
        <v>6824</v>
      </c>
      <c r="K3993" s="1" t="s">
        <v>570</v>
      </c>
      <c r="L3993" s="1" t="s">
        <v>270</v>
      </c>
      <c r="M3993" s="1" t="s">
        <v>27</v>
      </c>
      <c r="N3993" s="1" t="s">
        <v>11137</v>
      </c>
      <c r="O3993" s="1" t="s">
        <v>1010</v>
      </c>
      <c r="P3993" s="1" t="s">
        <v>401</v>
      </c>
      <c r="Q3993" s="6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3993" s="1" t="s">
        <v>29</v>
      </c>
      <c r="S3993" s="13" t="s">
        <v>28</v>
      </c>
      <c r="AX3993" s="11"/>
      <c r="AY3993" s="11"/>
      <c r="BC3993" s="11"/>
      <c r="BD3993" s="11"/>
      <c r="BE3993" s="11"/>
      <c r="BF3993" s="11"/>
      <c r="BG3993" s="11"/>
      <c r="BH3993" s="11"/>
      <c r="BI3993" s="11"/>
      <c r="BJ3993" s="11"/>
    </row>
    <row r="3994" spans="1:62" ht="12" customHeight="1" x14ac:dyDescent="0.15">
      <c r="A3994" s="1" t="s">
        <v>3252</v>
      </c>
      <c r="B3994" s="1">
        <v>30</v>
      </c>
      <c r="C3994" s="1" t="s">
        <v>20</v>
      </c>
      <c r="D3994" s="1" t="s">
        <v>30</v>
      </c>
      <c r="F3994" s="72">
        <v>41708</v>
      </c>
      <c r="G3994" s="1" t="s">
        <v>11145</v>
      </c>
      <c r="H3994" s="1" t="s">
        <v>444</v>
      </c>
      <c r="I3994" s="1" t="s">
        <v>57</v>
      </c>
      <c r="J3994" s="4" t="s">
        <v>11146</v>
      </c>
      <c r="K3994" s="1" t="s">
        <v>1128</v>
      </c>
      <c r="L3994" s="1" t="s">
        <v>4732</v>
      </c>
      <c r="M3994" s="1" t="s">
        <v>27</v>
      </c>
      <c r="N3994" s="1" t="s">
        <v>11147</v>
      </c>
      <c r="O3994" s="1" t="s">
        <v>1010</v>
      </c>
      <c r="P3994" s="1" t="s">
        <v>401</v>
      </c>
      <c r="Q3994" s="63" t="s">
        <v>11148</v>
      </c>
      <c r="R3994" s="1" t="s">
        <v>29</v>
      </c>
      <c r="S3994" s="13" t="s">
        <v>28</v>
      </c>
    </row>
    <row r="3995" spans="1:62" ht="12" customHeight="1" x14ac:dyDescent="0.15">
      <c r="A3995" s="1" t="s">
        <v>11149</v>
      </c>
      <c r="B3995" s="1">
        <v>47</v>
      </c>
      <c r="C3995" s="1" t="s">
        <v>20</v>
      </c>
      <c r="D3995" s="1" t="s">
        <v>37</v>
      </c>
      <c r="E3995" s="1" t="s">
        <v>11150</v>
      </c>
      <c r="F3995" s="72">
        <v>41708</v>
      </c>
      <c r="G3995" s="1" t="s">
        <v>11151</v>
      </c>
      <c r="H3995" s="1" t="s">
        <v>11152</v>
      </c>
      <c r="I3995" s="1" t="s">
        <v>431</v>
      </c>
      <c r="J3995" s="4" t="s">
        <v>11153</v>
      </c>
      <c r="K3995" s="1" t="s">
        <v>11154</v>
      </c>
      <c r="L3995" s="1" t="s">
        <v>11155</v>
      </c>
      <c r="M3995" s="1" t="s">
        <v>27</v>
      </c>
      <c r="N3995" s="1" t="s">
        <v>11156</v>
      </c>
      <c r="O3995" s="1" t="s">
        <v>550</v>
      </c>
      <c r="P3995" s="1" t="s">
        <v>401</v>
      </c>
      <c r="Q3995" s="63" t="s">
        <v>11157</v>
      </c>
      <c r="R3995" s="1" t="s">
        <v>555</v>
      </c>
      <c r="S3995" s="13" t="s">
        <v>28</v>
      </c>
      <c r="BA3995" s="44"/>
      <c r="BB3995" s="44"/>
    </row>
    <row r="3996" spans="1:62" ht="12" customHeight="1" x14ac:dyDescent="0.2">
      <c r="A3996" s="1" t="s">
        <v>11170</v>
      </c>
      <c r="B3996" s="1">
        <v>40</v>
      </c>
      <c r="C3996" s="1" t="s">
        <v>20</v>
      </c>
      <c r="D3996" s="1" t="s">
        <v>21</v>
      </c>
      <c r="E3996" s="1" t="s">
        <v>11171</v>
      </c>
      <c r="F3996" s="72">
        <v>41707</v>
      </c>
      <c r="G3996" s="1" t="s">
        <v>11172</v>
      </c>
      <c r="H3996" s="1" t="s">
        <v>11173</v>
      </c>
      <c r="I3996" s="1" t="s">
        <v>44</v>
      </c>
      <c r="J3996" s="4" t="s">
        <v>11174</v>
      </c>
      <c r="K3996" s="1" t="s">
        <v>1256</v>
      </c>
      <c r="L3996" s="1" t="s">
        <v>11175</v>
      </c>
      <c r="M3996" s="1" t="s">
        <v>27</v>
      </c>
      <c r="N3996" s="1" t="s">
        <v>11176</v>
      </c>
      <c r="O3996" s="1" t="s">
        <v>1010</v>
      </c>
      <c r="P3996" s="1" t="s">
        <v>401</v>
      </c>
      <c r="Q3996" s="63" t="s">
        <v>11177</v>
      </c>
      <c r="R3996" s="1" t="s">
        <v>100</v>
      </c>
      <c r="S3996" s="13" t="s">
        <v>28</v>
      </c>
      <c r="AX3996" s="70"/>
      <c r="AY3996" s="70"/>
      <c r="BC3996" s="70"/>
      <c r="BD3996" s="70"/>
      <c r="BE3996" s="70"/>
      <c r="BF3996" s="70"/>
      <c r="BG3996" s="70"/>
      <c r="BH3996" s="70"/>
      <c r="BI3996" s="70"/>
      <c r="BJ3996" s="70"/>
    </row>
    <row r="3997" spans="1:62" ht="12" customHeight="1" x14ac:dyDescent="0.15">
      <c r="A3997" s="1" t="s">
        <v>11191</v>
      </c>
      <c r="B3997" s="1">
        <v>15</v>
      </c>
      <c r="C3997" s="1" t="s">
        <v>20</v>
      </c>
      <c r="D3997" s="1" t="s">
        <v>48</v>
      </c>
      <c r="E3997" s="1" t="s">
        <v>11192</v>
      </c>
      <c r="F3997" s="72">
        <v>41707</v>
      </c>
      <c r="G3997" s="1" t="s">
        <v>11193</v>
      </c>
      <c r="H3997" s="1" t="s">
        <v>593</v>
      </c>
      <c r="I3997" s="1" t="s">
        <v>73</v>
      </c>
      <c r="J3997" s="4" t="s">
        <v>11194</v>
      </c>
      <c r="K3997" s="1" t="s">
        <v>594</v>
      </c>
      <c r="L3997" s="1" t="s">
        <v>595</v>
      </c>
      <c r="M3997" s="1" t="s">
        <v>27</v>
      </c>
      <c r="N3997" s="1" t="s">
        <v>11195</v>
      </c>
      <c r="O3997" s="1" t="s">
        <v>550</v>
      </c>
      <c r="P3997" s="1" t="s">
        <v>401</v>
      </c>
      <c r="Q3997" s="63" t="s">
        <v>11196</v>
      </c>
      <c r="R3997" s="1" t="s">
        <v>100</v>
      </c>
      <c r="S3997" s="13" t="s">
        <v>28</v>
      </c>
    </row>
    <row r="3998" spans="1:62" ht="12" customHeight="1" x14ac:dyDescent="0.15">
      <c r="A3998" s="1" t="s">
        <v>11197</v>
      </c>
      <c r="B3998" s="1">
        <v>60</v>
      </c>
      <c r="C3998" s="1" t="s">
        <v>20</v>
      </c>
      <c r="D3998" s="1" t="s">
        <v>30</v>
      </c>
      <c r="F3998" s="72">
        <v>41707</v>
      </c>
      <c r="G3998" s="1" t="s">
        <v>11198</v>
      </c>
      <c r="H3998" s="1" t="s">
        <v>11199</v>
      </c>
      <c r="I3998" s="1" t="s">
        <v>173</v>
      </c>
      <c r="J3998" s="4" t="s">
        <v>11200</v>
      </c>
      <c r="K3998" s="1" t="s">
        <v>11201</v>
      </c>
      <c r="L3998" s="1" t="s">
        <v>11202</v>
      </c>
      <c r="M3998" s="1" t="s">
        <v>27</v>
      </c>
      <c r="N3998" s="1" t="s">
        <v>11203</v>
      </c>
      <c r="O3998" s="1" t="s">
        <v>550</v>
      </c>
      <c r="P3998" s="1" t="s">
        <v>401</v>
      </c>
      <c r="Q3998" s="63" t="s">
        <v>11204</v>
      </c>
      <c r="R3998" s="1" t="s">
        <v>100</v>
      </c>
      <c r="S3998" s="13" t="s">
        <v>28</v>
      </c>
    </row>
    <row r="3999" spans="1:62" ht="12" customHeight="1" x14ac:dyDescent="0.15">
      <c r="A3999" s="1" t="s">
        <v>11178</v>
      </c>
      <c r="B3999" s="1">
        <v>22</v>
      </c>
      <c r="C3999" s="1" t="s">
        <v>20</v>
      </c>
      <c r="D3999" s="1" t="s">
        <v>85</v>
      </c>
      <c r="E3999" s="1" t="s">
        <v>11179</v>
      </c>
      <c r="F3999" s="72">
        <v>41707</v>
      </c>
      <c r="G3999" s="1" t="s">
        <v>11180</v>
      </c>
      <c r="H3999" s="1" t="s">
        <v>8614</v>
      </c>
      <c r="I3999" s="1" t="s">
        <v>25</v>
      </c>
      <c r="J3999" s="4" t="s">
        <v>8615</v>
      </c>
      <c r="K3999" s="1" t="s">
        <v>8616</v>
      </c>
      <c r="L3999" s="1" t="s">
        <v>11181</v>
      </c>
      <c r="M3999" s="1" t="s">
        <v>27</v>
      </c>
      <c r="N3999" s="1" t="s">
        <v>11182</v>
      </c>
      <c r="O3999" s="1" t="s">
        <v>400</v>
      </c>
      <c r="P3999" s="1" t="s">
        <v>401</v>
      </c>
      <c r="Q3999" s="63" t="s">
        <v>11183</v>
      </c>
      <c r="R3999" s="1" t="s">
        <v>29</v>
      </c>
      <c r="S3999" s="13" t="s">
        <v>18</v>
      </c>
      <c r="AX3999" s="11"/>
      <c r="AY3999" s="11"/>
      <c r="BC3999" s="11"/>
      <c r="BD3999" s="11"/>
      <c r="BE3999" s="11"/>
      <c r="BF3999" s="11"/>
      <c r="BG3999" s="11"/>
      <c r="BH3999" s="11"/>
      <c r="BI3999" s="11"/>
      <c r="BJ3999" s="11"/>
    </row>
    <row r="4000" spans="1:62" ht="12" customHeight="1" x14ac:dyDescent="0.15">
      <c r="A4000" s="1" t="s">
        <v>11184</v>
      </c>
      <c r="B4000" s="1">
        <v>31</v>
      </c>
      <c r="C4000" s="1" t="s">
        <v>20</v>
      </c>
      <c r="D4000" s="1" t="s">
        <v>85</v>
      </c>
      <c r="F4000" s="72">
        <v>41707</v>
      </c>
      <c r="G4000" s="1" t="s">
        <v>11185</v>
      </c>
      <c r="H4000" s="1" t="s">
        <v>11186</v>
      </c>
      <c r="I4000" s="1" t="s">
        <v>62</v>
      </c>
      <c r="J4000" s="4" t="s">
        <v>11187</v>
      </c>
      <c r="K4000" s="1" t="s">
        <v>11188</v>
      </c>
      <c r="L4000" s="1" t="s">
        <v>11189</v>
      </c>
      <c r="M4000" s="1" t="s">
        <v>27</v>
      </c>
      <c r="N4000" s="1" t="s">
        <v>11190</v>
      </c>
      <c r="O4000" s="1" t="s">
        <v>1010</v>
      </c>
      <c r="P4000" s="1" t="s">
        <v>401</v>
      </c>
      <c r="Q4000" s="63" t="str">
        <f>HYPERLINK("http://www.newssun.com/news/article_513fe971-a208-543b-8a5c-71ff2376804d.html","http://www.newssun.com/news/article_513fe971-a208-543b-8a5c-71ff2376804d.html")</f>
        <v>http://www.newssun.com/news/article_513fe971-a208-543b-8a5c-71ff2376804d.html</v>
      </c>
      <c r="R4000" s="1" t="s">
        <v>555</v>
      </c>
      <c r="S4000" s="13" t="s">
        <v>28</v>
      </c>
      <c r="AX4000" s="11"/>
      <c r="AY4000" s="11"/>
      <c r="BC4000" s="11"/>
      <c r="BD4000" s="11"/>
      <c r="BE4000" s="11"/>
      <c r="BF4000" s="11"/>
      <c r="BG4000" s="11"/>
      <c r="BH4000" s="11"/>
      <c r="BI4000" s="11"/>
      <c r="BJ4000" s="11"/>
    </row>
    <row r="4001" spans="1:63" ht="12" customHeight="1" x14ac:dyDescent="0.15">
      <c r="A4001" s="1" t="s">
        <v>11205</v>
      </c>
      <c r="B4001" s="1">
        <v>52</v>
      </c>
      <c r="C4001" s="1" t="s">
        <v>20</v>
      </c>
      <c r="D4001" s="1" t="s">
        <v>37</v>
      </c>
      <c r="E4001" s="1" t="s">
        <v>11206</v>
      </c>
      <c r="F4001" s="72">
        <v>41707</v>
      </c>
      <c r="G4001" s="1" t="s">
        <v>11207</v>
      </c>
      <c r="H4001" s="1" t="s">
        <v>7214</v>
      </c>
      <c r="I4001" s="1" t="s">
        <v>330</v>
      </c>
      <c r="J4001" s="4" t="s">
        <v>11208</v>
      </c>
      <c r="K4001" s="1" t="s">
        <v>7216</v>
      </c>
      <c r="L4001" s="1" t="s">
        <v>11209</v>
      </c>
      <c r="M4001" s="1" t="s">
        <v>27</v>
      </c>
      <c r="N4001" s="1" t="s">
        <v>11210</v>
      </c>
      <c r="O4001" s="1" t="s">
        <v>550</v>
      </c>
      <c r="P4001" s="1" t="s">
        <v>401</v>
      </c>
      <c r="Q4001" s="63" t="s">
        <v>11211</v>
      </c>
      <c r="R4001" s="1" t="s">
        <v>555</v>
      </c>
      <c r="S4001" s="13" t="s">
        <v>379</v>
      </c>
      <c r="BA4001" s="44"/>
      <c r="BB4001" s="44"/>
    </row>
    <row r="4002" spans="1:63" ht="12" customHeight="1" x14ac:dyDescent="0.15">
      <c r="A4002" s="1" t="s">
        <v>11212</v>
      </c>
      <c r="B4002" s="1">
        <v>21</v>
      </c>
      <c r="C4002" s="1" t="s">
        <v>20</v>
      </c>
      <c r="D4002" s="1" t="s">
        <v>85</v>
      </c>
      <c r="E4002" s="1" t="s">
        <v>11213</v>
      </c>
      <c r="F4002" s="72">
        <v>41706</v>
      </c>
      <c r="G4002" s="1" t="s">
        <v>11214</v>
      </c>
      <c r="H4002" s="1" t="s">
        <v>11215</v>
      </c>
      <c r="I4002" s="1" t="s">
        <v>94</v>
      </c>
      <c r="J4002" s="4" t="s">
        <v>11216</v>
      </c>
      <c r="K4002" s="1" t="s">
        <v>4332</v>
      </c>
      <c r="L4002" s="1" t="s">
        <v>11217</v>
      </c>
      <c r="M4002" s="1" t="s">
        <v>27</v>
      </c>
      <c r="N4002" s="1" t="s">
        <v>11218</v>
      </c>
      <c r="O4002" s="1" t="s">
        <v>550</v>
      </c>
      <c r="P4002" s="1" t="s">
        <v>401</v>
      </c>
      <c r="Q4002" s="63" t="s">
        <v>11219</v>
      </c>
      <c r="R4002" s="1" t="s">
        <v>100</v>
      </c>
      <c r="S4002" s="13" t="s">
        <v>35</v>
      </c>
      <c r="AX4002" s="11"/>
      <c r="AY4002" s="11"/>
      <c r="BC4002" s="11"/>
      <c r="BD4002" s="11"/>
      <c r="BE4002" s="11"/>
      <c r="BF4002" s="11"/>
      <c r="BG4002" s="11"/>
      <c r="BH4002" s="11"/>
      <c r="BI4002" s="11"/>
      <c r="BJ4002" s="11"/>
    </row>
    <row r="4003" spans="1:63" ht="12" customHeight="1" x14ac:dyDescent="0.15">
      <c r="A4003" s="1" t="s">
        <v>11220</v>
      </c>
      <c r="B4003" s="1">
        <v>50</v>
      </c>
      <c r="C4003" s="1" t="s">
        <v>20</v>
      </c>
      <c r="D4003" s="1" t="s">
        <v>30</v>
      </c>
      <c r="F4003" s="72">
        <v>41706</v>
      </c>
      <c r="G4003" s="1" t="s">
        <v>11221</v>
      </c>
      <c r="H4003" s="1" t="s">
        <v>1642</v>
      </c>
      <c r="I4003" s="1" t="s">
        <v>45</v>
      </c>
      <c r="J4003" s="4" t="s">
        <v>11222</v>
      </c>
      <c r="K4003" s="1" t="s">
        <v>1642</v>
      </c>
      <c r="L4003" s="1" t="s">
        <v>2323</v>
      </c>
      <c r="M4003" s="1" t="s">
        <v>27</v>
      </c>
      <c r="N4003" s="1" t="s">
        <v>11223</v>
      </c>
      <c r="O4003" s="1" t="s">
        <v>1010</v>
      </c>
      <c r="P4003" s="1" t="s">
        <v>401</v>
      </c>
      <c r="Q4003" s="63" t="s">
        <v>11224</v>
      </c>
      <c r="R4003" s="1" t="s">
        <v>29</v>
      </c>
      <c r="S4003" s="13" t="s">
        <v>28</v>
      </c>
    </row>
    <row r="4004" spans="1:63" ht="12" customHeight="1" x14ac:dyDescent="0.15">
      <c r="A4004" s="1" t="s">
        <v>11225</v>
      </c>
      <c r="B4004" s="1">
        <v>45</v>
      </c>
      <c r="C4004" s="1" t="s">
        <v>20</v>
      </c>
      <c r="D4004" s="1" t="s">
        <v>37</v>
      </c>
      <c r="E4004" s="1" t="s">
        <v>11226</v>
      </c>
      <c r="F4004" s="72">
        <v>41706</v>
      </c>
      <c r="G4004" s="1" t="s">
        <v>11227</v>
      </c>
      <c r="H4004" s="1" t="s">
        <v>687</v>
      </c>
      <c r="I4004" s="1" t="s">
        <v>123</v>
      </c>
      <c r="J4004" s="4" t="s">
        <v>4877</v>
      </c>
      <c r="K4004" s="1" t="s">
        <v>633</v>
      </c>
      <c r="L4004" s="1" t="s">
        <v>4878</v>
      </c>
      <c r="M4004" s="1" t="s">
        <v>27</v>
      </c>
      <c r="N4004" s="1" t="s">
        <v>11228</v>
      </c>
      <c r="O4004" s="1" t="s">
        <v>1010</v>
      </c>
      <c r="P4004" s="1" t="s">
        <v>401</v>
      </c>
      <c r="Q4004" s="63" t="s">
        <v>11229</v>
      </c>
      <c r="R4004" s="1" t="s">
        <v>555</v>
      </c>
      <c r="S4004" s="13" t="s">
        <v>28</v>
      </c>
      <c r="BA4004" s="44"/>
      <c r="BB4004" s="44"/>
    </row>
    <row r="4005" spans="1:63" ht="12" customHeight="1" x14ac:dyDescent="0.15">
      <c r="A4005" s="1" t="s">
        <v>11234</v>
      </c>
      <c r="B4005" s="1">
        <v>34</v>
      </c>
      <c r="C4005" s="1" t="s">
        <v>114</v>
      </c>
      <c r="D4005" s="1" t="s">
        <v>37</v>
      </c>
      <c r="E4005" s="1" t="s">
        <v>11235</v>
      </c>
      <c r="F4005" s="72">
        <v>41705</v>
      </c>
      <c r="G4005" s="1" t="s">
        <v>11236</v>
      </c>
      <c r="H4005" s="1" t="s">
        <v>11237</v>
      </c>
      <c r="I4005" s="1" t="s">
        <v>404</v>
      </c>
      <c r="J4005" s="4" t="s">
        <v>11238</v>
      </c>
      <c r="K4005" s="1" t="s">
        <v>1056</v>
      </c>
      <c r="L4005" s="1" t="s">
        <v>9350</v>
      </c>
      <c r="M4005" s="1" t="s">
        <v>27</v>
      </c>
      <c r="N4005" s="1" t="s">
        <v>11239</v>
      </c>
      <c r="O4005" s="1" t="s">
        <v>3381</v>
      </c>
      <c r="P4005" s="1" t="s">
        <v>401</v>
      </c>
      <c r="Q4005" s="63" t="s">
        <v>11240</v>
      </c>
      <c r="R4005" s="1" t="s">
        <v>100</v>
      </c>
      <c r="S4005" s="13" t="s">
        <v>18</v>
      </c>
    </row>
    <row r="4006" spans="1:63" ht="12" customHeight="1" x14ac:dyDescent="0.15">
      <c r="A4006" s="1" t="s">
        <v>11230</v>
      </c>
      <c r="B4006" s="1">
        <v>48</v>
      </c>
      <c r="C4006" s="1" t="s">
        <v>114</v>
      </c>
      <c r="D4006" s="1" t="s">
        <v>37</v>
      </c>
      <c r="F4006" s="72">
        <v>41705</v>
      </c>
      <c r="G4006" s="1" t="s">
        <v>11231</v>
      </c>
      <c r="H4006" s="1" t="s">
        <v>200</v>
      </c>
      <c r="I4006" s="1" t="s">
        <v>45</v>
      </c>
      <c r="J4006" s="4" t="s">
        <v>11232</v>
      </c>
      <c r="K4006" s="1" t="s">
        <v>200</v>
      </c>
      <c r="L4006" s="1" t="s">
        <v>201</v>
      </c>
      <c r="M4006" s="1" t="s">
        <v>27</v>
      </c>
      <c r="N4006" s="1" t="s">
        <v>11233</v>
      </c>
      <c r="O4006" s="1" t="s">
        <v>1010</v>
      </c>
      <c r="P4006" s="1" t="s">
        <v>401</v>
      </c>
      <c r="Q4006" s="6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4006" s="1" t="s">
        <v>555</v>
      </c>
      <c r="S4006" s="13" t="s">
        <v>28</v>
      </c>
      <c r="BA4006" s="44"/>
      <c r="BB4006" s="44"/>
    </row>
    <row r="4007" spans="1:63" ht="12" customHeight="1" x14ac:dyDescent="0.15">
      <c r="A4007" s="1" t="s">
        <v>3252</v>
      </c>
      <c r="B4007" s="1" t="s">
        <v>29</v>
      </c>
      <c r="C4007" s="1" t="s">
        <v>20</v>
      </c>
      <c r="D4007" s="1" t="s">
        <v>85</v>
      </c>
      <c r="F4007" s="72">
        <v>41704</v>
      </c>
      <c r="G4007" s="1" t="s">
        <v>11241</v>
      </c>
      <c r="H4007" s="1" t="s">
        <v>723</v>
      </c>
      <c r="I4007" s="1" t="s">
        <v>73</v>
      </c>
      <c r="J4007" s="4" t="s">
        <v>11242</v>
      </c>
      <c r="K4007" s="1" t="s">
        <v>558</v>
      </c>
      <c r="L4007" s="1" t="s">
        <v>724</v>
      </c>
      <c r="M4007" s="1" t="s">
        <v>27</v>
      </c>
      <c r="N4007" s="1" t="s">
        <v>11243</v>
      </c>
      <c r="O4007" s="1" t="s">
        <v>1010</v>
      </c>
      <c r="P4007" s="1" t="s">
        <v>401</v>
      </c>
      <c r="Q4007" s="63" t="s">
        <v>11244</v>
      </c>
      <c r="R4007" s="1" t="s">
        <v>100</v>
      </c>
      <c r="S4007" s="13" t="s">
        <v>28</v>
      </c>
      <c r="AX4007" s="11"/>
      <c r="AY4007" s="11"/>
      <c r="BC4007" s="11"/>
      <c r="BD4007" s="11"/>
      <c r="BE4007" s="11"/>
      <c r="BF4007" s="11"/>
      <c r="BG4007" s="11"/>
      <c r="BH4007" s="11"/>
      <c r="BI4007" s="11"/>
      <c r="BJ4007" s="11"/>
    </row>
    <row r="4008" spans="1:63" ht="12" customHeight="1" x14ac:dyDescent="0.15">
      <c r="A4008" s="1" t="s">
        <v>11249</v>
      </c>
      <c r="B4008" s="1">
        <v>47</v>
      </c>
      <c r="C4008" s="1" t="s">
        <v>20</v>
      </c>
      <c r="D4008" s="1" t="s">
        <v>37</v>
      </c>
      <c r="E4008" s="1" t="s">
        <v>11250</v>
      </c>
      <c r="F4008" s="72">
        <v>41704</v>
      </c>
      <c r="G4008" s="1" t="s">
        <v>11251</v>
      </c>
      <c r="H4008" s="1" t="s">
        <v>548</v>
      </c>
      <c r="I4008" s="1" t="s">
        <v>854</v>
      </c>
      <c r="J4008" s="4" t="s">
        <v>11252</v>
      </c>
      <c r="K4008" s="1" t="s">
        <v>11253</v>
      </c>
      <c r="L4008" s="1" t="s">
        <v>11254</v>
      </c>
      <c r="M4008" s="1" t="s">
        <v>27</v>
      </c>
      <c r="N4008" s="1" t="s">
        <v>11255</v>
      </c>
      <c r="O4008" s="1" t="s">
        <v>1010</v>
      </c>
      <c r="P4008" s="1" t="s">
        <v>401</v>
      </c>
      <c r="Q4008" s="63" t="s">
        <v>11256</v>
      </c>
      <c r="R4008" s="1" t="s">
        <v>100</v>
      </c>
      <c r="S4008" s="13" t="s">
        <v>28</v>
      </c>
    </row>
    <row r="4009" spans="1:63" ht="12" customHeight="1" x14ac:dyDescent="0.15">
      <c r="A4009" s="1" t="s">
        <v>11257</v>
      </c>
      <c r="B4009" s="1">
        <v>28</v>
      </c>
      <c r="C4009" s="1" t="s">
        <v>20</v>
      </c>
      <c r="D4009" s="1" t="s">
        <v>37</v>
      </c>
      <c r="E4009" s="1" t="s">
        <v>11258</v>
      </c>
      <c r="F4009" s="72">
        <v>41704</v>
      </c>
      <c r="G4009" s="1" t="s">
        <v>11259</v>
      </c>
      <c r="H4009" s="1" t="s">
        <v>7436</v>
      </c>
      <c r="I4009" s="1" t="s">
        <v>395</v>
      </c>
      <c r="J4009" s="4" t="s">
        <v>11260</v>
      </c>
      <c r="K4009" s="1" t="s">
        <v>7436</v>
      </c>
      <c r="L4009" s="1" t="s">
        <v>11261</v>
      </c>
      <c r="M4009" s="1" t="s">
        <v>27</v>
      </c>
      <c r="N4009" s="1" t="s">
        <v>11262</v>
      </c>
      <c r="O4009" s="1" t="s">
        <v>550</v>
      </c>
      <c r="P4009" s="1" t="s">
        <v>401</v>
      </c>
      <c r="Q4009" s="63" t="s">
        <v>11263</v>
      </c>
      <c r="R4009" s="1" t="s">
        <v>100</v>
      </c>
      <c r="S4009" s="13" t="s">
        <v>28</v>
      </c>
    </row>
    <row r="4010" spans="1:63" ht="12" customHeight="1" x14ac:dyDescent="0.15">
      <c r="A4010" s="1" t="s">
        <v>11245</v>
      </c>
      <c r="B4010" s="1">
        <v>23</v>
      </c>
      <c r="C4010" s="1" t="s">
        <v>20</v>
      </c>
      <c r="D4010" s="1" t="s">
        <v>85</v>
      </c>
      <c r="F4010" s="72">
        <v>41704</v>
      </c>
      <c r="G4010" s="1" t="s">
        <v>11246</v>
      </c>
      <c r="H4010" s="1" t="s">
        <v>98</v>
      </c>
      <c r="I4010" s="1" t="s">
        <v>45</v>
      </c>
      <c r="J4010" s="4">
        <v>90003</v>
      </c>
      <c r="K4010" s="1" t="s">
        <v>98</v>
      </c>
      <c r="L4010" s="1" t="s">
        <v>99</v>
      </c>
      <c r="M4010" s="1" t="s">
        <v>27</v>
      </c>
      <c r="N4010" s="1" t="s">
        <v>11247</v>
      </c>
      <c r="P4010" s="1" t="s">
        <v>401</v>
      </c>
      <c r="Q4010" s="63" t="s">
        <v>11248</v>
      </c>
      <c r="R4010" s="1" t="s">
        <v>29</v>
      </c>
      <c r="S4010" s="13" t="s">
        <v>28</v>
      </c>
      <c r="AX4010" s="11"/>
      <c r="AY4010" s="11"/>
      <c r="BC4010" s="11"/>
      <c r="BD4010" s="11"/>
      <c r="BE4010" s="11"/>
      <c r="BF4010" s="11"/>
      <c r="BG4010" s="11"/>
      <c r="BH4010" s="11"/>
      <c r="BI4010" s="11"/>
      <c r="BJ4010" s="11"/>
    </row>
    <row r="4011" spans="1:63" ht="12" customHeight="1" x14ac:dyDescent="0.15">
      <c r="A4011" s="1" t="s">
        <v>11264</v>
      </c>
      <c r="B4011" s="1">
        <v>55</v>
      </c>
      <c r="C4011" s="1" t="s">
        <v>20</v>
      </c>
      <c r="D4011" s="1" t="s">
        <v>37</v>
      </c>
      <c r="E4011" s="1" t="s">
        <v>11265</v>
      </c>
      <c r="F4011" s="72">
        <v>41704</v>
      </c>
      <c r="G4011" s="1" t="s">
        <v>11266</v>
      </c>
      <c r="H4011" s="1" t="s">
        <v>387</v>
      </c>
      <c r="I4011" s="1" t="s">
        <v>319</v>
      </c>
      <c r="J4011" s="4" t="s">
        <v>7285</v>
      </c>
      <c r="K4011" s="1" t="s">
        <v>2681</v>
      </c>
      <c r="L4011" s="1" t="s">
        <v>7834</v>
      </c>
      <c r="M4011" s="1" t="s">
        <v>27</v>
      </c>
      <c r="N4011" s="1" t="s">
        <v>11267</v>
      </c>
      <c r="O4011" s="1" t="s">
        <v>1010</v>
      </c>
      <c r="P4011" s="1" t="s">
        <v>401</v>
      </c>
      <c r="Q4011" s="63" t="s">
        <v>11268</v>
      </c>
      <c r="R4011" s="1" t="s">
        <v>555</v>
      </c>
      <c r="S4011" s="13" t="s">
        <v>28</v>
      </c>
      <c r="BA4011" s="44"/>
      <c r="BB4011" s="44"/>
    </row>
    <row r="4012" spans="1:63" ht="12" customHeight="1" x14ac:dyDescent="0.15">
      <c r="A4012" s="1" t="s">
        <v>11299</v>
      </c>
      <c r="B4012" s="1">
        <v>27</v>
      </c>
      <c r="C4012" s="1" t="s">
        <v>20</v>
      </c>
      <c r="D4012" s="1" t="s">
        <v>37</v>
      </c>
      <c r="E4012" s="1" t="s">
        <v>11300</v>
      </c>
      <c r="F4012" s="72">
        <v>41703</v>
      </c>
      <c r="G4012" s="1" t="s">
        <v>11301</v>
      </c>
      <c r="H4012" s="1" t="s">
        <v>216</v>
      </c>
      <c r="I4012" s="1" t="s">
        <v>217</v>
      </c>
      <c r="J4012" s="4" t="s">
        <v>11302</v>
      </c>
      <c r="K4012" s="1" t="s">
        <v>420</v>
      </c>
      <c r="L4012" s="1" t="s">
        <v>218</v>
      </c>
      <c r="M4012" s="1" t="s">
        <v>27</v>
      </c>
      <c r="N4012" s="1" t="s">
        <v>11303</v>
      </c>
      <c r="O4012" s="1" t="s">
        <v>29</v>
      </c>
      <c r="P4012" s="1" t="s">
        <v>401</v>
      </c>
      <c r="Q4012" s="6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4012" s="11" t="s">
        <v>964</v>
      </c>
      <c r="S4012" s="13" t="s">
        <v>28</v>
      </c>
    </row>
    <row r="4013" spans="1:63" ht="12" customHeight="1" x14ac:dyDescent="0.15">
      <c r="A4013" s="1" t="s">
        <v>11290</v>
      </c>
      <c r="B4013" s="1">
        <v>50</v>
      </c>
      <c r="C4013" s="1" t="s">
        <v>20</v>
      </c>
      <c r="D4013" s="1" t="s">
        <v>37</v>
      </c>
      <c r="E4013" s="1" t="s">
        <v>11291</v>
      </c>
      <c r="F4013" s="72">
        <v>41703</v>
      </c>
      <c r="G4013" s="1" t="s">
        <v>11292</v>
      </c>
      <c r="H4013" s="1" t="s">
        <v>11293</v>
      </c>
      <c r="I4013" s="1" t="s">
        <v>431</v>
      </c>
      <c r="J4013" s="4" t="s">
        <v>11294</v>
      </c>
      <c r="K4013" s="1" t="s">
        <v>11295</v>
      </c>
      <c r="L4013" s="1" t="s">
        <v>11296</v>
      </c>
      <c r="M4013" s="1" t="s">
        <v>27</v>
      </c>
      <c r="N4013" s="1" t="s">
        <v>11297</v>
      </c>
      <c r="O4013" s="1" t="s">
        <v>550</v>
      </c>
      <c r="P4013" s="1" t="s">
        <v>401</v>
      </c>
      <c r="Q4013" s="63" t="s">
        <v>11298</v>
      </c>
      <c r="R4013" s="11" t="s">
        <v>964</v>
      </c>
      <c r="S4013" s="13" t="s">
        <v>18</v>
      </c>
    </row>
    <row r="4014" spans="1:63" ht="12" customHeight="1" x14ac:dyDescent="0.15">
      <c r="A4014" s="1" t="s">
        <v>11284</v>
      </c>
      <c r="B4014" s="1">
        <v>23</v>
      </c>
      <c r="C4014" s="1" t="s">
        <v>20</v>
      </c>
      <c r="D4014" s="1" t="s">
        <v>48</v>
      </c>
      <c r="E4014" s="1" t="s">
        <v>11285</v>
      </c>
      <c r="F4014" s="72">
        <v>41703</v>
      </c>
      <c r="G4014" s="1" t="s">
        <v>11286</v>
      </c>
      <c r="H4014" s="1" t="s">
        <v>4680</v>
      </c>
      <c r="I4014" s="1" t="s">
        <v>209</v>
      </c>
      <c r="J4014" s="4" t="s">
        <v>11287</v>
      </c>
      <c r="K4014" s="1" t="s">
        <v>4680</v>
      </c>
      <c r="L4014" s="1" t="s">
        <v>4682</v>
      </c>
      <c r="M4014" s="1" t="s">
        <v>27</v>
      </c>
      <c r="N4014" s="1" t="s">
        <v>11288</v>
      </c>
      <c r="O4014" s="1" t="s">
        <v>550</v>
      </c>
      <c r="P4014" s="1" t="s">
        <v>401</v>
      </c>
      <c r="Q4014" s="63" t="s">
        <v>11289</v>
      </c>
      <c r="R4014" s="1" t="s">
        <v>100</v>
      </c>
      <c r="S4014" s="13" t="s">
        <v>28</v>
      </c>
    </row>
    <row r="4015" spans="1:63" ht="12" customHeight="1" x14ac:dyDescent="0.15">
      <c r="A4015" s="1" t="s">
        <v>11276</v>
      </c>
      <c r="B4015" s="1">
        <v>23</v>
      </c>
      <c r="C4015" s="1" t="s">
        <v>20</v>
      </c>
      <c r="D4015" s="1" t="s">
        <v>48</v>
      </c>
      <c r="F4015" s="72">
        <v>41703</v>
      </c>
      <c r="G4015" s="1" t="s">
        <v>11277</v>
      </c>
      <c r="H4015" s="1" t="s">
        <v>11278</v>
      </c>
      <c r="I4015" s="1" t="s">
        <v>62</v>
      </c>
      <c r="J4015" s="4" t="s">
        <v>11279</v>
      </c>
      <c r="K4015" s="1" t="s">
        <v>11280</v>
      </c>
      <c r="L4015" s="1" t="s">
        <v>11281</v>
      </c>
      <c r="M4015" s="1" t="s">
        <v>27</v>
      </c>
      <c r="N4015" s="1" t="s">
        <v>11282</v>
      </c>
      <c r="O4015" s="1" t="s">
        <v>400</v>
      </c>
      <c r="P4015" s="1" t="s">
        <v>401</v>
      </c>
      <c r="Q4015" s="63" t="s">
        <v>11283</v>
      </c>
      <c r="R4015" s="1" t="s">
        <v>100</v>
      </c>
      <c r="S4015" s="13" t="s">
        <v>28</v>
      </c>
    </row>
    <row r="4016" spans="1:63" ht="12" customHeight="1" x14ac:dyDescent="0.2">
      <c r="A4016" s="1" t="s">
        <v>11304</v>
      </c>
      <c r="B4016" s="1">
        <v>97</v>
      </c>
      <c r="C4016" s="1" t="s">
        <v>114</v>
      </c>
      <c r="D4016" s="1" t="s">
        <v>37</v>
      </c>
      <c r="E4016" s="1" t="s">
        <v>11305</v>
      </c>
      <c r="F4016" s="72">
        <v>41703</v>
      </c>
      <c r="G4016" s="1" t="s">
        <v>11306</v>
      </c>
      <c r="H4016" s="1" t="s">
        <v>7127</v>
      </c>
      <c r="I4016" s="1" t="s">
        <v>62</v>
      </c>
      <c r="J4016" s="4" t="s">
        <v>11307</v>
      </c>
      <c r="K4016" s="1" t="s">
        <v>3891</v>
      </c>
      <c r="L4016" s="1" t="s">
        <v>1025</v>
      </c>
      <c r="M4016" s="1" t="s">
        <v>379</v>
      </c>
      <c r="N4016" s="1" t="s">
        <v>11308</v>
      </c>
      <c r="O4016" s="1" t="s">
        <v>1010</v>
      </c>
      <c r="P4016" s="1" t="s">
        <v>401</v>
      </c>
      <c r="Q4016" s="63" t="s">
        <v>11309</v>
      </c>
      <c r="R4016" s="1" t="s">
        <v>100</v>
      </c>
      <c r="S4016" s="13" t="s">
        <v>18</v>
      </c>
      <c r="BK4016" s="70"/>
    </row>
    <row r="4017" spans="1:63" ht="12" customHeight="1" x14ac:dyDescent="0.15">
      <c r="A4017" s="1" t="s">
        <v>11269</v>
      </c>
      <c r="B4017" s="1">
        <v>52</v>
      </c>
      <c r="C4017" s="1" t="s">
        <v>20</v>
      </c>
      <c r="D4017" s="1" t="s">
        <v>85</v>
      </c>
      <c r="E4017" s="1" t="s">
        <v>11270</v>
      </c>
      <c r="F4017" s="72">
        <v>41703</v>
      </c>
      <c r="G4017" s="1" t="s">
        <v>11271</v>
      </c>
      <c r="H4017" s="1" t="s">
        <v>9752</v>
      </c>
      <c r="I4017" s="1" t="s">
        <v>978</v>
      </c>
      <c r="J4017" s="4" t="s">
        <v>11272</v>
      </c>
      <c r="K4017" s="1" t="s">
        <v>2495</v>
      </c>
      <c r="L4017" s="1" t="s">
        <v>11273</v>
      </c>
      <c r="M4017" s="1" t="s">
        <v>27</v>
      </c>
      <c r="N4017" s="1" t="s">
        <v>11274</v>
      </c>
      <c r="O4017" s="1" t="s">
        <v>400</v>
      </c>
      <c r="P4017" s="1" t="s">
        <v>401</v>
      </c>
      <c r="Q4017" s="63" t="s">
        <v>11275</v>
      </c>
      <c r="R4017" s="1" t="s">
        <v>29</v>
      </c>
      <c r="S4017" s="13" t="s">
        <v>28</v>
      </c>
      <c r="AX4017" s="11"/>
      <c r="AY4017" s="11"/>
      <c r="BC4017" s="11"/>
      <c r="BD4017" s="11"/>
      <c r="BE4017" s="11"/>
      <c r="BF4017" s="11"/>
      <c r="BG4017" s="11"/>
      <c r="BH4017" s="11"/>
      <c r="BI4017" s="11"/>
      <c r="BJ4017" s="11"/>
    </row>
    <row r="4018" spans="1:63" ht="12" customHeight="1" x14ac:dyDescent="0.15">
      <c r="A4018" s="1" t="s">
        <v>11326</v>
      </c>
      <c r="B4018" s="1">
        <v>44</v>
      </c>
      <c r="C4018" s="1" t="s">
        <v>20</v>
      </c>
      <c r="D4018" s="1" t="s">
        <v>37</v>
      </c>
      <c r="E4018" s="1" t="s">
        <v>11327</v>
      </c>
      <c r="F4018" s="72">
        <v>41702</v>
      </c>
      <c r="G4018" s="1" t="s">
        <v>11328</v>
      </c>
      <c r="H4018" s="1" t="s">
        <v>11329</v>
      </c>
      <c r="I4018" s="1" t="s">
        <v>57</v>
      </c>
      <c r="J4018" s="4" t="s">
        <v>11330</v>
      </c>
      <c r="K4018" s="1" t="s">
        <v>601</v>
      </c>
      <c r="L4018" s="1" t="s">
        <v>18585</v>
      </c>
      <c r="M4018" s="1" t="s">
        <v>27</v>
      </c>
      <c r="N4018" s="1" t="s">
        <v>11331</v>
      </c>
      <c r="O4018" s="1" t="s">
        <v>400</v>
      </c>
      <c r="P4018" s="1" t="s">
        <v>401</v>
      </c>
      <c r="Q4018" s="63" t="s">
        <v>11332</v>
      </c>
      <c r="R4018" s="11" t="s">
        <v>964</v>
      </c>
      <c r="S4018" s="13" t="s">
        <v>28</v>
      </c>
    </row>
    <row r="4019" spans="1:63" ht="12" customHeight="1" x14ac:dyDescent="0.15">
      <c r="A4019" s="1" t="s">
        <v>11333</v>
      </c>
      <c r="B4019" s="1">
        <v>24</v>
      </c>
      <c r="C4019" s="1" t="s">
        <v>114</v>
      </c>
      <c r="D4019" s="1" t="s">
        <v>37</v>
      </c>
      <c r="E4019" s="1" t="s">
        <v>11334</v>
      </c>
      <c r="F4019" s="72">
        <v>41702</v>
      </c>
      <c r="G4019" s="1" t="s">
        <v>11335</v>
      </c>
      <c r="H4019" s="1" t="s">
        <v>11336</v>
      </c>
      <c r="I4019" s="1" t="s">
        <v>32</v>
      </c>
      <c r="J4019" s="4" t="s">
        <v>11337</v>
      </c>
      <c r="K4019" s="1" t="s">
        <v>2863</v>
      </c>
      <c r="L4019" s="1" t="s">
        <v>11338</v>
      </c>
      <c r="M4019" s="1" t="s">
        <v>27</v>
      </c>
      <c r="N4019" s="1" t="s">
        <v>11339</v>
      </c>
      <c r="O4019" s="1" t="s">
        <v>1010</v>
      </c>
      <c r="P4019" s="1" t="s">
        <v>401</v>
      </c>
      <c r="Q4019" s="63" t="s">
        <v>11340</v>
      </c>
      <c r="R4019" s="1" t="s">
        <v>100</v>
      </c>
      <c r="S4019" s="13" t="s">
        <v>379</v>
      </c>
      <c r="BK4019" s="11"/>
    </row>
    <row r="4020" spans="1:63" ht="12" customHeight="1" x14ac:dyDescent="0.15">
      <c r="A4020" s="1" t="s">
        <v>11310</v>
      </c>
      <c r="B4020" s="1">
        <v>41</v>
      </c>
      <c r="C4020" s="1" t="s">
        <v>20</v>
      </c>
      <c r="D4020" s="1" t="s">
        <v>85</v>
      </c>
      <c r="E4020" s="1" t="s">
        <v>11311</v>
      </c>
      <c r="F4020" s="72">
        <v>41702</v>
      </c>
      <c r="G4020" s="1" t="s">
        <v>11312</v>
      </c>
      <c r="H4020" s="1" t="s">
        <v>10181</v>
      </c>
      <c r="I4020" s="1" t="s">
        <v>62</v>
      </c>
      <c r="J4020" s="4" t="s">
        <v>11313</v>
      </c>
      <c r="K4020" s="1" t="s">
        <v>638</v>
      </c>
      <c r="L4020" s="1" t="s">
        <v>639</v>
      </c>
      <c r="M4020" s="1" t="s">
        <v>27</v>
      </c>
      <c r="N4020" s="1" t="s">
        <v>11314</v>
      </c>
      <c r="O4020" s="1" t="s">
        <v>1010</v>
      </c>
      <c r="P4020" s="1" t="s">
        <v>401</v>
      </c>
      <c r="Q4020" s="63" t="s">
        <v>11315</v>
      </c>
      <c r="R4020" s="1" t="s">
        <v>555</v>
      </c>
      <c r="S4020" s="13" t="s">
        <v>28</v>
      </c>
      <c r="AX4020" s="11"/>
      <c r="AY4020" s="11"/>
      <c r="BC4020" s="11"/>
      <c r="BD4020" s="11"/>
      <c r="BE4020" s="11"/>
      <c r="BF4020" s="11"/>
      <c r="BG4020" s="11"/>
      <c r="BH4020" s="11"/>
      <c r="BI4020" s="11"/>
      <c r="BJ4020" s="11"/>
    </row>
    <row r="4021" spans="1:63" ht="12" customHeight="1" x14ac:dyDescent="0.15">
      <c r="A4021" s="1" t="s">
        <v>11316</v>
      </c>
      <c r="B4021" s="1">
        <v>20</v>
      </c>
      <c r="C4021" s="1" t="s">
        <v>20</v>
      </c>
      <c r="D4021" s="1" t="s">
        <v>48</v>
      </c>
      <c r="F4021" s="72">
        <v>41702</v>
      </c>
      <c r="G4021" s="1" t="s">
        <v>11317</v>
      </c>
      <c r="H4021" s="1" t="s">
        <v>763</v>
      </c>
      <c r="I4021" s="1" t="s">
        <v>62</v>
      </c>
      <c r="J4021" s="4" t="s">
        <v>11318</v>
      </c>
      <c r="K4021" s="1" t="s">
        <v>161</v>
      </c>
      <c r="L4021" s="1" t="s">
        <v>162</v>
      </c>
      <c r="M4021" s="1" t="s">
        <v>27</v>
      </c>
      <c r="N4021" s="1" t="s">
        <v>11319</v>
      </c>
      <c r="O4021" s="1" t="s">
        <v>1010</v>
      </c>
      <c r="P4021" s="1" t="s">
        <v>401</v>
      </c>
      <c r="Q4021" s="63" t="s">
        <v>11320</v>
      </c>
      <c r="R4021" s="1" t="s">
        <v>555</v>
      </c>
      <c r="S4021" s="13" t="s">
        <v>28</v>
      </c>
      <c r="BA4021" s="11"/>
      <c r="BB4021" s="11"/>
    </row>
    <row r="4022" spans="1:63" ht="12" customHeight="1" x14ac:dyDescent="0.15">
      <c r="A4022" s="1" t="s">
        <v>11321</v>
      </c>
      <c r="B4022" s="1">
        <v>67</v>
      </c>
      <c r="C4022" s="1" t="s">
        <v>20</v>
      </c>
      <c r="D4022" s="1" t="s">
        <v>48</v>
      </c>
      <c r="F4022" s="72">
        <v>41702</v>
      </c>
      <c r="G4022" s="1" t="s">
        <v>11322</v>
      </c>
      <c r="H4022" s="1" t="s">
        <v>1592</v>
      </c>
      <c r="I4022" s="1" t="s">
        <v>52</v>
      </c>
      <c r="J4022" s="4" t="s">
        <v>2769</v>
      </c>
      <c r="K4022" s="1" t="s">
        <v>4697</v>
      </c>
      <c r="L4022" s="1" t="s">
        <v>11323</v>
      </c>
      <c r="M4022" s="1" t="s">
        <v>14359</v>
      </c>
      <c r="N4022" s="1" t="s">
        <v>11324</v>
      </c>
      <c r="O4022" s="1" t="s">
        <v>1010</v>
      </c>
      <c r="P4022" s="1" t="s">
        <v>401</v>
      </c>
      <c r="Q4022" s="63" t="s">
        <v>11325</v>
      </c>
      <c r="R4022" s="1" t="s">
        <v>555</v>
      </c>
      <c r="S4022" s="13" t="s">
        <v>18</v>
      </c>
      <c r="BA4022" s="11"/>
      <c r="BB4022" s="11"/>
    </row>
    <row r="4023" spans="1:63" ht="12" customHeight="1" x14ac:dyDescent="0.15">
      <c r="A4023" s="1" t="s">
        <v>11341</v>
      </c>
      <c r="B4023" s="1">
        <v>19</v>
      </c>
      <c r="C4023" s="1" t="s">
        <v>20</v>
      </c>
      <c r="D4023" s="1" t="s">
        <v>139</v>
      </c>
      <c r="F4023" s="72">
        <v>41701</v>
      </c>
      <c r="H4023" s="1" t="s">
        <v>11342</v>
      </c>
      <c r="I4023" s="1" t="s">
        <v>854</v>
      </c>
      <c r="J4023" s="4" t="s">
        <v>11343</v>
      </c>
      <c r="K4023" s="1" t="s">
        <v>11344</v>
      </c>
      <c r="L4023" s="1" t="s">
        <v>11345</v>
      </c>
      <c r="M4023" s="1" t="s">
        <v>27</v>
      </c>
      <c r="N4023" s="1" t="s">
        <v>11346</v>
      </c>
      <c r="O4023" s="1" t="s">
        <v>1010</v>
      </c>
      <c r="P4023" s="1" t="s">
        <v>401</v>
      </c>
      <c r="Q4023" s="63" t="s">
        <v>11347</v>
      </c>
      <c r="R4023" s="1" t="s">
        <v>29</v>
      </c>
      <c r="S4023" s="13" t="s">
        <v>28</v>
      </c>
    </row>
    <row r="4024" spans="1:63" ht="12" customHeight="1" x14ac:dyDescent="0.15">
      <c r="A4024" s="1" t="s">
        <v>11356</v>
      </c>
      <c r="B4024" s="1">
        <v>28</v>
      </c>
      <c r="C4024" s="1" t="s">
        <v>20</v>
      </c>
      <c r="D4024" s="1" t="s">
        <v>37</v>
      </c>
      <c r="F4024" s="72">
        <v>41701</v>
      </c>
      <c r="G4024" s="1" t="s">
        <v>11357</v>
      </c>
      <c r="H4024" s="1" t="s">
        <v>632</v>
      </c>
      <c r="I4024" s="1" t="s">
        <v>123</v>
      </c>
      <c r="J4024" s="4" t="s">
        <v>11358</v>
      </c>
      <c r="K4024" s="1" t="s">
        <v>633</v>
      </c>
      <c r="L4024" s="1" t="s">
        <v>634</v>
      </c>
      <c r="M4024" s="1" t="s">
        <v>27</v>
      </c>
      <c r="N4024" s="1" t="s">
        <v>11359</v>
      </c>
      <c r="O4024" s="1" t="s">
        <v>1010</v>
      </c>
      <c r="P4024" s="1" t="s">
        <v>401</v>
      </c>
      <c r="Q4024" s="63" t="s">
        <v>11360</v>
      </c>
      <c r="R4024" s="1" t="s">
        <v>29</v>
      </c>
      <c r="S4024" s="13" t="s">
        <v>28</v>
      </c>
    </row>
    <row r="4025" spans="1:63" ht="12" customHeight="1" x14ac:dyDescent="0.15">
      <c r="A4025" s="1" t="s">
        <v>11348</v>
      </c>
      <c r="B4025" s="1">
        <v>28</v>
      </c>
      <c r="C4025" s="1" t="s">
        <v>20</v>
      </c>
      <c r="D4025" s="1" t="s">
        <v>37</v>
      </c>
      <c r="E4025" s="1" t="s">
        <v>11349</v>
      </c>
      <c r="F4025" s="72">
        <v>41701</v>
      </c>
      <c r="G4025" s="1" t="s">
        <v>11350</v>
      </c>
      <c r="H4025" s="1" t="s">
        <v>11351</v>
      </c>
      <c r="I4025" s="1" t="s">
        <v>62</v>
      </c>
      <c r="J4025" s="4" t="s">
        <v>11352</v>
      </c>
      <c r="K4025" s="1" t="s">
        <v>1024</v>
      </c>
      <c r="L4025" s="1" t="s">
        <v>11353</v>
      </c>
      <c r="M4025" s="1" t="s">
        <v>27</v>
      </c>
      <c r="N4025" s="1" t="s">
        <v>11354</v>
      </c>
      <c r="O4025" s="1" t="s">
        <v>1010</v>
      </c>
      <c r="P4025" s="1" t="s">
        <v>401</v>
      </c>
      <c r="Q4025" s="63" t="s">
        <v>11355</v>
      </c>
      <c r="R4025" s="1" t="s">
        <v>29</v>
      </c>
      <c r="S4025" s="13" t="s">
        <v>28</v>
      </c>
    </row>
    <row r="4026" spans="1:63" ht="12" customHeight="1" x14ac:dyDescent="0.2">
      <c r="A4026" s="1" t="s">
        <v>11367</v>
      </c>
      <c r="B4026" s="1">
        <v>30</v>
      </c>
      <c r="C4026" s="1" t="s">
        <v>20</v>
      </c>
      <c r="D4026" s="1" t="s">
        <v>37</v>
      </c>
      <c r="E4026" s="1" t="s">
        <v>11368</v>
      </c>
      <c r="F4026" s="72">
        <v>41700</v>
      </c>
      <c r="G4026" s="1" t="s">
        <v>11369</v>
      </c>
      <c r="H4026" s="1" t="s">
        <v>11370</v>
      </c>
      <c r="I4026" s="1" t="s">
        <v>25</v>
      </c>
      <c r="J4026" s="4" t="s">
        <v>11371</v>
      </c>
      <c r="K4026" s="1" t="s">
        <v>11370</v>
      </c>
      <c r="L4026" s="1" t="s">
        <v>11372</v>
      </c>
      <c r="M4026" s="1" t="s">
        <v>12821</v>
      </c>
      <c r="N4026" s="1" t="s">
        <v>11373</v>
      </c>
      <c r="O4026" s="1" t="s">
        <v>1010</v>
      </c>
      <c r="P4026" s="1" t="s">
        <v>401</v>
      </c>
      <c r="Q4026" s="63" t="s">
        <v>11374</v>
      </c>
      <c r="R4026" s="11" t="s">
        <v>964</v>
      </c>
      <c r="S4026" s="13" t="s">
        <v>18</v>
      </c>
      <c r="AU4026" s="70"/>
      <c r="AV4026" s="70"/>
      <c r="AW4026" s="70"/>
      <c r="AX4026" s="44"/>
      <c r="AY4026" s="44"/>
      <c r="AZ4026" s="44"/>
    </row>
    <row r="4027" spans="1:63" ht="12" customHeight="1" x14ac:dyDescent="0.15">
      <c r="A4027" s="1" t="s">
        <v>11361</v>
      </c>
      <c r="B4027" s="1">
        <v>22</v>
      </c>
      <c r="C4027" s="1" t="s">
        <v>114</v>
      </c>
      <c r="D4027" s="1" t="s">
        <v>48</v>
      </c>
      <c r="F4027" s="72">
        <v>41700</v>
      </c>
      <c r="G4027" s="1" t="s">
        <v>11362</v>
      </c>
      <c r="H4027" s="1" t="s">
        <v>11363</v>
      </c>
      <c r="I4027" s="1" t="s">
        <v>45</v>
      </c>
      <c r="J4027" s="4" t="s">
        <v>11364</v>
      </c>
      <c r="K4027" s="1" t="s">
        <v>1642</v>
      </c>
      <c r="L4027" s="1" t="s">
        <v>1643</v>
      </c>
      <c r="M4027" s="1" t="s">
        <v>27</v>
      </c>
      <c r="N4027" s="1" t="s">
        <v>11365</v>
      </c>
      <c r="O4027" s="1" t="s">
        <v>550</v>
      </c>
      <c r="P4027" s="1" t="s">
        <v>401</v>
      </c>
      <c r="Q4027" s="63" t="s">
        <v>11366</v>
      </c>
      <c r="R4027" s="1" t="s">
        <v>29</v>
      </c>
      <c r="S4027" s="13" t="s">
        <v>379</v>
      </c>
    </row>
    <row r="4028" spans="1:63" ht="12" customHeight="1" x14ac:dyDescent="0.15">
      <c r="A4028" s="1" t="s">
        <v>11375</v>
      </c>
      <c r="B4028" s="1">
        <v>41</v>
      </c>
      <c r="C4028" s="1" t="s">
        <v>20</v>
      </c>
      <c r="D4028" s="1" t="s">
        <v>37</v>
      </c>
      <c r="F4028" s="72">
        <v>41700</v>
      </c>
      <c r="G4028" s="1" t="s">
        <v>11376</v>
      </c>
      <c r="H4028" s="1" t="s">
        <v>11377</v>
      </c>
      <c r="I4028" s="1" t="s">
        <v>45</v>
      </c>
      <c r="J4028" s="4" t="s">
        <v>11378</v>
      </c>
      <c r="K4028" s="1" t="s">
        <v>1642</v>
      </c>
      <c r="L4028" s="1" t="s">
        <v>11379</v>
      </c>
      <c r="M4028" s="1" t="s">
        <v>27</v>
      </c>
      <c r="N4028" s="1" t="s">
        <v>11380</v>
      </c>
      <c r="O4028" s="1" t="s">
        <v>1010</v>
      </c>
      <c r="P4028" s="1" t="s">
        <v>401</v>
      </c>
      <c r="Q4028" s="63" t="s">
        <v>11381</v>
      </c>
      <c r="R4028" s="1" t="s">
        <v>555</v>
      </c>
      <c r="S4028" s="13" t="s">
        <v>28</v>
      </c>
      <c r="BA4028" s="44"/>
      <c r="BB4028" s="44"/>
    </row>
    <row r="4029" spans="1:63" ht="12" customHeight="1" x14ac:dyDescent="0.15">
      <c r="A4029" s="1" t="s">
        <v>11382</v>
      </c>
      <c r="B4029" s="1" t="s">
        <v>29</v>
      </c>
      <c r="C4029" s="1" t="s">
        <v>20</v>
      </c>
      <c r="D4029" s="1" t="s">
        <v>48</v>
      </c>
      <c r="F4029" s="72">
        <v>41699</v>
      </c>
      <c r="G4029" s="1" t="s">
        <v>11383</v>
      </c>
      <c r="H4029" s="1" t="s">
        <v>285</v>
      </c>
      <c r="I4029" s="1" t="s">
        <v>73</v>
      </c>
      <c r="J4029" s="4" t="s">
        <v>10703</v>
      </c>
      <c r="K4029" s="1" t="s">
        <v>285</v>
      </c>
      <c r="L4029" s="1" t="s">
        <v>286</v>
      </c>
      <c r="M4029" s="1" t="s">
        <v>391</v>
      </c>
      <c r="N4029" s="1" t="s">
        <v>11384</v>
      </c>
      <c r="O4029" s="1" t="s">
        <v>1010</v>
      </c>
      <c r="P4029" s="1" t="s">
        <v>401</v>
      </c>
      <c r="Q4029" s="63" t="s">
        <v>11385</v>
      </c>
      <c r="R4029" s="11" t="s">
        <v>964</v>
      </c>
      <c r="S4029" s="13" t="s">
        <v>28</v>
      </c>
      <c r="AU4029" s="11"/>
      <c r="AV4029" s="11"/>
      <c r="AW4029" s="11"/>
    </row>
    <row r="4030" spans="1:63" ht="12" customHeight="1" x14ac:dyDescent="0.15">
      <c r="A4030" s="1" t="s">
        <v>11386</v>
      </c>
      <c r="B4030" s="1">
        <v>21</v>
      </c>
      <c r="C4030" s="1" t="s">
        <v>20</v>
      </c>
      <c r="D4030" s="1" t="s">
        <v>37</v>
      </c>
      <c r="F4030" s="72">
        <v>41699</v>
      </c>
      <c r="G4030" s="1" t="s">
        <v>11387</v>
      </c>
      <c r="H4030" s="1" t="s">
        <v>11388</v>
      </c>
      <c r="I4030" s="1" t="s">
        <v>431</v>
      </c>
      <c r="J4030" s="4" t="s">
        <v>11389</v>
      </c>
      <c r="K4030" s="1" t="s">
        <v>10434</v>
      </c>
      <c r="L4030" s="1" t="s">
        <v>11390</v>
      </c>
      <c r="M4030" s="1" t="s">
        <v>27</v>
      </c>
      <c r="N4030" s="1" t="s">
        <v>11391</v>
      </c>
      <c r="O4030" s="1" t="s">
        <v>550</v>
      </c>
      <c r="P4030" s="1" t="s">
        <v>401</v>
      </c>
      <c r="Q4030" s="63" t="s">
        <v>11392</v>
      </c>
      <c r="R4030" s="1" t="s">
        <v>555</v>
      </c>
      <c r="S4030" s="13" t="s">
        <v>28</v>
      </c>
      <c r="BA4030" s="44"/>
      <c r="BB4030" s="44"/>
    </row>
    <row r="4031" spans="1:63" ht="12" customHeight="1" x14ac:dyDescent="0.15">
      <c r="A4031" s="1" t="s">
        <v>11398</v>
      </c>
      <c r="B4031" s="1">
        <v>37</v>
      </c>
      <c r="C4031" s="1" t="s">
        <v>20</v>
      </c>
      <c r="D4031" s="1" t="s">
        <v>48</v>
      </c>
      <c r="E4031" s="1" t="s">
        <v>11399</v>
      </c>
      <c r="F4031" s="72">
        <v>41698</v>
      </c>
      <c r="G4031" s="1" t="s">
        <v>11400</v>
      </c>
      <c r="H4031" s="1" t="s">
        <v>213</v>
      </c>
      <c r="I4031" s="1" t="s">
        <v>62</v>
      </c>
      <c r="J4031" s="4" t="s">
        <v>11401</v>
      </c>
      <c r="K4031" s="1" t="s">
        <v>161</v>
      </c>
      <c r="L4031" s="1" t="s">
        <v>162</v>
      </c>
      <c r="M4031" s="1" t="s">
        <v>391</v>
      </c>
      <c r="N4031" s="1" t="s">
        <v>11402</v>
      </c>
      <c r="O4031" s="1" t="s">
        <v>1010</v>
      </c>
      <c r="P4031" s="1" t="s">
        <v>401</v>
      </c>
      <c r="Q4031" s="63" t="s">
        <v>11403</v>
      </c>
      <c r="R4031" s="1" t="s">
        <v>100</v>
      </c>
      <c r="S4031" s="13" t="s">
        <v>18</v>
      </c>
      <c r="AU4031" s="11"/>
      <c r="AV4031" s="11"/>
      <c r="AW4031" s="11"/>
    </row>
    <row r="4032" spans="1:63" ht="12" customHeight="1" x14ac:dyDescent="0.15">
      <c r="A4032" s="1" t="s">
        <v>11393</v>
      </c>
      <c r="B4032" s="1">
        <v>23</v>
      </c>
      <c r="C4032" s="1" t="s">
        <v>20</v>
      </c>
      <c r="D4032" s="1" t="s">
        <v>85</v>
      </c>
      <c r="E4032" s="1" t="s">
        <v>11394</v>
      </c>
      <c r="F4032" s="72">
        <v>41698</v>
      </c>
      <c r="G4032" s="1" t="s">
        <v>11395</v>
      </c>
      <c r="H4032" s="1" t="s">
        <v>575</v>
      </c>
      <c r="I4032" s="1" t="s">
        <v>73</v>
      </c>
      <c r="J4032" s="4" t="s">
        <v>8251</v>
      </c>
      <c r="K4032" s="1" t="s">
        <v>576</v>
      </c>
      <c r="L4032" s="1" t="s">
        <v>577</v>
      </c>
      <c r="M4032" s="1" t="s">
        <v>27</v>
      </c>
      <c r="N4032" s="1" t="s">
        <v>11396</v>
      </c>
      <c r="O4032" s="1" t="s">
        <v>1010</v>
      </c>
      <c r="P4032" s="1" t="s">
        <v>401</v>
      </c>
      <c r="Q4032" s="63" t="s">
        <v>11397</v>
      </c>
      <c r="R4032" s="1" t="s">
        <v>100</v>
      </c>
      <c r="S4032" s="13" t="s">
        <v>35</v>
      </c>
      <c r="AX4032" s="11"/>
      <c r="AY4032" s="11"/>
      <c r="BC4032" s="11"/>
      <c r="BD4032" s="11"/>
      <c r="BE4032" s="11"/>
      <c r="BF4032" s="11"/>
      <c r="BG4032" s="11"/>
      <c r="BH4032" s="11"/>
      <c r="BI4032" s="11"/>
      <c r="BJ4032" s="11"/>
      <c r="BK4032" s="11"/>
    </row>
    <row r="4033" spans="1:63" ht="12" customHeight="1" x14ac:dyDescent="0.15">
      <c r="A4033" s="1" t="s">
        <v>11404</v>
      </c>
      <c r="B4033" s="1">
        <v>51</v>
      </c>
      <c r="C4033" s="1" t="s">
        <v>20</v>
      </c>
      <c r="D4033" s="1" t="s">
        <v>37</v>
      </c>
      <c r="E4033" s="1" t="s">
        <v>11405</v>
      </c>
      <c r="F4033" s="72">
        <v>41698</v>
      </c>
      <c r="G4033" s="1" t="s">
        <v>11406</v>
      </c>
      <c r="H4033" s="1" t="s">
        <v>1874</v>
      </c>
      <c r="I4033" s="1" t="s">
        <v>62</v>
      </c>
      <c r="J4033" s="4" t="s">
        <v>11407</v>
      </c>
      <c r="K4033" s="1" t="s">
        <v>1769</v>
      </c>
      <c r="L4033" s="1" t="s">
        <v>3765</v>
      </c>
      <c r="M4033" s="1" t="s">
        <v>27</v>
      </c>
      <c r="N4033" s="1" t="s">
        <v>11408</v>
      </c>
      <c r="O4033" s="1" t="s">
        <v>1010</v>
      </c>
      <c r="P4033" s="1" t="s">
        <v>401</v>
      </c>
      <c r="Q4033" s="63" t="s">
        <v>11409</v>
      </c>
      <c r="R4033" s="1" t="s">
        <v>555</v>
      </c>
      <c r="S4033" s="13" t="s">
        <v>28</v>
      </c>
      <c r="BA4033" s="44"/>
      <c r="BB4033" s="44"/>
    </row>
    <row r="4034" spans="1:63" ht="12" customHeight="1" x14ac:dyDescent="0.15">
      <c r="A4034" s="1" t="s">
        <v>11410</v>
      </c>
      <c r="B4034" s="1">
        <v>27</v>
      </c>
      <c r="C4034" s="1" t="s">
        <v>20</v>
      </c>
      <c r="D4034" s="1" t="s">
        <v>85</v>
      </c>
      <c r="E4034" s="1" t="s">
        <v>11411</v>
      </c>
      <c r="F4034" s="72">
        <v>41697</v>
      </c>
      <c r="G4034" s="1" t="s">
        <v>11412</v>
      </c>
      <c r="H4034" s="1" t="s">
        <v>6443</v>
      </c>
      <c r="I4034" s="1" t="s">
        <v>62</v>
      </c>
      <c r="J4034" s="4" t="s">
        <v>11413</v>
      </c>
      <c r="K4034" s="1" t="s">
        <v>161</v>
      </c>
      <c r="L4034" s="1" t="s">
        <v>6444</v>
      </c>
      <c r="M4034" s="1" t="s">
        <v>27</v>
      </c>
      <c r="N4034" s="1" t="s">
        <v>11414</v>
      </c>
      <c r="O4034" s="1" t="s">
        <v>1010</v>
      </c>
      <c r="P4034" s="1" t="s">
        <v>401</v>
      </c>
      <c r="Q4034" s="63" t="s">
        <v>11415</v>
      </c>
      <c r="R4034" s="1" t="s">
        <v>100</v>
      </c>
      <c r="S4034" s="13" t="s">
        <v>18</v>
      </c>
      <c r="AX4034" s="11"/>
      <c r="AY4034" s="11"/>
      <c r="BC4034" s="11"/>
      <c r="BD4034" s="11"/>
      <c r="BE4034" s="11"/>
      <c r="BF4034" s="11"/>
      <c r="BG4034" s="11"/>
      <c r="BH4034" s="11"/>
      <c r="BI4034" s="11"/>
      <c r="BJ4034" s="11"/>
    </row>
    <row r="4035" spans="1:63" s="44" customFormat="1" ht="12" customHeight="1" x14ac:dyDescent="0.15">
      <c r="A4035" s="1" t="s">
        <v>11416</v>
      </c>
      <c r="B4035" s="1">
        <v>48</v>
      </c>
      <c r="C4035" s="1" t="s">
        <v>20</v>
      </c>
      <c r="D4035" s="1" t="s">
        <v>37</v>
      </c>
      <c r="E4035" s="1" t="s">
        <v>11417</v>
      </c>
      <c r="F4035" s="72">
        <v>41697</v>
      </c>
      <c r="G4035" s="1" t="s">
        <v>11418</v>
      </c>
      <c r="H4035" s="1" t="s">
        <v>8600</v>
      </c>
      <c r="I4035" s="1" t="s">
        <v>225</v>
      </c>
      <c r="J4035" s="54">
        <v>19947</v>
      </c>
      <c r="K4035" s="9" t="s">
        <v>1990</v>
      </c>
      <c r="L4035" s="9" t="s">
        <v>11419</v>
      </c>
      <c r="M4035" s="1" t="s">
        <v>14359</v>
      </c>
      <c r="N4035" s="1" t="s">
        <v>11420</v>
      </c>
      <c r="O4035" s="1" t="s">
        <v>1010</v>
      </c>
      <c r="P4035" s="1" t="s">
        <v>401</v>
      </c>
      <c r="Q4035" s="63" t="s">
        <v>11421</v>
      </c>
      <c r="R4035" s="1" t="s">
        <v>555</v>
      </c>
      <c r="S4035" s="13" t="s">
        <v>18</v>
      </c>
      <c r="T4035" s="1"/>
      <c r="U4035" s="1"/>
      <c r="V4035" s="1"/>
      <c r="W4035" s="1"/>
      <c r="X4035" s="1"/>
      <c r="Y4035" s="1"/>
      <c r="Z4035" s="1"/>
      <c r="AA4035" s="1"/>
      <c r="AB4035" s="1"/>
      <c r="AC4035" s="1"/>
      <c r="AD4035" s="1"/>
      <c r="AE4035" s="1"/>
      <c r="AF4035" s="1"/>
      <c r="AG4035" s="1"/>
      <c r="AH4035" s="1"/>
      <c r="AI4035" s="1"/>
      <c r="AJ4035" s="1"/>
      <c r="AK4035" s="1"/>
      <c r="AL4035" s="1"/>
      <c r="AM4035" s="1"/>
      <c r="AN4035" s="1"/>
      <c r="AO4035" s="1"/>
      <c r="AP4035" s="1"/>
      <c r="AQ4035" s="1"/>
      <c r="AR4035" s="1"/>
      <c r="AS4035" s="1"/>
      <c r="AT4035" s="1"/>
      <c r="AU4035" s="1"/>
      <c r="AV4035" s="1"/>
      <c r="AW4035" s="1"/>
      <c r="BA4035" s="1"/>
      <c r="BB4035" s="1"/>
      <c r="BC4035" s="1"/>
      <c r="BD4035" s="1"/>
      <c r="BE4035" s="1"/>
      <c r="BF4035" s="1"/>
      <c r="BG4035" s="1"/>
      <c r="BH4035" s="1"/>
      <c r="BI4035" s="1"/>
      <c r="BJ4035" s="1"/>
      <c r="BK4035" s="1"/>
    </row>
    <row r="4036" spans="1:63" ht="12" customHeight="1" x14ac:dyDescent="0.15">
      <c r="A4036" s="1" t="s">
        <v>11436</v>
      </c>
      <c r="B4036" s="1">
        <v>33</v>
      </c>
      <c r="C4036" s="1" t="s">
        <v>20</v>
      </c>
      <c r="D4036" s="1" t="s">
        <v>37</v>
      </c>
      <c r="F4036" s="72">
        <v>41696</v>
      </c>
      <c r="G4036" s="1" t="s">
        <v>11437</v>
      </c>
      <c r="H4036" s="1" t="s">
        <v>11438</v>
      </c>
      <c r="I4036" s="1" t="s">
        <v>44</v>
      </c>
      <c r="J4036" s="4" t="s">
        <v>11439</v>
      </c>
      <c r="K4036" s="1" t="s">
        <v>11440</v>
      </c>
      <c r="L4036" s="1" t="s">
        <v>11441</v>
      </c>
      <c r="M4036" s="1" t="s">
        <v>27</v>
      </c>
      <c r="N4036" s="1" t="s">
        <v>11442</v>
      </c>
      <c r="O4036" s="1" t="s">
        <v>1010</v>
      </c>
      <c r="P4036" s="1" t="s">
        <v>401</v>
      </c>
      <c r="Q4036" s="6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4036" s="1" t="s">
        <v>100</v>
      </c>
      <c r="S4036" s="13" t="s">
        <v>28</v>
      </c>
    </row>
    <row r="4037" spans="1:63" ht="12" customHeight="1" x14ac:dyDescent="0.15">
      <c r="A4037" s="1" t="s">
        <v>11443</v>
      </c>
      <c r="B4037" s="1">
        <v>42</v>
      </c>
      <c r="C4037" s="1" t="s">
        <v>114</v>
      </c>
      <c r="D4037" s="1" t="s">
        <v>37</v>
      </c>
      <c r="E4037" s="1" t="s">
        <v>11444</v>
      </c>
      <c r="F4037" s="72">
        <v>41696</v>
      </c>
      <c r="G4037" s="1" t="s">
        <v>11445</v>
      </c>
      <c r="H4037" s="1" t="s">
        <v>285</v>
      </c>
      <c r="I4037" s="1" t="s">
        <v>73</v>
      </c>
      <c r="J4037" s="4" t="s">
        <v>10703</v>
      </c>
      <c r="K4037" s="1" t="s">
        <v>285</v>
      </c>
      <c r="L4037" s="1" t="s">
        <v>11446</v>
      </c>
      <c r="M4037" s="1" t="s">
        <v>27</v>
      </c>
      <c r="N4037" s="1" t="s">
        <v>21005</v>
      </c>
      <c r="O4037" s="1" t="s">
        <v>25470</v>
      </c>
      <c r="P4037" s="1" t="s">
        <v>401</v>
      </c>
      <c r="Q4037" s="63" t="s">
        <v>11447</v>
      </c>
      <c r="R4037" s="1" t="s">
        <v>100</v>
      </c>
      <c r="S4037" s="13" t="s">
        <v>18</v>
      </c>
    </row>
    <row r="4038" spans="1:63" ht="12" customHeight="1" x14ac:dyDescent="0.2">
      <c r="A4038" s="1" t="s">
        <v>11422</v>
      </c>
      <c r="B4038" s="1">
        <v>32</v>
      </c>
      <c r="C4038" s="1" t="s">
        <v>20</v>
      </c>
      <c r="D4038" s="1" t="s">
        <v>21</v>
      </c>
      <c r="F4038" s="72">
        <v>41696</v>
      </c>
      <c r="G4038" s="1" t="s">
        <v>11423</v>
      </c>
      <c r="H4038" s="1" t="s">
        <v>11424</v>
      </c>
      <c r="I4038" s="1" t="s">
        <v>41</v>
      </c>
      <c r="J4038" s="4" t="s">
        <v>11425</v>
      </c>
      <c r="K4038" s="1" t="s">
        <v>4883</v>
      </c>
      <c r="L4038" s="1" t="s">
        <v>43</v>
      </c>
      <c r="M4038" s="1" t="s">
        <v>27</v>
      </c>
      <c r="N4038" s="1" t="s">
        <v>11426</v>
      </c>
      <c r="O4038" s="1" t="s">
        <v>1010</v>
      </c>
      <c r="P4038" s="1" t="s">
        <v>401</v>
      </c>
      <c r="Q4038" s="63" t="s">
        <v>11427</v>
      </c>
      <c r="R4038" s="1" t="s">
        <v>29</v>
      </c>
      <c r="S4038" s="13" t="s">
        <v>28</v>
      </c>
      <c r="AX4038" s="70"/>
      <c r="AY4038" s="70"/>
      <c r="BC4038" s="70"/>
      <c r="BD4038" s="70"/>
      <c r="BE4038" s="70"/>
      <c r="BF4038" s="70"/>
      <c r="BG4038" s="70"/>
      <c r="BH4038" s="70"/>
      <c r="BI4038" s="70"/>
      <c r="BJ4038" s="70"/>
    </row>
    <row r="4039" spans="1:63" ht="12" customHeight="1" x14ac:dyDescent="0.15">
      <c r="A4039" s="1" t="s">
        <v>11431</v>
      </c>
      <c r="B4039" s="1">
        <v>62</v>
      </c>
      <c r="C4039" s="1" t="s">
        <v>20</v>
      </c>
      <c r="D4039" s="1" t="s">
        <v>37</v>
      </c>
      <c r="E4039" s="1" t="s">
        <v>11432</v>
      </c>
      <c r="F4039" s="72">
        <v>41696</v>
      </c>
      <c r="G4039" s="1" t="s">
        <v>11433</v>
      </c>
      <c r="H4039" s="1" t="s">
        <v>156</v>
      </c>
      <c r="I4039" s="1" t="s">
        <v>45</v>
      </c>
      <c r="J4039" s="4" t="s">
        <v>11434</v>
      </c>
      <c r="K4039" s="1" t="s">
        <v>156</v>
      </c>
      <c r="L4039" s="1" t="s">
        <v>157</v>
      </c>
      <c r="M4039" s="1" t="s">
        <v>27</v>
      </c>
      <c r="N4039" s="1" t="s">
        <v>11435</v>
      </c>
      <c r="O4039" s="1" t="s">
        <v>1010</v>
      </c>
      <c r="P4039" s="1" t="s">
        <v>401</v>
      </c>
      <c r="Q4039" s="63" t="str">
        <f>HYPERLINK("http://www.utsandiego.com/news/2014/feb/26/suicidal-man-rifle-downtown-san-diego/","http://www.utsandiego.com/news/2014/feb/26/suicidal-man-rifle-downtown-san-diego/")</f>
        <v>http://www.utsandiego.com/news/2014/feb/26/suicidal-man-rifle-downtown-san-diego/</v>
      </c>
      <c r="R4039" s="1" t="s">
        <v>555</v>
      </c>
      <c r="S4039" s="13" t="s">
        <v>28</v>
      </c>
      <c r="BA4039" s="44"/>
      <c r="BB4039" s="44"/>
    </row>
    <row r="4040" spans="1:63" ht="12" customHeight="1" x14ac:dyDescent="0.15">
      <c r="A4040" s="1" t="s">
        <v>3252</v>
      </c>
      <c r="B4040" s="1" t="s">
        <v>29</v>
      </c>
      <c r="C4040" s="1" t="s">
        <v>20</v>
      </c>
      <c r="D4040" s="1" t="s">
        <v>30</v>
      </c>
      <c r="F4040" s="72">
        <v>41696</v>
      </c>
      <c r="G4040" s="1" t="s">
        <v>11428</v>
      </c>
      <c r="H4040" s="1" t="s">
        <v>289</v>
      </c>
      <c r="I4040" s="1" t="s">
        <v>315</v>
      </c>
      <c r="J4040" s="4">
        <v>40065</v>
      </c>
      <c r="K4040" s="1" t="s">
        <v>1193</v>
      </c>
      <c r="L4040" s="1" t="s">
        <v>3367</v>
      </c>
      <c r="M4040" s="1" t="s">
        <v>27</v>
      </c>
      <c r="N4040" s="1" t="s">
        <v>11429</v>
      </c>
      <c r="P4040" s="1" t="s">
        <v>401</v>
      </c>
      <c r="Q4040" s="63" t="s">
        <v>11430</v>
      </c>
      <c r="R4040" s="1" t="s">
        <v>29</v>
      </c>
      <c r="S4040" s="13" t="s">
        <v>28</v>
      </c>
    </row>
    <row r="4041" spans="1:63" ht="12" customHeight="1" x14ac:dyDescent="0.15">
      <c r="A4041" s="1" t="s">
        <v>11454</v>
      </c>
      <c r="B4041" s="1">
        <v>57</v>
      </c>
      <c r="C4041" s="1" t="s">
        <v>20</v>
      </c>
      <c r="D4041" s="1" t="s">
        <v>37</v>
      </c>
      <c r="E4041" s="1" t="s">
        <v>11455</v>
      </c>
      <c r="F4041" s="72">
        <v>41695</v>
      </c>
      <c r="G4041" s="1" t="s">
        <v>11456</v>
      </c>
      <c r="H4041" s="1" t="s">
        <v>1428</v>
      </c>
      <c r="I4041" s="1" t="s">
        <v>123</v>
      </c>
      <c r="J4041" s="4" t="s">
        <v>11457</v>
      </c>
      <c r="K4041" s="1" t="s">
        <v>633</v>
      </c>
      <c r="L4041" s="1" t="s">
        <v>807</v>
      </c>
      <c r="M4041" s="1" t="s">
        <v>27</v>
      </c>
      <c r="N4041" s="1" t="s">
        <v>11458</v>
      </c>
      <c r="O4041" s="1" t="s">
        <v>1010</v>
      </c>
      <c r="P4041" s="1" t="s">
        <v>401</v>
      </c>
      <c r="Q4041" s="63" t="s">
        <v>11459</v>
      </c>
      <c r="R4041" s="1" t="s">
        <v>100</v>
      </c>
      <c r="S4041" s="13" t="s">
        <v>28</v>
      </c>
    </row>
    <row r="4042" spans="1:63" ht="12" customHeight="1" x14ac:dyDescent="0.15">
      <c r="A4042" s="1" t="s">
        <v>11460</v>
      </c>
      <c r="B4042" s="1">
        <v>70</v>
      </c>
      <c r="C4042" s="1" t="s">
        <v>20</v>
      </c>
      <c r="D4042" s="1" t="s">
        <v>37</v>
      </c>
      <c r="E4042" s="1" t="s">
        <v>11461</v>
      </c>
      <c r="F4042" s="72">
        <v>41695</v>
      </c>
      <c r="H4042" s="1" t="s">
        <v>11462</v>
      </c>
      <c r="I4042" s="1" t="s">
        <v>32</v>
      </c>
      <c r="J4042" s="4">
        <v>29710</v>
      </c>
      <c r="K4042" s="1" t="s">
        <v>1604</v>
      </c>
      <c r="L4042" s="1" t="s">
        <v>11463</v>
      </c>
      <c r="M4042" s="1" t="s">
        <v>27</v>
      </c>
      <c r="N4042" s="1" t="s">
        <v>11464</v>
      </c>
      <c r="O4042" s="1" t="s">
        <v>550</v>
      </c>
      <c r="P4042" s="1" t="s">
        <v>401</v>
      </c>
      <c r="Q4042" s="63" t="s">
        <v>11465</v>
      </c>
      <c r="R4042" s="1" t="s">
        <v>100</v>
      </c>
      <c r="S4042" s="13" t="s">
        <v>18</v>
      </c>
    </row>
    <row r="4043" spans="1:63" ht="12" customHeight="1" x14ac:dyDescent="0.15">
      <c r="A4043" s="1" t="s">
        <v>11448</v>
      </c>
      <c r="B4043" s="1">
        <v>48</v>
      </c>
      <c r="C4043" s="1" t="s">
        <v>20</v>
      </c>
      <c r="D4043" s="1" t="s">
        <v>30</v>
      </c>
      <c r="F4043" s="72">
        <v>41695</v>
      </c>
      <c r="G4043" s="1" t="s">
        <v>11449</v>
      </c>
      <c r="H4043" s="1" t="s">
        <v>11450</v>
      </c>
      <c r="I4043" s="1" t="s">
        <v>57</v>
      </c>
      <c r="J4043" s="4" t="s">
        <v>11451</v>
      </c>
      <c r="K4043" s="1" t="s">
        <v>1128</v>
      </c>
      <c r="L4043" s="1" t="s">
        <v>11452</v>
      </c>
      <c r="M4043" s="1" t="s">
        <v>27</v>
      </c>
      <c r="N4043" s="1" t="s">
        <v>11453</v>
      </c>
      <c r="O4043" s="1" t="s">
        <v>1010</v>
      </c>
      <c r="P4043" s="1" t="s">
        <v>401</v>
      </c>
      <c r="Q4043" s="63" t="str">
        <f>HYPERLINK("http://thenewsherald.com/articles/2014/02/28/news/doc5310a54ba9b5b176742526.txt","http://thenewsherald.com/articles/2014/02/28/news/doc5310a54ba9b5b176742526.txt")</f>
        <v>http://thenewsherald.com/articles/2014/02/28/news/doc5310a54ba9b5b176742526.txt</v>
      </c>
      <c r="R4043" s="1" t="s">
        <v>555</v>
      </c>
      <c r="S4043" s="13" t="s">
        <v>28</v>
      </c>
      <c r="BA4043" s="11"/>
      <c r="BB4043" s="11"/>
    </row>
    <row r="4044" spans="1:63" ht="12" customHeight="1" x14ac:dyDescent="0.15">
      <c r="A4044" s="1" t="s">
        <v>11469</v>
      </c>
      <c r="B4044" s="1">
        <v>37</v>
      </c>
      <c r="C4044" s="1" t="s">
        <v>20</v>
      </c>
      <c r="D4044" s="1" t="s">
        <v>85</v>
      </c>
      <c r="E4044" s="1" t="s">
        <v>11470</v>
      </c>
      <c r="F4044" s="72">
        <v>41694</v>
      </c>
      <c r="G4044" s="1" t="s">
        <v>11471</v>
      </c>
      <c r="H4044" s="1" t="s">
        <v>547</v>
      </c>
      <c r="I4044" s="1" t="s">
        <v>69</v>
      </c>
      <c r="J4044" s="4" t="s">
        <v>11472</v>
      </c>
      <c r="K4044" s="1" t="s">
        <v>548</v>
      </c>
      <c r="L4044" s="1" t="s">
        <v>549</v>
      </c>
      <c r="M4044" s="1" t="s">
        <v>27</v>
      </c>
      <c r="N4044" s="1" t="s">
        <v>11473</v>
      </c>
      <c r="O4044" s="1" t="s">
        <v>1010</v>
      </c>
      <c r="P4044" s="1" t="s">
        <v>401</v>
      </c>
      <c r="Q4044" s="63" t="s">
        <v>11474</v>
      </c>
      <c r="R4044" s="1" t="s">
        <v>100</v>
      </c>
      <c r="S4044" s="13" t="s">
        <v>28</v>
      </c>
      <c r="AX4044" s="11"/>
      <c r="AY4044" s="11"/>
      <c r="BC4044" s="11"/>
      <c r="BD4044" s="11"/>
      <c r="BE4044" s="11"/>
      <c r="BF4044" s="11"/>
      <c r="BG4044" s="11"/>
      <c r="BH4044" s="11"/>
      <c r="BI4044" s="11"/>
      <c r="BJ4044" s="11"/>
    </row>
    <row r="4045" spans="1:63" ht="12" customHeight="1" x14ac:dyDescent="0.15">
      <c r="A4045" s="1" t="s">
        <v>11466</v>
      </c>
      <c r="B4045" s="1">
        <v>38</v>
      </c>
      <c r="C4045" s="1" t="s">
        <v>20</v>
      </c>
      <c r="D4045" s="1" t="s">
        <v>85</v>
      </c>
      <c r="E4045" s="1" t="str">
        <f>HYPERLINK("http://rollingout.com/wp-content/uploads/2014/02/Kenneth-Lucas-and-Family.jpg?f66a58","http://rollingout.com/wp-content/uploads/2014/02/Kenneth-Lucas-and-Family.jpg?f66a58")</f>
        <v>http://rollingout.com/wp-content/uploads/2014/02/Kenneth-Lucas-and-Family.jpg?f66a58</v>
      </c>
      <c r="F4045" s="72">
        <v>41694</v>
      </c>
      <c r="G4045" s="1" t="s">
        <v>11467</v>
      </c>
      <c r="H4045" s="1" t="s">
        <v>723</v>
      </c>
      <c r="I4045" s="1" t="s">
        <v>73</v>
      </c>
      <c r="J4045" s="4">
        <v>77049</v>
      </c>
      <c r="K4045" s="1" t="s">
        <v>558</v>
      </c>
      <c r="L4045" s="1" t="s">
        <v>559</v>
      </c>
      <c r="M4045" s="1" t="s">
        <v>14359</v>
      </c>
      <c r="N4045" s="1" t="s">
        <v>11468</v>
      </c>
      <c r="O4045" s="1" t="s">
        <v>550</v>
      </c>
      <c r="P4045" s="1" t="s">
        <v>401</v>
      </c>
      <c r="Q4045" s="63" t="str">
        <f>HYPERLINK("http://rollingout.com/news/why-did-kenneth-lucas-jailed-in-texas-die-after-guards-left-cell/","http://rollingout.com/news/why-did-kenneth-lucas-jailed-in-texas-die-after-guards-left-cell/")</f>
        <v>http://rollingout.com/news/why-did-kenneth-lucas-jailed-in-texas-die-after-guards-left-cell/</v>
      </c>
      <c r="R4045" s="1" t="s">
        <v>29</v>
      </c>
      <c r="S4045" s="13" t="s">
        <v>18</v>
      </c>
      <c r="T4045" s="8"/>
      <c r="U4045" s="8"/>
      <c r="V4045" s="8"/>
      <c r="W4045" s="8"/>
      <c r="X4045" s="8"/>
      <c r="AX4045" s="44"/>
      <c r="AY4045" s="44"/>
      <c r="BC4045" s="11"/>
      <c r="BD4045" s="11"/>
      <c r="BE4045" s="11"/>
      <c r="BF4045" s="11"/>
      <c r="BG4045" s="11"/>
      <c r="BH4045" s="11"/>
      <c r="BI4045" s="11"/>
      <c r="BJ4045" s="11"/>
    </row>
    <row r="4046" spans="1:63" ht="12" customHeight="1" x14ac:dyDescent="0.2">
      <c r="A4046" s="1" t="s">
        <v>11475</v>
      </c>
      <c r="B4046" s="1">
        <v>18</v>
      </c>
      <c r="C4046" s="1" t="s">
        <v>20</v>
      </c>
      <c r="D4046" s="1" t="s">
        <v>21</v>
      </c>
      <c r="E4046" s="1" t="s">
        <v>11476</v>
      </c>
      <c r="F4046" s="72">
        <v>41693</v>
      </c>
      <c r="G4046" s="1" t="s">
        <v>11477</v>
      </c>
      <c r="H4046" s="1" t="s">
        <v>200</v>
      </c>
      <c r="I4046" s="1" t="s">
        <v>45</v>
      </c>
      <c r="J4046" s="4" t="s">
        <v>7089</v>
      </c>
      <c r="K4046" s="1" t="s">
        <v>200</v>
      </c>
      <c r="L4046" s="1" t="s">
        <v>201</v>
      </c>
      <c r="M4046" s="1" t="s">
        <v>27</v>
      </c>
      <c r="N4046" s="1" t="s">
        <v>11478</v>
      </c>
      <c r="O4046" s="1" t="s">
        <v>1010</v>
      </c>
      <c r="P4046" s="1" t="s">
        <v>401</v>
      </c>
      <c r="Q4046" s="63" t="s">
        <v>11479</v>
      </c>
      <c r="R4046" s="1" t="s">
        <v>100</v>
      </c>
      <c r="S4046" s="13" t="s">
        <v>28</v>
      </c>
      <c r="AX4046" s="70"/>
      <c r="AY4046" s="70"/>
      <c r="BC4046" s="70"/>
      <c r="BD4046" s="70"/>
      <c r="BE4046" s="70"/>
      <c r="BF4046" s="70"/>
      <c r="BG4046" s="70"/>
      <c r="BH4046" s="70"/>
      <c r="BI4046" s="70"/>
      <c r="BJ4046" s="70"/>
    </row>
    <row r="4047" spans="1:63" ht="12" customHeight="1" x14ac:dyDescent="0.15">
      <c r="A4047" s="1" t="s">
        <v>11487</v>
      </c>
      <c r="B4047" s="1">
        <v>44</v>
      </c>
      <c r="C4047" s="1" t="s">
        <v>20</v>
      </c>
      <c r="D4047" s="1" t="s">
        <v>48</v>
      </c>
      <c r="F4047" s="72">
        <v>41692</v>
      </c>
      <c r="G4047" s="1" t="s">
        <v>11488</v>
      </c>
      <c r="H4047" s="1" t="s">
        <v>561</v>
      </c>
      <c r="I4047" s="1" t="s">
        <v>123</v>
      </c>
      <c r="J4047" s="4" t="s">
        <v>11489</v>
      </c>
      <c r="K4047" s="1" t="s">
        <v>562</v>
      </c>
      <c r="L4047" s="1" t="s">
        <v>563</v>
      </c>
      <c r="M4047" s="1" t="s">
        <v>27</v>
      </c>
      <c r="N4047" s="1" t="s">
        <v>11490</v>
      </c>
      <c r="O4047" s="1" t="s">
        <v>1010</v>
      </c>
      <c r="P4047" s="1" t="s">
        <v>401</v>
      </c>
      <c r="Q4047" s="63" t="s">
        <v>11491</v>
      </c>
      <c r="R4047" s="1" t="s">
        <v>100</v>
      </c>
      <c r="S4047" s="13" t="s">
        <v>18</v>
      </c>
      <c r="T4047" s="8"/>
      <c r="U4047" s="8"/>
      <c r="V4047" s="8"/>
      <c r="W4047" s="8"/>
      <c r="X4047" s="8"/>
    </row>
    <row r="4048" spans="1:63" ht="12" customHeight="1" x14ac:dyDescent="0.15">
      <c r="A4048" s="1" t="s">
        <v>11492</v>
      </c>
      <c r="B4048" s="1">
        <v>38</v>
      </c>
      <c r="C4048" s="1" t="s">
        <v>20</v>
      </c>
      <c r="D4048" s="1" t="s">
        <v>48</v>
      </c>
      <c r="E4048" s="1" t="s">
        <v>11493</v>
      </c>
      <c r="F4048" s="72">
        <v>41691</v>
      </c>
      <c r="G4048" s="1" t="s">
        <v>11494</v>
      </c>
      <c r="H4048" s="1" t="s">
        <v>606</v>
      </c>
      <c r="I4048" s="1" t="s">
        <v>45</v>
      </c>
      <c r="J4048" s="4" t="s">
        <v>11495</v>
      </c>
      <c r="K4048" s="1" t="s">
        <v>607</v>
      </c>
      <c r="L4048" s="1" t="s">
        <v>11496</v>
      </c>
      <c r="M4048" s="1" t="s">
        <v>27</v>
      </c>
      <c r="N4048" s="1" t="s">
        <v>11497</v>
      </c>
      <c r="O4048" s="1" t="s">
        <v>1010</v>
      </c>
      <c r="P4048" s="1" t="s">
        <v>401</v>
      </c>
      <c r="Q4048" s="63" t="s">
        <v>11498</v>
      </c>
      <c r="R4048" s="1" t="s">
        <v>100</v>
      </c>
      <c r="S4048" s="13" t="s">
        <v>28</v>
      </c>
    </row>
    <row r="4049" spans="1:62" ht="12" customHeight="1" x14ac:dyDescent="0.15">
      <c r="A4049" s="1" t="s">
        <v>11499</v>
      </c>
      <c r="B4049" s="1">
        <v>70</v>
      </c>
      <c r="C4049" s="1" t="s">
        <v>20</v>
      </c>
      <c r="D4049" s="1" t="s">
        <v>30</v>
      </c>
      <c r="F4049" s="72">
        <v>41690</v>
      </c>
      <c r="G4049" s="1" t="s">
        <v>11500</v>
      </c>
      <c r="H4049" s="1" t="s">
        <v>11342</v>
      </c>
      <c r="I4049" s="1" t="s">
        <v>854</v>
      </c>
      <c r="J4049" s="4" t="s">
        <v>11343</v>
      </c>
      <c r="K4049" s="1" t="s">
        <v>11344</v>
      </c>
      <c r="L4049" s="1" t="s">
        <v>11501</v>
      </c>
      <c r="M4049" s="1" t="s">
        <v>27</v>
      </c>
      <c r="N4049" s="1" t="s">
        <v>11502</v>
      </c>
      <c r="O4049" s="1" t="s">
        <v>1010</v>
      </c>
      <c r="P4049" s="1" t="s">
        <v>401</v>
      </c>
      <c r="Q4049" s="63" t="s">
        <v>11503</v>
      </c>
      <c r="R4049" s="1" t="s">
        <v>555</v>
      </c>
      <c r="S4049" s="13" t="s">
        <v>28</v>
      </c>
      <c r="BA4049" s="11"/>
      <c r="BB4049" s="11"/>
    </row>
    <row r="4050" spans="1:62" ht="12" customHeight="1" x14ac:dyDescent="0.15">
      <c r="A4050" s="1" t="s">
        <v>11514</v>
      </c>
      <c r="B4050" s="1">
        <v>37</v>
      </c>
      <c r="C4050" s="1" t="s">
        <v>20</v>
      </c>
      <c r="D4050" s="1" t="s">
        <v>37</v>
      </c>
      <c r="E4050" s="1" t="s">
        <v>11515</v>
      </c>
      <c r="F4050" s="72">
        <v>41688</v>
      </c>
      <c r="G4050" s="1" t="s">
        <v>11516</v>
      </c>
      <c r="H4050" s="1" t="s">
        <v>11517</v>
      </c>
      <c r="I4050" s="1" t="s">
        <v>73</v>
      </c>
      <c r="J4050" s="4" t="s">
        <v>11518</v>
      </c>
      <c r="K4050" s="1" t="s">
        <v>594</v>
      </c>
      <c r="L4050" s="1" t="s">
        <v>11519</v>
      </c>
      <c r="M4050" s="1" t="s">
        <v>27</v>
      </c>
      <c r="N4050" s="1" t="s">
        <v>11520</v>
      </c>
      <c r="O4050" s="1" t="s">
        <v>550</v>
      </c>
      <c r="P4050" s="1" t="s">
        <v>401</v>
      </c>
      <c r="Q4050" s="63" t="s">
        <v>11521</v>
      </c>
      <c r="R4050" s="1" t="s">
        <v>29</v>
      </c>
      <c r="S4050" s="13" t="s">
        <v>28</v>
      </c>
    </row>
    <row r="4051" spans="1:62" ht="12" customHeight="1" x14ac:dyDescent="0.15">
      <c r="A4051" s="1" t="s">
        <v>11510</v>
      </c>
      <c r="B4051" s="1">
        <v>42</v>
      </c>
      <c r="C4051" s="1" t="s">
        <v>20</v>
      </c>
      <c r="D4051" s="1" t="s">
        <v>48</v>
      </c>
      <c r="F4051" s="72">
        <v>41688</v>
      </c>
      <c r="G4051" s="1" t="s">
        <v>11511</v>
      </c>
      <c r="H4051" s="1" t="s">
        <v>156</v>
      </c>
      <c r="I4051" s="1" t="s">
        <v>45</v>
      </c>
      <c r="J4051" s="4" t="s">
        <v>11512</v>
      </c>
      <c r="K4051" s="1" t="s">
        <v>156</v>
      </c>
      <c r="L4051" s="1" t="s">
        <v>4732</v>
      </c>
      <c r="M4051" s="1" t="s">
        <v>27</v>
      </c>
      <c r="N4051" s="1" t="s">
        <v>21006</v>
      </c>
      <c r="O4051" s="1" t="s">
        <v>1010</v>
      </c>
      <c r="P4051" s="1" t="s">
        <v>401</v>
      </c>
      <c r="Q4051" s="63" t="s">
        <v>11513</v>
      </c>
      <c r="R4051" s="1" t="s">
        <v>29</v>
      </c>
      <c r="S4051" s="13" t="s">
        <v>18</v>
      </c>
    </row>
    <row r="4052" spans="1:62" ht="12" customHeight="1" x14ac:dyDescent="0.15">
      <c r="A4052" s="1" t="s">
        <v>11504</v>
      </c>
      <c r="B4052" s="1">
        <v>60</v>
      </c>
      <c r="C4052" s="1" t="s">
        <v>20</v>
      </c>
      <c r="D4052" s="1" t="s">
        <v>85</v>
      </c>
      <c r="F4052" s="72">
        <v>41688</v>
      </c>
      <c r="G4052" s="1" t="s">
        <v>11505</v>
      </c>
      <c r="H4052" s="1" t="s">
        <v>11506</v>
      </c>
      <c r="I4052" s="1" t="s">
        <v>45</v>
      </c>
      <c r="J4052" s="4" t="s">
        <v>11507</v>
      </c>
      <c r="K4052" s="1" t="s">
        <v>602</v>
      </c>
      <c r="L4052" s="1" t="s">
        <v>249</v>
      </c>
      <c r="M4052" s="1" t="s">
        <v>27</v>
      </c>
      <c r="N4052" s="1" t="s">
        <v>11508</v>
      </c>
      <c r="O4052" s="1" t="s">
        <v>1010</v>
      </c>
      <c r="P4052" s="1" t="s">
        <v>401</v>
      </c>
      <c r="Q4052" s="63" t="s">
        <v>11509</v>
      </c>
      <c r="R4052" s="1" t="s">
        <v>555</v>
      </c>
      <c r="S4052" s="13" t="s">
        <v>28</v>
      </c>
      <c r="AX4052" s="11"/>
      <c r="AY4052" s="11"/>
      <c r="BC4052" s="11"/>
      <c r="BD4052" s="11"/>
      <c r="BE4052" s="11"/>
      <c r="BF4052" s="11"/>
      <c r="BG4052" s="11"/>
      <c r="BH4052" s="11"/>
      <c r="BI4052" s="11"/>
      <c r="BJ4052" s="11"/>
    </row>
    <row r="4053" spans="1:62" ht="12" customHeight="1" x14ac:dyDescent="0.15">
      <c r="A4053" s="1" t="s">
        <v>11522</v>
      </c>
      <c r="B4053" s="1">
        <v>17</v>
      </c>
      <c r="C4053" s="1" t="s">
        <v>20</v>
      </c>
      <c r="D4053" s="1" t="s">
        <v>85</v>
      </c>
      <c r="E4053" s="1" t="s">
        <v>11523</v>
      </c>
      <c r="F4053" s="72">
        <v>41687</v>
      </c>
      <c r="G4053" s="1" t="s">
        <v>11524</v>
      </c>
      <c r="H4053" s="1" t="s">
        <v>723</v>
      </c>
      <c r="I4053" s="1" t="s">
        <v>73</v>
      </c>
      <c r="J4053" s="4" t="s">
        <v>11525</v>
      </c>
      <c r="K4053" s="1" t="s">
        <v>558</v>
      </c>
      <c r="L4053" s="1" t="s">
        <v>724</v>
      </c>
      <c r="M4053" s="1" t="s">
        <v>27</v>
      </c>
      <c r="N4053" s="1" t="s">
        <v>11526</v>
      </c>
      <c r="O4053" s="1" t="s">
        <v>1010</v>
      </c>
      <c r="P4053" s="1" t="s">
        <v>401</v>
      </c>
      <c r="Q4053" s="63" t="s">
        <v>11527</v>
      </c>
      <c r="R4053" s="1" t="s">
        <v>100</v>
      </c>
      <c r="S4053" s="13" t="s">
        <v>28</v>
      </c>
      <c r="AX4053" s="11"/>
      <c r="AY4053" s="11"/>
      <c r="BC4053" s="11"/>
      <c r="BD4053" s="11"/>
      <c r="BE4053" s="11"/>
      <c r="BF4053" s="11"/>
      <c r="BG4053" s="11"/>
      <c r="BH4053" s="11"/>
      <c r="BI4053" s="11"/>
      <c r="BJ4053" s="11"/>
    </row>
    <row r="4054" spans="1:62" ht="12" customHeight="1" x14ac:dyDescent="0.15">
      <c r="A4054" s="1" t="s">
        <v>11529</v>
      </c>
      <c r="B4054" s="1">
        <v>44</v>
      </c>
      <c r="C4054" s="1" t="s">
        <v>20</v>
      </c>
      <c r="D4054" s="1" t="s">
        <v>37</v>
      </c>
      <c r="F4054" s="72">
        <v>41687</v>
      </c>
      <c r="G4054" s="1" t="s">
        <v>11530</v>
      </c>
      <c r="H4054" s="1" t="s">
        <v>7583</v>
      </c>
      <c r="I4054" s="1" t="s">
        <v>217</v>
      </c>
      <c r="J4054" s="4" t="s">
        <v>11531</v>
      </c>
      <c r="K4054" s="1" t="s">
        <v>1256</v>
      </c>
      <c r="L4054" s="1" t="s">
        <v>11532</v>
      </c>
      <c r="M4054" s="1" t="s">
        <v>27</v>
      </c>
      <c r="N4054" s="1" t="s">
        <v>11533</v>
      </c>
      <c r="O4054" s="1" t="s">
        <v>1010</v>
      </c>
      <c r="P4054" s="1" t="s">
        <v>401</v>
      </c>
      <c r="Q4054" s="63" t="s">
        <v>11534</v>
      </c>
      <c r="R4054" s="1" t="s">
        <v>100</v>
      </c>
      <c r="S4054" s="13" t="s">
        <v>28</v>
      </c>
    </row>
    <row r="4055" spans="1:62" ht="12" customHeight="1" x14ac:dyDescent="0.15">
      <c r="A4055" s="1" t="s">
        <v>11543</v>
      </c>
      <c r="B4055" s="1">
        <v>31</v>
      </c>
      <c r="C4055" s="1" t="s">
        <v>20</v>
      </c>
      <c r="D4055" s="1" t="s">
        <v>85</v>
      </c>
      <c r="E4055" s="1" t="s">
        <v>11544</v>
      </c>
      <c r="F4055" s="72">
        <v>41686</v>
      </c>
      <c r="G4055" s="1" t="s">
        <v>11545</v>
      </c>
      <c r="H4055" s="1" t="s">
        <v>1039</v>
      </c>
      <c r="I4055" s="1" t="s">
        <v>25</v>
      </c>
      <c r="J4055" s="4" t="s">
        <v>11546</v>
      </c>
      <c r="K4055" s="1" t="s">
        <v>2579</v>
      </c>
      <c r="L4055" s="1" t="s">
        <v>1041</v>
      </c>
      <c r="M4055" s="1" t="s">
        <v>27</v>
      </c>
      <c r="N4055" s="1" t="s">
        <v>11547</v>
      </c>
      <c r="O4055" s="1" t="s">
        <v>1010</v>
      </c>
      <c r="P4055" s="1" t="s">
        <v>401</v>
      </c>
      <c r="Q4055" s="63" t="s">
        <v>11548</v>
      </c>
      <c r="R4055" s="1" t="s">
        <v>100</v>
      </c>
      <c r="S4055" s="13" t="s">
        <v>28</v>
      </c>
      <c r="AX4055" s="11"/>
      <c r="AY4055" s="11"/>
      <c r="BC4055" s="11"/>
      <c r="BD4055" s="11"/>
      <c r="BE4055" s="11"/>
      <c r="BF4055" s="11"/>
      <c r="BG4055" s="11"/>
      <c r="BH4055" s="11"/>
      <c r="BI4055" s="11"/>
      <c r="BJ4055" s="11"/>
    </row>
    <row r="4056" spans="1:62" ht="12" customHeight="1" x14ac:dyDescent="0.15">
      <c r="A4056" s="1" t="s">
        <v>11561</v>
      </c>
      <c r="B4056" s="1">
        <v>34</v>
      </c>
      <c r="C4056" s="1" t="s">
        <v>20</v>
      </c>
      <c r="D4056" s="1" t="s">
        <v>37</v>
      </c>
      <c r="E4056" s="1" t="s">
        <v>11562</v>
      </c>
      <c r="F4056" s="72">
        <v>41686</v>
      </c>
      <c r="G4056" s="1" t="s">
        <v>11563</v>
      </c>
      <c r="H4056" s="1" t="s">
        <v>11564</v>
      </c>
      <c r="I4056" s="1" t="s">
        <v>303</v>
      </c>
      <c r="J4056" s="4" t="s">
        <v>11565</v>
      </c>
      <c r="K4056" s="1" t="s">
        <v>2150</v>
      </c>
      <c r="L4056" s="1" t="s">
        <v>11566</v>
      </c>
      <c r="M4056" s="1" t="s">
        <v>27</v>
      </c>
      <c r="N4056" s="1" t="s">
        <v>11567</v>
      </c>
      <c r="O4056" s="1" t="s">
        <v>1010</v>
      </c>
      <c r="P4056" s="1" t="s">
        <v>401</v>
      </c>
      <c r="Q4056" s="63" t="s">
        <v>11568</v>
      </c>
      <c r="R4056" s="1" t="s">
        <v>100</v>
      </c>
      <c r="S4056" s="13" t="s">
        <v>28</v>
      </c>
    </row>
    <row r="4057" spans="1:62" ht="12" customHeight="1" x14ac:dyDescent="0.15">
      <c r="A4057" s="1" t="s">
        <v>11535</v>
      </c>
      <c r="B4057" s="1">
        <v>47</v>
      </c>
      <c r="C4057" s="1" t="s">
        <v>114</v>
      </c>
      <c r="D4057" s="1" t="s">
        <v>85</v>
      </c>
      <c r="E4057" s="1" t="s">
        <v>11536</v>
      </c>
      <c r="F4057" s="72">
        <v>41686</v>
      </c>
      <c r="G4057" s="1" t="s">
        <v>11537</v>
      </c>
      <c r="H4057" s="1" t="s">
        <v>11538</v>
      </c>
      <c r="I4057" s="1" t="s">
        <v>73</v>
      </c>
      <c r="J4057" s="4" t="s">
        <v>11539</v>
      </c>
      <c r="K4057" s="1" t="s">
        <v>11538</v>
      </c>
      <c r="L4057" s="1" t="s">
        <v>11540</v>
      </c>
      <c r="M4057" s="1" t="s">
        <v>27</v>
      </c>
      <c r="N4057" s="1" t="s">
        <v>11541</v>
      </c>
      <c r="O4057" s="1" t="s">
        <v>30993</v>
      </c>
      <c r="P4057" s="1" t="s">
        <v>20489</v>
      </c>
      <c r="Q4057" s="63" t="s">
        <v>11542</v>
      </c>
      <c r="R4057" s="1" t="s">
        <v>100</v>
      </c>
      <c r="S4057" s="13" t="s">
        <v>18</v>
      </c>
      <c r="AX4057" s="11"/>
      <c r="AY4057" s="11"/>
      <c r="BC4057" s="11"/>
      <c r="BD4057" s="11"/>
      <c r="BE4057" s="11"/>
      <c r="BF4057" s="11"/>
      <c r="BG4057" s="11"/>
      <c r="BH4057" s="11"/>
      <c r="BI4057" s="11"/>
      <c r="BJ4057" s="11"/>
    </row>
    <row r="4058" spans="1:62" ht="12" customHeight="1" x14ac:dyDescent="0.15">
      <c r="A4058" s="1" t="s">
        <v>11560</v>
      </c>
      <c r="B4058" s="1">
        <v>28</v>
      </c>
      <c r="C4058" s="1" t="s">
        <v>20</v>
      </c>
      <c r="D4058" s="1" t="s">
        <v>30</v>
      </c>
      <c r="F4058" s="72">
        <v>41686</v>
      </c>
      <c r="G4058" s="1" t="s">
        <v>11550</v>
      </c>
      <c r="H4058" s="1" t="s">
        <v>11551</v>
      </c>
      <c r="I4058" s="1" t="s">
        <v>366</v>
      </c>
      <c r="J4058" s="4" t="s">
        <v>11552</v>
      </c>
      <c r="K4058" s="1" t="s">
        <v>1061</v>
      </c>
      <c r="L4058" s="1" t="s">
        <v>11553</v>
      </c>
      <c r="M4058" s="1" t="s">
        <v>379</v>
      </c>
      <c r="N4058" s="1" t="s">
        <v>11554</v>
      </c>
      <c r="O4058" s="1" t="s">
        <v>1010</v>
      </c>
      <c r="P4058" s="1" t="s">
        <v>401</v>
      </c>
      <c r="Q4058" s="63" t="s">
        <v>11555</v>
      </c>
      <c r="R4058" s="1" t="s">
        <v>100</v>
      </c>
      <c r="S4058" s="66" t="s">
        <v>379</v>
      </c>
      <c r="T4058" s="66" t="s">
        <v>30738</v>
      </c>
    </row>
    <row r="4059" spans="1:62" ht="12" customHeight="1" x14ac:dyDescent="0.15">
      <c r="A4059" s="1" t="s">
        <v>11549</v>
      </c>
      <c r="B4059" s="1">
        <v>20</v>
      </c>
      <c r="C4059" s="1" t="s">
        <v>20</v>
      </c>
      <c r="D4059" s="1" t="s">
        <v>30</v>
      </c>
      <c r="F4059" s="72">
        <v>41686</v>
      </c>
      <c r="G4059" s="1" t="s">
        <v>11550</v>
      </c>
      <c r="H4059" s="1" t="s">
        <v>11551</v>
      </c>
      <c r="I4059" s="1" t="s">
        <v>366</v>
      </c>
      <c r="J4059" s="4" t="s">
        <v>11552</v>
      </c>
      <c r="K4059" s="1" t="s">
        <v>1061</v>
      </c>
      <c r="L4059" s="1" t="s">
        <v>11553</v>
      </c>
      <c r="M4059" s="1" t="s">
        <v>379</v>
      </c>
      <c r="N4059" s="1" t="s">
        <v>11554</v>
      </c>
      <c r="O4059" s="1" t="s">
        <v>1010</v>
      </c>
      <c r="P4059" s="1" t="s">
        <v>401</v>
      </c>
      <c r="Q4059" s="63" t="s">
        <v>11555</v>
      </c>
      <c r="R4059" s="1" t="s">
        <v>100</v>
      </c>
      <c r="S4059" s="13" t="s">
        <v>379</v>
      </c>
    </row>
    <row r="4060" spans="1:62" ht="12" customHeight="1" x14ac:dyDescent="0.15">
      <c r="A4060" s="1" t="s">
        <v>3252</v>
      </c>
      <c r="B4060" s="1">
        <v>47</v>
      </c>
      <c r="C4060" s="1" t="s">
        <v>20</v>
      </c>
      <c r="D4060" s="1" t="s">
        <v>30</v>
      </c>
      <c r="F4060" s="72">
        <v>41686</v>
      </c>
      <c r="G4060" s="1" t="s">
        <v>11556</v>
      </c>
      <c r="H4060" s="1" t="s">
        <v>1060</v>
      </c>
      <c r="I4060" s="1" t="s">
        <v>62</v>
      </c>
      <c r="J4060" s="4" t="s">
        <v>11557</v>
      </c>
      <c r="K4060" s="1" t="s">
        <v>1061</v>
      </c>
      <c r="L4060" s="1" t="s">
        <v>4424</v>
      </c>
      <c r="M4060" s="1" t="s">
        <v>27</v>
      </c>
      <c r="N4060" s="1" t="s">
        <v>11558</v>
      </c>
      <c r="O4060" s="1" t="s">
        <v>1010</v>
      </c>
      <c r="P4060" s="1" t="s">
        <v>401</v>
      </c>
      <c r="Q4060" s="63" t="s">
        <v>11559</v>
      </c>
      <c r="R4060" s="1" t="s">
        <v>555</v>
      </c>
      <c r="S4060" s="13" t="s">
        <v>28</v>
      </c>
      <c r="BA4060" s="11"/>
      <c r="BB4060" s="11"/>
    </row>
    <row r="4061" spans="1:62" ht="12" customHeight="1" x14ac:dyDescent="0.15">
      <c r="A4061" s="1" t="s">
        <v>11569</v>
      </c>
      <c r="B4061" s="1">
        <v>22</v>
      </c>
      <c r="C4061" s="1" t="s">
        <v>20</v>
      </c>
      <c r="D4061" s="1" t="s">
        <v>85</v>
      </c>
      <c r="F4061" s="72">
        <v>41685</v>
      </c>
      <c r="G4061" s="1" t="s">
        <v>11570</v>
      </c>
      <c r="H4061" s="1" t="s">
        <v>1592</v>
      </c>
      <c r="I4061" s="1" t="s">
        <v>52</v>
      </c>
      <c r="J4061" s="4" t="s">
        <v>11571</v>
      </c>
      <c r="K4061" s="1" t="s">
        <v>4697</v>
      </c>
      <c r="L4061" s="1" t="s">
        <v>2770</v>
      </c>
      <c r="M4061" s="1" t="s">
        <v>27</v>
      </c>
      <c r="N4061" s="1" t="s">
        <v>11572</v>
      </c>
      <c r="O4061" s="1" t="s">
        <v>550</v>
      </c>
      <c r="P4061" s="1" t="s">
        <v>401</v>
      </c>
      <c r="Q4061" s="63" t="s">
        <v>11573</v>
      </c>
      <c r="R4061" s="1" t="s">
        <v>100</v>
      </c>
      <c r="S4061" s="13" t="s">
        <v>28</v>
      </c>
      <c r="AX4061" s="11"/>
      <c r="AY4061" s="11"/>
      <c r="BC4061" s="11"/>
      <c r="BD4061" s="11"/>
      <c r="BE4061" s="11"/>
      <c r="BF4061" s="11"/>
      <c r="BG4061" s="11"/>
      <c r="BH4061" s="11"/>
      <c r="BI4061" s="11"/>
      <c r="BJ4061" s="11"/>
    </row>
    <row r="4062" spans="1:62" ht="12" customHeight="1" x14ac:dyDescent="0.15">
      <c r="A4062" s="1" t="s">
        <v>11574</v>
      </c>
      <c r="B4062" s="1">
        <v>44</v>
      </c>
      <c r="C4062" s="1" t="s">
        <v>20</v>
      </c>
      <c r="D4062" s="1" t="s">
        <v>48</v>
      </c>
      <c r="E4062" s="1" t="s">
        <v>11575</v>
      </c>
      <c r="F4062" s="72">
        <v>41685</v>
      </c>
      <c r="G4062" s="1" t="s">
        <v>11576</v>
      </c>
      <c r="H4062" s="1" t="s">
        <v>2640</v>
      </c>
      <c r="I4062" s="1" t="s">
        <v>395</v>
      </c>
      <c r="J4062" s="4" t="s">
        <v>11577</v>
      </c>
      <c r="K4062" s="1" t="s">
        <v>984</v>
      </c>
      <c r="L4062" s="1" t="s">
        <v>11578</v>
      </c>
      <c r="M4062" s="1" t="s">
        <v>5628</v>
      </c>
      <c r="N4062" s="1" t="s">
        <v>11579</v>
      </c>
      <c r="O4062" s="1" t="s">
        <v>550</v>
      </c>
      <c r="P4062" s="1" t="s">
        <v>401</v>
      </c>
      <c r="Q4062" s="63" t="s">
        <v>11580</v>
      </c>
      <c r="R4062" s="1" t="s">
        <v>100</v>
      </c>
      <c r="S4062" s="13" t="s">
        <v>18</v>
      </c>
    </row>
    <row r="4063" spans="1:62" ht="12" customHeight="1" x14ac:dyDescent="0.15">
      <c r="A4063" s="1" t="s">
        <v>11581</v>
      </c>
      <c r="B4063" s="1">
        <v>45</v>
      </c>
      <c r="C4063" s="1" t="s">
        <v>20</v>
      </c>
      <c r="D4063" s="1" t="s">
        <v>37</v>
      </c>
      <c r="E4063" s="1" t="s">
        <v>11582</v>
      </c>
      <c r="F4063" s="72">
        <v>41685</v>
      </c>
      <c r="G4063" s="1" t="s">
        <v>11583</v>
      </c>
      <c r="H4063" s="1" t="s">
        <v>5372</v>
      </c>
      <c r="I4063" s="1" t="s">
        <v>423</v>
      </c>
      <c r="J4063" s="4" t="s">
        <v>11584</v>
      </c>
      <c r="K4063" s="1" t="s">
        <v>11585</v>
      </c>
      <c r="L4063" s="1" t="s">
        <v>11586</v>
      </c>
      <c r="M4063" s="1" t="s">
        <v>27</v>
      </c>
      <c r="N4063" s="1" t="s">
        <v>11587</v>
      </c>
      <c r="O4063" s="1" t="s">
        <v>550</v>
      </c>
      <c r="P4063" s="1" t="s">
        <v>401</v>
      </c>
      <c r="Q4063" s="63" t="s">
        <v>11588</v>
      </c>
      <c r="R4063" s="1" t="s">
        <v>29</v>
      </c>
      <c r="S4063" s="13" t="s">
        <v>28</v>
      </c>
    </row>
    <row r="4064" spans="1:62" ht="12" customHeight="1" x14ac:dyDescent="0.15">
      <c r="A4064" s="1" t="s">
        <v>11589</v>
      </c>
      <c r="B4064" s="1">
        <v>18</v>
      </c>
      <c r="C4064" s="1" t="s">
        <v>20</v>
      </c>
      <c r="D4064" s="1" t="s">
        <v>37</v>
      </c>
      <c r="F4064" s="72">
        <v>41685</v>
      </c>
      <c r="G4064" s="1" t="s">
        <v>11590</v>
      </c>
      <c r="H4064" s="1" t="s">
        <v>548</v>
      </c>
      <c r="I4064" s="1" t="s">
        <v>69</v>
      </c>
      <c r="J4064" s="4" t="s">
        <v>11591</v>
      </c>
      <c r="K4064" s="1" t="s">
        <v>5515</v>
      </c>
      <c r="L4064" s="1" t="s">
        <v>2903</v>
      </c>
      <c r="M4064" s="1" t="s">
        <v>27</v>
      </c>
      <c r="N4064" s="1" t="s">
        <v>11592</v>
      </c>
      <c r="O4064" s="1" t="s">
        <v>1010</v>
      </c>
      <c r="P4064" s="1" t="s">
        <v>401</v>
      </c>
      <c r="Q4064" s="63" t="s">
        <v>11593</v>
      </c>
      <c r="R4064" s="1" t="s">
        <v>555</v>
      </c>
      <c r="S4064" s="13" t="s">
        <v>28</v>
      </c>
      <c r="BA4064" s="44"/>
      <c r="BB4064" s="44"/>
    </row>
    <row r="4065" spans="1:63" ht="12" customHeight="1" x14ac:dyDescent="0.15">
      <c r="A4065" s="1" t="s">
        <v>11600</v>
      </c>
      <c r="B4065" s="1">
        <v>17</v>
      </c>
      <c r="C4065" s="1" t="s">
        <v>20</v>
      </c>
      <c r="D4065" s="1" t="s">
        <v>37</v>
      </c>
      <c r="E4065" s="1" t="s">
        <v>11601</v>
      </c>
      <c r="F4065" s="72">
        <v>41684</v>
      </c>
      <c r="G4065" s="1" t="s">
        <v>11602</v>
      </c>
      <c r="H4065" s="1" t="s">
        <v>11603</v>
      </c>
      <c r="I4065" s="1" t="s">
        <v>173</v>
      </c>
      <c r="J4065" s="4">
        <v>30120</v>
      </c>
      <c r="K4065" s="1" t="s">
        <v>1117</v>
      </c>
      <c r="L4065" s="1" t="s">
        <v>11604</v>
      </c>
      <c r="M4065" s="1" t="s">
        <v>27</v>
      </c>
      <c r="N4065" s="1" t="s">
        <v>11605</v>
      </c>
      <c r="O4065" s="1" t="s">
        <v>29647</v>
      </c>
      <c r="P4065" s="1" t="s">
        <v>401</v>
      </c>
      <c r="Q4065" s="63" t="s">
        <v>11606</v>
      </c>
      <c r="R4065" s="1" t="s">
        <v>100</v>
      </c>
      <c r="S4065" s="13" t="s">
        <v>18</v>
      </c>
    </row>
    <row r="4066" spans="1:63" ht="12" customHeight="1" x14ac:dyDescent="0.15">
      <c r="A4066" s="1" t="s">
        <v>11594</v>
      </c>
      <c r="B4066" s="1">
        <v>20</v>
      </c>
      <c r="C4066" s="1" t="s">
        <v>20</v>
      </c>
      <c r="D4066" s="1" t="s">
        <v>85</v>
      </c>
      <c r="E4066" s="1" t="s">
        <v>11595</v>
      </c>
      <c r="F4066" s="72">
        <v>41684</v>
      </c>
      <c r="G4066" s="1" t="s">
        <v>11596</v>
      </c>
      <c r="H4066" s="1" t="s">
        <v>655</v>
      </c>
      <c r="I4066" s="1" t="s">
        <v>269</v>
      </c>
      <c r="J4066" s="4" t="s">
        <v>11597</v>
      </c>
      <c r="K4066" s="1" t="s">
        <v>570</v>
      </c>
      <c r="L4066" s="1" t="s">
        <v>11598</v>
      </c>
      <c r="M4066" s="1" t="s">
        <v>27</v>
      </c>
      <c r="N4066" s="1" t="s">
        <v>11599</v>
      </c>
      <c r="O4066" s="1" t="s">
        <v>29</v>
      </c>
      <c r="P4066" s="1" t="s">
        <v>401</v>
      </c>
      <c r="Q4066" s="63" t="s">
        <v>21017</v>
      </c>
      <c r="R4066" s="1" t="s">
        <v>555</v>
      </c>
      <c r="S4066" s="13" t="s">
        <v>18</v>
      </c>
      <c r="AX4066" s="11"/>
      <c r="AY4066" s="11"/>
      <c r="AZ4066" s="11"/>
      <c r="BC4066" s="11"/>
      <c r="BD4066" s="11"/>
      <c r="BE4066" s="11"/>
      <c r="BF4066" s="11"/>
      <c r="BG4066" s="11"/>
      <c r="BH4066" s="11"/>
      <c r="BI4066" s="11"/>
      <c r="BJ4066" s="11"/>
    </row>
    <row r="4067" spans="1:63" ht="12" customHeight="1" x14ac:dyDescent="0.15">
      <c r="A4067" s="1" t="s">
        <v>11607</v>
      </c>
      <c r="B4067" s="1">
        <v>21</v>
      </c>
      <c r="C4067" s="1" t="s">
        <v>20</v>
      </c>
      <c r="D4067" s="1" t="s">
        <v>48</v>
      </c>
      <c r="F4067" s="72">
        <v>41683</v>
      </c>
      <c r="G4067" s="1" t="s">
        <v>11608</v>
      </c>
      <c r="H4067" s="1" t="s">
        <v>632</v>
      </c>
      <c r="I4067" s="1" t="s">
        <v>123</v>
      </c>
      <c r="J4067" s="4" t="s">
        <v>2804</v>
      </c>
      <c r="K4067" s="1" t="s">
        <v>633</v>
      </c>
      <c r="L4067" s="1" t="s">
        <v>634</v>
      </c>
      <c r="M4067" s="1" t="s">
        <v>27</v>
      </c>
      <c r="N4067" s="1" t="s">
        <v>11609</v>
      </c>
      <c r="O4067" s="1" t="s">
        <v>1010</v>
      </c>
      <c r="P4067" s="1" t="s">
        <v>401</v>
      </c>
      <c r="Q4067" s="6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4067" s="1" t="s">
        <v>100</v>
      </c>
      <c r="S4067" s="13" t="s">
        <v>28</v>
      </c>
    </row>
    <row r="4068" spans="1:63" ht="12" customHeight="1" x14ac:dyDescent="0.15">
      <c r="A4068" s="1" t="s">
        <v>11610</v>
      </c>
      <c r="B4068" s="1">
        <v>35</v>
      </c>
      <c r="C4068" s="1" t="s">
        <v>20</v>
      </c>
      <c r="D4068" s="1" t="s">
        <v>48</v>
      </c>
      <c r="F4068" s="72">
        <v>41683</v>
      </c>
      <c r="G4068" s="1" t="s">
        <v>11611</v>
      </c>
      <c r="H4068" s="1" t="s">
        <v>5820</v>
      </c>
      <c r="I4068" s="1" t="s">
        <v>45</v>
      </c>
      <c r="J4068" s="4" t="s">
        <v>11612</v>
      </c>
      <c r="K4068" s="1" t="s">
        <v>98</v>
      </c>
      <c r="L4068" s="11" t="s">
        <v>414</v>
      </c>
      <c r="M4068" s="1" t="s">
        <v>27</v>
      </c>
      <c r="N4068" s="1" t="s">
        <v>11613</v>
      </c>
      <c r="O4068" s="1" t="s">
        <v>1010</v>
      </c>
      <c r="P4068" s="1" t="s">
        <v>401</v>
      </c>
      <c r="Q4068" s="63" t="s">
        <v>11614</v>
      </c>
      <c r="R4068" s="1" t="s">
        <v>100</v>
      </c>
      <c r="S4068" s="13" t="s">
        <v>28</v>
      </c>
    </row>
    <row r="4069" spans="1:63" ht="12" customHeight="1" x14ac:dyDescent="0.15">
      <c r="A4069" s="1" t="s">
        <v>11615</v>
      </c>
      <c r="B4069" s="1">
        <v>48</v>
      </c>
      <c r="C4069" s="1" t="s">
        <v>20</v>
      </c>
      <c r="D4069" s="1" t="s">
        <v>37</v>
      </c>
      <c r="E4069" s="1" t="s">
        <v>11616</v>
      </c>
      <c r="F4069" s="72">
        <v>41683</v>
      </c>
      <c r="G4069" s="1" t="s">
        <v>11617</v>
      </c>
      <c r="H4069" s="1" t="s">
        <v>8876</v>
      </c>
      <c r="I4069" s="1" t="s">
        <v>303</v>
      </c>
      <c r="J4069" s="4" t="s">
        <v>8877</v>
      </c>
      <c r="K4069" s="1" t="s">
        <v>1543</v>
      </c>
      <c r="L4069" s="1" t="s">
        <v>8878</v>
      </c>
      <c r="M4069" s="1" t="s">
        <v>27</v>
      </c>
      <c r="N4069" s="1" t="s">
        <v>11618</v>
      </c>
      <c r="O4069" s="1" t="s">
        <v>550</v>
      </c>
      <c r="P4069" s="1" t="s">
        <v>401</v>
      </c>
      <c r="Q4069" s="63" t="str">
        <f>HYPERLINK("http://www.chronline.com/article_b54aecd0-94b9-11e3-8b34-001a4bcf887a.html","http://www.chronline.com/article_b54aecd0-94b9-11e3-8b34-001a4bcf887a.html")</f>
        <v>http://www.chronline.com/article_b54aecd0-94b9-11e3-8b34-001a4bcf887a.html</v>
      </c>
      <c r="R4069" s="1" t="s">
        <v>100</v>
      </c>
      <c r="S4069" s="13" t="s">
        <v>28</v>
      </c>
    </row>
    <row r="4070" spans="1:63" ht="12" customHeight="1" x14ac:dyDescent="0.15">
      <c r="A4070" s="1" t="s">
        <v>11619</v>
      </c>
      <c r="B4070" s="1">
        <v>27</v>
      </c>
      <c r="C4070" s="1" t="s">
        <v>20</v>
      </c>
      <c r="D4070" s="1" t="s">
        <v>85</v>
      </c>
      <c r="E4070" s="1" t="s">
        <v>11620</v>
      </c>
      <c r="F4070" s="72">
        <v>41682</v>
      </c>
      <c r="G4070" s="1" t="s">
        <v>11621</v>
      </c>
      <c r="H4070" s="1" t="s">
        <v>709</v>
      </c>
      <c r="I4070" s="1" t="s">
        <v>431</v>
      </c>
      <c r="J4070" s="4" t="s">
        <v>11622</v>
      </c>
      <c r="K4070" s="1" t="s">
        <v>709</v>
      </c>
      <c r="L4070" s="1" t="s">
        <v>4516</v>
      </c>
      <c r="M4070" s="1" t="s">
        <v>27</v>
      </c>
      <c r="N4070" s="1" t="s">
        <v>11623</v>
      </c>
      <c r="O4070" s="1" t="s">
        <v>1010</v>
      </c>
      <c r="P4070" s="1" t="s">
        <v>401</v>
      </c>
      <c r="Q4070" s="63" t="s">
        <v>11624</v>
      </c>
      <c r="R4070" s="1" t="s">
        <v>100</v>
      </c>
      <c r="S4070" s="13" t="s">
        <v>28</v>
      </c>
      <c r="AX4070" s="11"/>
      <c r="AY4070" s="11"/>
      <c r="BC4070" s="11"/>
      <c r="BD4070" s="11"/>
      <c r="BE4070" s="11"/>
      <c r="BF4070" s="11"/>
      <c r="BG4070" s="11"/>
      <c r="BH4070" s="11"/>
      <c r="BI4070" s="11"/>
      <c r="BJ4070" s="11"/>
    </row>
    <row r="4071" spans="1:63" ht="12" customHeight="1" x14ac:dyDescent="0.15">
      <c r="A4071" s="1" t="s">
        <v>11625</v>
      </c>
      <c r="B4071" s="1">
        <v>32</v>
      </c>
      <c r="C4071" s="1" t="s">
        <v>20</v>
      </c>
      <c r="D4071" s="1" t="s">
        <v>37</v>
      </c>
      <c r="E4071" s="1" t="s">
        <v>11626</v>
      </c>
      <c r="F4071" s="72">
        <v>41682</v>
      </c>
      <c r="G4071" s="1" t="s">
        <v>11627</v>
      </c>
      <c r="H4071" s="1" t="s">
        <v>11628</v>
      </c>
      <c r="I4071" s="1" t="s">
        <v>438</v>
      </c>
      <c r="J4071" s="4" t="s">
        <v>11629</v>
      </c>
      <c r="K4071" s="1" t="s">
        <v>6047</v>
      </c>
      <c r="L4071" s="1" t="s">
        <v>11630</v>
      </c>
      <c r="M4071" s="1" t="s">
        <v>27</v>
      </c>
      <c r="N4071" s="1" t="s">
        <v>11631</v>
      </c>
      <c r="O4071" s="1" t="s">
        <v>550</v>
      </c>
      <c r="P4071" s="1" t="s">
        <v>401</v>
      </c>
      <c r="Q4071" s="6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4071" s="1" t="s">
        <v>100</v>
      </c>
      <c r="S4071" s="13" t="s">
        <v>28</v>
      </c>
    </row>
    <row r="4072" spans="1:63" ht="12" customHeight="1" x14ac:dyDescent="0.15">
      <c r="A4072" s="1" t="s">
        <v>11632</v>
      </c>
      <c r="B4072" s="1">
        <v>52</v>
      </c>
      <c r="C4072" s="1" t="s">
        <v>114</v>
      </c>
      <c r="D4072" s="1" t="s">
        <v>30</v>
      </c>
      <c r="F4072" s="72">
        <v>41681</v>
      </c>
      <c r="G4072" s="1" t="s">
        <v>11633</v>
      </c>
      <c r="H4072" s="1" t="s">
        <v>2028</v>
      </c>
      <c r="I4072" s="1" t="s">
        <v>319</v>
      </c>
      <c r="J4072" s="4" t="s">
        <v>11634</v>
      </c>
      <c r="K4072" s="1" t="s">
        <v>879</v>
      </c>
      <c r="L4072" s="1" t="s">
        <v>880</v>
      </c>
      <c r="M4072" s="1" t="s">
        <v>27</v>
      </c>
      <c r="N4072" s="1" t="s">
        <v>11635</v>
      </c>
      <c r="O4072" s="1" t="s">
        <v>1010</v>
      </c>
      <c r="P4072" s="1" t="s">
        <v>401</v>
      </c>
      <c r="Q4072" s="63" t="s">
        <v>11636</v>
      </c>
      <c r="R4072" s="1" t="s">
        <v>555</v>
      </c>
      <c r="S4072" s="13" t="s">
        <v>28</v>
      </c>
      <c r="BA4072" s="11"/>
      <c r="BB4072" s="11"/>
    </row>
    <row r="4073" spans="1:63" ht="12" customHeight="1" x14ac:dyDescent="0.2">
      <c r="A4073" s="1" t="s">
        <v>11637</v>
      </c>
      <c r="B4073" s="1">
        <v>23</v>
      </c>
      <c r="C4073" s="1" t="s">
        <v>20</v>
      </c>
      <c r="D4073" s="1" t="s">
        <v>37</v>
      </c>
      <c r="E4073" s="1" t="s">
        <v>11638</v>
      </c>
      <c r="F4073" s="72">
        <v>41681</v>
      </c>
      <c r="G4073" s="1" t="s">
        <v>11639</v>
      </c>
      <c r="H4073" s="1" t="s">
        <v>11640</v>
      </c>
      <c r="I4073" s="1" t="s">
        <v>303</v>
      </c>
      <c r="J4073" s="4" t="s">
        <v>11641</v>
      </c>
      <c r="K4073" s="1" t="s">
        <v>838</v>
      </c>
      <c r="L4073" s="1" t="s">
        <v>11484</v>
      </c>
      <c r="M4073" s="1" t="s">
        <v>27</v>
      </c>
      <c r="N4073" s="1" t="s">
        <v>11642</v>
      </c>
      <c r="O4073" s="1" t="s">
        <v>1010</v>
      </c>
      <c r="P4073" s="1" t="s">
        <v>401</v>
      </c>
      <c r="Q4073" s="63" t="str">
        <f>HYPERLINK("http://www.spokesman.com/stories/2014/feb/11/possible-officer-involved-shooting-spokane-valley/","http://www.spokesman.com/stories/2014/feb/11/possible-officer-involved-shooting-spokane-valley/")</f>
        <v>http://www.spokesman.com/stories/2014/feb/11/possible-officer-involved-shooting-spokane-valley/</v>
      </c>
      <c r="R4073" s="1" t="s">
        <v>555</v>
      </c>
      <c r="S4073" s="13" t="s">
        <v>28</v>
      </c>
      <c r="AX4073" s="70"/>
      <c r="AY4073" s="70"/>
      <c r="AZ4073" s="70"/>
      <c r="BA4073" s="44"/>
      <c r="BB4073" s="44"/>
    </row>
    <row r="4074" spans="1:63" ht="12" customHeight="1" x14ac:dyDescent="0.15">
      <c r="A4074" s="1" t="s">
        <v>11643</v>
      </c>
      <c r="B4074" s="1">
        <v>21</v>
      </c>
      <c r="C4074" s="1" t="s">
        <v>20</v>
      </c>
      <c r="D4074" s="1" t="s">
        <v>85</v>
      </c>
      <c r="E4074" s="1" t="s">
        <v>11644</v>
      </c>
      <c r="F4074" s="72">
        <v>41680</v>
      </c>
      <c r="G4074" s="1" t="s">
        <v>11645</v>
      </c>
      <c r="H4074" s="1" t="s">
        <v>5585</v>
      </c>
      <c r="I4074" s="1" t="s">
        <v>62</v>
      </c>
      <c r="J4074" s="4" t="s">
        <v>11646</v>
      </c>
      <c r="K4074" s="1" t="s">
        <v>5587</v>
      </c>
      <c r="L4074" s="1" t="s">
        <v>5588</v>
      </c>
      <c r="M4074" s="1" t="s">
        <v>27</v>
      </c>
      <c r="N4074" s="1" t="s">
        <v>11647</v>
      </c>
      <c r="O4074" s="1" t="s">
        <v>550</v>
      </c>
      <c r="P4074" s="1" t="s">
        <v>401</v>
      </c>
      <c r="Q4074" s="63" t="s">
        <v>11648</v>
      </c>
      <c r="R4074" s="11" t="s">
        <v>964</v>
      </c>
      <c r="S4074" s="13" t="s">
        <v>18</v>
      </c>
      <c r="AX4074" s="11"/>
      <c r="AY4074" s="11"/>
      <c r="BC4074" s="11"/>
      <c r="BD4074" s="11"/>
      <c r="BE4074" s="11"/>
      <c r="BF4074" s="11"/>
      <c r="BG4074" s="11"/>
      <c r="BH4074" s="11"/>
      <c r="BI4074" s="11"/>
      <c r="BJ4074" s="11"/>
    </row>
    <row r="4075" spans="1:63" ht="12" customHeight="1" x14ac:dyDescent="0.15">
      <c r="A4075" s="1" t="s">
        <v>11656</v>
      </c>
      <c r="B4075" s="1">
        <v>16</v>
      </c>
      <c r="C4075" s="1" t="s">
        <v>20</v>
      </c>
      <c r="D4075" s="1" t="s">
        <v>85</v>
      </c>
      <c r="E4075" s="1" t="str">
        <f>HYPERLINK("http://kollegekidd.com/news/friends-family-remember-slain-robbery-suspect-deonta-mackey/","http://kollegekidd.com/news/friends-family-remember-slain-robbery-suspect-deonta-mackey/")</f>
        <v>http://kollegekidd.com/news/friends-family-remember-slain-robbery-suspect-deonta-mackey/</v>
      </c>
      <c r="F4075" s="72">
        <v>41680</v>
      </c>
      <c r="G4075" s="1" t="s">
        <v>11657</v>
      </c>
      <c r="H4075" s="1" t="s">
        <v>87</v>
      </c>
      <c r="I4075" s="1" t="s">
        <v>44</v>
      </c>
      <c r="J4075" s="4" t="s">
        <v>11658</v>
      </c>
      <c r="K4075" s="1" t="s">
        <v>88</v>
      </c>
      <c r="L4075" s="1" t="s">
        <v>11659</v>
      </c>
      <c r="M4075" s="1" t="s">
        <v>27</v>
      </c>
      <c r="N4075" s="1" t="s">
        <v>11660</v>
      </c>
      <c r="O4075" s="1" t="s">
        <v>1010</v>
      </c>
      <c r="P4075" s="1" t="s">
        <v>401</v>
      </c>
      <c r="Q4075" s="63" t="s">
        <v>11661</v>
      </c>
      <c r="R4075" s="1" t="s">
        <v>100</v>
      </c>
      <c r="S4075" s="13" t="s">
        <v>28</v>
      </c>
      <c r="AX4075" s="11"/>
      <c r="AY4075" s="11"/>
      <c r="BC4075" s="11"/>
      <c r="BD4075" s="11"/>
      <c r="BE4075" s="11"/>
      <c r="BF4075" s="11"/>
      <c r="BG4075" s="11"/>
      <c r="BH4075" s="11"/>
      <c r="BI4075" s="11"/>
      <c r="BJ4075" s="11"/>
    </row>
    <row r="4076" spans="1:63" ht="12" customHeight="1" x14ac:dyDescent="0.15">
      <c r="A4076" s="1" t="s">
        <v>11649</v>
      </c>
      <c r="B4076" s="1">
        <v>68</v>
      </c>
      <c r="C4076" s="1" t="s">
        <v>20</v>
      </c>
      <c r="D4076" s="1" t="s">
        <v>85</v>
      </c>
      <c r="E4076" s="1" t="s">
        <v>11650</v>
      </c>
      <c r="F4076" s="72">
        <v>41680</v>
      </c>
      <c r="G4076" s="1" t="s">
        <v>11651</v>
      </c>
      <c r="H4076" s="1" t="s">
        <v>1782</v>
      </c>
      <c r="I4076" s="1" t="s">
        <v>32</v>
      </c>
      <c r="J4076" s="4" t="s">
        <v>11652</v>
      </c>
      <c r="K4076" s="1" t="s">
        <v>11653</v>
      </c>
      <c r="L4076" s="1" t="s">
        <v>11654</v>
      </c>
      <c r="M4076" s="1" t="s">
        <v>27</v>
      </c>
      <c r="N4076" s="1" t="s">
        <v>11655</v>
      </c>
      <c r="O4076" s="1" t="s">
        <v>29648</v>
      </c>
      <c r="P4076" s="1" t="s">
        <v>29649</v>
      </c>
      <c r="Q4076" s="6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4076" s="1" t="s">
        <v>100</v>
      </c>
      <c r="S4076" s="13" t="s">
        <v>18</v>
      </c>
      <c r="AX4076" s="11"/>
      <c r="AY4076" s="11"/>
      <c r="BC4076" s="11"/>
      <c r="BD4076" s="11"/>
      <c r="BE4076" s="11"/>
      <c r="BF4076" s="11"/>
      <c r="BG4076" s="11"/>
      <c r="BH4076" s="11"/>
      <c r="BI4076" s="11"/>
      <c r="BJ4076" s="11"/>
    </row>
    <row r="4077" spans="1:63" ht="12" customHeight="1" x14ac:dyDescent="0.15">
      <c r="A4077" s="1" t="s">
        <v>3252</v>
      </c>
      <c r="B4077" s="1" t="s">
        <v>29</v>
      </c>
      <c r="C4077" s="1" t="s">
        <v>20</v>
      </c>
      <c r="D4077" s="1" t="s">
        <v>30</v>
      </c>
      <c r="F4077" s="72">
        <v>41680</v>
      </c>
      <c r="G4077" s="1" t="s">
        <v>11645</v>
      </c>
      <c r="H4077" s="1" t="s">
        <v>11677</v>
      </c>
      <c r="I4077" s="1" t="s">
        <v>62</v>
      </c>
      <c r="J4077" s="4" t="s">
        <v>11646</v>
      </c>
      <c r="K4077" s="1" t="s">
        <v>5587</v>
      </c>
      <c r="L4077" s="1" t="s">
        <v>5588</v>
      </c>
      <c r="M4077" s="1" t="s">
        <v>27</v>
      </c>
      <c r="N4077" s="1" t="s">
        <v>21018</v>
      </c>
      <c r="O4077" s="1" t="s">
        <v>1010</v>
      </c>
      <c r="P4077" s="1" t="s">
        <v>401</v>
      </c>
      <c r="Q4077" s="63" t="s">
        <v>11678</v>
      </c>
      <c r="R4077" s="1" t="s">
        <v>100</v>
      </c>
      <c r="S4077" s="13" t="s">
        <v>18</v>
      </c>
    </row>
    <row r="4078" spans="1:63" ht="12" customHeight="1" x14ac:dyDescent="0.15">
      <c r="A4078" s="1" t="s">
        <v>11662</v>
      </c>
      <c r="B4078" s="1">
        <v>20</v>
      </c>
      <c r="C4078" s="1" t="s">
        <v>20</v>
      </c>
      <c r="D4078" s="1" t="s">
        <v>85</v>
      </c>
      <c r="E4078" s="1" t="s">
        <v>11663</v>
      </c>
      <c r="F4078" s="72">
        <v>41680</v>
      </c>
      <c r="G4078" s="1" t="s">
        <v>11664</v>
      </c>
      <c r="H4078" s="1" t="s">
        <v>723</v>
      </c>
      <c r="I4078" s="1" t="s">
        <v>73</v>
      </c>
      <c r="J4078" s="4" t="s">
        <v>11665</v>
      </c>
      <c r="K4078" s="1" t="s">
        <v>558</v>
      </c>
      <c r="L4078" s="1" t="s">
        <v>11666</v>
      </c>
      <c r="M4078" s="1" t="s">
        <v>27</v>
      </c>
      <c r="N4078" s="1" t="s">
        <v>11667</v>
      </c>
      <c r="O4078" s="1" t="s">
        <v>1010</v>
      </c>
      <c r="P4078" s="1" t="s">
        <v>401</v>
      </c>
      <c r="Q4078" s="63" t="s">
        <v>11668</v>
      </c>
      <c r="R4078" s="1" t="s">
        <v>100</v>
      </c>
      <c r="S4078" s="13" t="s">
        <v>35</v>
      </c>
      <c r="AX4078" s="11"/>
      <c r="AY4078" s="11"/>
      <c r="BC4078" s="11"/>
      <c r="BD4078" s="11"/>
      <c r="BE4078" s="11"/>
      <c r="BF4078" s="11"/>
      <c r="BG4078" s="11"/>
      <c r="BH4078" s="11"/>
      <c r="BI4078" s="11"/>
      <c r="BJ4078" s="11"/>
      <c r="BK4078" s="11"/>
    </row>
    <row r="4079" spans="1:63" ht="12" customHeight="1" x14ac:dyDescent="0.15">
      <c r="A4079" s="1" t="s">
        <v>11669</v>
      </c>
      <c r="B4079" s="1">
        <v>23</v>
      </c>
      <c r="C4079" s="1" t="s">
        <v>20</v>
      </c>
      <c r="D4079" s="1" t="s">
        <v>48</v>
      </c>
      <c r="E4079" s="1" t="s">
        <v>11670</v>
      </c>
      <c r="F4079" s="72">
        <v>41680</v>
      </c>
      <c r="G4079" s="1" t="s">
        <v>11671</v>
      </c>
      <c r="H4079" s="1" t="s">
        <v>11672</v>
      </c>
      <c r="I4079" s="1" t="s">
        <v>45</v>
      </c>
      <c r="J4079" s="4" t="s">
        <v>11673</v>
      </c>
      <c r="K4079" s="1" t="s">
        <v>1061</v>
      </c>
      <c r="L4079" s="1" t="s">
        <v>11674</v>
      </c>
      <c r="M4079" s="1" t="s">
        <v>27</v>
      </c>
      <c r="N4079" s="1" t="s">
        <v>11675</v>
      </c>
      <c r="O4079" s="1" t="s">
        <v>1010</v>
      </c>
      <c r="P4079" s="1" t="s">
        <v>401</v>
      </c>
      <c r="Q4079" s="63" t="s">
        <v>11676</v>
      </c>
      <c r="R4079" s="1" t="s">
        <v>29</v>
      </c>
      <c r="S4079" s="13" t="s">
        <v>28</v>
      </c>
    </row>
    <row r="4080" spans="1:63" ht="12" customHeight="1" x14ac:dyDescent="0.15">
      <c r="A4080" s="1" t="s">
        <v>11679</v>
      </c>
      <c r="B4080" s="1">
        <v>45</v>
      </c>
      <c r="C4080" s="1" t="s">
        <v>20</v>
      </c>
      <c r="D4080" s="1" t="s">
        <v>85</v>
      </c>
      <c r="E4080" s="1" t="s">
        <v>11680</v>
      </c>
      <c r="F4080" s="72">
        <v>41679</v>
      </c>
      <c r="G4080" s="1" t="s">
        <v>11681</v>
      </c>
      <c r="H4080" s="1" t="s">
        <v>1760</v>
      </c>
      <c r="I4080" s="1" t="s">
        <v>45</v>
      </c>
      <c r="J4080" s="4" t="s">
        <v>5079</v>
      </c>
      <c r="K4080" s="1" t="s">
        <v>1762</v>
      </c>
      <c r="L4080" s="1" t="s">
        <v>1763</v>
      </c>
      <c r="M4080" s="1" t="s">
        <v>27</v>
      </c>
      <c r="N4080" s="1" t="s">
        <v>11682</v>
      </c>
      <c r="O4080" s="1" t="s">
        <v>1010</v>
      </c>
      <c r="P4080" s="1" t="s">
        <v>401</v>
      </c>
      <c r="Q4080" s="63" t="s">
        <v>11683</v>
      </c>
      <c r="R4080" s="1" t="s">
        <v>100</v>
      </c>
      <c r="S4080" s="13" t="s">
        <v>28</v>
      </c>
      <c r="AX4080" s="11"/>
      <c r="AY4080" s="11"/>
      <c r="BC4080" s="11"/>
      <c r="BD4080" s="11"/>
      <c r="BE4080" s="11"/>
      <c r="BF4080" s="11"/>
      <c r="BG4080" s="11"/>
      <c r="BH4080" s="11"/>
      <c r="BI4080" s="11"/>
      <c r="BJ4080" s="11"/>
    </row>
    <row r="4081" spans="1:62" ht="12" customHeight="1" x14ac:dyDescent="0.15">
      <c r="A4081" s="1" t="s">
        <v>11684</v>
      </c>
      <c r="B4081" s="1">
        <v>27</v>
      </c>
      <c r="C4081" s="1" t="s">
        <v>20</v>
      </c>
      <c r="D4081" s="1" t="s">
        <v>85</v>
      </c>
      <c r="F4081" s="72">
        <v>41677</v>
      </c>
      <c r="G4081" s="1" t="s">
        <v>11685</v>
      </c>
      <c r="H4081" s="1" t="s">
        <v>11686</v>
      </c>
      <c r="I4081" s="1" t="s">
        <v>25</v>
      </c>
      <c r="J4081" s="4" t="s">
        <v>11687</v>
      </c>
      <c r="K4081" s="1" t="s">
        <v>2316</v>
      </c>
      <c r="L4081" s="1" t="s">
        <v>11688</v>
      </c>
      <c r="M4081" s="1" t="s">
        <v>27</v>
      </c>
      <c r="N4081" s="1" t="s">
        <v>11689</v>
      </c>
      <c r="O4081" s="1" t="s">
        <v>1010</v>
      </c>
      <c r="P4081" s="1" t="s">
        <v>401</v>
      </c>
      <c r="Q4081" s="63" t="str">
        <f>HYPERLINK("http://www.ktbs.com/story/24667057/officer-involved-shooting-in-ruston-leaves-one-dead","http://www.ktbs.com/story/24667057/officer-involved-shooting-in-ruston-leaves-one-dead")</f>
        <v>http://www.ktbs.com/story/24667057/officer-involved-shooting-in-ruston-leaves-one-dead</v>
      </c>
      <c r="R4081" s="1" t="s">
        <v>100</v>
      </c>
      <c r="S4081" s="13" t="s">
        <v>28</v>
      </c>
      <c r="AX4081" s="11"/>
      <c r="AY4081" s="11"/>
      <c r="BC4081" s="11"/>
      <c r="BD4081" s="11"/>
      <c r="BE4081" s="11"/>
      <c r="BF4081" s="11"/>
      <c r="BG4081" s="11"/>
      <c r="BH4081" s="11"/>
      <c r="BI4081" s="11"/>
      <c r="BJ4081" s="11"/>
    </row>
    <row r="4082" spans="1:62" ht="12" customHeight="1" x14ac:dyDescent="0.2">
      <c r="A4082" s="1" t="s">
        <v>11704</v>
      </c>
      <c r="B4082" s="1">
        <v>42</v>
      </c>
      <c r="C4082" s="1" t="s">
        <v>20</v>
      </c>
      <c r="D4082" s="1" t="s">
        <v>37</v>
      </c>
      <c r="E4082" s="1" t="s">
        <v>11705</v>
      </c>
      <c r="F4082" s="72">
        <v>41677</v>
      </c>
      <c r="G4082" s="1" t="s">
        <v>11706</v>
      </c>
      <c r="H4082" s="1" t="s">
        <v>2342</v>
      </c>
      <c r="I4082" s="1" t="s">
        <v>57</v>
      </c>
      <c r="J4082" s="4" t="s">
        <v>11707</v>
      </c>
      <c r="K4082" s="1" t="s">
        <v>2342</v>
      </c>
      <c r="L4082" s="1" t="s">
        <v>11708</v>
      </c>
      <c r="M4082" s="1" t="s">
        <v>27</v>
      </c>
      <c r="N4082" s="1" t="s">
        <v>11709</v>
      </c>
      <c r="O4082" s="1" t="s">
        <v>550</v>
      </c>
      <c r="P4082" s="1" t="s">
        <v>401</v>
      </c>
      <c r="Q4082" s="63" t="s">
        <v>11710</v>
      </c>
      <c r="R4082" s="1" t="s">
        <v>100</v>
      </c>
      <c r="S4082" s="13" t="s">
        <v>28</v>
      </c>
      <c r="AX4082" s="70"/>
      <c r="AY4082" s="70"/>
      <c r="AZ4082" s="70"/>
    </row>
    <row r="4083" spans="1:62" ht="12" customHeight="1" x14ac:dyDescent="0.2">
      <c r="A4083" s="1" t="s">
        <v>11711</v>
      </c>
      <c r="B4083" s="1" t="s">
        <v>11691</v>
      </c>
      <c r="C4083" s="1" t="s">
        <v>114</v>
      </c>
      <c r="D4083" s="1" t="s">
        <v>37</v>
      </c>
      <c r="F4083" s="72">
        <v>41677</v>
      </c>
      <c r="G4083" s="1" t="s">
        <v>11692</v>
      </c>
      <c r="H4083" s="1" t="s">
        <v>11693</v>
      </c>
      <c r="I4083" s="1" t="s">
        <v>133</v>
      </c>
      <c r="J4083" s="4" t="s">
        <v>11694</v>
      </c>
      <c r="K4083" s="1" t="s">
        <v>1072</v>
      </c>
      <c r="L4083" s="1" t="s">
        <v>11695</v>
      </c>
      <c r="M4083" s="1" t="s">
        <v>27</v>
      </c>
      <c r="N4083" s="1" t="s">
        <v>11712</v>
      </c>
      <c r="O4083" s="1" t="s">
        <v>29</v>
      </c>
      <c r="P4083" s="1" t="s">
        <v>401</v>
      </c>
      <c r="Q4083" s="63" t="s">
        <v>11697</v>
      </c>
      <c r="R4083" s="1" t="s">
        <v>100</v>
      </c>
      <c r="S4083" s="13" t="s">
        <v>28</v>
      </c>
      <c r="AX4083" s="70"/>
      <c r="AY4083" s="70"/>
      <c r="AZ4083" s="70"/>
    </row>
    <row r="4084" spans="1:62" ht="12" customHeight="1" x14ac:dyDescent="0.2">
      <c r="A4084" s="1" t="s">
        <v>11690</v>
      </c>
      <c r="B4084" s="1" t="s">
        <v>11691</v>
      </c>
      <c r="C4084" s="1" t="s">
        <v>20</v>
      </c>
      <c r="D4084" s="1" t="s">
        <v>37</v>
      </c>
      <c r="F4084" s="72">
        <v>41677</v>
      </c>
      <c r="G4084" s="1" t="s">
        <v>11692</v>
      </c>
      <c r="H4084" s="1" t="s">
        <v>11693</v>
      </c>
      <c r="I4084" s="1" t="s">
        <v>133</v>
      </c>
      <c r="J4084" s="4" t="s">
        <v>11694</v>
      </c>
      <c r="K4084" s="1" t="s">
        <v>1072</v>
      </c>
      <c r="L4084" s="1" t="s">
        <v>11695</v>
      </c>
      <c r="M4084" s="1" t="s">
        <v>27</v>
      </c>
      <c r="N4084" s="1" t="s">
        <v>11696</v>
      </c>
      <c r="O4084" s="1" t="s">
        <v>29</v>
      </c>
      <c r="P4084" s="1" t="s">
        <v>401</v>
      </c>
      <c r="Q4084" s="63" t="s">
        <v>11697</v>
      </c>
      <c r="R4084" s="1" t="s">
        <v>100</v>
      </c>
      <c r="S4084" s="13" t="s">
        <v>28</v>
      </c>
      <c r="AX4084" s="70"/>
      <c r="AY4084" s="70"/>
      <c r="AZ4084" s="70"/>
    </row>
    <row r="4085" spans="1:62" ht="12" customHeight="1" x14ac:dyDescent="0.2">
      <c r="A4085" s="1" t="s">
        <v>11698</v>
      </c>
      <c r="B4085" s="1">
        <v>49</v>
      </c>
      <c r="C4085" s="1" t="s">
        <v>20</v>
      </c>
      <c r="D4085" s="1" t="s">
        <v>37</v>
      </c>
      <c r="E4085" s="1" t="s">
        <v>11699</v>
      </c>
      <c r="F4085" s="72">
        <v>41677</v>
      </c>
      <c r="G4085" s="1" t="s">
        <v>11700</v>
      </c>
      <c r="H4085" s="1" t="s">
        <v>830</v>
      </c>
      <c r="I4085" s="1" t="s">
        <v>73</v>
      </c>
      <c r="J4085" s="4" t="s">
        <v>11701</v>
      </c>
      <c r="K4085" s="1" t="s">
        <v>831</v>
      </c>
      <c r="L4085" s="1" t="s">
        <v>832</v>
      </c>
      <c r="M4085" s="1" t="s">
        <v>27</v>
      </c>
      <c r="N4085" s="1" t="s">
        <v>11702</v>
      </c>
      <c r="O4085" s="1" t="s">
        <v>1010</v>
      </c>
      <c r="P4085" s="1" t="s">
        <v>401</v>
      </c>
      <c r="Q4085" s="63" t="s">
        <v>11703</v>
      </c>
      <c r="R4085" s="1" t="s">
        <v>100</v>
      </c>
      <c r="S4085" s="13" t="s">
        <v>28</v>
      </c>
      <c r="AX4085" s="70"/>
      <c r="AY4085" s="70"/>
      <c r="AZ4085" s="70"/>
      <c r="BA4085" s="44"/>
      <c r="BB4085" s="44"/>
    </row>
    <row r="4086" spans="1:62" ht="12" customHeight="1" x14ac:dyDescent="0.2">
      <c r="A4086" s="1" t="s">
        <v>11713</v>
      </c>
      <c r="B4086" s="1">
        <v>43</v>
      </c>
      <c r="C4086" s="1" t="s">
        <v>20</v>
      </c>
      <c r="D4086" s="1" t="s">
        <v>37</v>
      </c>
      <c r="F4086" s="72">
        <v>41676</v>
      </c>
      <c r="G4086" s="1" t="s">
        <v>11714</v>
      </c>
      <c r="H4086" s="1" t="s">
        <v>3324</v>
      </c>
      <c r="I4086" s="1" t="s">
        <v>123</v>
      </c>
      <c r="J4086" s="4" t="s">
        <v>11715</v>
      </c>
      <c r="K4086" s="1" t="s">
        <v>633</v>
      </c>
      <c r="L4086" s="1" t="s">
        <v>3327</v>
      </c>
      <c r="M4086" s="1" t="s">
        <v>27</v>
      </c>
      <c r="N4086" s="1" t="s">
        <v>11716</v>
      </c>
      <c r="O4086" s="1" t="s">
        <v>1010</v>
      </c>
      <c r="P4086" s="1" t="s">
        <v>401</v>
      </c>
      <c r="Q4086" s="63" t="s">
        <v>11717</v>
      </c>
      <c r="R4086" s="1" t="s">
        <v>100</v>
      </c>
      <c r="S4086" s="13" t="s">
        <v>28</v>
      </c>
      <c r="AX4086" s="70"/>
      <c r="AY4086" s="70"/>
      <c r="AZ4086" s="70"/>
    </row>
    <row r="4087" spans="1:62" ht="12" customHeight="1" x14ac:dyDescent="0.15">
      <c r="A4087" s="1" t="s">
        <v>11723</v>
      </c>
      <c r="B4087" s="1">
        <v>25</v>
      </c>
      <c r="C4087" s="1" t="s">
        <v>20</v>
      </c>
      <c r="D4087" s="1" t="s">
        <v>85</v>
      </c>
      <c r="E4087" s="1" t="s">
        <v>11724</v>
      </c>
      <c r="F4087" s="72">
        <v>41675</v>
      </c>
      <c r="G4087" s="1" t="s">
        <v>11725</v>
      </c>
      <c r="H4087" s="1" t="s">
        <v>3897</v>
      </c>
      <c r="I4087" s="1" t="s">
        <v>52</v>
      </c>
      <c r="J4087" s="4" t="s">
        <v>3898</v>
      </c>
      <c r="K4087" s="1" t="s">
        <v>3899</v>
      </c>
      <c r="L4087" s="1" t="s">
        <v>695</v>
      </c>
      <c r="M4087" s="1" t="s">
        <v>27</v>
      </c>
      <c r="N4087" s="1" t="s">
        <v>11726</v>
      </c>
      <c r="O4087" s="1" t="s">
        <v>550</v>
      </c>
      <c r="P4087" s="1" t="s">
        <v>401</v>
      </c>
      <c r="Q4087" s="63" t="str">
        <f>HYPERLINK("http://www.delmarvanow.com/article/20140205/NEWS/302050037","http://www.delmarvanow.com/article/20140205/NEWS/302050037")</f>
        <v>http://www.delmarvanow.com/article/20140205/NEWS/302050037</v>
      </c>
      <c r="R4087" s="1" t="s">
        <v>100</v>
      </c>
      <c r="S4087" s="13" t="s">
        <v>28</v>
      </c>
      <c r="AX4087" s="11"/>
      <c r="AY4087" s="11"/>
      <c r="BC4087" s="11"/>
      <c r="BD4087" s="11"/>
      <c r="BE4087" s="11"/>
      <c r="BF4087" s="11"/>
      <c r="BG4087" s="11"/>
      <c r="BH4087" s="11"/>
      <c r="BI4087" s="11"/>
      <c r="BJ4087" s="11"/>
    </row>
    <row r="4088" spans="1:62" ht="12" customHeight="1" x14ac:dyDescent="0.15">
      <c r="A4088" s="1" t="s">
        <v>11718</v>
      </c>
      <c r="B4088" s="1">
        <v>21</v>
      </c>
      <c r="C4088" s="1" t="s">
        <v>20</v>
      </c>
      <c r="D4088" s="1" t="s">
        <v>85</v>
      </c>
      <c r="E4088" s="1" t="s">
        <v>11719</v>
      </c>
      <c r="F4088" s="72">
        <v>41675</v>
      </c>
      <c r="G4088" s="1" t="s">
        <v>11720</v>
      </c>
      <c r="H4088" s="1" t="s">
        <v>11721</v>
      </c>
      <c r="I4088" s="1" t="s">
        <v>62</v>
      </c>
      <c r="J4088" s="4" t="s">
        <v>9078</v>
      </c>
      <c r="K4088" s="1" t="s">
        <v>161</v>
      </c>
      <c r="L4088" s="1" t="s">
        <v>162</v>
      </c>
      <c r="M4088" s="1" t="s">
        <v>391</v>
      </c>
      <c r="N4088" s="1" t="s">
        <v>11722</v>
      </c>
      <c r="O4088" s="1" t="s">
        <v>1010</v>
      </c>
      <c r="P4088" s="1" t="s">
        <v>401</v>
      </c>
      <c r="Q4088" s="63" t="s">
        <v>11403</v>
      </c>
      <c r="R4088" s="1" t="s">
        <v>100</v>
      </c>
      <c r="S4088" s="13" t="s">
        <v>18</v>
      </c>
      <c r="AU4088" s="11"/>
      <c r="AV4088" s="11"/>
      <c r="AW4088" s="11"/>
      <c r="AX4088" s="44"/>
      <c r="AY4088" s="44"/>
      <c r="BC4088" s="11"/>
      <c r="BD4088" s="11"/>
      <c r="BE4088" s="11"/>
      <c r="BF4088" s="11"/>
      <c r="BG4088" s="11"/>
      <c r="BH4088" s="11"/>
      <c r="BI4088" s="11"/>
      <c r="BJ4088" s="11"/>
    </row>
    <row r="4089" spans="1:62" ht="12" customHeight="1" x14ac:dyDescent="0.15">
      <c r="A4089" s="1" t="s">
        <v>11727</v>
      </c>
      <c r="B4089" s="1">
        <v>51</v>
      </c>
      <c r="C4089" s="1" t="s">
        <v>20</v>
      </c>
      <c r="D4089" s="1" t="s">
        <v>30</v>
      </c>
      <c r="F4089" s="72">
        <v>41675</v>
      </c>
      <c r="G4089" s="1" t="s">
        <v>11728</v>
      </c>
      <c r="H4089" s="1" t="s">
        <v>2502</v>
      </c>
      <c r="I4089" s="1" t="s">
        <v>62</v>
      </c>
      <c r="J4089" s="4" t="s">
        <v>11729</v>
      </c>
      <c r="K4089" s="1" t="s">
        <v>7293</v>
      </c>
      <c r="L4089" s="1" t="s">
        <v>11730</v>
      </c>
      <c r="M4089" s="1" t="s">
        <v>27</v>
      </c>
      <c r="N4089" s="1" t="s">
        <v>11731</v>
      </c>
      <c r="O4089" s="1" t="s">
        <v>550</v>
      </c>
      <c r="P4089" s="1" t="s">
        <v>401</v>
      </c>
      <c r="Q4089" s="6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4089" s="1" t="s">
        <v>29</v>
      </c>
      <c r="S4089" s="13" t="s">
        <v>28</v>
      </c>
    </row>
    <row r="4090" spans="1:62" ht="12" customHeight="1" x14ac:dyDescent="0.15">
      <c r="A4090" s="1" t="s">
        <v>11732</v>
      </c>
      <c r="B4090" s="1">
        <v>28</v>
      </c>
      <c r="C4090" s="1" t="s">
        <v>20</v>
      </c>
      <c r="D4090" s="1" t="s">
        <v>85</v>
      </c>
      <c r="E4090" s="1" t="s">
        <v>11733</v>
      </c>
      <c r="F4090" s="72">
        <v>41674</v>
      </c>
      <c r="G4090" s="1" t="s">
        <v>11734</v>
      </c>
      <c r="H4090" s="1" t="s">
        <v>5317</v>
      </c>
      <c r="I4090" s="1" t="s">
        <v>62</v>
      </c>
      <c r="J4090" s="4" t="s">
        <v>11735</v>
      </c>
      <c r="K4090" s="1" t="s">
        <v>5318</v>
      </c>
      <c r="L4090" s="1" t="s">
        <v>63</v>
      </c>
      <c r="M4090" s="1" t="s">
        <v>27</v>
      </c>
      <c r="N4090" s="1" t="s">
        <v>11736</v>
      </c>
      <c r="O4090" s="1" t="s">
        <v>550</v>
      </c>
      <c r="P4090" s="1" t="s">
        <v>401</v>
      </c>
      <c r="Q4090" s="63" t="s">
        <v>11737</v>
      </c>
      <c r="R4090" s="11" t="s">
        <v>964</v>
      </c>
      <c r="S4090" s="13" t="s">
        <v>18</v>
      </c>
      <c r="AX4090" s="11"/>
      <c r="AY4090" s="11"/>
      <c r="BC4090" s="11"/>
      <c r="BD4090" s="11"/>
      <c r="BE4090" s="11"/>
      <c r="BF4090" s="11"/>
      <c r="BG4090" s="11"/>
      <c r="BH4090" s="11"/>
      <c r="BI4090" s="11"/>
      <c r="BJ4090" s="11"/>
    </row>
    <row r="4091" spans="1:62" ht="12" customHeight="1" x14ac:dyDescent="0.15">
      <c r="A4091" s="1" t="s">
        <v>11738</v>
      </c>
      <c r="B4091" s="1">
        <v>34</v>
      </c>
      <c r="C4091" s="1" t="s">
        <v>20</v>
      </c>
      <c r="D4091" s="1" t="s">
        <v>85</v>
      </c>
      <c r="E4091" s="1" t="s">
        <v>11739</v>
      </c>
      <c r="F4091" s="72">
        <v>41674</v>
      </c>
      <c r="G4091" s="1" t="s">
        <v>11740</v>
      </c>
      <c r="H4091" s="1" t="s">
        <v>11741</v>
      </c>
      <c r="I4091" s="1" t="s">
        <v>209</v>
      </c>
      <c r="J4091" s="4" t="s">
        <v>11742</v>
      </c>
      <c r="K4091" s="1" t="s">
        <v>1778</v>
      </c>
      <c r="L4091" s="1" t="s">
        <v>11743</v>
      </c>
      <c r="M4091" s="1" t="s">
        <v>27</v>
      </c>
      <c r="N4091" s="1" t="s">
        <v>11744</v>
      </c>
      <c r="O4091" s="1" t="s">
        <v>1010</v>
      </c>
      <c r="P4091" s="1" t="s">
        <v>401</v>
      </c>
      <c r="Q4091" s="63" t="s">
        <v>11745</v>
      </c>
      <c r="R4091" s="1" t="s">
        <v>100</v>
      </c>
      <c r="S4091" s="13" t="s">
        <v>28</v>
      </c>
      <c r="AX4091" s="11"/>
      <c r="AY4091" s="11"/>
      <c r="BC4091" s="11"/>
      <c r="BD4091" s="11"/>
      <c r="BE4091" s="11"/>
      <c r="BF4091" s="11"/>
      <c r="BG4091" s="11"/>
      <c r="BH4091" s="11"/>
      <c r="BI4091" s="11"/>
      <c r="BJ4091" s="11"/>
    </row>
    <row r="4092" spans="1:62" ht="12" customHeight="1" x14ac:dyDescent="0.15">
      <c r="A4092" s="1" t="s">
        <v>11746</v>
      </c>
      <c r="B4092" s="1">
        <v>39</v>
      </c>
      <c r="C4092" s="1" t="s">
        <v>20</v>
      </c>
      <c r="D4092" s="1" t="s">
        <v>942</v>
      </c>
      <c r="E4092" s="1" t="s">
        <v>11747</v>
      </c>
      <c r="F4092" s="72">
        <v>41674</v>
      </c>
      <c r="G4092" s="1" t="s">
        <v>11748</v>
      </c>
      <c r="H4092" s="1" t="s">
        <v>11749</v>
      </c>
      <c r="I4092" s="1" t="s">
        <v>870</v>
      </c>
      <c r="J4092" s="4" t="s">
        <v>11750</v>
      </c>
      <c r="K4092" s="1" t="s">
        <v>3943</v>
      </c>
      <c r="L4092" s="1" t="s">
        <v>11751</v>
      </c>
      <c r="M4092" s="1" t="s">
        <v>2291</v>
      </c>
      <c r="N4092" s="1" t="s">
        <v>11752</v>
      </c>
      <c r="O4092" s="1" t="s">
        <v>1010</v>
      </c>
      <c r="P4092" s="1" t="s">
        <v>401</v>
      </c>
      <c r="Q4092" s="63" t="s">
        <v>11753</v>
      </c>
      <c r="R4092" s="1" t="s">
        <v>100</v>
      </c>
      <c r="S4092" s="13" t="s">
        <v>18</v>
      </c>
    </row>
    <row r="4093" spans="1:62" ht="12" customHeight="1" x14ac:dyDescent="0.15">
      <c r="A4093" s="1" t="s">
        <v>3252</v>
      </c>
      <c r="B4093" s="1">
        <v>45</v>
      </c>
      <c r="C4093" s="1" t="s">
        <v>20</v>
      </c>
      <c r="D4093" s="1" t="s">
        <v>30</v>
      </c>
      <c r="F4093" s="72">
        <v>41674</v>
      </c>
      <c r="G4093" s="1" t="s">
        <v>11754</v>
      </c>
      <c r="H4093" s="1" t="s">
        <v>1100</v>
      </c>
      <c r="I4093" s="1" t="s">
        <v>404</v>
      </c>
      <c r="J4093" s="4" t="s">
        <v>11755</v>
      </c>
      <c r="K4093" s="1" t="s">
        <v>1100</v>
      </c>
      <c r="L4093" s="1" t="s">
        <v>1101</v>
      </c>
      <c r="M4093" s="1" t="s">
        <v>27</v>
      </c>
      <c r="N4093" s="1" t="s">
        <v>11756</v>
      </c>
      <c r="O4093" s="1" t="s">
        <v>1010</v>
      </c>
      <c r="P4093" s="1" t="s">
        <v>401</v>
      </c>
      <c r="Q4093" s="63" t="s">
        <v>11757</v>
      </c>
      <c r="R4093" s="1" t="s">
        <v>29</v>
      </c>
      <c r="S4093" s="13" t="s">
        <v>18</v>
      </c>
    </row>
    <row r="4094" spans="1:62" ht="12" customHeight="1" x14ac:dyDescent="0.15">
      <c r="A4094" s="1" t="s">
        <v>11758</v>
      </c>
      <c r="B4094" s="1">
        <v>62</v>
      </c>
      <c r="C4094" s="1" t="s">
        <v>114</v>
      </c>
      <c r="D4094" s="1" t="s">
        <v>30</v>
      </c>
      <c r="F4094" s="72">
        <v>41674</v>
      </c>
      <c r="G4094" s="1" t="s">
        <v>11759</v>
      </c>
      <c r="H4094" s="1" t="s">
        <v>8718</v>
      </c>
      <c r="I4094" s="1" t="s">
        <v>45</v>
      </c>
      <c r="J4094" s="4" t="s">
        <v>8719</v>
      </c>
      <c r="K4094" s="1" t="s">
        <v>602</v>
      </c>
      <c r="L4094" s="1" t="s">
        <v>8720</v>
      </c>
      <c r="M4094" s="1" t="s">
        <v>27</v>
      </c>
      <c r="N4094" s="1" t="s">
        <v>21007</v>
      </c>
      <c r="O4094" s="1" t="s">
        <v>400</v>
      </c>
      <c r="P4094" s="1" t="s">
        <v>401</v>
      </c>
      <c r="Q4094" s="63" t="str">
        <f>HYPERLINK("http://www.sfgate.com/crime/article/Hayward-police-shoot-and-kill-armed-woman-5205798.php","http://www.sfgate.com/crime/article/Hayward-police-shoot-and-kill-armed-woman-5205798.php")</f>
        <v>http://www.sfgate.com/crime/article/Hayward-police-shoot-and-kill-armed-woman-5205798.php</v>
      </c>
      <c r="R4094" s="1" t="s">
        <v>555</v>
      </c>
      <c r="S4094" s="13" t="s">
        <v>18</v>
      </c>
      <c r="BA4094" s="11"/>
      <c r="BB4094" s="11"/>
    </row>
    <row r="4095" spans="1:62" ht="12" customHeight="1" x14ac:dyDescent="0.15">
      <c r="A4095" s="1" t="s">
        <v>11760</v>
      </c>
      <c r="B4095" s="1">
        <v>56</v>
      </c>
      <c r="C4095" s="1" t="s">
        <v>20</v>
      </c>
      <c r="D4095" s="1" t="s">
        <v>48</v>
      </c>
      <c r="F4095" s="72">
        <v>41673</v>
      </c>
      <c r="G4095" s="1" t="s">
        <v>11761</v>
      </c>
      <c r="H4095" s="1" t="s">
        <v>87</v>
      </c>
      <c r="I4095" s="1" t="s">
        <v>44</v>
      </c>
      <c r="J4095" s="4" t="s">
        <v>11762</v>
      </c>
      <c r="K4095" s="1" t="s">
        <v>88</v>
      </c>
      <c r="L4095" s="1" t="s">
        <v>89</v>
      </c>
      <c r="M4095" s="1" t="s">
        <v>27</v>
      </c>
      <c r="N4095" s="1" t="s">
        <v>11763</v>
      </c>
      <c r="O4095" s="1" t="s">
        <v>1010</v>
      </c>
      <c r="P4095" s="1" t="s">
        <v>401</v>
      </c>
      <c r="Q4095" s="63" t="s">
        <v>11764</v>
      </c>
      <c r="R4095" s="1" t="s">
        <v>100</v>
      </c>
      <c r="S4095" s="13" t="s">
        <v>28</v>
      </c>
    </row>
    <row r="4096" spans="1:62" ht="12" customHeight="1" x14ac:dyDescent="0.15">
      <c r="A4096" s="1" t="s">
        <v>11765</v>
      </c>
      <c r="B4096" s="1">
        <v>25</v>
      </c>
      <c r="C4096" s="1" t="s">
        <v>20</v>
      </c>
      <c r="D4096" s="1" t="s">
        <v>85</v>
      </c>
      <c r="E4096" s="1" t="str">
        <f>HYPERLINK("http://thumbs.mugshots.com/gallery/images/8d/63/Kevin-Dejon-Grissett-mugshot-24130338.400x800.jpg","http://thumbs.mugshots.com/gallery/images/8d/63/Kevin-Dejon-Grissett-mugshot-24130338.400x800.jpg")</f>
        <v>http://thumbs.mugshots.com/gallery/images/8d/63/Kevin-Dejon-Grissett-mugshot-24130338.400x800.jpg</v>
      </c>
      <c r="F4096" s="72">
        <v>41671</v>
      </c>
      <c r="G4096" s="1" t="s">
        <v>11766</v>
      </c>
      <c r="H4096" s="1" t="s">
        <v>9070</v>
      </c>
      <c r="I4096" s="1" t="s">
        <v>366</v>
      </c>
      <c r="J4096" s="4" t="s">
        <v>8272</v>
      </c>
      <c r="K4096" s="1" t="s">
        <v>3152</v>
      </c>
      <c r="L4096" s="1" t="s">
        <v>9072</v>
      </c>
      <c r="M4096" s="1" t="s">
        <v>27</v>
      </c>
      <c r="N4096" s="1" t="s">
        <v>11767</v>
      </c>
      <c r="O4096" s="1" t="s">
        <v>1010</v>
      </c>
      <c r="P4096" s="1" t="s">
        <v>401</v>
      </c>
      <c r="Q4096" s="63" t="s">
        <v>11768</v>
      </c>
      <c r="R4096" s="11" t="s">
        <v>964</v>
      </c>
      <c r="S4096" s="13" t="s">
        <v>28</v>
      </c>
      <c r="AX4096" s="11"/>
      <c r="AY4096" s="11"/>
      <c r="BC4096" s="11"/>
      <c r="BD4096" s="11"/>
      <c r="BE4096" s="11"/>
      <c r="BF4096" s="11"/>
      <c r="BG4096" s="11"/>
      <c r="BH4096" s="11"/>
      <c r="BI4096" s="11"/>
      <c r="BJ4096" s="11"/>
    </row>
    <row r="4097" spans="1:62" ht="12" customHeight="1" x14ac:dyDescent="0.2">
      <c r="A4097" s="1" t="s">
        <v>11769</v>
      </c>
      <c r="B4097" s="1">
        <v>21</v>
      </c>
      <c r="C4097" s="1" t="s">
        <v>20</v>
      </c>
      <c r="D4097" s="1" t="s">
        <v>37</v>
      </c>
      <c r="F4097" s="72">
        <v>41671</v>
      </c>
      <c r="G4097" s="1" t="s">
        <v>11770</v>
      </c>
      <c r="H4097" s="1" t="s">
        <v>11771</v>
      </c>
      <c r="I4097" s="1" t="s">
        <v>303</v>
      </c>
      <c r="J4097" s="4" t="s">
        <v>11772</v>
      </c>
      <c r="K4097" s="1" t="s">
        <v>883</v>
      </c>
      <c r="L4097" s="1" t="s">
        <v>11773</v>
      </c>
      <c r="M4097" s="1" t="s">
        <v>27</v>
      </c>
      <c r="N4097" s="1" t="s">
        <v>11774</v>
      </c>
      <c r="O4097" s="1" t="s">
        <v>1010</v>
      </c>
      <c r="P4097" s="1" t="s">
        <v>401</v>
      </c>
      <c r="Q4097" s="63" t="s">
        <v>11775</v>
      </c>
      <c r="R4097" s="1" t="s">
        <v>100</v>
      </c>
      <c r="S4097" s="13" t="s">
        <v>28</v>
      </c>
      <c r="AX4097" s="70"/>
      <c r="AY4097" s="70"/>
      <c r="AZ4097" s="70"/>
    </row>
    <row r="4098" spans="1:62" ht="12" customHeight="1" x14ac:dyDescent="0.2">
      <c r="A4098" s="1" t="s">
        <v>11776</v>
      </c>
      <c r="B4098" s="1">
        <v>28</v>
      </c>
      <c r="C4098" s="1" t="s">
        <v>20</v>
      </c>
      <c r="D4098" s="1" t="s">
        <v>37</v>
      </c>
      <c r="F4098" s="72">
        <v>41671</v>
      </c>
      <c r="G4098" s="1" t="s">
        <v>11777</v>
      </c>
      <c r="H4098" s="1" t="s">
        <v>11778</v>
      </c>
      <c r="I4098" s="1" t="s">
        <v>269</v>
      </c>
      <c r="J4098" s="4" t="s">
        <v>11779</v>
      </c>
      <c r="K4098" s="1" t="s">
        <v>570</v>
      </c>
      <c r="L4098" s="1" t="s">
        <v>571</v>
      </c>
      <c r="M4098" s="1" t="s">
        <v>27</v>
      </c>
      <c r="N4098" s="1" t="s">
        <v>11780</v>
      </c>
      <c r="O4098" s="1" t="s">
        <v>1010</v>
      </c>
      <c r="P4098" s="1" t="s">
        <v>401</v>
      </c>
      <c r="Q4098" s="63" t="s">
        <v>11781</v>
      </c>
      <c r="R4098" s="1" t="s">
        <v>555</v>
      </c>
      <c r="S4098" s="13" t="s">
        <v>28</v>
      </c>
      <c r="AX4098" s="70"/>
      <c r="AY4098" s="70"/>
      <c r="AZ4098" s="70"/>
      <c r="BA4098" s="44"/>
      <c r="BB4098" s="44"/>
    </row>
    <row r="4099" spans="1:62" ht="12" customHeight="1" x14ac:dyDescent="0.15">
      <c r="A4099" s="1" t="s">
        <v>11795</v>
      </c>
      <c r="B4099" s="1">
        <v>27</v>
      </c>
      <c r="C4099" s="1" t="s">
        <v>20</v>
      </c>
      <c r="D4099" s="1" t="s">
        <v>48</v>
      </c>
      <c r="E4099" s="1" t="s">
        <v>11796</v>
      </c>
      <c r="F4099" s="72">
        <v>41670</v>
      </c>
      <c r="G4099" s="1" t="s">
        <v>11797</v>
      </c>
      <c r="H4099" s="1" t="s">
        <v>11798</v>
      </c>
      <c r="I4099" s="1" t="s">
        <v>240</v>
      </c>
      <c r="J4099" s="4" t="s">
        <v>11799</v>
      </c>
      <c r="K4099" s="1" t="s">
        <v>11800</v>
      </c>
      <c r="L4099" s="1" t="s">
        <v>11801</v>
      </c>
      <c r="M4099" s="1" t="s">
        <v>27</v>
      </c>
      <c r="N4099" s="1" t="s">
        <v>11802</v>
      </c>
      <c r="O4099" s="1" t="s">
        <v>550</v>
      </c>
      <c r="P4099" s="1" t="s">
        <v>401</v>
      </c>
      <c r="Q4099" s="63" t="s">
        <v>11803</v>
      </c>
      <c r="R4099" s="1" t="s">
        <v>100</v>
      </c>
      <c r="S4099" s="13" t="s">
        <v>28</v>
      </c>
    </row>
    <row r="4100" spans="1:62" ht="12" customHeight="1" x14ac:dyDescent="0.15">
      <c r="A4100" s="1" t="s">
        <v>11782</v>
      </c>
      <c r="B4100" s="1">
        <v>31</v>
      </c>
      <c r="C4100" s="1" t="s">
        <v>20</v>
      </c>
      <c r="D4100" s="1" t="s">
        <v>85</v>
      </c>
      <c r="E4100" s="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4100" s="72">
        <v>41670</v>
      </c>
      <c r="G4100" s="1" t="s">
        <v>11783</v>
      </c>
      <c r="H4100" s="1" t="s">
        <v>11784</v>
      </c>
      <c r="I4100" s="1" t="s">
        <v>32</v>
      </c>
      <c r="J4100" s="4" t="s">
        <v>11785</v>
      </c>
      <c r="K4100" s="1" t="s">
        <v>3364</v>
      </c>
      <c r="L4100" s="1" t="s">
        <v>11786</v>
      </c>
      <c r="M4100" s="1" t="s">
        <v>27</v>
      </c>
      <c r="N4100" s="1" t="s">
        <v>11787</v>
      </c>
      <c r="O4100" s="1" t="s">
        <v>550</v>
      </c>
      <c r="P4100" s="1" t="s">
        <v>401</v>
      </c>
      <c r="Q4100" s="63" t="s">
        <v>11788</v>
      </c>
      <c r="R4100" s="1" t="s">
        <v>29</v>
      </c>
      <c r="S4100" s="13" t="s">
        <v>28</v>
      </c>
      <c r="AX4100" s="11"/>
      <c r="AY4100" s="11"/>
      <c r="BC4100" s="11"/>
      <c r="BD4100" s="11"/>
      <c r="BE4100" s="11"/>
      <c r="BF4100" s="11"/>
      <c r="BG4100" s="11"/>
      <c r="BH4100" s="11"/>
      <c r="BI4100" s="11"/>
      <c r="BJ4100" s="11"/>
    </row>
    <row r="4101" spans="1:62" ht="12" customHeight="1" x14ac:dyDescent="0.15">
      <c r="A4101" s="1" t="s">
        <v>11789</v>
      </c>
      <c r="B4101" s="1">
        <v>33</v>
      </c>
      <c r="C4101" s="1" t="s">
        <v>20</v>
      </c>
      <c r="D4101" s="1" t="s">
        <v>48</v>
      </c>
      <c r="E4101" s="1" t="s">
        <v>11790</v>
      </c>
      <c r="F4101" s="72">
        <v>41670</v>
      </c>
      <c r="G4101" s="1" t="s">
        <v>11791</v>
      </c>
      <c r="H4101" s="1" t="s">
        <v>11792</v>
      </c>
      <c r="I4101" s="1" t="s">
        <v>45</v>
      </c>
      <c r="J4101" s="4" t="s">
        <v>11793</v>
      </c>
      <c r="K4101" s="1" t="s">
        <v>156</v>
      </c>
      <c r="L4101" s="1" t="s">
        <v>2115</v>
      </c>
      <c r="M4101" s="1" t="s">
        <v>27</v>
      </c>
      <c r="N4101" s="1" t="s">
        <v>11794</v>
      </c>
      <c r="O4101" s="1" t="s">
        <v>1010</v>
      </c>
      <c r="P4101" s="1" t="s">
        <v>401</v>
      </c>
      <c r="Q4101" s="63" t="s">
        <v>21019</v>
      </c>
      <c r="R4101" s="1" t="s">
        <v>555</v>
      </c>
      <c r="S4101" s="13" t="s">
        <v>18</v>
      </c>
      <c r="BA4101" s="11"/>
      <c r="BB4101" s="11"/>
    </row>
    <row r="4102" spans="1:62" ht="12" customHeight="1" x14ac:dyDescent="0.15">
      <c r="A4102" s="1" t="s">
        <v>11804</v>
      </c>
      <c r="B4102" s="1">
        <v>36</v>
      </c>
      <c r="C4102" s="1" t="s">
        <v>20</v>
      </c>
      <c r="D4102" s="1" t="s">
        <v>48</v>
      </c>
      <c r="E4102" s="1" t="s">
        <v>11805</v>
      </c>
      <c r="F4102" s="72">
        <v>41669</v>
      </c>
      <c r="G4102" s="1" t="s">
        <v>11806</v>
      </c>
      <c r="H4102" s="1" t="s">
        <v>11807</v>
      </c>
      <c r="I4102" s="1" t="s">
        <v>45</v>
      </c>
      <c r="J4102" s="4" t="s">
        <v>11808</v>
      </c>
      <c r="K4102" s="1" t="s">
        <v>9909</v>
      </c>
      <c r="L4102" s="1" t="s">
        <v>27751</v>
      </c>
      <c r="M4102" s="1" t="s">
        <v>27</v>
      </c>
      <c r="N4102" s="1" t="s">
        <v>11809</v>
      </c>
      <c r="O4102" s="1" t="s">
        <v>1010</v>
      </c>
      <c r="P4102" s="1" t="s">
        <v>401</v>
      </c>
      <c r="Q4102" s="6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4102" s="1" t="s">
        <v>100</v>
      </c>
      <c r="S4102" s="13" t="s">
        <v>28</v>
      </c>
    </row>
    <row r="4103" spans="1:62" ht="12" customHeight="1" x14ac:dyDescent="0.2">
      <c r="A4103" s="1" t="s">
        <v>11810</v>
      </c>
      <c r="B4103" s="1">
        <v>47</v>
      </c>
      <c r="C4103" s="1" t="s">
        <v>20</v>
      </c>
      <c r="D4103" s="1" t="s">
        <v>37</v>
      </c>
      <c r="E4103" s="1" t="s">
        <v>11811</v>
      </c>
      <c r="F4103" s="72">
        <v>41669</v>
      </c>
      <c r="G4103" s="1" t="s">
        <v>11812</v>
      </c>
      <c r="H4103" s="1" t="s">
        <v>11813</v>
      </c>
      <c r="I4103" s="1" t="s">
        <v>45</v>
      </c>
      <c r="J4103" s="4" t="s">
        <v>11814</v>
      </c>
      <c r="K4103" s="1" t="s">
        <v>98</v>
      </c>
      <c r="L4103" s="11" t="s">
        <v>414</v>
      </c>
      <c r="M4103" s="1" t="s">
        <v>27</v>
      </c>
      <c r="N4103" s="1" t="s">
        <v>11815</v>
      </c>
      <c r="O4103" s="1" t="s">
        <v>400</v>
      </c>
      <c r="P4103" s="1" t="s">
        <v>401</v>
      </c>
      <c r="Q4103" s="63" t="s">
        <v>11816</v>
      </c>
      <c r="R4103" s="1" t="s">
        <v>555</v>
      </c>
      <c r="S4103" s="13" t="s">
        <v>28</v>
      </c>
      <c r="AX4103" s="70"/>
      <c r="AY4103" s="70"/>
      <c r="AZ4103" s="70"/>
      <c r="BA4103" s="44"/>
      <c r="BB4103" s="44"/>
    </row>
    <row r="4104" spans="1:62" ht="12" customHeight="1" x14ac:dyDescent="0.15">
      <c r="A4104" s="1" t="s">
        <v>11824</v>
      </c>
      <c r="B4104" s="1">
        <v>19</v>
      </c>
      <c r="C4104" s="1" t="s">
        <v>20</v>
      </c>
      <c r="D4104" s="1" t="s">
        <v>85</v>
      </c>
      <c r="E4104" s="1" t="s">
        <v>11825</v>
      </c>
      <c r="F4104" s="72">
        <v>41668</v>
      </c>
      <c r="G4104" s="1" t="s">
        <v>11826</v>
      </c>
      <c r="H4104" s="1" t="s">
        <v>887</v>
      </c>
      <c r="I4104" s="1" t="s">
        <v>438</v>
      </c>
      <c r="J4104" s="4" t="s">
        <v>11827</v>
      </c>
      <c r="K4104" s="1" t="s">
        <v>887</v>
      </c>
      <c r="L4104" s="1" t="s">
        <v>3865</v>
      </c>
      <c r="M4104" s="1" t="s">
        <v>27</v>
      </c>
      <c r="N4104" s="1" t="s">
        <v>11828</v>
      </c>
      <c r="O4104" s="1" t="s">
        <v>1010</v>
      </c>
      <c r="P4104" s="1" t="s">
        <v>401</v>
      </c>
      <c r="Q4104" s="63" t="s">
        <v>11829</v>
      </c>
      <c r="R4104" s="1" t="s">
        <v>100</v>
      </c>
      <c r="S4104" s="13" t="s">
        <v>28</v>
      </c>
      <c r="AX4104" s="11"/>
      <c r="AY4104" s="11"/>
      <c r="BC4104" s="11"/>
      <c r="BD4104" s="11"/>
      <c r="BE4104" s="11"/>
      <c r="BF4104" s="11"/>
      <c r="BG4104" s="11"/>
      <c r="BH4104" s="11"/>
      <c r="BI4104" s="11"/>
      <c r="BJ4104" s="11"/>
    </row>
    <row r="4105" spans="1:62" ht="12" customHeight="1" x14ac:dyDescent="0.15">
      <c r="A4105" s="1" t="s">
        <v>11817</v>
      </c>
      <c r="B4105" s="1">
        <v>25</v>
      </c>
      <c r="C4105" s="1" t="s">
        <v>20</v>
      </c>
      <c r="D4105" s="1" t="s">
        <v>85</v>
      </c>
      <c r="E4105" s="1" t="s">
        <v>11818</v>
      </c>
      <c r="F4105" s="72">
        <v>41668</v>
      </c>
      <c r="G4105" s="1" t="s">
        <v>11819</v>
      </c>
      <c r="H4105" s="1" t="s">
        <v>11820</v>
      </c>
      <c r="I4105" s="1" t="s">
        <v>52</v>
      </c>
      <c r="J4105" s="4" t="s">
        <v>11821</v>
      </c>
      <c r="K4105" s="1" t="s">
        <v>1056</v>
      </c>
      <c r="L4105" s="1" t="s">
        <v>2357</v>
      </c>
      <c r="M4105" s="1" t="s">
        <v>27</v>
      </c>
      <c r="N4105" s="1" t="s">
        <v>11822</v>
      </c>
      <c r="O4105" s="1" t="s">
        <v>1010</v>
      </c>
      <c r="P4105" s="1" t="s">
        <v>401</v>
      </c>
      <c r="Q4105" s="63" t="s">
        <v>11823</v>
      </c>
      <c r="R4105" s="1" t="s">
        <v>29</v>
      </c>
      <c r="S4105" s="13" t="s">
        <v>28</v>
      </c>
      <c r="AX4105" s="11"/>
      <c r="AY4105" s="11"/>
      <c r="BC4105" s="11"/>
      <c r="BD4105" s="11"/>
      <c r="BE4105" s="11"/>
      <c r="BF4105" s="11"/>
      <c r="BG4105" s="11"/>
      <c r="BH4105" s="11"/>
      <c r="BI4105" s="11"/>
      <c r="BJ4105" s="11"/>
    </row>
    <row r="4106" spans="1:62" ht="12" customHeight="1" x14ac:dyDescent="0.15">
      <c r="A4106" s="1" t="s">
        <v>11830</v>
      </c>
      <c r="B4106" s="1">
        <v>29</v>
      </c>
      <c r="C4106" s="1" t="s">
        <v>20</v>
      </c>
      <c r="D4106" s="1" t="s">
        <v>48</v>
      </c>
      <c r="F4106" s="72">
        <v>41668</v>
      </c>
      <c r="G4106" s="1" t="s">
        <v>11831</v>
      </c>
      <c r="H4106" s="1" t="s">
        <v>7738</v>
      </c>
      <c r="I4106" s="1" t="s">
        <v>25</v>
      </c>
      <c r="J4106" s="4" t="s">
        <v>7739</v>
      </c>
      <c r="K4106" s="1" t="s">
        <v>7740</v>
      </c>
      <c r="L4106" s="1" t="s">
        <v>11832</v>
      </c>
      <c r="M4106" s="1" t="s">
        <v>27</v>
      </c>
      <c r="N4106" s="1" t="s">
        <v>11833</v>
      </c>
      <c r="O4106" s="1" t="s">
        <v>400</v>
      </c>
      <c r="P4106" s="1" t="s">
        <v>401</v>
      </c>
      <c r="Q4106" s="63" t="s">
        <v>11834</v>
      </c>
      <c r="R4106" s="1" t="s">
        <v>29</v>
      </c>
      <c r="S4106" s="13" t="s">
        <v>28</v>
      </c>
    </row>
    <row r="4107" spans="1:62" ht="12" customHeight="1" x14ac:dyDescent="0.2">
      <c r="A4107" s="1" t="s">
        <v>11835</v>
      </c>
      <c r="B4107" s="1">
        <v>42</v>
      </c>
      <c r="C4107" s="1" t="s">
        <v>20</v>
      </c>
      <c r="D4107" s="1" t="s">
        <v>37</v>
      </c>
      <c r="E4107" s="1" t="s">
        <v>11836</v>
      </c>
      <c r="F4107" s="72">
        <v>41668</v>
      </c>
      <c r="G4107" s="1" t="s">
        <v>11837</v>
      </c>
      <c r="H4107" s="1" t="s">
        <v>11838</v>
      </c>
      <c r="I4107" s="1" t="s">
        <v>150</v>
      </c>
      <c r="J4107" s="4" t="s">
        <v>11839</v>
      </c>
      <c r="K4107" s="1" t="s">
        <v>990</v>
      </c>
      <c r="L4107" s="1" t="s">
        <v>17262</v>
      </c>
      <c r="M4107" s="1" t="s">
        <v>27</v>
      </c>
      <c r="N4107" s="1" t="s">
        <v>11840</v>
      </c>
      <c r="O4107" s="1" t="s">
        <v>1010</v>
      </c>
      <c r="P4107" s="1" t="s">
        <v>401</v>
      </c>
      <c r="Q4107" s="63" t="s">
        <v>11841</v>
      </c>
      <c r="R4107" s="1" t="s">
        <v>555</v>
      </c>
      <c r="S4107" s="13" t="s">
        <v>28</v>
      </c>
      <c r="AX4107" s="70"/>
      <c r="AY4107" s="70"/>
      <c r="AZ4107" s="70"/>
      <c r="BA4107" s="44"/>
      <c r="BB4107" s="44"/>
    </row>
    <row r="4108" spans="1:62" ht="12" customHeight="1" x14ac:dyDescent="0.15">
      <c r="A4108" s="1" t="s">
        <v>11842</v>
      </c>
      <c r="B4108" s="1">
        <v>29</v>
      </c>
      <c r="C4108" s="1" t="s">
        <v>20</v>
      </c>
      <c r="D4108" s="1" t="s">
        <v>48</v>
      </c>
      <c r="E4108" s="1" t="s">
        <v>11843</v>
      </c>
      <c r="F4108" s="72">
        <v>41667</v>
      </c>
      <c r="G4108" s="1" t="s">
        <v>11844</v>
      </c>
      <c r="H4108" s="1" t="s">
        <v>11845</v>
      </c>
      <c r="I4108" s="1" t="s">
        <v>370</v>
      </c>
      <c r="J4108" s="4" t="s">
        <v>11846</v>
      </c>
      <c r="K4108" s="1" t="s">
        <v>11847</v>
      </c>
      <c r="L4108" s="1" t="s">
        <v>11848</v>
      </c>
      <c r="M4108" s="1" t="s">
        <v>27</v>
      </c>
      <c r="N4108" s="1" t="s">
        <v>11849</v>
      </c>
      <c r="O4108" s="1" t="s">
        <v>550</v>
      </c>
      <c r="P4108" s="1" t="s">
        <v>401</v>
      </c>
      <c r="Q4108" s="63" t="s">
        <v>11850</v>
      </c>
      <c r="R4108" s="1" t="s">
        <v>100</v>
      </c>
      <c r="S4108" s="13" t="s">
        <v>28</v>
      </c>
    </row>
    <row r="4109" spans="1:62" ht="12" customHeight="1" x14ac:dyDescent="0.15">
      <c r="A4109" s="1" t="s">
        <v>11851</v>
      </c>
      <c r="B4109" s="1">
        <v>46</v>
      </c>
      <c r="C4109" s="1" t="s">
        <v>20</v>
      </c>
      <c r="D4109" s="1" t="s">
        <v>30</v>
      </c>
      <c r="F4109" s="72">
        <v>41667</v>
      </c>
      <c r="G4109" s="1" t="s">
        <v>11852</v>
      </c>
      <c r="H4109" s="1" t="s">
        <v>9477</v>
      </c>
      <c r="I4109" s="1" t="s">
        <v>81</v>
      </c>
      <c r="J4109" s="4" t="s">
        <v>11853</v>
      </c>
      <c r="K4109" s="1" t="s">
        <v>9477</v>
      </c>
      <c r="L4109" s="1" t="s">
        <v>11854</v>
      </c>
      <c r="M4109" s="1" t="s">
        <v>27</v>
      </c>
      <c r="N4109" s="1" t="s">
        <v>11855</v>
      </c>
      <c r="O4109" s="1" t="s">
        <v>1010</v>
      </c>
      <c r="P4109" s="1" t="s">
        <v>401</v>
      </c>
      <c r="Q4109" s="63" t="s">
        <v>11856</v>
      </c>
      <c r="R4109" s="1" t="s">
        <v>29</v>
      </c>
      <c r="S4109" s="13" t="s">
        <v>28</v>
      </c>
      <c r="AX4109" s="11"/>
      <c r="AY4109" s="11"/>
    </row>
    <row r="4110" spans="1:62" ht="12" customHeight="1" x14ac:dyDescent="0.2">
      <c r="A4110" s="1" t="s">
        <v>11863</v>
      </c>
      <c r="B4110" s="1">
        <v>28</v>
      </c>
      <c r="C4110" s="1" t="s">
        <v>20</v>
      </c>
      <c r="D4110" s="1" t="s">
        <v>37</v>
      </c>
      <c r="E4110" s="1" t="s">
        <v>11864</v>
      </c>
      <c r="F4110" s="72">
        <v>41667</v>
      </c>
      <c r="G4110" s="1" t="s">
        <v>11865</v>
      </c>
      <c r="H4110" s="1" t="s">
        <v>861</v>
      </c>
      <c r="I4110" s="1" t="s">
        <v>44</v>
      </c>
      <c r="J4110" s="4" t="s">
        <v>11866</v>
      </c>
      <c r="K4110" s="1" t="s">
        <v>861</v>
      </c>
      <c r="L4110" s="1" t="s">
        <v>862</v>
      </c>
      <c r="M4110" s="1" t="s">
        <v>27</v>
      </c>
      <c r="N4110" s="1" t="s">
        <v>11867</v>
      </c>
      <c r="O4110" s="1" t="s">
        <v>550</v>
      </c>
      <c r="P4110" s="1" t="s">
        <v>401</v>
      </c>
      <c r="Q4110" s="63" t="s">
        <v>11868</v>
      </c>
      <c r="R4110" s="1" t="s">
        <v>555</v>
      </c>
      <c r="S4110" s="13" t="s">
        <v>28</v>
      </c>
      <c r="AX4110" s="70"/>
      <c r="AY4110" s="70"/>
      <c r="AZ4110" s="70"/>
      <c r="BA4110" s="44"/>
      <c r="BB4110" s="44"/>
    </row>
    <row r="4111" spans="1:62" ht="12" customHeight="1" x14ac:dyDescent="0.2">
      <c r="A4111" s="1" t="s">
        <v>11857</v>
      </c>
      <c r="B4111" s="1">
        <v>21</v>
      </c>
      <c r="C4111" s="1" t="s">
        <v>114</v>
      </c>
      <c r="D4111" s="1" t="s">
        <v>37</v>
      </c>
      <c r="E4111" s="1" t="s">
        <v>11858</v>
      </c>
      <c r="F4111" s="72">
        <v>41667</v>
      </c>
      <c r="G4111" s="1" t="s">
        <v>11859</v>
      </c>
      <c r="H4111" s="1" t="s">
        <v>224</v>
      </c>
      <c r="I4111" s="1" t="s">
        <v>366</v>
      </c>
      <c r="J4111" s="4" t="s">
        <v>11860</v>
      </c>
      <c r="K4111" s="1" t="s">
        <v>8584</v>
      </c>
      <c r="L4111" s="1" t="s">
        <v>226</v>
      </c>
      <c r="M4111" s="1" t="s">
        <v>27</v>
      </c>
      <c r="N4111" s="1" t="s">
        <v>11861</v>
      </c>
      <c r="O4111" s="1" t="s">
        <v>550</v>
      </c>
      <c r="P4111" s="1" t="s">
        <v>401</v>
      </c>
      <c r="Q4111" s="63" t="s">
        <v>11862</v>
      </c>
      <c r="R4111" s="1" t="s">
        <v>555</v>
      </c>
      <c r="S4111" s="13" t="s">
        <v>28</v>
      </c>
      <c r="AX4111" s="70"/>
      <c r="AY4111" s="70"/>
      <c r="AZ4111" s="70"/>
      <c r="BA4111" s="44"/>
      <c r="BB4111" s="44"/>
    </row>
    <row r="4112" spans="1:62" ht="12" customHeight="1" x14ac:dyDescent="0.15">
      <c r="A4112" s="1" t="s">
        <v>11877</v>
      </c>
      <c r="B4112" s="1">
        <v>39</v>
      </c>
      <c r="C4112" s="1" t="s">
        <v>20</v>
      </c>
      <c r="D4112" s="1" t="s">
        <v>48</v>
      </c>
      <c r="F4112" s="72">
        <v>41666</v>
      </c>
      <c r="G4112" s="1" t="s">
        <v>11878</v>
      </c>
      <c r="H4112" s="1" t="s">
        <v>5299</v>
      </c>
      <c r="I4112" s="1" t="s">
        <v>45</v>
      </c>
      <c r="J4112" s="4" t="s">
        <v>11879</v>
      </c>
      <c r="K4112" s="1" t="s">
        <v>783</v>
      </c>
      <c r="L4112" s="1" t="s">
        <v>784</v>
      </c>
      <c r="M4112" s="1" t="s">
        <v>27</v>
      </c>
      <c r="N4112" s="1" t="s">
        <v>11880</v>
      </c>
      <c r="O4112" s="1" t="s">
        <v>1010</v>
      </c>
      <c r="P4112" s="1" t="s">
        <v>401</v>
      </c>
      <c r="Q4112" s="63" t="s">
        <v>11881</v>
      </c>
      <c r="R4112" s="1" t="s">
        <v>100</v>
      </c>
      <c r="S4112" s="13" t="s">
        <v>18</v>
      </c>
    </row>
    <row r="4113" spans="1:62" ht="12" customHeight="1" x14ac:dyDescent="0.15">
      <c r="A4113" s="1" t="s">
        <v>11869</v>
      </c>
      <c r="B4113" s="1">
        <v>56</v>
      </c>
      <c r="C4113" s="1" t="s">
        <v>20</v>
      </c>
      <c r="D4113" s="1" t="s">
        <v>85</v>
      </c>
      <c r="E4113" s="1" t="s">
        <v>11870</v>
      </c>
      <c r="F4113" s="72">
        <v>41666</v>
      </c>
      <c r="G4113" s="1" t="s">
        <v>11871</v>
      </c>
      <c r="H4113" s="1" t="s">
        <v>11872</v>
      </c>
      <c r="I4113" s="1" t="s">
        <v>404</v>
      </c>
      <c r="J4113" s="4" t="s">
        <v>11873</v>
      </c>
      <c r="K4113" s="1" t="s">
        <v>1635</v>
      </c>
      <c r="L4113" s="1" t="s">
        <v>11874</v>
      </c>
      <c r="M4113" s="1" t="s">
        <v>27</v>
      </c>
      <c r="N4113" s="1" t="s">
        <v>11875</v>
      </c>
      <c r="O4113" s="1" t="s">
        <v>1010</v>
      </c>
      <c r="P4113" s="1" t="s">
        <v>401</v>
      </c>
      <c r="Q4113" s="63" t="s">
        <v>11876</v>
      </c>
      <c r="R4113" s="1" t="s">
        <v>29</v>
      </c>
      <c r="S4113" s="13" t="s">
        <v>28</v>
      </c>
      <c r="AX4113" s="11"/>
      <c r="AY4113" s="11"/>
      <c r="BC4113" s="11"/>
      <c r="BD4113" s="11"/>
      <c r="BE4113" s="11"/>
      <c r="BF4113" s="11"/>
      <c r="BG4113" s="11"/>
      <c r="BH4113" s="11"/>
      <c r="BI4113" s="11"/>
      <c r="BJ4113" s="11"/>
    </row>
    <row r="4114" spans="1:62" ht="12" customHeight="1" x14ac:dyDescent="0.15">
      <c r="A4114" s="1" t="s">
        <v>11882</v>
      </c>
      <c r="B4114" s="1">
        <v>45</v>
      </c>
      <c r="C4114" s="1" t="s">
        <v>20</v>
      </c>
      <c r="D4114" s="1" t="s">
        <v>30</v>
      </c>
      <c r="E4114" s="1" t="s">
        <v>11883</v>
      </c>
      <c r="F4114" s="72">
        <v>41666</v>
      </c>
      <c r="G4114" s="1" t="s">
        <v>11884</v>
      </c>
      <c r="H4114" s="1" t="s">
        <v>11885</v>
      </c>
      <c r="I4114" s="1" t="s">
        <v>32</v>
      </c>
      <c r="J4114" s="4" t="s">
        <v>11886</v>
      </c>
      <c r="K4114" s="1" t="s">
        <v>11885</v>
      </c>
      <c r="L4114" s="1" t="s">
        <v>11887</v>
      </c>
      <c r="M4114" s="1" t="s">
        <v>27</v>
      </c>
      <c r="N4114" s="1" t="s">
        <v>11888</v>
      </c>
      <c r="O4114" s="1" t="s">
        <v>29</v>
      </c>
      <c r="P4114" s="1" t="s">
        <v>401</v>
      </c>
      <c r="Q4114" s="63" t="s">
        <v>11889</v>
      </c>
      <c r="R4114" s="1" t="s">
        <v>555</v>
      </c>
      <c r="S4114" s="13" t="s">
        <v>18</v>
      </c>
      <c r="BA4114" s="11"/>
      <c r="BB4114" s="11"/>
    </row>
    <row r="4115" spans="1:62" ht="12" customHeight="1" x14ac:dyDescent="0.15">
      <c r="A4115" s="1" t="s">
        <v>11890</v>
      </c>
      <c r="B4115" s="1">
        <v>21</v>
      </c>
      <c r="C4115" s="1" t="s">
        <v>20</v>
      </c>
      <c r="D4115" s="1" t="s">
        <v>85</v>
      </c>
      <c r="F4115" s="72">
        <v>41665</v>
      </c>
      <c r="G4115" s="1" t="s">
        <v>11891</v>
      </c>
      <c r="H4115" s="1" t="s">
        <v>11892</v>
      </c>
      <c r="I4115" s="1" t="s">
        <v>209</v>
      </c>
      <c r="J4115" s="4" t="s">
        <v>11893</v>
      </c>
      <c r="K4115" s="1" t="s">
        <v>1924</v>
      </c>
      <c r="L4115" s="1" t="s">
        <v>11894</v>
      </c>
      <c r="M4115" s="1" t="s">
        <v>27</v>
      </c>
      <c r="N4115" s="1" t="s">
        <v>11895</v>
      </c>
      <c r="O4115" s="1" t="s">
        <v>550</v>
      </c>
      <c r="P4115" s="1" t="s">
        <v>401</v>
      </c>
      <c r="Q4115" s="63" t="s">
        <v>11896</v>
      </c>
      <c r="R4115" s="1" t="s">
        <v>100</v>
      </c>
      <c r="S4115" s="13" t="s">
        <v>28</v>
      </c>
      <c r="AX4115" s="11"/>
      <c r="AY4115" s="11"/>
      <c r="BC4115" s="11"/>
      <c r="BD4115" s="11"/>
      <c r="BE4115" s="11"/>
      <c r="BF4115" s="11"/>
      <c r="BG4115" s="11"/>
      <c r="BH4115" s="11"/>
      <c r="BI4115" s="11"/>
      <c r="BJ4115" s="11"/>
    </row>
    <row r="4116" spans="1:62" ht="12" customHeight="1" x14ac:dyDescent="0.2">
      <c r="A4116" s="1" t="s">
        <v>11897</v>
      </c>
      <c r="B4116" s="1">
        <v>27</v>
      </c>
      <c r="C4116" s="1" t="s">
        <v>20</v>
      </c>
      <c r="D4116" s="1" t="s">
        <v>37</v>
      </c>
      <c r="E4116" s="1" t="s">
        <v>11898</v>
      </c>
      <c r="F4116" s="72">
        <v>41665</v>
      </c>
      <c r="G4116" s="1" t="s">
        <v>11899</v>
      </c>
      <c r="H4116" s="1" t="s">
        <v>11900</v>
      </c>
      <c r="I4116" s="1" t="s">
        <v>45</v>
      </c>
      <c r="J4116" s="4" t="s">
        <v>11901</v>
      </c>
      <c r="K4116" s="1" t="s">
        <v>156</v>
      </c>
      <c r="L4116" s="1" t="s">
        <v>157</v>
      </c>
      <c r="M4116" s="1" t="s">
        <v>27</v>
      </c>
      <c r="N4116" s="1" t="s">
        <v>11902</v>
      </c>
      <c r="O4116" s="1" t="s">
        <v>1010</v>
      </c>
      <c r="P4116" s="1" t="s">
        <v>401</v>
      </c>
      <c r="Q4116" s="63" t="s">
        <v>11903</v>
      </c>
      <c r="R4116" s="1" t="s">
        <v>100</v>
      </c>
      <c r="S4116" s="13" t="s">
        <v>28</v>
      </c>
      <c r="AX4116" s="70"/>
      <c r="AY4116" s="70"/>
      <c r="AZ4116" s="70"/>
    </row>
    <row r="4117" spans="1:62" ht="12" customHeight="1" x14ac:dyDescent="0.2">
      <c r="A4117" s="1" t="s">
        <v>11910</v>
      </c>
      <c r="B4117" s="1">
        <v>35</v>
      </c>
      <c r="C4117" s="1" t="s">
        <v>20</v>
      </c>
      <c r="D4117" s="1" t="s">
        <v>37</v>
      </c>
      <c r="E4117" s="1" t="s">
        <v>11911</v>
      </c>
      <c r="F4117" s="72">
        <v>41664</v>
      </c>
      <c r="G4117" s="1" t="s">
        <v>11912</v>
      </c>
      <c r="H4117" s="1" t="s">
        <v>11913</v>
      </c>
      <c r="I4117" s="1" t="s">
        <v>395</v>
      </c>
      <c r="J4117" s="4" t="s">
        <v>11914</v>
      </c>
      <c r="K4117" s="1" t="s">
        <v>1095</v>
      </c>
      <c r="L4117" s="1" t="s">
        <v>2045</v>
      </c>
      <c r="M4117" s="1" t="s">
        <v>27</v>
      </c>
      <c r="N4117" s="1" t="s">
        <v>11915</v>
      </c>
      <c r="O4117" s="1" t="s">
        <v>550</v>
      </c>
      <c r="P4117" s="1" t="s">
        <v>401</v>
      </c>
      <c r="Q4117" s="63" t="s">
        <v>11916</v>
      </c>
      <c r="R4117" s="1" t="s">
        <v>100</v>
      </c>
      <c r="S4117" s="13" t="s">
        <v>28</v>
      </c>
      <c r="AX4117" s="70"/>
      <c r="AY4117" s="70"/>
      <c r="AZ4117" s="70"/>
    </row>
    <row r="4118" spans="1:62" ht="12" customHeight="1" x14ac:dyDescent="0.2">
      <c r="A4118" s="1" t="s">
        <v>11904</v>
      </c>
      <c r="B4118" s="1">
        <v>43</v>
      </c>
      <c r="C4118" s="1" t="s">
        <v>20</v>
      </c>
      <c r="D4118" s="1" t="s">
        <v>21</v>
      </c>
      <c r="E4118" s="1" t="s">
        <v>11905</v>
      </c>
      <c r="F4118" s="72">
        <v>41664</v>
      </c>
      <c r="G4118" s="1" t="s">
        <v>11906</v>
      </c>
      <c r="H4118" s="1" t="s">
        <v>408</v>
      </c>
      <c r="I4118" s="1" t="s">
        <v>45</v>
      </c>
      <c r="J4118" s="4" t="s">
        <v>11907</v>
      </c>
      <c r="K4118" s="1" t="s">
        <v>1762</v>
      </c>
      <c r="L4118" s="1" t="s">
        <v>409</v>
      </c>
      <c r="M4118" s="1" t="s">
        <v>27</v>
      </c>
      <c r="N4118" s="1" t="s">
        <v>11908</v>
      </c>
      <c r="O4118" s="1" t="s">
        <v>1010</v>
      </c>
      <c r="P4118" s="1" t="s">
        <v>401</v>
      </c>
      <c r="Q4118" s="63" t="s">
        <v>11909</v>
      </c>
      <c r="R4118" s="1" t="s">
        <v>555</v>
      </c>
      <c r="S4118" s="13" t="s">
        <v>28</v>
      </c>
      <c r="AX4118" s="70"/>
      <c r="AY4118" s="70"/>
      <c r="BC4118" s="70"/>
      <c r="BD4118" s="70"/>
      <c r="BE4118" s="70"/>
      <c r="BF4118" s="70"/>
      <c r="BG4118" s="70"/>
      <c r="BH4118" s="70"/>
      <c r="BI4118" s="70"/>
      <c r="BJ4118" s="70"/>
    </row>
    <row r="4119" spans="1:62" ht="12" customHeight="1" x14ac:dyDescent="0.15">
      <c r="A4119" s="1" t="s">
        <v>11917</v>
      </c>
      <c r="B4119" s="1">
        <v>44</v>
      </c>
      <c r="C4119" s="1" t="s">
        <v>20</v>
      </c>
      <c r="D4119" s="1" t="s">
        <v>30</v>
      </c>
      <c r="F4119" s="72">
        <v>41663</v>
      </c>
      <c r="G4119" s="1" t="s">
        <v>11918</v>
      </c>
      <c r="H4119" s="1" t="s">
        <v>11919</v>
      </c>
      <c r="I4119" s="1" t="s">
        <v>117</v>
      </c>
      <c r="J4119" s="4" t="s">
        <v>11920</v>
      </c>
      <c r="K4119" s="1" t="s">
        <v>1256</v>
      </c>
      <c r="L4119" s="1" t="s">
        <v>2051</v>
      </c>
      <c r="M4119" s="1" t="s">
        <v>14359</v>
      </c>
      <c r="N4119" s="1" t="s">
        <v>11921</v>
      </c>
      <c r="O4119" s="1" t="s">
        <v>1010</v>
      </c>
      <c r="P4119" s="1" t="s">
        <v>401</v>
      </c>
      <c r="Q4119" s="63" t="s">
        <v>11922</v>
      </c>
      <c r="R4119" s="11" t="s">
        <v>964</v>
      </c>
      <c r="S4119" s="13" t="s">
        <v>28</v>
      </c>
    </row>
    <row r="4120" spans="1:62" ht="12" customHeight="1" x14ac:dyDescent="0.2">
      <c r="A4120" s="1" t="s">
        <v>11930</v>
      </c>
      <c r="B4120" s="1">
        <v>29</v>
      </c>
      <c r="C4120" s="1" t="s">
        <v>20</v>
      </c>
      <c r="D4120" s="1" t="s">
        <v>37</v>
      </c>
      <c r="E4120" s="1" t="s">
        <v>11931</v>
      </c>
      <c r="F4120" s="72">
        <v>41663</v>
      </c>
      <c r="G4120" s="1" t="s">
        <v>11932</v>
      </c>
      <c r="H4120" s="1" t="s">
        <v>11099</v>
      </c>
      <c r="I4120" s="1" t="s">
        <v>45</v>
      </c>
      <c r="J4120" s="4" t="s">
        <v>11933</v>
      </c>
      <c r="K4120" s="1" t="s">
        <v>7576</v>
      </c>
      <c r="L4120" s="1" t="s">
        <v>11934</v>
      </c>
      <c r="M4120" s="1" t="s">
        <v>27</v>
      </c>
      <c r="N4120" s="1" t="s">
        <v>11935</v>
      </c>
      <c r="O4120" s="1" t="s">
        <v>1010</v>
      </c>
      <c r="P4120" s="1" t="s">
        <v>401</v>
      </c>
      <c r="Q4120" s="63" t="s">
        <v>11936</v>
      </c>
      <c r="R4120" s="1" t="s">
        <v>100</v>
      </c>
      <c r="S4120" s="13" t="s">
        <v>28</v>
      </c>
      <c r="AX4120" s="70"/>
      <c r="AY4120" s="70"/>
      <c r="AZ4120" s="70"/>
    </row>
    <row r="4121" spans="1:62" ht="12" customHeight="1" x14ac:dyDescent="0.2">
      <c r="A4121" s="1" t="s">
        <v>11923</v>
      </c>
      <c r="B4121" s="1">
        <v>53</v>
      </c>
      <c r="C4121" s="1" t="s">
        <v>20</v>
      </c>
      <c r="D4121" s="1" t="s">
        <v>37</v>
      </c>
      <c r="E4121" s="1" t="s">
        <v>11924</v>
      </c>
      <c r="F4121" s="72">
        <v>41663</v>
      </c>
      <c r="G4121" s="1" t="s">
        <v>11925</v>
      </c>
      <c r="H4121" s="1" t="s">
        <v>11926</v>
      </c>
      <c r="I4121" s="1" t="s">
        <v>32</v>
      </c>
      <c r="J4121" s="4" t="s">
        <v>11927</v>
      </c>
      <c r="K4121" s="1" t="s">
        <v>1575</v>
      </c>
      <c r="L4121" s="1" t="s">
        <v>11928</v>
      </c>
      <c r="M4121" s="1" t="s">
        <v>27</v>
      </c>
      <c r="N4121" s="1" t="s">
        <v>11929</v>
      </c>
      <c r="O4121" s="1" t="s">
        <v>1010</v>
      </c>
      <c r="P4121" s="1" t="s">
        <v>401</v>
      </c>
      <c r="Q4121" s="63" t="str">
        <f>HYPERLINK("http://www.goupstate.com/article/20140124/ARTICLES/140129757?p=1&amp;tc=pg","http://www.goupstate.com/article/20140124/ARTICLES/140129757?p=1&amp;tc=pg")</f>
        <v>http://www.goupstate.com/article/20140124/ARTICLES/140129757?p=1&amp;tc=pg</v>
      </c>
      <c r="R4121" s="1" t="s">
        <v>29</v>
      </c>
      <c r="S4121" s="13" t="s">
        <v>28</v>
      </c>
      <c r="AX4121" s="70"/>
      <c r="AY4121" s="70"/>
      <c r="AZ4121" s="70"/>
    </row>
    <row r="4122" spans="1:62" ht="12" customHeight="1" x14ac:dyDescent="0.15">
      <c r="A4122" s="1" t="s">
        <v>3252</v>
      </c>
      <c r="B4122" s="1" t="s">
        <v>29</v>
      </c>
      <c r="C4122" s="1" t="s">
        <v>20</v>
      </c>
      <c r="D4122" s="1" t="s">
        <v>85</v>
      </c>
      <c r="F4122" s="72">
        <v>41662</v>
      </c>
      <c r="G4122" s="1" t="s">
        <v>11937</v>
      </c>
      <c r="H4122" s="1" t="s">
        <v>723</v>
      </c>
      <c r="I4122" s="1" t="s">
        <v>73</v>
      </c>
      <c r="J4122" s="4" t="s">
        <v>2925</v>
      </c>
      <c r="K4122" s="1" t="s">
        <v>558</v>
      </c>
      <c r="L4122" s="1" t="s">
        <v>724</v>
      </c>
      <c r="M4122" s="1" t="s">
        <v>27</v>
      </c>
      <c r="N4122" s="1" t="s">
        <v>11938</v>
      </c>
      <c r="O4122" s="1" t="s">
        <v>1010</v>
      </c>
      <c r="P4122" s="1" t="s">
        <v>401</v>
      </c>
      <c r="Q4122" s="63" t="s">
        <v>11939</v>
      </c>
      <c r="R4122" s="1" t="s">
        <v>100</v>
      </c>
      <c r="S4122" s="13" t="s">
        <v>28</v>
      </c>
      <c r="AX4122" s="11"/>
      <c r="AY4122" s="11"/>
      <c r="BC4122" s="11"/>
      <c r="BD4122" s="11"/>
      <c r="BE4122" s="11"/>
      <c r="BF4122" s="11"/>
      <c r="BG4122" s="11"/>
      <c r="BH4122" s="11"/>
      <c r="BI4122" s="11"/>
      <c r="BJ4122" s="11"/>
    </row>
    <row r="4123" spans="1:62" ht="12" customHeight="1" x14ac:dyDescent="0.2">
      <c r="A4123" s="1" t="s">
        <v>11940</v>
      </c>
      <c r="B4123" s="1">
        <v>43</v>
      </c>
      <c r="C4123" s="1" t="s">
        <v>20</v>
      </c>
      <c r="D4123" s="1" t="s">
        <v>37</v>
      </c>
      <c r="E4123" s="1" t="s">
        <v>11941</v>
      </c>
      <c r="F4123" s="72">
        <v>41661</v>
      </c>
      <c r="G4123" s="1" t="s">
        <v>24474</v>
      </c>
      <c r="H4123" s="1" t="s">
        <v>11942</v>
      </c>
      <c r="I4123" s="1" t="s">
        <v>315</v>
      </c>
      <c r="J4123" s="4" t="s">
        <v>11943</v>
      </c>
      <c r="K4123" s="1" t="s">
        <v>1870</v>
      </c>
      <c r="L4123" s="1" t="s">
        <v>3367</v>
      </c>
      <c r="M4123" s="1" t="s">
        <v>27</v>
      </c>
      <c r="N4123" s="1" t="s">
        <v>11944</v>
      </c>
      <c r="O4123" s="1" t="s">
        <v>1010</v>
      </c>
      <c r="P4123" s="1" t="s">
        <v>401</v>
      </c>
      <c r="Q4123" s="63" t="s">
        <v>11945</v>
      </c>
      <c r="R4123" s="1" t="s">
        <v>100</v>
      </c>
      <c r="S4123" s="13" t="s">
        <v>28</v>
      </c>
      <c r="AX4123" s="70"/>
      <c r="AY4123" s="70"/>
      <c r="AZ4123" s="70"/>
    </row>
    <row r="4124" spans="1:62" ht="12" customHeight="1" x14ac:dyDescent="0.15">
      <c r="A4124" s="1" t="s">
        <v>11952</v>
      </c>
      <c r="B4124" s="1">
        <v>19</v>
      </c>
      <c r="C4124" s="1" t="s">
        <v>20</v>
      </c>
      <c r="D4124" s="1" t="s">
        <v>48</v>
      </c>
      <c r="F4124" s="72">
        <v>41660</v>
      </c>
      <c r="G4124" s="1" t="s">
        <v>11953</v>
      </c>
      <c r="H4124" s="1" t="s">
        <v>601</v>
      </c>
      <c r="I4124" s="1" t="s">
        <v>45</v>
      </c>
      <c r="J4124" s="4" t="s">
        <v>11954</v>
      </c>
      <c r="K4124" s="1" t="s">
        <v>602</v>
      </c>
      <c r="L4124" s="1" t="s">
        <v>957</v>
      </c>
      <c r="M4124" s="1" t="s">
        <v>27</v>
      </c>
      <c r="N4124" s="1" t="s">
        <v>11955</v>
      </c>
      <c r="O4124" s="1" t="s">
        <v>1010</v>
      </c>
      <c r="P4124" s="1" t="s">
        <v>401</v>
      </c>
      <c r="Q4124" s="63" t="s">
        <v>11956</v>
      </c>
      <c r="R4124" s="1" t="s">
        <v>100</v>
      </c>
      <c r="S4124" s="13" t="s">
        <v>28</v>
      </c>
    </row>
    <row r="4125" spans="1:62" ht="12" customHeight="1" x14ac:dyDescent="0.15">
      <c r="A4125" s="1" t="s">
        <v>11957</v>
      </c>
      <c r="B4125" s="1">
        <v>21</v>
      </c>
      <c r="C4125" s="1" t="s">
        <v>20</v>
      </c>
      <c r="D4125" s="1" t="s">
        <v>48</v>
      </c>
      <c r="F4125" s="72">
        <v>41660</v>
      </c>
      <c r="G4125" s="1" t="s">
        <v>11958</v>
      </c>
      <c r="H4125" s="1" t="s">
        <v>601</v>
      </c>
      <c r="I4125" s="1" t="s">
        <v>45</v>
      </c>
      <c r="J4125" s="4" t="s">
        <v>11954</v>
      </c>
      <c r="K4125" s="1" t="s">
        <v>602</v>
      </c>
      <c r="L4125" s="1" t="s">
        <v>957</v>
      </c>
      <c r="M4125" s="1" t="s">
        <v>27</v>
      </c>
      <c r="N4125" s="1" t="s">
        <v>11959</v>
      </c>
      <c r="O4125" s="1" t="s">
        <v>1010</v>
      </c>
      <c r="P4125" s="1" t="s">
        <v>401</v>
      </c>
      <c r="Q4125" s="63" t="s">
        <v>11956</v>
      </c>
      <c r="R4125" s="1" t="s">
        <v>100</v>
      </c>
      <c r="S4125" s="13" t="s">
        <v>28</v>
      </c>
    </row>
    <row r="4126" spans="1:62" ht="12" customHeight="1" x14ac:dyDescent="0.2">
      <c r="A4126" s="1" t="s">
        <v>11960</v>
      </c>
      <c r="B4126" s="1">
        <v>35</v>
      </c>
      <c r="C4126" s="1" t="s">
        <v>20</v>
      </c>
      <c r="D4126" s="1" t="s">
        <v>37</v>
      </c>
      <c r="E4126" s="1" t="s">
        <v>11961</v>
      </c>
      <c r="F4126" s="72">
        <v>41660</v>
      </c>
      <c r="G4126" s="1" t="s">
        <v>11962</v>
      </c>
      <c r="H4126" s="1" t="s">
        <v>11963</v>
      </c>
      <c r="I4126" s="1" t="s">
        <v>319</v>
      </c>
      <c r="J4126" s="4" t="s">
        <v>11964</v>
      </c>
      <c r="K4126" s="1" t="s">
        <v>11965</v>
      </c>
      <c r="L4126" s="1" t="s">
        <v>11966</v>
      </c>
      <c r="M4126" s="1" t="s">
        <v>27</v>
      </c>
      <c r="N4126" s="1" t="s">
        <v>11967</v>
      </c>
      <c r="O4126" s="1" t="s">
        <v>1010</v>
      </c>
      <c r="P4126" s="1" t="s">
        <v>401</v>
      </c>
      <c r="Q4126" s="6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4126" s="1" t="s">
        <v>100</v>
      </c>
      <c r="S4126" s="13" t="s">
        <v>28</v>
      </c>
      <c r="AX4126" s="70"/>
      <c r="AY4126" s="70"/>
      <c r="AZ4126" s="70"/>
    </row>
    <row r="4127" spans="1:62" ht="12" customHeight="1" x14ac:dyDescent="0.2">
      <c r="A4127" s="1" t="s">
        <v>11968</v>
      </c>
      <c r="B4127" s="1">
        <v>42</v>
      </c>
      <c r="C4127" s="1" t="s">
        <v>20</v>
      </c>
      <c r="D4127" s="1" t="s">
        <v>37</v>
      </c>
      <c r="E4127" s="1" t="s">
        <v>11969</v>
      </c>
      <c r="F4127" s="72">
        <v>41660</v>
      </c>
      <c r="G4127" s="1" t="s">
        <v>11970</v>
      </c>
      <c r="H4127" s="1" t="s">
        <v>3545</v>
      </c>
      <c r="I4127" s="1" t="s">
        <v>45</v>
      </c>
      <c r="J4127" s="4" t="s">
        <v>10092</v>
      </c>
      <c r="K4127" s="1" t="s">
        <v>602</v>
      </c>
      <c r="L4127" s="1" t="s">
        <v>11971</v>
      </c>
      <c r="M4127" s="1" t="s">
        <v>27</v>
      </c>
      <c r="N4127" s="1" t="s">
        <v>21008</v>
      </c>
      <c r="O4127" s="1" t="s">
        <v>3381</v>
      </c>
      <c r="P4127" s="1" t="s">
        <v>401</v>
      </c>
      <c r="Q4127" s="63" t="s">
        <v>11972</v>
      </c>
      <c r="R4127" s="1" t="s">
        <v>100</v>
      </c>
      <c r="S4127" s="13" t="s">
        <v>18</v>
      </c>
      <c r="AX4127" s="70"/>
      <c r="AY4127" s="70"/>
      <c r="AZ4127" s="70"/>
    </row>
    <row r="4128" spans="1:62" ht="12" customHeight="1" x14ac:dyDescent="0.15">
      <c r="A4128" s="1" t="s">
        <v>11946</v>
      </c>
      <c r="B4128" s="1">
        <v>31</v>
      </c>
      <c r="C4128" s="1" t="s">
        <v>20</v>
      </c>
      <c r="D4128" s="1" t="s">
        <v>85</v>
      </c>
      <c r="E4128" s="1" t="s">
        <v>11947</v>
      </c>
      <c r="F4128" s="72">
        <v>41660</v>
      </c>
      <c r="G4128" s="1" t="s">
        <v>11948</v>
      </c>
      <c r="H4128" s="1" t="s">
        <v>3438</v>
      </c>
      <c r="I4128" s="1" t="s">
        <v>25</v>
      </c>
      <c r="J4128" s="4" t="s">
        <v>3439</v>
      </c>
      <c r="K4128" s="1" t="s">
        <v>1778</v>
      </c>
      <c r="L4128" s="1" t="s">
        <v>11949</v>
      </c>
      <c r="M4128" s="1" t="s">
        <v>27</v>
      </c>
      <c r="N4128" s="1" t="s">
        <v>11950</v>
      </c>
      <c r="O4128" s="1" t="s">
        <v>1010</v>
      </c>
      <c r="P4128" s="1" t="s">
        <v>401</v>
      </c>
      <c r="Q4128" s="63" t="s">
        <v>11951</v>
      </c>
      <c r="R4128" s="1" t="s">
        <v>100</v>
      </c>
      <c r="S4128" s="13" t="s">
        <v>379</v>
      </c>
      <c r="AX4128" s="11"/>
      <c r="AY4128" s="11"/>
      <c r="BC4128" s="11"/>
      <c r="BD4128" s="11"/>
      <c r="BE4128" s="11"/>
      <c r="BF4128" s="11"/>
      <c r="BG4128" s="11"/>
      <c r="BH4128" s="11"/>
      <c r="BI4128" s="11"/>
      <c r="BJ4128" s="11"/>
    </row>
    <row r="4129" spans="1:62" ht="12" customHeight="1" x14ac:dyDescent="0.2">
      <c r="A4129" s="1" t="s">
        <v>11980</v>
      </c>
      <c r="B4129" s="1">
        <v>36</v>
      </c>
      <c r="C4129" s="1" t="s">
        <v>20</v>
      </c>
      <c r="D4129" s="1" t="s">
        <v>37</v>
      </c>
      <c r="E4129" s="1" t="s">
        <v>11981</v>
      </c>
      <c r="F4129" s="72">
        <v>41659</v>
      </c>
      <c r="G4129" s="1" t="s">
        <v>11982</v>
      </c>
      <c r="H4129" s="1" t="s">
        <v>1208</v>
      </c>
      <c r="I4129" s="1" t="s">
        <v>303</v>
      </c>
      <c r="J4129" s="4" t="s">
        <v>8858</v>
      </c>
      <c r="K4129" s="1" t="s">
        <v>1209</v>
      </c>
      <c r="L4129" s="1" t="s">
        <v>1210</v>
      </c>
      <c r="M4129" s="1" t="s">
        <v>27</v>
      </c>
      <c r="N4129" s="1" t="s">
        <v>11983</v>
      </c>
      <c r="O4129" s="1" t="s">
        <v>1010</v>
      </c>
      <c r="P4129" s="1" t="s">
        <v>401</v>
      </c>
      <c r="Q4129" s="63" t="s">
        <v>11984</v>
      </c>
      <c r="R4129" s="11" t="s">
        <v>964</v>
      </c>
      <c r="S4129" s="13" t="s">
        <v>18</v>
      </c>
      <c r="AX4129" s="70"/>
      <c r="AY4129" s="70"/>
      <c r="AZ4129" s="70"/>
    </row>
    <row r="4130" spans="1:62" ht="12" customHeight="1" x14ac:dyDescent="0.15">
      <c r="A4130" s="1" t="s">
        <v>11973</v>
      </c>
      <c r="B4130" s="1" t="s">
        <v>29</v>
      </c>
      <c r="C4130" s="1" t="s">
        <v>20</v>
      </c>
      <c r="D4130" s="1" t="s">
        <v>30</v>
      </c>
      <c r="F4130" s="72">
        <v>41659</v>
      </c>
      <c r="G4130" s="1" t="s">
        <v>11974</v>
      </c>
      <c r="H4130" s="1" t="s">
        <v>11975</v>
      </c>
      <c r="I4130" s="1" t="s">
        <v>94</v>
      </c>
      <c r="J4130" s="4" t="s">
        <v>11976</v>
      </c>
      <c r="K4130" s="1" t="s">
        <v>3707</v>
      </c>
      <c r="L4130" s="1" t="s">
        <v>11977</v>
      </c>
      <c r="M4130" s="1" t="s">
        <v>27</v>
      </c>
      <c r="N4130" s="1" t="s">
        <v>11978</v>
      </c>
      <c r="O4130" s="1" t="s">
        <v>1010</v>
      </c>
      <c r="P4130" s="1" t="s">
        <v>401</v>
      </c>
      <c r="Q4130" s="63" t="s">
        <v>11979</v>
      </c>
      <c r="R4130" s="1" t="s">
        <v>100</v>
      </c>
      <c r="S4130" s="13" t="s">
        <v>28</v>
      </c>
    </row>
    <row r="4131" spans="1:62" ht="12" customHeight="1" x14ac:dyDescent="0.2">
      <c r="A4131" s="1" t="s">
        <v>11985</v>
      </c>
      <c r="B4131" s="1">
        <v>54</v>
      </c>
      <c r="C4131" s="1" t="s">
        <v>20</v>
      </c>
      <c r="D4131" s="1" t="s">
        <v>37</v>
      </c>
      <c r="E4131" s="1" t="s">
        <v>11986</v>
      </c>
      <c r="F4131" s="72">
        <v>41659</v>
      </c>
      <c r="G4131" s="1" t="s">
        <v>11987</v>
      </c>
      <c r="H4131" s="1" t="s">
        <v>216</v>
      </c>
      <c r="I4131" s="1" t="s">
        <v>217</v>
      </c>
      <c r="J4131" s="4" t="s">
        <v>11988</v>
      </c>
      <c r="K4131" s="1" t="s">
        <v>420</v>
      </c>
      <c r="L4131" s="1" t="s">
        <v>218</v>
      </c>
      <c r="M4131" s="1" t="s">
        <v>27</v>
      </c>
      <c r="N4131" s="1" t="s">
        <v>11989</v>
      </c>
      <c r="O4131" s="1" t="s">
        <v>1010</v>
      </c>
      <c r="P4131" s="1" t="s">
        <v>401</v>
      </c>
      <c r="Q4131" s="63" t="s">
        <v>11990</v>
      </c>
      <c r="R4131" s="1" t="s">
        <v>29</v>
      </c>
      <c r="S4131" s="13" t="s">
        <v>28</v>
      </c>
      <c r="AX4131" s="70"/>
      <c r="AY4131" s="70"/>
      <c r="AZ4131" s="70"/>
    </row>
    <row r="4132" spans="1:62" ht="12" customHeight="1" x14ac:dyDescent="0.2">
      <c r="A4132" s="66" t="s">
        <v>30695</v>
      </c>
      <c r="B4132" s="66">
        <v>61</v>
      </c>
      <c r="C4132" s="66" t="s">
        <v>114</v>
      </c>
      <c r="D4132" s="66" t="s">
        <v>37</v>
      </c>
      <c r="E4132" s="66"/>
      <c r="F4132" s="69">
        <v>41659</v>
      </c>
      <c r="G4132" s="66" t="s">
        <v>30696</v>
      </c>
      <c r="H4132" s="66" t="s">
        <v>30697</v>
      </c>
      <c r="I4132" s="66" t="s">
        <v>62</v>
      </c>
      <c r="J4132" s="66">
        <v>32148</v>
      </c>
      <c r="K4132" s="66" t="s">
        <v>2095</v>
      </c>
      <c r="L4132" s="66" t="s">
        <v>3388</v>
      </c>
      <c r="M4132" s="66" t="s">
        <v>27</v>
      </c>
      <c r="N4132" s="66" t="s">
        <v>30698</v>
      </c>
      <c r="O4132" s="66" t="s">
        <v>1010</v>
      </c>
      <c r="P4132" s="66" t="s">
        <v>30375</v>
      </c>
      <c r="Q4132" s="76" t="s">
        <v>30699</v>
      </c>
      <c r="R4132" s="66" t="s">
        <v>555</v>
      </c>
      <c r="S4132" s="66" t="s">
        <v>28</v>
      </c>
      <c r="T4132" s="77"/>
      <c r="U4132" s="77"/>
      <c r="V4132" s="77"/>
      <c r="W4132" s="77"/>
      <c r="X4132" s="77"/>
      <c r="Y4132" s="66"/>
      <c r="Z4132" s="66"/>
      <c r="AA4132" s="66"/>
      <c r="AB4132" s="66"/>
      <c r="AC4132" s="66"/>
      <c r="AD4132" s="66"/>
      <c r="AE4132" s="66"/>
      <c r="AF4132" s="66"/>
      <c r="AG4132" s="66"/>
      <c r="AH4132" s="66"/>
      <c r="AI4132" s="66"/>
      <c r="AJ4132" s="66"/>
      <c r="AK4132" s="66"/>
      <c r="AL4132" s="66"/>
      <c r="AM4132" s="66"/>
      <c r="AN4132" s="66"/>
      <c r="AO4132" s="66"/>
      <c r="AP4132" s="66"/>
      <c r="AQ4132" s="66"/>
      <c r="AR4132" s="66"/>
      <c r="AS4132" s="66"/>
      <c r="AT4132" s="66"/>
      <c r="AU4132" s="66"/>
      <c r="AV4132" s="78"/>
      <c r="AW4132" s="78"/>
      <c r="AX4132" s="78"/>
      <c r="AY4132" s="78"/>
      <c r="AZ4132" s="78"/>
      <c r="BA4132" s="78"/>
      <c r="BB4132" s="78"/>
      <c r="BC4132" s="78"/>
      <c r="BD4132" s="78"/>
      <c r="BE4132" s="78"/>
      <c r="BF4132" s="78"/>
      <c r="BG4132" s="78"/>
      <c r="BH4132" s="78"/>
      <c r="BI4132" s="78"/>
      <c r="BJ4132" s="78"/>
    </row>
    <row r="4133" spans="1:62" ht="12" customHeight="1" x14ac:dyDescent="0.2">
      <c r="A4133" s="1" t="s">
        <v>11991</v>
      </c>
      <c r="B4133" s="1">
        <v>41</v>
      </c>
      <c r="C4133" s="1" t="s">
        <v>20</v>
      </c>
      <c r="D4133" s="1" t="s">
        <v>37</v>
      </c>
      <c r="E4133" s="1" t="s">
        <v>11992</v>
      </c>
      <c r="F4133" s="72">
        <v>41658</v>
      </c>
      <c r="G4133" s="1" t="s">
        <v>11993</v>
      </c>
      <c r="H4133" s="1" t="s">
        <v>11994</v>
      </c>
      <c r="I4133" s="1" t="s">
        <v>404</v>
      </c>
      <c r="J4133" s="4" t="s">
        <v>11995</v>
      </c>
      <c r="K4133" s="1" t="s">
        <v>11996</v>
      </c>
      <c r="L4133" s="1" t="s">
        <v>9350</v>
      </c>
      <c r="M4133" s="1" t="s">
        <v>27</v>
      </c>
      <c r="N4133" s="1" t="s">
        <v>11997</v>
      </c>
      <c r="O4133" s="1" t="s">
        <v>1010</v>
      </c>
      <c r="P4133" s="1" t="s">
        <v>401</v>
      </c>
      <c r="Q4133" s="63" t="s">
        <v>11998</v>
      </c>
      <c r="R4133" s="1" t="s">
        <v>29</v>
      </c>
      <c r="S4133" s="13" t="s">
        <v>28</v>
      </c>
      <c r="AX4133" s="70"/>
      <c r="AY4133" s="70"/>
      <c r="AZ4133" s="70"/>
    </row>
    <row r="4134" spans="1:62" ht="12" customHeight="1" x14ac:dyDescent="0.2">
      <c r="A4134" s="1" t="s">
        <v>11999</v>
      </c>
      <c r="B4134" s="1">
        <v>23</v>
      </c>
      <c r="C4134" s="1" t="s">
        <v>20</v>
      </c>
      <c r="D4134" s="1" t="s">
        <v>37</v>
      </c>
      <c r="E4134" s="1" t="s">
        <v>12000</v>
      </c>
      <c r="F4134" s="72">
        <v>41657</v>
      </c>
      <c r="G4134" s="1" t="s">
        <v>12001</v>
      </c>
      <c r="H4134" s="1" t="s">
        <v>4883</v>
      </c>
      <c r="I4134" s="1" t="s">
        <v>69</v>
      </c>
      <c r="J4134" s="4" t="s">
        <v>12002</v>
      </c>
      <c r="K4134" s="1" t="s">
        <v>5515</v>
      </c>
      <c r="L4134" s="1" t="s">
        <v>12003</v>
      </c>
      <c r="M4134" s="1" t="s">
        <v>27</v>
      </c>
      <c r="N4134" s="1" t="s">
        <v>12004</v>
      </c>
      <c r="O4134" s="1" t="s">
        <v>550</v>
      </c>
      <c r="P4134" s="1" t="s">
        <v>401</v>
      </c>
      <c r="Q4134" s="63" t="s">
        <v>12005</v>
      </c>
      <c r="R4134" s="1" t="s">
        <v>555</v>
      </c>
      <c r="S4134" s="13" t="s">
        <v>18</v>
      </c>
      <c r="AX4134" s="70"/>
      <c r="AY4134" s="70"/>
      <c r="AZ4134" s="70"/>
      <c r="BA4134" s="44"/>
      <c r="BB4134" s="44"/>
    </row>
    <row r="4135" spans="1:62" ht="12" customHeight="1" x14ac:dyDescent="0.15">
      <c r="A4135" s="1" t="s">
        <v>12006</v>
      </c>
      <c r="B4135" s="1">
        <v>31</v>
      </c>
      <c r="C4135" s="1" t="s">
        <v>20</v>
      </c>
      <c r="D4135" s="1" t="s">
        <v>48</v>
      </c>
      <c r="F4135" s="72">
        <v>41656</v>
      </c>
      <c r="I4135" s="1" t="s">
        <v>123</v>
      </c>
      <c r="J4135" s="4">
        <v>85607</v>
      </c>
      <c r="K4135" s="1" t="s">
        <v>124</v>
      </c>
      <c r="L4135" s="1" t="s">
        <v>4732</v>
      </c>
      <c r="M4135" s="1" t="s">
        <v>27</v>
      </c>
      <c r="N4135" s="1" t="s">
        <v>12007</v>
      </c>
      <c r="P4135" s="1" t="s">
        <v>401</v>
      </c>
      <c r="Q4135" s="63" t="s">
        <v>12008</v>
      </c>
      <c r="R4135" s="1" t="s">
        <v>29</v>
      </c>
      <c r="S4135" s="13" t="s">
        <v>18</v>
      </c>
    </row>
    <row r="4136" spans="1:62" ht="12" customHeight="1" x14ac:dyDescent="0.15">
      <c r="A4136" s="1" t="s">
        <v>12014</v>
      </c>
      <c r="B4136" s="1">
        <v>19</v>
      </c>
      <c r="C4136" s="1" t="s">
        <v>20</v>
      </c>
      <c r="D4136" s="1" t="s">
        <v>85</v>
      </c>
      <c r="E4136" s="1" t="s">
        <v>12015</v>
      </c>
      <c r="F4136" s="72">
        <v>41655</v>
      </c>
      <c r="G4136" s="1" t="s">
        <v>12016</v>
      </c>
      <c r="H4136" s="1" t="s">
        <v>816</v>
      </c>
      <c r="I4136" s="1" t="s">
        <v>395</v>
      </c>
      <c r="J4136" s="4" t="s">
        <v>7637</v>
      </c>
      <c r="K4136" s="1" t="s">
        <v>817</v>
      </c>
      <c r="L4136" s="1" t="s">
        <v>818</v>
      </c>
      <c r="M4136" s="1" t="s">
        <v>27</v>
      </c>
      <c r="N4136" s="1" t="s">
        <v>12017</v>
      </c>
      <c r="O4136" s="1" t="s">
        <v>550</v>
      </c>
      <c r="P4136" s="1" t="s">
        <v>401</v>
      </c>
      <c r="Q4136" s="63" t="s">
        <v>12018</v>
      </c>
      <c r="R4136" s="1" t="s">
        <v>100</v>
      </c>
      <c r="S4136" s="13" t="s">
        <v>28</v>
      </c>
      <c r="AX4136" s="11"/>
      <c r="AY4136" s="11"/>
      <c r="BC4136" s="11"/>
      <c r="BD4136" s="11"/>
      <c r="BE4136" s="11"/>
      <c r="BF4136" s="11"/>
      <c r="BG4136" s="11"/>
      <c r="BH4136" s="11"/>
      <c r="BI4136" s="11"/>
      <c r="BJ4136" s="11"/>
    </row>
    <row r="4137" spans="1:62" ht="12" customHeight="1" x14ac:dyDescent="0.15">
      <c r="A4137" s="1" t="s">
        <v>12009</v>
      </c>
      <c r="B4137" s="1">
        <v>26</v>
      </c>
      <c r="C4137" s="1" t="s">
        <v>20</v>
      </c>
      <c r="D4137" s="1" t="s">
        <v>85</v>
      </c>
      <c r="E4137" s="1" t="s">
        <v>12010</v>
      </c>
      <c r="F4137" s="72">
        <v>41655</v>
      </c>
      <c r="G4137" s="1" t="s">
        <v>12011</v>
      </c>
      <c r="H4137" s="1" t="s">
        <v>723</v>
      </c>
      <c r="I4137" s="1" t="s">
        <v>73</v>
      </c>
      <c r="J4137" s="4" t="s">
        <v>12012</v>
      </c>
      <c r="K4137" s="1" t="s">
        <v>558</v>
      </c>
      <c r="L4137" s="1" t="s">
        <v>724</v>
      </c>
      <c r="M4137" s="1" t="s">
        <v>27</v>
      </c>
      <c r="N4137" s="1" t="s">
        <v>21020</v>
      </c>
      <c r="O4137" s="1" t="s">
        <v>400</v>
      </c>
      <c r="P4137" s="1" t="s">
        <v>401</v>
      </c>
      <c r="Q4137" s="63" t="s">
        <v>12013</v>
      </c>
      <c r="R4137" s="1" t="s">
        <v>100</v>
      </c>
      <c r="S4137" s="13" t="s">
        <v>18</v>
      </c>
      <c r="AX4137" s="11"/>
      <c r="AY4137" s="11"/>
      <c r="BC4137" s="11"/>
      <c r="BD4137" s="11"/>
      <c r="BE4137" s="11"/>
      <c r="BF4137" s="11"/>
      <c r="BG4137" s="11"/>
      <c r="BH4137" s="11"/>
      <c r="BI4137" s="11"/>
      <c r="BJ4137" s="11"/>
    </row>
    <row r="4138" spans="1:62" ht="12" customHeight="1" x14ac:dyDescent="0.2">
      <c r="A4138" s="1" t="s">
        <v>12026</v>
      </c>
      <c r="B4138" s="1">
        <v>5</v>
      </c>
      <c r="C4138" s="1" t="s">
        <v>114</v>
      </c>
      <c r="D4138" s="1" t="s">
        <v>37</v>
      </c>
      <c r="E4138" s="1" t="s">
        <v>12027</v>
      </c>
      <c r="F4138" s="72">
        <v>41655</v>
      </c>
      <c r="G4138" s="1" t="s">
        <v>12028</v>
      </c>
      <c r="H4138" s="1" t="s">
        <v>589</v>
      </c>
      <c r="I4138" s="1" t="s">
        <v>240</v>
      </c>
      <c r="J4138" s="4" t="s">
        <v>12029</v>
      </c>
      <c r="K4138" s="1" t="s">
        <v>590</v>
      </c>
      <c r="L4138" s="1" t="s">
        <v>12030</v>
      </c>
      <c r="M4138" s="1" t="s">
        <v>27</v>
      </c>
      <c r="N4138" s="1" t="s">
        <v>12031</v>
      </c>
      <c r="O4138" s="1" t="s">
        <v>25470</v>
      </c>
      <c r="P4138" s="1" t="s">
        <v>401</v>
      </c>
      <c r="Q4138" s="63" t="s">
        <v>12032</v>
      </c>
      <c r="R4138" s="1" t="s">
        <v>100</v>
      </c>
      <c r="S4138" s="13" t="s">
        <v>18</v>
      </c>
      <c r="AX4138" s="70"/>
      <c r="AY4138" s="70"/>
      <c r="AZ4138" s="70"/>
    </row>
    <row r="4139" spans="1:62" ht="12" customHeight="1" x14ac:dyDescent="0.2">
      <c r="A4139" s="1" t="s">
        <v>12033</v>
      </c>
      <c r="B4139" s="1">
        <v>7</v>
      </c>
      <c r="C4139" s="1" t="s">
        <v>20</v>
      </c>
      <c r="D4139" s="1" t="s">
        <v>37</v>
      </c>
      <c r="E4139" s="1" t="s">
        <v>12034</v>
      </c>
      <c r="F4139" s="72">
        <v>41655</v>
      </c>
      <c r="G4139" s="1" t="s">
        <v>12028</v>
      </c>
      <c r="H4139" s="1" t="s">
        <v>589</v>
      </c>
      <c r="I4139" s="1" t="s">
        <v>240</v>
      </c>
      <c r="J4139" s="4" t="s">
        <v>12029</v>
      </c>
      <c r="K4139" s="1" t="s">
        <v>590</v>
      </c>
      <c r="L4139" s="1" t="s">
        <v>12030</v>
      </c>
      <c r="M4139" s="1" t="s">
        <v>27</v>
      </c>
      <c r="N4139" s="1" t="s">
        <v>12031</v>
      </c>
      <c r="O4139" s="1" t="s">
        <v>25470</v>
      </c>
      <c r="P4139" s="1" t="s">
        <v>401</v>
      </c>
      <c r="Q4139" s="63" t="s">
        <v>12032</v>
      </c>
      <c r="R4139" s="1" t="s">
        <v>100</v>
      </c>
      <c r="S4139" s="13" t="s">
        <v>18</v>
      </c>
      <c r="AX4139" s="70"/>
      <c r="AY4139" s="70"/>
      <c r="AZ4139" s="70"/>
    </row>
    <row r="4140" spans="1:62" ht="12" customHeight="1" x14ac:dyDescent="0.2">
      <c r="A4140" s="1" t="s">
        <v>12035</v>
      </c>
      <c r="B4140" s="1">
        <v>32</v>
      </c>
      <c r="C4140" s="1" t="s">
        <v>114</v>
      </c>
      <c r="D4140" s="1" t="s">
        <v>37</v>
      </c>
      <c r="E4140" s="1" t="s">
        <v>12036</v>
      </c>
      <c r="F4140" s="72">
        <v>41655</v>
      </c>
      <c r="G4140" s="1" t="s">
        <v>12028</v>
      </c>
      <c r="H4140" s="1" t="s">
        <v>589</v>
      </c>
      <c r="I4140" s="1" t="s">
        <v>240</v>
      </c>
      <c r="J4140" s="4" t="s">
        <v>12029</v>
      </c>
      <c r="K4140" s="1" t="s">
        <v>590</v>
      </c>
      <c r="L4140" s="1" t="s">
        <v>12030</v>
      </c>
      <c r="M4140" s="1" t="s">
        <v>27</v>
      </c>
      <c r="N4140" s="1" t="s">
        <v>12031</v>
      </c>
      <c r="O4140" s="1" t="s">
        <v>25470</v>
      </c>
      <c r="P4140" s="1" t="s">
        <v>401</v>
      </c>
      <c r="Q4140" s="63" t="s">
        <v>12032</v>
      </c>
      <c r="R4140" s="1" t="s">
        <v>100</v>
      </c>
      <c r="S4140" s="13" t="s">
        <v>18</v>
      </c>
      <c r="AX4140" s="70"/>
      <c r="AY4140" s="70"/>
      <c r="AZ4140" s="70"/>
      <c r="BC4140" s="11"/>
      <c r="BD4140" s="11"/>
      <c r="BE4140" s="11"/>
      <c r="BF4140" s="11"/>
      <c r="BG4140" s="11"/>
      <c r="BH4140" s="11"/>
      <c r="BI4140" s="11"/>
      <c r="BJ4140" s="11"/>
    </row>
    <row r="4141" spans="1:62" ht="12" customHeight="1" x14ac:dyDescent="0.2">
      <c r="A4141" s="1" t="s">
        <v>12037</v>
      </c>
      <c r="B4141" s="1">
        <v>55</v>
      </c>
      <c r="C4141" s="1" t="s">
        <v>114</v>
      </c>
      <c r="D4141" s="1" t="s">
        <v>37</v>
      </c>
      <c r="E4141" s="1" t="s">
        <v>12038</v>
      </c>
      <c r="F4141" s="72">
        <v>41655</v>
      </c>
      <c r="G4141" s="1" t="s">
        <v>12028</v>
      </c>
      <c r="H4141" s="1" t="s">
        <v>589</v>
      </c>
      <c r="I4141" s="1" t="s">
        <v>240</v>
      </c>
      <c r="J4141" s="4" t="s">
        <v>12029</v>
      </c>
      <c r="K4141" s="1" t="s">
        <v>590</v>
      </c>
      <c r="L4141" s="1" t="s">
        <v>12030</v>
      </c>
      <c r="M4141" s="1" t="s">
        <v>27</v>
      </c>
      <c r="N4141" s="1" t="s">
        <v>12031</v>
      </c>
      <c r="O4141" s="1" t="s">
        <v>25470</v>
      </c>
      <c r="P4141" s="1" t="s">
        <v>401</v>
      </c>
      <c r="Q4141" s="63" t="s">
        <v>12032</v>
      </c>
      <c r="R4141" s="1" t="s">
        <v>100</v>
      </c>
      <c r="S4141" s="13" t="s">
        <v>18</v>
      </c>
      <c r="AX4141" s="70"/>
      <c r="AY4141" s="70"/>
      <c r="AZ4141" s="70"/>
      <c r="BC4141" s="11"/>
      <c r="BD4141" s="11"/>
      <c r="BE4141" s="11"/>
      <c r="BF4141" s="11"/>
      <c r="BG4141" s="11"/>
      <c r="BH4141" s="11"/>
      <c r="BI4141" s="11"/>
      <c r="BJ4141" s="11"/>
    </row>
    <row r="4142" spans="1:62" ht="12" customHeight="1" x14ac:dyDescent="0.15">
      <c r="A4142" s="1" t="s">
        <v>12019</v>
      </c>
      <c r="B4142" s="1">
        <v>28</v>
      </c>
      <c r="C4142" s="1" t="s">
        <v>20</v>
      </c>
      <c r="D4142" s="1" t="s">
        <v>30</v>
      </c>
      <c r="F4142" s="72">
        <v>41655</v>
      </c>
      <c r="G4142" s="1" t="s">
        <v>12020</v>
      </c>
      <c r="H4142" s="1" t="s">
        <v>12021</v>
      </c>
      <c r="I4142" s="1" t="s">
        <v>45</v>
      </c>
      <c r="J4142" s="4" t="s">
        <v>12022</v>
      </c>
      <c r="K4142" s="1" t="s">
        <v>783</v>
      </c>
      <c r="L4142" s="1" t="s">
        <v>12023</v>
      </c>
      <c r="M4142" s="1" t="s">
        <v>27</v>
      </c>
      <c r="N4142" s="1" t="s">
        <v>12024</v>
      </c>
      <c r="O4142" s="1" t="s">
        <v>1010</v>
      </c>
      <c r="P4142" s="1" t="s">
        <v>401</v>
      </c>
      <c r="Q4142" s="63" t="s">
        <v>12025</v>
      </c>
      <c r="R4142" s="1" t="s">
        <v>100</v>
      </c>
      <c r="S4142" s="13" t="s">
        <v>379</v>
      </c>
      <c r="BC4142" s="11"/>
      <c r="BD4142" s="11"/>
      <c r="BE4142" s="11"/>
      <c r="BF4142" s="11"/>
      <c r="BG4142" s="11"/>
      <c r="BH4142" s="11"/>
      <c r="BI4142" s="11"/>
      <c r="BJ4142" s="11"/>
    </row>
    <row r="4143" spans="1:62" ht="12" customHeight="1" x14ac:dyDescent="0.2">
      <c r="A4143" s="1" t="s">
        <v>12045</v>
      </c>
      <c r="B4143" s="1">
        <v>75</v>
      </c>
      <c r="C4143" s="1" t="s">
        <v>20</v>
      </c>
      <c r="D4143" s="1" t="s">
        <v>37</v>
      </c>
      <c r="F4143" s="72">
        <v>41654</v>
      </c>
      <c r="G4143" s="1" t="s">
        <v>12046</v>
      </c>
      <c r="H4143" s="1" t="s">
        <v>12047</v>
      </c>
      <c r="I4143" s="1" t="s">
        <v>57</v>
      </c>
      <c r="J4143" s="4" t="s">
        <v>12048</v>
      </c>
      <c r="K4143" s="1" t="s">
        <v>12049</v>
      </c>
      <c r="L4143" s="1" t="s">
        <v>3953</v>
      </c>
      <c r="M4143" s="1" t="s">
        <v>27</v>
      </c>
      <c r="N4143" s="1" t="s">
        <v>12050</v>
      </c>
      <c r="O4143" s="1" t="s">
        <v>1010</v>
      </c>
      <c r="P4143" s="1" t="s">
        <v>401</v>
      </c>
      <c r="Q4143" s="63" t="s">
        <v>12051</v>
      </c>
      <c r="R4143" s="1" t="s">
        <v>100</v>
      </c>
      <c r="S4143" s="13" t="s">
        <v>28</v>
      </c>
      <c r="AX4143" s="70"/>
      <c r="AY4143" s="70"/>
      <c r="AZ4143" s="70"/>
    </row>
    <row r="4144" spans="1:62" ht="12" customHeight="1" x14ac:dyDescent="0.2">
      <c r="A4144" s="1" t="s">
        <v>12039</v>
      </c>
      <c r="B4144" s="1">
        <v>22</v>
      </c>
      <c r="C4144" s="1" t="s">
        <v>20</v>
      </c>
      <c r="D4144" s="1" t="s">
        <v>37</v>
      </c>
      <c r="E4144" s="1" t="s">
        <v>12040</v>
      </c>
      <c r="F4144" s="72">
        <v>41654</v>
      </c>
      <c r="G4144" s="1" t="s">
        <v>12041</v>
      </c>
      <c r="H4144" s="1" t="s">
        <v>7082</v>
      </c>
      <c r="I4144" s="1" t="s">
        <v>217</v>
      </c>
      <c r="J4144" s="4" t="s">
        <v>12042</v>
      </c>
      <c r="K4144" s="1" t="s">
        <v>7082</v>
      </c>
      <c r="L4144" s="1" t="s">
        <v>5418</v>
      </c>
      <c r="M4144" s="1" t="s">
        <v>27</v>
      </c>
      <c r="N4144" s="1" t="s">
        <v>12043</v>
      </c>
      <c r="O4144" s="1" t="s">
        <v>550</v>
      </c>
      <c r="P4144" s="1" t="s">
        <v>401</v>
      </c>
      <c r="Q4144" s="63" t="s">
        <v>12044</v>
      </c>
      <c r="R4144" s="1" t="s">
        <v>29</v>
      </c>
      <c r="S4144" s="13" t="s">
        <v>28</v>
      </c>
      <c r="AX4144" s="70"/>
      <c r="AY4144" s="70"/>
      <c r="AZ4144" s="70"/>
      <c r="BC4144" s="11"/>
      <c r="BD4144" s="11"/>
      <c r="BE4144" s="11"/>
      <c r="BF4144" s="11"/>
      <c r="BG4144" s="11"/>
      <c r="BH4144" s="11"/>
      <c r="BI4144" s="11"/>
      <c r="BJ4144" s="11"/>
    </row>
    <row r="4145" spans="1:62" ht="12" customHeight="1" x14ac:dyDescent="0.15">
      <c r="A4145" s="1" t="s">
        <v>12057</v>
      </c>
      <c r="B4145" s="1">
        <v>58</v>
      </c>
      <c r="C4145" s="1" t="s">
        <v>20</v>
      </c>
      <c r="D4145" s="1" t="s">
        <v>85</v>
      </c>
      <c r="F4145" s="72">
        <v>41653</v>
      </c>
      <c r="G4145" s="1" t="s">
        <v>12058</v>
      </c>
      <c r="H4145" s="1" t="s">
        <v>98</v>
      </c>
      <c r="I4145" s="1" t="s">
        <v>45</v>
      </c>
      <c r="J4145" s="4" t="s">
        <v>3302</v>
      </c>
      <c r="K4145" s="1" t="s">
        <v>98</v>
      </c>
      <c r="L4145" s="1" t="s">
        <v>99</v>
      </c>
      <c r="M4145" s="1" t="s">
        <v>27</v>
      </c>
      <c r="N4145" s="1" t="s">
        <v>12059</v>
      </c>
      <c r="O4145" s="1" t="s">
        <v>1010</v>
      </c>
      <c r="P4145" s="1" t="s">
        <v>401</v>
      </c>
      <c r="Q4145" s="63" t="s">
        <v>12060</v>
      </c>
      <c r="R4145" s="1" t="s">
        <v>100</v>
      </c>
      <c r="S4145" s="13" t="s">
        <v>28</v>
      </c>
      <c r="AX4145" s="11"/>
      <c r="AY4145" s="11"/>
      <c r="BC4145" s="11"/>
      <c r="BD4145" s="11"/>
      <c r="BE4145" s="11"/>
      <c r="BF4145" s="11"/>
      <c r="BG4145" s="11"/>
      <c r="BH4145" s="11"/>
      <c r="BI4145" s="11"/>
      <c r="BJ4145" s="11"/>
    </row>
    <row r="4146" spans="1:62" ht="12" customHeight="1" x14ac:dyDescent="0.15">
      <c r="A4146" s="1" t="s">
        <v>12052</v>
      </c>
      <c r="B4146" s="1">
        <v>30</v>
      </c>
      <c r="C4146" s="1" t="s">
        <v>20</v>
      </c>
      <c r="D4146" s="1" t="s">
        <v>85</v>
      </c>
      <c r="E4146" s="1" t="s">
        <v>12053</v>
      </c>
      <c r="F4146" s="72">
        <v>41653</v>
      </c>
      <c r="G4146" s="1" t="s">
        <v>12054</v>
      </c>
      <c r="H4146" s="1" t="s">
        <v>3241</v>
      </c>
      <c r="I4146" s="1" t="s">
        <v>62</v>
      </c>
      <c r="J4146" s="4" t="s">
        <v>3242</v>
      </c>
      <c r="K4146" s="1" t="s">
        <v>3243</v>
      </c>
      <c r="L4146" s="1" t="s">
        <v>12055</v>
      </c>
      <c r="M4146" s="1" t="s">
        <v>27</v>
      </c>
      <c r="N4146" s="1" t="s">
        <v>12056</v>
      </c>
      <c r="O4146" s="1" t="s">
        <v>1010</v>
      </c>
      <c r="P4146" s="1" t="s">
        <v>401</v>
      </c>
      <c r="Q4146" s="6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4146" s="1" t="s">
        <v>100</v>
      </c>
      <c r="S4146" s="13" t="s">
        <v>28</v>
      </c>
      <c r="AX4146" s="11"/>
      <c r="AY4146" s="11"/>
      <c r="BC4146" s="11"/>
      <c r="BD4146" s="11"/>
      <c r="BE4146" s="11"/>
      <c r="BF4146" s="11"/>
      <c r="BG4146" s="11"/>
      <c r="BH4146" s="11"/>
      <c r="BI4146" s="11"/>
      <c r="BJ4146" s="11"/>
    </row>
    <row r="4147" spans="1:62" ht="12" customHeight="1" x14ac:dyDescent="0.2">
      <c r="A4147" s="1" t="s">
        <v>12075</v>
      </c>
      <c r="B4147" s="1">
        <v>34</v>
      </c>
      <c r="C4147" s="1" t="s">
        <v>20</v>
      </c>
      <c r="D4147" s="1" t="s">
        <v>37</v>
      </c>
      <c r="E4147" s="1" t="s">
        <v>12076</v>
      </c>
      <c r="F4147" s="72">
        <v>41653</v>
      </c>
      <c r="G4147" s="1" t="s">
        <v>12077</v>
      </c>
      <c r="H4147" s="1" t="s">
        <v>1298</v>
      </c>
      <c r="I4147" s="1" t="s">
        <v>209</v>
      </c>
      <c r="J4147" s="4" t="s">
        <v>12078</v>
      </c>
      <c r="K4147" s="1" t="s">
        <v>1298</v>
      </c>
      <c r="L4147" s="1" t="s">
        <v>1299</v>
      </c>
      <c r="M4147" s="1" t="s">
        <v>27</v>
      </c>
      <c r="N4147" s="1" t="s">
        <v>12079</v>
      </c>
      <c r="O4147" s="1" t="s">
        <v>550</v>
      </c>
      <c r="P4147" s="1" t="s">
        <v>401</v>
      </c>
      <c r="Q4147" s="63" t="s">
        <v>12080</v>
      </c>
      <c r="R4147" s="1" t="s">
        <v>100</v>
      </c>
      <c r="S4147" s="13" t="s">
        <v>28</v>
      </c>
      <c r="AX4147" s="70"/>
      <c r="AY4147" s="70"/>
      <c r="AZ4147" s="70"/>
      <c r="BC4147" s="11"/>
      <c r="BD4147" s="11"/>
      <c r="BE4147" s="11"/>
      <c r="BF4147" s="11"/>
      <c r="BG4147" s="11"/>
      <c r="BH4147" s="11"/>
      <c r="BI4147" s="11"/>
      <c r="BJ4147" s="11"/>
    </row>
    <row r="4148" spans="1:62" ht="12" customHeight="1" x14ac:dyDescent="0.2">
      <c r="A4148" s="1" t="s">
        <v>12081</v>
      </c>
      <c r="B4148" s="1">
        <v>68</v>
      </c>
      <c r="C4148" s="1" t="s">
        <v>20</v>
      </c>
      <c r="D4148" s="1" t="s">
        <v>37</v>
      </c>
      <c r="E4148" s="1" t="s">
        <v>12082</v>
      </c>
      <c r="F4148" s="72">
        <v>41653</v>
      </c>
      <c r="G4148" s="1" t="s">
        <v>12083</v>
      </c>
      <c r="H4148" s="1" t="s">
        <v>12084</v>
      </c>
      <c r="I4148" s="1" t="s">
        <v>57</v>
      </c>
      <c r="J4148" s="4" t="s">
        <v>12085</v>
      </c>
      <c r="K4148" s="1" t="s">
        <v>698</v>
      </c>
      <c r="L4148" s="1" t="s">
        <v>3953</v>
      </c>
      <c r="M4148" s="1" t="s">
        <v>27</v>
      </c>
      <c r="N4148" s="1" t="s">
        <v>12086</v>
      </c>
      <c r="O4148" s="1" t="s">
        <v>550</v>
      </c>
      <c r="P4148" s="1" t="s">
        <v>401</v>
      </c>
      <c r="Q4148" s="63" t="s">
        <v>12087</v>
      </c>
      <c r="R4148" s="1" t="s">
        <v>100</v>
      </c>
      <c r="S4148" s="13" t="s">
        <v>28</v>
      </c>
      <c r="AX4148" s="70"/>
      <c r="AY4148" s="70"/>
      <c r="AZ4148" s="70"/>
      <c r="BC4148" s="11"/>
      <c r="BD4148" s="11"/>
      <c r="BE4148" s="11"/>
      <c r="BF4148" s="11"/>
      <c r="BG4148" s="11"/>
      <c r="BH4148" s="11"/>
      <c r="BI4148" s="11"/>
      <c r="BJ4148" s="11"/>
    </row>
    <row r="4149" spans="1:62" ht="12" customHeight="1" x14ac:dyDescent="0.15">
      <c r="A4149" s="1" t="s">
        <v>12061</v>
      </c>
      <c r="B4149" s="1">
        <v>40</v>
      </c>
      <c r="C4149" s="1" t="s">
        <v>20</v>
      </c>
      <c r="D4149" s="1" t="s">
        <v>48</v>
      </c>
      <c r="E4149" s="1" t="s">
        <v>12062</v>
      </c>
      <c r="F4149" s="72">
        <v>41653</v>
      </c>
      <c r="G4149" s="1" t="s">
        <v>12063</v>
      </c>
      <c r="H4149" s="1" t="s">
        <v>9928</v>
      </c>
      <c r="I4149" s="1" t="s">
        <v>123</v>
      </c>
      <c r="J4149" s="4" t="s">
        <v>9929</v>
      </c>
      <c r="K4149" s="1" t="s">
        <v>2390</v>
      </c>
      <c r="L4149" s="1" t="s">
        <v>12064</v>
      </c>
      <c r="M4149" s="1" t="s">
        <v>27</v>
      </c>
      <c r="N4149" s="1" t="s">
        <v>12065</v>
      </c>
      <c r="O4149" s="1" t="s">
        <v>550</v>
      </c>
      <c r="P4149" s="1" t="s">
        <v>401</v>
      </c>
      <c r="Q4149" s="63" t="s">
        <v>12066</v>
      </c>
      <c r="R4149" s="1" t="s">
        <v>100</v>
      </c>
      <c r="S4149" s="13" t="s">
        <v>18</v>
      </c>
    </row>
    <row r="4150" spans="1:62" ht="12" customHeight="1" x14ac:dyDescent="0.15">
      <c r="A4150" s="1" t="s">
        <v>12067</v>
      </c>
      <c r="B4150" s="1">
        <v>24</v>
      </c>
      <c r="C4150" s="1" t="s">
        <v>20</v>
      </c>
      <c r="D4150" s="1" t="s">
        <v>30</v>
      </c>
      <c r="F4150" s="72">
        <v>41653</v>
      </c>
      <c r="G4150" s="1" t="s">
        <v>12068</v>
      </c>
      <c r="H4150" s="1" t="s">
        <v>12069</v>
      </c>
      <c r="I4150" s="1" t="s">
        <v>150</v>
      </c>
      <c r="J4150" s="4" t="s">
        <v>12070</v>
      </c>
      <c r="K4150" s="1" t="s">
        <v>12071</v>
      </c>
      <c r="L4150" s="1" t="s">
        <v>12072</v>
      </c>
      <c r="M4150" s="1" t="s">
        <v>27</v>
      </c>
      <c r="N4150" s="1" t="s">
        <v>12073</v>
      </c>
      <c r="O4150" s="1" t="s">
        <v>550</v>
      </c>
      <c r="P4150" s="1" t="s">
        <v>401</v>
      </c>
      <c r="Q4150" s="63" t="s">
        <v>12074</v>
      </c>
      <c r="R4150" s="1" t="s">
        <v>100</v>
      </c>
      <c r="S4150" s="13" t="s">
        <v>379</v>
      </c>
    </row>
    <row r="4151" spans="1:62" ht="12" customHeight="1" x14ac:dyDescent="0.15">
      <c r="A4151" s="1" t="s">
        <v>12088</v>
      </c>
      <c r="B4151" s="1">
        <v>24</v>
      </c>
      <c r="C4151" s="1" t="s">
        <v>20</v>
      </c>
      <c r="D4151" s="1" t="s">
        <v>85</v>
      </c>
      <c r="E4151" s="1" t="str">
        <f>HYPERLINK("http://www.wyliefh.com/printguestbook.php?id=2166&amp;rid=15392","http://www.wyliefh.com/printguestbook.php?id=2166&amp;rid=15392")</f>
        <v>http://www.wyliefh.com/printguestbook.php?id=2166&amp;rid=15392</v>
      </c>
      <c r="F4151" s="72">
        <v>41652</v>
      </c>
      <c r="G4151" s="1" t="s">
        <v>12089</v>
      </c>
      <c r="H4151" s="1" t="s">
        <v>1592</v>
      </c>
      <c r="I4151" s="1" t="s">
        <v>52</v>
      </c>
      <c r="J4151" s="4" t="s">
        <v>12090</v>
      </c>
      <c r="K4151" s="1" t="s">
        <v>4697</v>
      </c>
      <c r="L4151" s="1" t="s">
        <v>2770</v>
      </c>
      <c r="M4151" s="1" t="s">
        <v>27</v>
      </c>
      <c r="N4151" s="1" t="s">
        <v>12091</v>
      </c>
      <c r="O4151" s="1" t="s">
        <v>1010</v>
      </c>
      <c r="P4151" s="1" t="s">
        <v>401</v>
      </c>
      <c r="Q4151" s="6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4151" s="1" t="s">
        <v>100</v>
      </c>
      <c r="S4151" s="13" t="s">
        <v>28</v>
      </c>
      <c r="AX4151" s="11"/>
      <c r="AY4151" s="11"/>
      <c r="BC4151" s="11"/>
      <c r="BD4151" s="11"/>
      <c r="BE4151" s="11"/>
      <c r="BF4151" s="11"/>
      <c r="BG4151" s="11"/>
      <c r="BH4151" s="11"/>
      <c r="BI4151" s="11"/>
      <c r="BJ4151" s="11"/>
    </row>
    <row r="4152" spans="1:62" ht="12" customHeight="1" x14ac:dyDescent="0.15">
      <c r="A4152" s="1" t="s">
        <v>12092</v>
      </c>
      <c r="B4152" s="1">
        <v>32</v>
      </c>
      <c r="C4152" s="1" t="s">
        <v>20</v>
      </c>
      <c r="D4152" s="1" t="s">
        <v>48</v>
      </c>
      <c r="F4152" s="72">
        <v>41651</v>
      </c>
      <c r="G4152" s="1" t="s">
        <v>12093</v>
      </c>
      <c r="H4152" s="1" t="s">
        <v>7905</v>
      </c>
      <c r="I4152" s="1" t="s">
        <v>45</v>
      </c>
      <c r="J4152" s="4" t="s">
        <v>12094</v>
      </c>
      <c r="K4152" s="1" t="s">
        <v>309</v>
      </c>
      <c r="L4152" s="1" t="s">
        <v>310</v>
      </c>
      <c r="M4152" s="1" t="s">
        <v>27</v>
      </c>
      <c r="N4152" s="1" t="s">
        <v>21021</v>
      </c>
      <c r="O4152" s="1" t="s">
        <v>1010</v>
      </c>
      <c r="P4152" s="1" t="s">
        <v>401</v>
      </c>
      <c r="Q4152" s="63" t="s">
        <v>21022</v>
      </c>
      <c r="R4152" s="1" t="s">
        <v>100</v>
      </c>
      <c r="S4152" s="13" t="s">
        <v>18</v>
      </c>
    </row>
    <row r="4153" spans="1:62" ht="12" customHeight="1" x14ac:dyDescent="0.2">
      <c r="A4153" s="1" t="s">
        <v>12095</v>
      </c>
      <c r="B4153" s="1">
        <v>35</v>
      </c>
      <c r="C4153" s="1" t="s">
        <v>20</v>
      </c>
      <c r="D4153" s="1" t="s">
        <v>37</v>
      </c>
      <c r="E4153" s="1" t="s">
        <v>12096</v>
      </c>
      <c r="F4153" s="72">
        <v>41651</v>
      </c>
      <c r="G4153" s="1" t="s">
        <v>12097</v>
      </c>
      <c r="H4153" s="1" t="s">
        <v>687</v>
      </c>
      <c r="I4153" s="1" t="s">
        <v>123</v>
      </c>
      <c r="J4153" s="4" t="s">
        <v>12098</v>
      </c>
      <c r="K4153" s="1" t="s">
        <v>633</v>
      </c>
      <c r="L4153" s="1" t="s">
        <v>4878</v>
      </c>
      <c r="M4153" s="1" t="s">
        <v>27</v>
      </c>
      <c r="N4153" s="1" t="s">
        <v>12099</v>
      </c>
      <c r="O4153" s="1" t="s">
        <v>29</v>
      </c>
      <c r="P4153" s="1" t="s">
        <v>401</v>
      </c>
      <c r="Q4153" s="63" t="s">
        <v>12100</v>
      </c>
      <c r="R4153" s="1" t="s">
        <v>29</v>
      </c>
      <c r="S4153" s="13" t="s">
        <v>28</v>
      </c>
      <c r="AX4153" s="70"/>
      <c r="AY4153" s="70"/>
      <c r="AZ4153" s="70"/>
      <c r="BC4153" s="11"/>
      <c r="BD4153" s="11"/>
      <c r="BE4153" s="11"/>
      <c r="BF4153" s="11"/>
      <c r="BG4153" s="11"/>
      <c r="BH4153" s="11"/>
      <c r="BI4153" s="11"/>
      <c r="BJ4153" s="11"/>
    </row>
    <row r="4154" spans="1:62" ht="12" customHeight="1" x14ac:dyDescent="0.15">
      <c r="A4154" s="1" t="s">
        <v>12101</v>
      </c>
      <c r="B4154" s="1">
        <v>50</v>
      </c>
      <c r="C4154" s="1" t="s">
        <v>20</v>
      </c>
      <c r="D4154" s="1" t="s">
        <v>85</v>
      </c>
      <c r="E4154" s="1" t="s">
        <v>12102</v>
      </c>
      <c r="F4154" s="72">
        <v>41649</v>
      </c>
      <c r="G4154" s="1" t="s">
        <v>12103</v>
      </c>
      <c r="H4154" s="1" t="s">
        <v>754</v>
      </c>
      <c r="I4154" s="1" t="s">
        <v>423</v>
      </c>
      <c r="J4154" s="4" t="s">
        <v>12104</v>
      </c>
      <c r="K4154" s="1" t="s">
        <v>2675</v>
      </c>
      <c r="L4154" s="1" t="s">
        <v>582</v>
      </c>
      <c r="M4154" s="1" t="s">
        <v>27</v>
      </c>
      <c r="N4154" s="1" t="s">
        <v>12105</v>
      </c>
      <c r="O4154" s="1" t="s">
        <v>1010</v>
      </c>
      <c r="P4154" s="1" t="s">
        <v>401</v>
      </c>
      <c r="Q4154" s="63" t="s">
        <v>12106</v>
      </c>
      <c r="R4154" s="1" t="s">
        <v>100</v>
      </c>
      <c r="S4154" s="13" t="s">
        <v>18</v>
      </c>
      <c r="AX4154" s="11"/>
      <c r="AY4154" s="11"/>
      <c r="BC4154" s="11"/>
      <c r="BD4154" s="11"/>
      <c r="BE4154" s="11"/>
      <c r="BF4154" s="11"/>
      <c r="BG4154" s="11"/>
      <c r="BH4154" s="11"/>
      <c r="BI4154" s="11"/>
      <c r="BJ4154" s="11"/>
    </row>
    <row r="4155" spans="1:62" ht="12" customHeight="1" x14ac:dyDescent="0.15">
      <c r="A4155" s="1" t="s">
        <v>12107</v>
      </c>
      <c r="B4155" s="1">
        <v>40</v>
      </c>
      <c r="C4155" s="1" t="s">
        <v>20</v>
      </c>
      <c r="D4155" s="1" t="s">
        <v>48</v>
      </c>
      <c r="E4155" s="1" t="s">
        <v>12108</v>
      </c>
      <c r="F4155" s="72">
        <v>41648</v>
      </c>
      <c r="G4155" s="1" t="s">
        <v>12109</v>
      </c>
      <c r="H4155" s="1" t="s">
        <v>156</v>
      </c>
      <c r="I4155" s="1" t="s">
        <v>45</v>
      </c>
      <c r="J4155" s="4" t="s">
        <v>12110</v>
      </c>
      <c r="K4155" s="1" t="s">
        <v>156</v>
      </c>
      <c r="L4155" s="1" t="s">
        <v>157</v>
      </c>
      <c r="M4155" s="1" t="s">
        <v>27</v>
      </c>
      <c r="N4155" s="1" t="s">
        <v>12111</v>
      </c>
      <c r="O4155" s="1" t="s">
        <v>1010</v>
      </c>
      <c r="P4155" s="1" t="s">
        <v>401</v>
      </c>
      <c r="Q4155" s="63" t="s">
        <v>12112</v>
      </c>
      <c r="R4155" s="1" t="s">
        <v>100</v>
      </c>
      <c r="S4155" s="13" t="s">
        <v>28</v>
      </c>
    </row>
    <row r="4156" spans="1:62" ht="12" customHeight="1" x14ac:dyDescent="0.2">
      <c r="A4156" s="1" t="s">
        <v>12121</v>
      </c>
      <c r="B4156" s="1">
        <v>35</v>
      </c>
      <c r="C4156" s="1" t="s">
        <v>20</v>
      </c>
      <c r="D4156" s="1" t="s">
        <v>37</v>
      </c>
      <c r="F4156" s="72">
        <v>41648</v>
      </c>
      <c r="G4156" s="1" t="s">
        <v>12122</v>
      </c>
      <c r="H4156" s="1" t="s">
        <v>2880</v>
      </c>
      <c r="I4156" s="1" t="s">
        <v>978</v>
      </c>
      <c r="J4156" s="4" t="s">
        <v>12123</v>
      </c>
      <c r="K4156" s="1" t="s">
        <v>2881</v>
      </c>
      <c r="L4156" s="1" t="s">
        <v>2882</v>
      </c>
      <c r="M4156" s="1" t="s">
        <v>27</v>
      </c>
      <c r="N4156" s="1" t="s">
        <v>12124</v>
      </c>
      <c r="O4156" s="1" t="s">
        <v>400</v>
      </c>
      <c r="P4156" s="1" t="s">
        <v>401</v>
      </c>
      <c r="Q4156" s="63" t="s">
        <v>12125</v>
      </c>
      <c r="R4156" s="1" t="s">
        <v>100</v>
      </c>
      <c r="S4156" s="13" t="s">
        <v>28</v>
      </c>
      <c r="AX4156" s="70"/>
      <c r="AY4156" s="70"/>
      <c r="AZ4156" s="70"/>
      <c r="BC4156" s="11"/>
      <c r="BD4156" s="11"/>
      <c r="BE4156" s="11"/>
      <c r="BF4156" s="11"/>
      <c r="BG4156" s="11"/>
      <c r="BH4156" s="11"/>
      <c r="BI4156" s="11"/>
      <c r="BJ4156" s="11"/>
    </row>
    <row r="4157" spans="1:62" ht="12" customHeight="1" x14ac:dyDescent="0.15">
      <c r="A4157" s="1" t="s">
        <v>12113</v>
      </c>
      <c r="B4157" s="1">
        <v>51</v>
      </c>
      <c r="C4157" s="1" t="s">
        <v>20</v>
      </c>
      <c r="D4157" s="1" t="s">
        <v>30</v>
      </c>
      <c r="F4157" s="72">
        <v>41648</v>
      </c>
      <c r="G4157" s="1" t="s">
        <v>12114</v>
      </c>
      <c r="H4157" s="1" t="s">
        <v>12115</v>
      </c>
      <c r="I4157" s="1" t="s">
        <v>73</v>
      </c>
      <c r="J4157" s="4" t="s">
        <v>12116</v>
      </c>
      <c r="K4157" s="1" t="s">
        <v>12117</v>
      </c>
      <c r="L4157" s="1" t="s">
        <v>12118</v>
      </c>
      <c r="M4157" s="1" t="s">
        <v>27</v>
      </c>
      <c r="N4157" s="1" t="s">
        <v>12119</v>
      </c>
      <c r="O4157" s="1" t="s">
        <v>550</v>
      </c>
      <c r="P4157" s="1" t="s">
        <v>401</v>
      </c>
      <c r="Q4157" s="63" t="s">
        <v>12120</v>
      </c>
      <c r="R4157" s="1" t="s">
        <v>100</v>
      </c>
      <c r="S4157" s="13" t="s">
        <v>379</v>
      </c>
    </row>
    <row r="4158" spans="1:62" ht="12" customHeight="1" x14ac:dyDescent="0.2">
      <c r="A4158" s="1" t="s">
        <v>12126</v>
      </c>
      <c r="B4158" s="1" t="s">
        <v>29</v>
      </c>
      <c r="C4158" s="1" t="s">
        <v>20</v>
      </c>
      <c r="D4158" s="1" t="s">
        <v>37</v>
      </c>
      <c r="E4158" s="1" t="s">
        <v>12127</v>
      </c>
      <c r="F4158" s="72">
        <v>41647</v>
      </c>
      <c r="G4158" s="1" t="s">
        <v>12128</v>
      </c>
      <c r="H4158" s="1" t="s">
        <v>1039</v>
      </c>
      <c r="I4158" s="1" t="s">
        <v>25</v>
      </c>
      <c r="J4158" s="4">
        <v>70113</v>
      </c>
      <c r="K4158" s="1" t="s">
        <v>12129</v>
      </c>
      <c r="L4158" s="1" t="s">
        <v>1041</v>
      </c>
      <c r="M4158" s="1" t="s">
        <v>27</v>
      </c>
      <c r="N4158" s="1" t="s">
        <v>12130</v>
      </c>
      <c r="P4158" s="1" t="s">
        <v>401</v>
      </c>
      <c r="Q4158" s="63" t="s">
        <v>12131</v>
      </c>
      <c r="R4158" s="1" t="s">
        <v>29</v>
      </c>
      <c r="S4158" s="13" t="s">
        <v>28</v>
      </c>
      <c r="AX4158" s="70"/>
      <c r="AY4158" s="70"/>
      <c r="AZ4158" s="70"/>
      <c r="BC4158" s="11"/>
      <c r="BD4158" s="11"/>
      <c r="BE4158" s="11"/>
      <c r="BF4158" s="11"/>
      <c r="BG4158" s="11"/>
      <c r="BH4158" s="11"/>
      <c r="BI4158" s="11"/>
      <c r="BJ4158" s="11"/>
    </row>
    <row r="4159" spans="1:62" ht="12" customHeight="1" x14ac:dyDescent="0.2">
      <c r="A4159" s="1" t="s">
        <v>12140</v>
      </c>
      <c r="B4159" s="1">
        <v>47</v>
      </c>
      <c r="C4159" s="1" t="s">
        <v>20</v>
      </c>
      <c r="D4159" s="1" t="s">
        <v>37</v>
      </c>
      <c r="F4159" s="72">
        <v>41646</v>
      </c>
      <c r="G4159" s="1" t="s">
        <v>12141</v>
      </c>
      <c r="H4159" s="1" t="s">
        <v>12142</v>
      </c>
      <c r="I4159" s="1" t="s">
        <v>62</v>
      </c>
      <c r="J4159" s="4" t="s">
        <v>12143</v>
      </c>
      <c r="K4159" s="1" t="s">
        <v>1256</v>
      </c>
      <c r="L4159" s="1" t="s">
        <v>12144</v>
      </c>
      <c r="M4159" s="1" t="s">
        <v>27</v>
      </c>
      <c r="N4159" s="1" t="s">
        <v>12145</v>
      </c>
      <c r="O4159" s="1" t="s">
        <v>550</v>
      </c>
      <c r="P4159" s="1" t="s">
        <v>401</v>
      </c>
      <c r="Q4159" s="63" t="s">
        <v>12146</v>
      </c>
      <c r="R4159" s="1" t="s">
        <v>100</v>
      </c>
      <c r="S4159" s="13" t="s">
        <v>28</v>
      </c>
      <c r="AX4159" s="70"/>
      <c r="AY4159" s="70"/>
      <c r="AZ4159" s="70"/>
      <c r="BC4159" s="11"/>
      <c r="BD4159" s="11"/>
      <c r="BE4159" s="11"/>
      <c r="BF4159" s="11"/>
      <c r="BG4159" s="11"/>
      <c r="BH4159" s="11"/>
      <c r="BI4159" s="11"/>
      <c r="BJ4159" s="11"/>
    </row>
    <row r="4160" spans="1:62" ht="12" customHeight="1" x14ac:dyDescent="0.2">
      <c r="A4160" s="1" t="s">
        <v>12132</v>
      </c>
      <c r="B4160" s="1">
        <v>40</v>
      </c>
      <c r="C4160" s="1" t="s">
        <v>20</v>
      </c>
      <c r="D4160" s="1" t="s">
        <v>37</v>
      </c>
      <c r="E4160" s="1" t="s">
        <v>12133</v>
      </c>
      <c r="F4160" s="72">
        <v>41646</v>
      </c>
      <c r="G4160" s="1" t="s">
        <v>12134</v>
      </c>
      <c r="H4160" s="1" t="s">
        <v>12135</v>
      </c>
      <c r="I4160" s="1" t="s">
        <v>195</v>
      </c>
      <c r="J4160" s="4" t="s">
        <v>12136</v>
      </c>
      <c r="K4160" s="1" t="s">
        <v>12137</v>
      </c>
      <c r="L4160" s="1" t="s">
        <v>3085</v>
      </c>
      <c r="M4160" s="1" t="s">
        <v>27</v>
      </c>
      <c r="N4160" s="1" t="s">
        <v>12138</v>
      </c>
      <c r="O4160" s="1" t="s">
        <v>1010</v>
      </c>
      <c r="P4160" s="1" t="s">
        <v>401</v>
      </c>
      <c r="Q4160" s="63" t="s">
        <v>12139</v>
      </c>
      <c r="R4160" s="1" t="s">
        <v>29</v>
      </c>
      <c r="S4160" s="13" t="s">
        <v>28</v>
      </c>
      <c r="AX4160" s="70"/>
      <c r="AY4160" s="70"/>
      <c r="AZ4160" s="70"/>
      <c r="BC4160" s="11"/>
      <c r="BD4160" s="11"/>
      <c r="BE4160" s="11"/>
      <c r="BF4160" s="11"/>
      <c r="BG4160" s="11"/>
      <c r="BH4160" s="11"/>
      <c r="BI4160" s="11"/>
      <c r="BJ4160" s="11"/>
    </row>
    <row r="4161" spans="1:63" ht="12" customHeight="1" x14ac:dyDescent="0.2">
      <c r="A4161" s="1" t="s">
        <v>12147</v>
      </c>
      <c r="B4161" s="1">
        <v>49</v>
      </c>
      <c r="C4161" s="1" t="s">
        <v>20</v>
      </c>
      <c r="D4161" s="1" t="s">
        <v>37</v>
      </c>
      <c r="E4161" s="1" t="s">
        <v>12148</v>
      </c>
      <c r="F4161" s="72">
        <v>41645</v>
      </c>
      <c r="G4161" s="1" t="s">
        <v>12149</v>
      </c>
      <c r="H4161" s="1" t="s">
        <v>12150</v>
      </c>
      <c r="I4161" s="1" t="s">
        <v>150</v>
      </c>
      <c r="J4161" s="4" t="s">
        <v>12151</v>
      </c>
      <c r="K4161" s="1" t="s">
        <v>4015</v>
      </c>
      <c r="L4161" s="1" t="s">
        <v>12152</v>
      </c>
      <c r="M4161" s="1" t="s">
        <v>27</v>
      </c>
      <c r="N4161" s="1" t="s">
        <v>12153</v>
      </c>
      <c r="O4161" s="1" t="s">
        <v>1010</v>
      </c>
      <c r="P4161" s="1" t="s">
        <v>401</v>
      </c>
      <c r="Q4161" s="63" t="s">
        <v>12154</v>
      </c>
      <c r="R4161" s="1" t="s">
        <v>100</v>
      </c>
      <c r="S4161" s="13" t="s">
        <v>379</v>
      </c>
      <c r="AX4161" s="70"/>
      <c r="AY4161" s="70"/>
      <c r="AZ4161" s="70"/>
      <c r="BC4161" s="11"/>
      <c r="BD4161" s="11"/>
      <c r="BE4161" s="11"/>
      <c r="BF4161" s="11"/>
      <c r="BG4161" s="11"/>
      <c r="BH4161" s="11"/>
      <c r="BI4161" s="11"/>
      <c r="BJ4161" s="11"/>
    </row>
    <row r="4162" spans="1:63" ht="12" customHeight="1" x14ac:dyDescent="0.2">
      <c r="A4162" s="1" t="s">
        <v>12163</v>
      </c>
      <c r="B4162" s="1">
        <v>30</v>
      </c>
      <c r="C4162" s="1" t="s">
        <v>20</v>
      </c>
      <c r="D4162" s="1" t="s">
        <v>37</v>
      </c>
      <c r="E4162" s="1" t="s">
        <v>12164</v>
      </c>
      <c r="F4162" s="72">
        <v>41644</v>
      </c>
      <c r="G4162" s="1" t="s">
        <v>12165</v>
      </c>
      <c r="H4162" s="1" t="s">
        <v>1902</v>
      </c>
      <c r="I4162" s="1" t="s">
        <v>62</v>
      </c>
      <c r="J4162" s="4" t="s">
        <v>12166</v>
      </c>
      <c r="K4162" s="1" t="s">
        <v>1902</v>
      </c>
      <c r="L4162" s="1" t="s">
        <v>2446</v>
      </c>
      <c r="M4162" s="1" t="s">
        <v>27</v>
      </c>
      <c r="N4162" s="1" t="s">
        <v>12167</v>
      </c>
      <c r="O4162" s="1" t="s">
        <v>550</v>
      </c>
      <c r="P4162" s="1" t="s">
        <v>401</v>
      </c>
      <c r="Q4162" s="63" t="s">
        <v>12168</v>
      </c>
      <c r="R4162" s="11" t="s">
        <v>964</v>
      </c>
      <c r="S4162" s="13" t="s">
        <v>28</v>
      </c>
      <c r="AX4162" s="70"/>
      <c r="AY4162" s="70"/>
      <c r="AZ4162" s="70"/>
      <c r="BC4162" s="11"/>
      <c r="BD4162" s="11"/>
      <c r="BE4162" s="11"/>
      <c r="BF4162" s="11"/>
      <c r="BG4162" s="11"/>
      <c r="BH4162" s="11"/>
      <c r="BI4162" s="11"/>
      <c r="BJ4162" s="11"/>
    </row>
    <row r="4163" spans="1:63" ht="12" customHeight="1" x14ac:dyDescent="0.2">
      <c r="A4163" s="1" t="s">
        <v>12155</v>
      </c>
      <c r="B4163" s="1">
        <v>18</v>
      </c>
      <c r="C4163" s="1" t="s">
        <v>20</v>
      </c>
      <c r="D4163" s="1" t="s">
        <v>37</v>
      </c>
      <c r="E4163" s="1" t="s">
        <v>12156</v>
      </c>
      <c r="F4163" s="72">
        <v>41644</v>
      </c>
      <c r="G4163" s="1" t="s">
        <v>12157</v>
      </c>
      <c r="H4163" s="1" t="s">
        <v>12158</v>
      </c>
      <c r="I4163" s="1" t="s">
        <v>366</v>
      </c>
      <c r="J4163" s="4" t="s">
        <v>12159</v>
      </c>
      <c r="K4163" s="1" t="s">
        <v>12160</v>
      </c>
      <c r="L4163" s="1" t="s">
        <v>12161</v>
      </c>
      <c r="M4163" s="1" t="s">
        <v>27</v>
      </c>
      <c r="N4163" s="1" t="s">
        <v>21174</v>
      </c>
      <c r="O4163" s="1" t="s">
        <v>20489</v>
      </c>
      <c r="P4163" s="1" t="s">
        <v>20489</v>
      </c>
      <c r="Q4163" s="63" t="s">
        <v>12162</v>
      </c>
      <c r="R4163" s="1" t="s">
        <v>555</v>
      </c>
      <c r="S4163" s="13" t="s">
        <v>18</v>
      </c>
      <c r="AX4163" s="70"/>
      <c r="AY4163" s="70"/>
      <c r="AZ4163" s="70"/>
      <c r="BA4163" s="44"/>
      <c r="BB4163" s="44"/>
      <c r="BC4163" s="11"/>
      <c r="BD4163" s="11"/>
      <c r="BE4163" s="11"/>
      <c r="BF4163" s="11"/>
      <c r="BG4163" s="11"/>
      <c r="BH4163" s="11"/>
      <c r="BI4163" s="11"/>
      <c r="BJ4163" s="11"/>
    </row>
    <row r="4164" spans="1:63" ht="12" customHeight="1" x14ac:dyDescent="0.15">
      <c r="A4164" s="1" t="s">
        <v>12174</v>
      </c>
      <c r="B4164" s="1">
        <v>66</v>
      </c>
      <c r="C4164" s="1" t="s">
        <v>20</v>
      </c>
      <c r="D4164" s="1" t="s">
        <v>48</v>
      </c>
      <c r="F4164" s="72">
        <v>41643</v>
      </c>
      <c r="G4164" s="1" t="s">
        <v>12175</v>
      </c>
      <c r="H4164" s="1" t="s">
        <v>4680</v>
      </c>
      <c r="I4164" s="1" t="s">
        <v>209</v>
      </c>
      <c r="J4164" s="4" t="s">
        <v>11287</v>
      </c>
      <c r="K4164" s="1" t="s">
        <v>4680</v>
      </c>
      <c r="L4164" s="1" t="s">
        <v>4682</v>
      </c>
      <c r="M4164" s="1" t="s">
        <v>27</v>
      </c>
      <c r="N4164" s="1" t="s">
        <v>12176</v>
      </c>
      <c r="O4164" s="1" t="s">
        <v>550</v>
      </c>
      <c r="P4164" s="1" t="s">
        <v>401</v>
      </c>
      <c r="Q4164" s="63" t="s">
        <v>12177</v>
      </c>
      <c r="R4164" s="1" t="s">
        <v>100</v>
      </c>
      <c r="S4164" s="13" t="s">
        <v>28</v>
      </c>
    </row>
    <row r="4165" spans="1:63" ht="12" customHeight="1" x14ac:dyDescent="0.15">
      <c r="A4165" s="1" t="s">
        <v>12178</v>
      </c>
      <c r="B4165" s="1">
        <v>31</v>
      </c>
      <c r="C4165" s="1" t="s">
        <v>20</v>
      </c>
      <c r="D4165" s="1" t="s">
        <v>30</v>
      </c>
      <c r="F4165" s="72">
        <v>41643</v>
      </c>
      <c r="G4165" s="1" t="s">
        <v>12179</v>
      </c>
      <c r="H4165" s="1" t="s">
        <v>12180</v>
      </c>
      <c r="I4165" s="1" t="s">
        <v>81</v>
      </c>
      <c r="J4165" s="4" t="s">
        <v>12181</v>
      </c>
      <c r="K4165" s="1" t="s">
        <v>9477</v>
      </c>
      <c r="L4165" s="1" t="s">
        <v>12182</v>
      </c>
      <c r="M4165" s="1" t="s">
        <v>27</v>
      </c>
      <c r="N4165" s="1" t="s">
        <v>12183</v>
      </c>
      <c r="O4165" s="1" t="s">
        <v>1010</v>
      </c>
      <c r="P4165" s="1" t="s">
        <v>401</v>
      </c>
      <c r="Q4165" s="63" t="s">
        <v>12184</v>
      </c>
      <c r="R4165" s="1" t="s">
        <v>100</v>
      </c>
      <c r="S4165" s="13" t="s">
        <v>28</v>
      </c>
    </row>
    <row r="4166" spans="1:63" ht="12" customHeight="1" x14ac:dyDescent="0.2">
      <c r="A4166" s="1" t="s">
        <v>12191</v>
      </c>
      <c r="B4166" s="1">
        <v>49</v>
      </c>
      <c r="C4166" s="1" t="s">
        <v>20</v>
      </c>
      <c r="D4166" s="1" t="s">
        <v>37</v>
      </c>
      <c r="E4166" s="1" t="s">
        <v>12192</v>
      </c>
      <c r="F4166" s="72">
        <v>41643</v>
      </c>
      <c r="G4166" s="1" t="s">
        <v>12193</v>
      </c>
      <c r="H4166" s="1" t="s">
        <v>122</v>
      </c>
      <c r="I4166" s="1" t="s">
        <v>123</v>
      </c>
      <c r="J4166" s="4" t="s">
        <v>12194</v>
      </c>
      <c r="K4166" s="1" t="s">
        <v>124</v>
      </c>
      <c r="L4166" s="1" t="s">
        <v>10486</v>
      </c>
      <c r="M4166" s="1" t="s">
        <v>27</v>
      </c>
      <c r="N4166" s="1" t="s">
        <v>12195</v>
      </c>
      <c r="O4166" s="1" t="s">
        <v>400</v>
      </c>
      <c r="P4166" s="1" t="s">
        <v>401</v>
      </c>
      <c r="Q4166" s="63" t="s">
        <v>12196</v>
      </c>
      <c r="R4166" s="1" t="s">
        <v>100</v>
      </c>
      <c r="S4166" s="13" t="s">
        <v>28</v>
      </c>
      <c r="AX4166" s="70"/>
      <c r="AY4166" s="70"/>
      <c r="AZ4166" s="70"/>
      <c r="BC4166" s="11"/>
      <c r="BD4166" s="11"/>
      <c r="BE4166" s="11"/>
      <c r="BF4166" s="11"/>
      <c r="BG4166" s="11"/>
      <c r="BH4166" s="11"/>
      <c r="BI4166" s="11"/>
      <c r="BJ4166" s="11"/>
    </row>
    <row r="4167" spans="1:63" ht="12" customHeight="1" x14ac:dyDescent="0.2">
      <c r="A4167" s="1" t="s">
        <v>12185</v>
      </c>
      <c r="B4167" s="1">
        <v>23</v>
      </c>
      <c r="C4167" s="1" t="s">
        <v>20</v>
      </c>
      <c r="D4167" s="1" t="s">
        <v>37</v>
      </c>
      <c r="E4167" s="1" t="s">
        <v>12186</v>
      </c>
      <c r="F4167" s="72">
        <v>41643</v>
      </c>
      <c r="G4167" s="1" t="s">
        <v>12187</v>
      </c>
      <c r="H4167" s="1" t="s">
        <v>11741</v>
      </c>
      <c r="I4167" s="1" t="s">
        <v>209</v>
      </c>
      <c r="J4167" s="4" t="s">
        <v>12188</v>
      </c>
      <c r="K4167" s="1" t="s">
        <v>1778</v>
      </c>
      <c r="L4167" s="1" t="s">
        <v>11743</v>
      </c>
      <c r="M4167" s="1" t="s">
        <v>27</v>
      </c>
      <c r="N4167" s="1" t="s">
        <v>12189</v>
      </c>
      <c r="O4167" s="1" t="s">
        <v>1010</v>
      </c>
      <c r="P4167" s="1" t="s">
        <v>401</v>
      </c>
      <c r="Q4167" s="63" t="s">
        <v>12190</v>
      </c>
      <c r="R4167" s="1" t="s">
        <v>100</v>
      </c>
      <c r="S4167" s="13" t="s">
        <v>28</v>
      </c>
      <c r="AX4167" s="70"/>
      <c r="AY4167" s="70"/>
      <c r="AZ4167" s="70"/>
      <c r="BC4167" s="11"/>
      <c r="BD4167" s="11"/>
      <c r="BE4167" s="11"/>
      <c r="BF4167" s="11"/>
      <c r="BG4167" s="11"/>
      <c r="BH4167" s="11"/>
      <c r="BI4167" s="11"/>
      <c r="BJ4167" s="11"/>
    </row>
    <row r="4168" spans="1:63" ht="12" customHeight="1" x14ac:dyDescent="0.2">
      <c r="A4168" s="1" t="s">
        <v>12197</v>
      </c>
      <c r="B4168" s="1">
        <v>30</v>
      </c>
      <c r="C4168" s="1" t="s">
        <v>20</v>
      </c>
      <c r="D4168" s="1" t="s">
        <v>37</v>
      </c>
      <c r="F4168" s="72">
        <v>41643</v>
      </c>
      <c r="G4168" s="1" t="s">
        <v>12198</v>
      </c>
      <c r="H4168" s="1" t="s">
        <v>2450</v>
      </c>
      <c r="I4168" s="1" t="s">
        <v>173</v>
      </c>
      <c r="J4168" s="4" t="s">
        <v>2451</v>
      </c>
      <c r="K4168" s="1" t="s">
        <v>1325</v>
      </c>
      <c r="L4168" s="1" t="s">
        <v>1326</v>
      </c>
      <c r="M4168" s="1" t="s">
        <v>27</v>
      </c>
      <c r="N4168" s="1" t="s">
        <v>12199</v>
      </c>
      <c r="O4168" s="1" t="s">
        <v>1010</v>
      </c>
      <c r="P4168" s="1" t="s">
        <v>401</v>
      </c>
      <c r="Q4168" s="63" t="s">
        <v>12200</v>
      </c>
      <c r="R4168" s="1" t="s">
        <v>100</v>
      </c>
      <c r="S4168" s="13" t="s">
        <v>28</v>
      </c>
      <c r="AX4168" s="70"/>
      <c r="AY4168" s="70"/>
      <c r="AZ4168" s="70"/>
      <c r="BC4168" s="11"/>
      <c r="BD4168" s="11"/>
      <c r="BE4168" s="11"/>
      <c r="BF4168" s="11"/>
      <c r="BG4168" s="11"/>
      <c r="BH4168" s="11"/>
      <c r="BI4168" s="11"/>
      <c r="BJ4168" s="11"/>
    </row>
    <row r="4169" spans="1:63" ht="12" customHeight="1" x14ac:dyDescent="0.15">
      <c r="A4169" s="1" t="s">
        <v>12169</v>
      </c>
      <c r="B4169" s="1">
        <v>23</v>
      </c>
      <c r="C4169" s="1" t="s">
        <v>20</v>
      </c>
      <c r="D4169" s="1" t="s">
        <v>48</v>
      </c>
      <c r="E4169" s="1" t="s">
        <v>12170</v>
      </c>
      <c r="F4169" s="72">
        <v>41643</v>
      </c>
      <c r="G4169" s="1" t="s">
        <v>12171</v>
      </c>
      <c r="H4169" s="1" t="s">
        <v>6250</v>
      </c>
      <c r="I4169" s="1" t="s">
        <v>303</v>
      </c>
      <c r="J4169" s="4" t="s">
        <v>10517</v>
      </c>
      <c r="K4169" s="1" t="s">
        <v>6250</v>
      </c>
      <c r="L4169" s="1" t="s">
        <v>6251</v>
      </c>
      <c r="M4169" s="1" t="s">
        <v>27</v>
      </c>
      <c r="N4169" s="1" t="s">
        <v>12172</v>
      </c>
      <c r="O4169" s="1" t="s">
        <v>1010</v>
      </c>
      <c r="P4169" s="1" t="s">
        <v>401</v>
      </c>
      <c r="Q4169" s="63" t="s">
        <v>12173</v>
      </c>
      <c r="R4169" s="1" t="s">
        <v>100</v>
      </c>
      <c r="S4169" s="13" t="s">
        <v>35</v>
      </c>
      <c r="BK4169" s="11"/>
    </row>
    <row r="4170" spans="1:63" ht="12" customHeight="1" x14ac:dyDescent="0.2">
      <c r="A4170" s="1" t="s">
        <v>12201</v>
      </c>
      <c r="B4170" s="1">
        <v>29</v>
      </c>
      <c r="C4170" s="1" t="s">
        <v>20</v>
      </c>
      <c r="D4170" s="1" t="s">
        <v>37</v>
      </c>
      <c r="E4170" s="1" t="s">
        <v>12202</v>
      </c>
      <c r="F4170" s="72">
        <v>41643</v>
      </c>
      <c r="G4170" s="1" t="s">
        <v>12203</v>
      </c>
      <c r="H4170" s="1" t="s">
        <v>9816</v>
      </c>
      <c r="I4170" s="1" t="s">
        <v>25</v>
      </c>
      <c r="J4170" s="4" t="s">
        <v>12204</v>
      </c>
      <c r="K4170" s="1" t="s">
        <v>1778</v>
      </c>
      <c r="L4170" s="1" t="s">
        <v>2425</v>
      </c>
      <c r="M4170" s="1" t="s">
        <v>27</v>
      </c>
      <c r="N4170" s="1" t="s">
        <v>12205</v>
      </c>
      <c r="O4170" s="1" t="s">
        <v>550</v>
      </c>
      <c r="P4170" s="1" t="s">
        <v>401</v>
      </c>
      <c r="Q4170" s="63" t="s">
        <v>12206</v>
      </c>
      <c r="R4170" s="1" t="s">
        <v>555</v>
      </c>
      <c r="S4170" s="13" t="s">
        <v>28</v>
      </c>
      <c r="AX4170" s="70"/>
      <c r="AY4170" s="70"/>
      <c r="AZ4170" s="70"/>
      <c r="BA4170" s="44"/>
      <c r="BB4170" s="44"/>
      <c r="BC4170" s="11"/>
      <c r="BD4170" s="11"/>
      <c r="BE4170" s="11"/>
      <c r="BF4170" s="11"/>
      <c r="BG4170" s="11"/>
      <c r="BH4170" s="11"/>
      <c r="BI4170" s="11"/>
      <c r="BJ4170" s="11"/>
    </row>
    <row r="4171" spans="1:63" ht="12" customHeight="1" x14ac:dyDescent="0.15">
      <c r="A4171" s="1" t="s">
        <v>12212</v>
      </c>
      <c r="B4171" s="1">
        <v>35</v>
      </c>
      <c r="C4171" s="1" t="s">
        <v>20</v>
      </c>
      <c r="D4171" s="1" t="s">
        <v>48</v>
      </c>
      <c r="E4171" s="1" t="s">
        <v>12213</v>
      </c>
      <c r="F4171" s="72">
        <v>41642</v>
      </c>
      <c r="G4171" s="1" t="s">
        <v>12214</v>
      </c>
      <c r="H4171" s="1" t="s">
        <v>12215</v>
      </c>
      <c r="I4171" s="1" t="s">
        <v>209</v>
      </c>
      <c r="J4171" s="4" t="s">
        <v>12216</v>
      </c>
      <c r="K4171" s="1" t="s">
        <v>1924</v>
      </c>
      <c r="L4171" s="1" t="s">
        <v>12217</v>
      </c>
      <c r="M4171" s="1" t="s">
        <v>27</v>
      </c>
      <c r="N4171" s="1" t="s">
        <v>12218</v>
      </c>
      <c r="O4171" s="1" t="s">
        <v>550</v>
      </c>
      <c r="P4171" s="1" t="s">
        <v>401</v>
      </c>
      <c r="Q4171" s="63" t="s">
        <v>12219</v>
      </c>
      <c r="R4171" s="11" t="s">
        <v>964</v>
      </c>
      <c r="S4171" s="13" t="s">
        <v>28</v>
      </c>
    </row>
    <row r="4172" spans="1:63" ht="12" customHeight="1" x14ac:dyDescent="0.2">
      <c r="A4172" s="1" t="s">
        <v>12240</v>
      </c>
      <c r="B4172" s="1">
        <v>30</v>
      </c>
      <c r="C4172" s="1" t="s">
        <v>114</v>
      </c>
      <c r="D4172" s="1" t="s">
        <v>37</v>
      </c>
      <c r="F4172" s="72">
        <v>41642</v>
      </c>
      <c r="G4172" s="1" t="s">
        <v>12241</v>
      </c>
      <c r="H4172" s="1" t="s">
        <v>12242</v>
      </c>
      <c r="I4172" s="1" t="s">
        <v>303</v>
      </c>
      <c r="J4172" s="4" t="s">
        <v>12243</v>
      </c>
      <c r="K4172" s="1" t="s">
        <v>6250</v>
      </c>
      <c r="L4172" s="1" t="s">
        <v>6251</v>
      </c>
      <c r="M4172" s="1" t="s">
        <v>27</v>
      </c>
      <c r="N4172" s="1" t="s">
        <v>12244</v>
      </c>
      <c r="O4172" s="1" t="s">
        <v>1010</v>
      </c>
      <c r="P4172" s="1" t="s">
        <v>401</v>
      </c>
      <c r="Q4172" s="63" t="s">
        <v>12245</v>
      </c>
      <c r="R4172" s="11" t="s">
        <v>964</v>
      </c>
      <c r="S4172" s="13" t="s">
        <v>28</v>
      </c>
      <c r="AX4172" s="70"/>
      <c r="AY4172" s="70"/>
      <c r="AZ4172" s="70"/>
      <c r="BC4172" s="11"/>
      <c r="BD4172" s="11"/>
      <c r="BE4172" s="11"/>
      <c r="BF4172" s="11"/>
      <c r="BG4172" s="11"/>
      <c r="BH4172" s="11"/>
      <c r="BI4172" s="11"/>
      <c r="BJ4172" s="11"/>
    </row>
    <row r="4173" spans="1:63" ht="12" customHeight="1" x14ac:dyDescent="0.15">
      <c r="A4173" s="1" t="s">
        <v>12207</v>
      </c>
      <c r="B4173" s="1">
        <v>21</v>
      </c>
      <c r="C4173" s="1" t="s">
        <v>20</v>
      </c>
      <c r="D4173" s="1" t="s">
        <v>85</v>
      </c>
      <c r="E4173" s="1" t="s">
        <v>12208</v>
      </c>
      <c r="F4173" s="72">
        <v>41642</v>
      </c>
      <c r="G4173" s="1" t="s">
        <v>12209</v>
      </c>
      <c r="H4173" s="1" t="s">
        <v>1094</v>
      </c>
      <c r="I4173" s="1" t="s">
        <v>395</v>
      </c>
      <c r="J4173" s="4" t="s">
        <v>12210</v>
      </c>
      <c r="K4173" s="1" t="s">
        <v>1095</v>
      </c>
      <c r="L4173" s="1" t="s">
        <v>1096</v>
      </c>
      <c r="M4173" s="1" t="s">
        <v>27</v>
      </c>
      <c r="N4173" s="1" t="s">
        <v>12211</v>
      </c>
      <c r="O4173" s="1" t="s">
        <v>1010</v>
      </c>
      <c r="P4173" s="1" t="s">
        <v>401</v>
      </c>
      <c r="Q4173" s="63" t="str">
        <f>HYPERLINK("http://newsok.com/police-release-name-of-man-killed-in-officer-involved-shooting/article/3920773","http://newsok.com/police-release-name-of-man-killed-in-officer-involved-shooting/article/3920773")</f>
        <v>http://newsok.com/police-release-name-of-man-killed-in-officer-involved-shooting/article/3920773</v>
      </c>
      <c r="R4173" s="1" t="s">
        <v>100</v>
      </c>
      <c r="S4173" s="13" t="s">
        <v>28</v>
      </c>
      <c r="AX4173" s="11"/>
      <c r="AY4173" s="11"/>
      <c r="BC4173" s="11"/>
      <c r="BD4173" s="11"/>
      <c r="BE4173" s="11"/>
      <c r="BF4173" s="11"/>
      <c r="BG4173" s="11"/>
      <c r="BH4173" s="11"/>
      <c r="BI4173" s="11"/>
      <c r="BJ4173" s="11"/>
    </row>
    <row r="4174" spans="1:63" ht="12" customHeight="1" x14ac:dyDescent="0.2">
      <c r="A4174" s="1" t="s">
        <v>12220</v>
      </c>
      <c r="B4174" s="1">
        <v>25</v>
      </c>
      <c r="C4174" s="1" t="s">
        <v>20</v>
      </c>
      <c r="D4174" s="1" t="s">
        <v>37</v>
      </c>
      <c r="E4174" s="1" t="s">
        <v>12221</v>
      </c>
      <c r="F4174" s="72">
        <v>41642</v>
      </c>
      <c r="G4174" s="1" t="s">
        <v>12222</v>
      </c>
      <c r="H4174" s="1" t="s">
        <v>12223</v>
      </c>
      <c r="I4174" s="1" t="s">
        <v>73</v>
      </c>
      <c r="J4174" s="4" t="s">
        <v>12224</v>
      </c>
      <c r="K4174" s="1" t="s">
        <v>74</v>
      </c>
      <c r="L4174" s="1" t="s">
        <v>12225</v>
      </c>
      <c r="M4174" s="1" t="s">
        <v>27</v>
      </c>
      <c r="N4174" s="1" t="s">
        <v>12226</v>
      </c>
      <c r="O4174" s="1" t="s">
        <v>550</v>
      </c>
      <c r="P4174" s="1" t="s">
        <v>401</v>
      </c>
      <c r="Q4174" s="63" t="s">
        <v>12227</v>
      </c>
      <c r="R4174" s="1" t="s">
        <v>100</v>
      </c>
      <c r="S4174" s="13" t="s">
        <v>28</v>
      </c>
      <c r="AX4174" s="70"/>
      <c r="AY4174" s="70"/>
      <c r="AZ4174" s="70"/>
      <c r="BC4174" s="11"/>
      <c r="BD4174" s="11"/>
      <c r="BE4174" s="11"/>
      <c r="BF4174" s="11"/>
      <c r="BG4174" s="11"/>
      <c r="BH4174" s="11"/>
      <c r="BI4174" s="11"/>
      <c r="BJ4174" s="11"/>
    </row>
    <row r="4175" spans="1:63" ht="12" customHeight="1" x14ac:dyDescent="0.15">
      <c r="A4175" s="1" t="s">
        <v>12233</v>
      </c>
      <c r="B4175" s="1">
        <v>30</v>
      </c>
      <c r="C4175" s="1" t="s">
        <v>20</v>
      </c>
      <c r="D4175" s="1" t="s">
        <v>37</v>
      </c>
      <c r="E4175" s="1" t="s">
        <v>12234</v>
      </c>
      <c r="F4175" s="72">
        <v>41642</v>
      </c>
      <c r="G4175" s="1" t="s">
        <v>12235</v>
      </c>
      <c r="H4175" s="1" t="s">
        <v>12236</v>
      </c>
      <c r="I4175" s="1" t="s">
        <v>117</v>
      </c>
      <c r="J4175" s="4" t="s">
        <v>12237</v>
      </c>
      <c r="K4175" s="1" t="s">
        <v>2316</v>
      </c>
      <c r="L4175" s="1" t="s">
        <v>2051</v>
      </c>
      <c r="M4175" s="1" t="s">
        <v>379</v>
      </c>
      <c r="N4175" s="1" t="s">
        <v>12238</v>
      </c>
      <c r="O4175" s="1" t="s">
        <v>550</v>
      </c>
      <c r="P4175" s="1" t="s">
        <v>401</v>
      </c>
      <c r="Q4175" s="63" t="s">
        <v>12239</v>
      </c>
      <c r="R4175" s="1" t="s">
        <v>100</v>
      </c>
      <c r="S4175" s="13" t="s">
        <v>28</v>
      </c>
    </row>
    <row r="4176" spans="1:63" ht="12" customHeight="1" x14ac:dyDescent="0.2">
      <c r="A4176" s="1" t="s">
        <v>12228</v>
      </c>
      <c r="B4176" s="1">
        <v>47</v>
      </c>
      <c r="C4176" s="1" t="s">
        <v>20</v>
      </c>
      <c r="D4176" s="1" t="s">
        <v>37</v>
      </c>
      <c r="F4176" s="72">
        <v>41642</v>
      </c>
      <c r="G4176" s="1" t="s">
        <v>12229</v>
      </c>
      <c r="H4176" s="1" t="s">
        <v>1287</v>
      </c>
      <c r="I4176" s="1" t="s">
        <v>69</v>
      </c>
      <c r="J4176" s="4" t="s">
        <v>12230</v>
      </c>
      <c r="K4176" s="1" t="s">
        <v>1288</v>
      </c>
      <c r="L4176" s="1" t="s">
        <v>12562</v>
      </c>
      <c r="M4176" s="1" t="s">
        <v>27</v>
      </c>
      <c r="N4176" s="1" t="s">
        <v>12231</v>
      </c>
      <c r="O4176" s="1" t="s">
        <v>1010</v>
      </c>
      <c r="P4176" s="1" t="s">
        <v>401</v>
      </c>
      <c r="Q4176" s="63" t="s">
        <v>12232</v>
      </c>
      <c r="R4176" s="1" t="s">
        <v>555</v>
      </c>
      <c r="S4176" s="13" t="s">
        <v>28</v>
      </c>
      <c r="AX4176" s="70"/>
      <c r="AY4176" s="70"/>
      <c r="AZ4176" s="70"/>
      <c r="BA4176" s="44"/>
      <c r="BB4176" s="44"/>
      <c r="BC4176" s="11"/>
      <c r="BD4176" s="11"/>
      <c r="BE4176" s="11"/>
      <c r="BF4176" s="11"/>
      <c r="BG4176" s="11"/>
      <c r="BH4176" s="11"/>
      <c r="BI4176" s="11"/>
      <c r="BJ4176" s="11"/>
    </row>
    <row r="4177" spans="1:63" ht="12" customHeight="1" x14ac:dyDescent="0.2">
      <c r="A4177" s="1" t="s">
        <v>12254</v>
      </c>
      <c r="B4177" s="1">
        <v>47</v>
      </c>
      <c r="C4177" s="1" t="s">
        <v>20</v>
      </c>
      <c r="D4177" s="1" t="s">
        <v>37</v>
      </c>
      <c r="E4177" s="1" t="s">
        <v>12255</v>
      </c>
      <c r="F4177" s="72">
        <v>41641</v>
      </c>
      <c r="G4177" s="1" t="s">
        <v>12256</v>
      </c>
      <c r="H4177" s="1" t="s">
        <v>285</v>
      </c>
      <c r="I4177" s="1" t="s">
        <v>73</v>
      </c>
      <c r="J4177" s="4" t="s">
        <v>12257</v>
      </c>
      <c r="K4177" s="1" t="s">
        <v>285</v>
      </c>
      <c r="L4177" s="1" t="s">
        <v>286</v>
      </c>
      <c r="M4177" s="1" t="s">
        <v>27</v>
      </c>
      <c r="N4177" s="1" t="s">
        <v>12258</v>
      </c>
      <c r="O4177" s="1" t="s">
        <v>550</v>
      </c>
      <c r="P4177" s="1" t="s">
        <v>401</v>
      </c>
      <c r="Q4177" s="63" t="s">
        <v>12259</v>
      </c>
      <c r="R4177" s="11" t="s">
        <v>964</v>
      </c>
      <c r="S4177" s="13" t="s">
        <v>28</v>
      </c>
      <c r="AX4177" s="70"/>
      <c r="AY4177" s="70"/>
      <c r="AZ4177" s="70"/>
      <c r="BC4177" s="11"/>
      <c r="BD4177" s="11"/>
      <c r="BE4177" s="11"/>
      <c r="BF4177" s="11"/>
      <c r="BG4177" s="11"/>
      <c r="BH4177" s="11"/>
      <c r="BI4177" s="11"/>
      <c r="BJ4177" s="11"/>
    </row>
    <row r="4178" spans="1:63" ht="12" customHeight="1" x14ac:dyDescent="0.15">
      <c r="A4178" s="1" t="s">
        <v>12246</v>
      </c>
      <c r="B4178" s="1">
        <v>33</v>
      </c>
      <c r="C4178" s="1" t="s">
        <v>20</v>
      </c>
      <c r="D4178" s="1" t="s">
        <v>85</v>
      </c>
      <c r="E4178" s="1" t="s">
        <v>12247</v>
      </c>
      <c r="F4178" s="72">
        <v>41641</v>
      </c>
      <c r="G4178" s="1" t="s">
        <v>12248</v>
      </c>
      <c r="H4178" s="1" t="s">
        <v>12249</v>
      </c>
      <c r="I4178" s="1" t="s">
        <v>62</v>
      </c>
      <c r="J4178" s="4" t="s">
        <v>12250</v>
      </c>
      <c r="K4178" s="1" t="s">
        <v>12251</v>
      </c>
      <c r="L4178" s="1" t="s">
        <v>12252</v>
      </c>
      <c r="M4178" s="1" t="s">
        <v>27</v>
      </c>
      <c r="N4178" s="1" t="s">
        <v>12253</v>
      </c>
      <c r="O4178" s="1" t="s">
        <v>550</v>
      </c>
      <c r="P4178" s="1" t="s">
        <v>401</v>
      </c>
      <c r="Q4178" s="63" t="str">
        <f>HYPERLINK("http://www.nwfdailynews.com/local/suspect-killed-officers-shot-in-crestview-incident-1.257150","http://www.nwfdailynews.com/local/suspect-killed-officers-shot-in-crestview-incident-1.257150")</f>
        <v>http://www.nwfdailynews.com/local/suspect-killed-officers-shot-in-crestview-incident-1.257150</v>
      </c>
      <c r="R4178" s="1" t="s">
        <v>100</v>
      </c>
      <c r="S4178" s="13" t="s">
        <v>28</v>
      </c>
      <c r="AX4178" s="11"/>
      <c r="AY4178" s="11"/>
      <c r="BC4178" s="11"/>
      <c r="BD4178" s="11"/>
      <c r="BE4178" s="11"/>
      <c r="BF4178" s="11"/>
      <c r="BG4178" s="11"/>
      <c r="BH4178" s="11"/>
      <c r="BI4178" s="11"/>
      <c r="BJ4178" s="11"/>
    </row>
    <row r="4179" spans="1:63" ht="12" customHeight="1" x14ac:dyDescent="0.2">
      <c r="A4179" s="1" t="s">
        <v>12260</v>
      </c>
      <c r="B4179" s="1">
        <v>35</v>
      </c>
      <c r="C4179" s="1" t="s">
        <v>20</v>
      </c>
      <c r="D4179" s="1" t="s">
        <v>37</v>
      </c>
      <c r="F4179" s="72">
        <v>41641</v>
      </c>
      <c r="G4179" s="1" t="s">
        <v>12261</v>
      </c>
      <c r="H4179" s="1" t="s">
        <v>12262</v>
      </c>
      <c r="I4179" s="1" t="s">
        <v>73</v>
      </c>
      <c r="J4179" s="4" t="s">
        <v>12263</v>
      </c>
      <c r="K4179" s="1" t="s">
        <v>12264</v>
      </c>
      <c r="L4179" s="1" t="s">
        <v>4732</v>
      </c>
      <c r="M4179" s="1" t="s">
        <v>27</v>
      </c>
      <c r="N4179" s="1" t="s">
        <v>12265</v>
      </c>
      <c r="O4179" s="1" t="s">
        <v>29650</v>
      </c>
      <c r="P4179" s="1" t="s">
        <v>29650</v>
      </c>
      <c r="Q4179" s="63" t="s">
        <v>12266</v>
      </c>
      <c r="R4179" s="1" t="s">
        <v>100</v>
      </c>
      <c r="S4179" s="13" t="s">
        <v>18</v>
      </c>
      <c r="AM4179" s="44"/>
      <c r="AN4179" s="44"/>
      <c r="AO4179" s="44"/>
      <c r="AP4179" s="44"/>
      <c r="AQ4179" s="44"/>
      <c r="AR4179" s="44"/>
      <c r="AS4179" s="44"/>
      <c r="AT4179" s="44"/>
      <c r="AX4179" s="70"/>
      <c r="AY4179" s="70"/>
      <c r="AZ4179" s="70"/>
      <c r="BC4179" s="11"/>
      <c r="BD4179" s="11"/>
      <c r="BE4179" s="11"/>
      <c r="BF4179" s="11"/>
      <c r="BG4179" s="11"/>
      <c r="BH4179" s="11"/>
      <c r="BI4179" s="11"/>
      <c r="BJ4179" s="11"/>
    </row>
    <row r="4180" spans="1:63" ht="12" customHeight="1" x14ac:dyDescent="0.2">
      <c r="A4180" s="1" t="s">
        <v>12275</v>
      </c>
      <c r="B4180" s="1">
        <v>33</v>
      </c>
      <c r="C4180" s="1" t="s">
        <v>20</v>
      </c>
      <c r="D4180" s="1" t="s">
        <v>37</v>
      </c>
      <c r="F4180" s="72">
        <v>41640</v>
      </c>
      <c r="G4180" s="1" t="s">
        <v>12276</v>
      </c>
      <c r="H4180" s="1" t="s">
        <v>8926</v>
      </c>
      <c r="I4180" s="1" t="s">
        <v>395</v>
      </c>
      <c r="J4180" s="4" t="s">
        <v>12277</v>
      </c>
      <c r="K4180" s="1" t="s">
        <v>12278</v>
      </c>
      <c r="L4180" s="1" t="s">
        <v>18159</v>
      </c>
      <c r="M4180" s="1" t="s">
        <v>27</v>
      </c>
      <c r="N4180" s="1" t="s">
        <v>12279</v>
      </c>
      <c r="O4180" s="1" t="s">
        <v>29</v>
      </c>
      <c r="P4180" s="1" t="s">
        <v>401</v>
      </c>
      <c r="Q4180" s="63" t="s">
        <v>12280</v>
      </c>
      <c r="R4180" s="1" t="s">
        <v>100</v>
      </c>
      <c r="S4180" s="13" t="s">
        <v>28</v>
      </c>
      <c r="AX4180" s="70"/>
      <c r="AY4180" s="70"/>
      <c r="AZ4180" s="70"/>
      <c r="BC4180" s="11"/>
      <c r="BD4180" s="11"/>
      <c r="BE4180" s="11"/>
      <c r="BF4180" s="11"/>
      <c r="BG4180" s="11"/>
      <c r="BH4180" s="11"/>
      <c r="BI4180" s="11"/>
      <c r="BJ4180" s="11"/>
    </row>
    <row r="4181" spans="1:63" ht="12" customHeight="1" x14ac:dyDescent="0.15">
      <c r="A4181" s="1" t="s">
        <v>12267</v>
      </c>
      <c r="B4181" s="1">
        <v>20</v>
      </c>
      <c r="C4181" s="1" t="s">
        <v>20</v>
      </c>
      <c r="D4181" s="1" t="s">
        <v>85</v>
      </c>
      <c r="E4181" s="1" t="s">
        <v>12268</v>
      </c>
      <c r="F4181" s="72">
        <v>41640</v>
      </c>
      <c r="G4181" s="1" t="s">
        <v>12269</v>
      </c>
      <c r="H4181" s="1" t="s">
        <v>12270</v>
      </c>
      <c r="I4181" s="1" t="s">
        <v>57</v>
      </c>
      <c r="J4181" s="4" t="s">
        <v>12271</v>
      </c>
      <c r="K4181" s="1" t="s">
        <v>1128</v>
      </c>
      <c r="L4181" s="1" t="s">
        <v>12272</v>
      </c>
      <c r="M4181" s="1" t="s">
        <v>27</v>
      </c>
      <c r="N4181" s="1" t="s">
        <v>12273</v>
      </c>
      <c r="O4181" s="1" t="s">
        <v>1010</v>
      </c>
      <c r="P4181" s="1" t="s">
        <v>401</v>
      </c>
      <c r="Q4181" s="63" t="s">
        <v>12274</v>
      </c>
      <c r="R4181" s="1" t="s">
        <v>100</v>
      </c>
      <c r="S4181" s="13" t="s">
        <v>35</v>
      </c>
      <c r="AX4181" s="11"/>
      <c r="AY4181" s="11"/>
      <c r="BC4181" s="11"/>
      <c r="BD4181" s="11"/>
      <c r="BE4181" s="11"/>
      <c r="BF4181" s="11"/>
      <c r="BG4181" s="11"/>
      <c r="BH4181" s="11"/>
      <c r="BI4181" s="11"/>
      <c r="BJ4181" s="11"/>
      <c r="BK4181" s="11"/>
    </row>
    <row r="4182" spans="1:63" ht="12" customHeight="1" x14ac:dyDescent="0.15">
      <c r="A4182" s="1" t="s">
        <v>12286</v>
      </c>
      <c r="B4182" s="1" t="s">
        <v>8805</v>
      </c>
      <c r="C4182" s="1" t="s">
        <v>20</v>
      </c>
      <c r="D4182" s="1" t="s">
        <v>85</v>
      </c>
      <c r="F4182" s="72">
        <v>41639</v>
      </c>
      <c r="G4182" s="1" t="s">
        <v>12287</v>
      </c>
      <c r="H4182" s="1" t="s">
        <v>783</v>
      </c>
      <c r="I4182" s="1" t="s">
        <v>45</v>
      </c>
      <c r="J4182" s="4" t="s">
        <v>12288</v>
      </c>
      <c r="K4182" s="1" t="s">
        <v>783</v>
      </c>
      <c r="L4182" s="1" t="s">
        <v>5936</v>
      </c>
      <c r="M4182" s="1" t="s">
        <v>27</v>
      </c>
      <c r="N4182" s="1" t="s">
        <v>12289</v>
      </c>
      <c r="O4182" s="1" t="s">
        <v>29</v>
      </c>
      <c r="P4182" s="1" t="s">
        <v>401</v>
      </c>
      <c r="Q4182" s="63" t="s">
        <v>12290</v>
      </c>
      <c r="R4182" s="1" t="s">
        <v>100</v>
      </c>
      <c r="S4182" s="13" t="s">
        <v>28</v>
      </c>
      <c r="AX4182" s="11"/>
      <c r="AY4182" s="11"/>
      <c r="BC4182" s="11"/>
      <c r="BD4182" s="11"/>
      <c r="BE4182" s="11"/>
      <c r="BF4182" s="11"/>
      <c r="BG4182" s="11"/>
      <c r="BH4182" s="11"/>
      <c r="BI4182" s="11"/>
      <c r="BJ4182" s="11"/>
    </row>
    <row r="4183" spans="1:63" ht="12" customHeight="1" x14ac:dyDescent="0.15">
      <c r="A4183" s="1" t="s">
        <v>12281</v>
      </c>
      <c r="B4183" s="1">
        <v>34</v>
      </c>
      <c r="C4183" s="1" t="s">
        <v>20</v>
      </c>
      <c r="D4183" s="1" t="s">
        <v>85</v>
      </c>
      <c r="E4183" s="1" t="s">
        <v>12282</v>
      </c>
      <c r="F4183" s="72">
        <v>41639</v>
      </c>
      <c r="G4183" s="1" t="s">
        <v>12283</v>
      </c>
      <c r="H4183" s="1" t="s">
        <v>1277</v>
      </c>
      <c r="I4183" s="1" t="s">
        <v>366</v>
      </c>
      <c r="J4183" s="4" t="s">
        <v>12284</v>
      </c>
      <c r="K4183" s="1" t="s">
        <v>1288</v>
      </c>
      <c r="L4183" s="1" t="s">
        <v>1289</v>
      </c>
      <c r="M4183" s="1" t="s">
        <v>27</v>
      </c>
      <c r="N4183" s="1" t="s">
        <v>12285</v>
      </c>
      <c r="O4183" s="1" t="s">
        <v>1010</v>
      </c>
      <c r="P4183" s="1" t="s">
        <v>401</v>
      </c>
      <c r="Q4183" s="63" t="str">
        <f>HYPERLINK("http://www.wilsontimes.com/News/Feature/Story/28048226---Deputies--Man-fatally-shot-after-killing-2","http://www.wilsontimes.com/News/Feature/Story/28048226---Deputies--Man-fatally-shot-after-killing-2")</f>
        <v>http://www.wilsontimes.com/News/Feature/Story/28048226---Deputies--Man-fatally-shot-after-killing-2</v>
      </c>
      <c r="R4183" s="1" t="s">
        <v>29</v>
      </c>
      <c r="S4183" s="13" t="s">
        <v>28</v>
      </c>
      <c r="AX4183" s="11"/>
      <c r="AY4183" s="11"/>
      <c r="BC4183" s="11"/>
      <c r="BD4183" s="11"/>
      <c r="BE4183" s="11"/>
      <c r="BF4183" s="11"/>
      <c r="BG4183" s="11"/>
      <c r="BH4183" s="11"/>
      <c r="BI4183" s="11"/>
      <c r="BJ4183" s="11"/>
    </row>
    <row r="4184" spans="1:63" ht="12" customHeight="1" x14ac:dyDescent="0.15">
      <c r="A4184" s="1" t="s">
        <v>12291</v>
      </c>
      <c r="B4184" s="1">
        <v>54</v>
      </c>
      <c r="C4184" s="1" t="s">
        <v>20</v>
      </c>
      <c r="D4184" s="1" t="s">
        <v>30</v>
      </c>
      <c r="F4184" s="72">
        <v>41638</v>
      </c>
      <c r="G4184" s="1" t="s">
        <v>12292</v>
      </c>
      <c r="H4184" s="1" t="s">
        <v>12293</v>
      </c>
      <c r="I4184" s="1" t="s">
        <v>303</v>
      </c>
      <c r="J4184" s="4" t="s">
        <v>12294</v>
      </c>
      <c r="K4184" s="1" t="s">
        <v>397</v>
      </c>
      <c r="L4184" s="1" t="s">
        <v>12295</v>
      </c>
      <c r="M4184" s="1" t="s">
        <v>27</v>
      </c>
      <c r="N4184" s="1" t="s">
        <v>12296</v>
      </c>
      <c r="O4184" s="1" t="s">
        <v>1010</v>
      </c>
      <c r="P4184" s="1" t="s">
        <v>401</v>
      </c>
      <c r="Q4184" s="63" t="s">
        <v>12297</v>
      </c>
      <c r="R4184" s="1" t="s">
        <v>29</v>
      </c>
      <c r="S4184" s="13" t="s">
        <v>28</v>
      </c>
    </row>
    <row r="4185" spans="1:63" ht="12" customHeight="1" x14ac:dyDescent="0.15">
      <c r="A4185" s="1" t="s">
        <v>12323</v>
      </c>
      <c r="B4185" s="1">
        <v>30</v>
      </c>
      <c r="C4185" s="1" t="s">
        <v>20</v>
      </c>
      <c r="D4185" s="1" t="s">
        <v>30</v>
      </c>
      <c r="F4185" s="72">
        <v>41637</v>
      </c>
      <c r="G4185" s="1" t="s">
        <v>12324</v>
      </c>
      <c r="H4185" s="1" t="s">
        <v>663</v>
      </c>
      <c r="I4185" s="1" t="s">
        <v>69</v>
      </c>
      <c r="J4185" s="4" t="s">
        <v>12325</v>
      </c>
      <c r="K4185" s="1" t="s">
        <v>213</v>
      </c>
      <c r="L4185" s="1" t="s">
        <v>665</v>
      </c>
      <c r="M4185" s="1" t="s">
        <v>27</v>
      </c>
      <c r="N4185" s="1" t="s">
        <v>12326</v>
      </c>
      <c r="O4185" s="1" t="s">
        <v>1010</v>
      </c>
      <c r="P4185" s="1" t="s">
        <v>401</v>
      </c>
      <c r="Q4185" s="63" t="s">
        <v>12327</v>
      </c>
      <c r="R4185" s="1" t="s">
        <v>100</v>
      </c>
      <c r="S4185" s="13" t="s">
        <v>28</v>
      </c>
    </row>
    <row r="4186" spans="1:63" ht="12" customHeight="1" x14ac:dyDescent="0.15">
      <c r="A4186" s="1" t="s">
        <v>12328</v>
      </c>
      <c r="B4186" s="1">
        <v>51</v>
      </c>
      <c r="C4186" s="1" t="s">
        <v>20</v>
      </c>
      <c r="D4186" s="1" t="s">
        <v>37</v>
      </c>
      <c r="E4186" s="1" t="s">
        <v>12329</v>
      </c>
      <c r="F4186" s="72">
        <v>41637</v>
      </c>
      <c r="G4186" s="1" t="s">
        <v>12330</v>
      </c>
      <c r="H4186" s="1" t="s">
        <v>12331</v>
      </c>
      <c r="I4186" s="1" t="s">
        <v>366</v>
      </c>
      <c r="J4186" s="4" t="s">
        <v>12332</v>
      </c>
      <c r="K4186" s="1" t="s">
        <v>12333</v>
      </c>
      <c r="L4186" s="1" t="s">
        <v>12334</v>
      </c>
      <c r="M4186" s="1" t="s">
        <v>27</v>
      </c>
      <c r="N4186" s="1" t="s">
        <v>12335</v>
      </c>
      <c r="O4186" s="1" t="s">
        <v>1010</v>
      </c>
      <c r="P4186" s="1" t="s">
        <v>401</v>
      </c>
      <c r="Q4186" s="63" t="s">
        <v>12336</v>
      </c>
      <c r="R4186" s="1" t="s">
        <v>100</v>
      </c>
      <c r="S4186" s="13" t="s">
        <v>28</v>
      </c>
      <c r="BC4186" s="11"/>
      <c r="BD4186" s="11"/>
      <c r="BE4186" s="11"/>
      <c r="BF4186" s="11"/>
      <c r="BG4186" s="11"/>
      <c r="BH4186" s="11"/>
      <c r="BI4186" s="11"/>
      <c r="BJ4186" s="11"/>
    </row>
    <row r="4187" spans="1:63" ht="12" customHeight="1" x14ac:dyDescent="0.15">
      <c r="A4187" s="1" t="s">
        <v>12309</v>
      </c>
      <c r="B4187" s="1">
        <v>34</v>
      </c>
      <c r="C4187" s="1" t="s">
        <v>20</v>
      </c>
      <c r="D4187" s="1" t="s">
        <v>85</v>
      </c>
      <c r="E4187" s="1" t="s">
        <v>12310</v>
      </c>
      <c r="F4187" s="72">
        <v>41637</v>
      </c>
      <c r="G4187" s="1" t="s">
        <v>12311</v>
      </c>
      <c r="H4187" s="1" t="s">
        <v>12312</v>
      </c>
      <c r="I4187" s="1" t="s">
        <v>25</v>
      </c>
      <c r="J4187" s="4" t="s">
        <v>12313</v>
      </c>
      <c r="K4187" s="1" t="s">
        <v>12314</v>
      </c>
      <c r="L4187" s="1" t="s">
        <v>12315</v>
      </c>
      <c r="M4187" s="1" t="s">
        <v>27</v>
      </c>
      <c r="N4187" s="1" t="s">
        <v>12316</v>
      </c>
      <c r="O4187" s="1" t="s">
        <v>30991</v>
      </c>
      <c r="P4187" s="1" t="s">
        <v>1159</v>
      </c>
      <c r="Q4187" s="63" t="s">
        <v>12317</v>
      </c>
      <c r="R4187" s="1" t="s">
        <v>100</v>
      </c>
      <c r="S4187" s="13" t="s">
        <v>18</v>
      </c>
      <c r="AX4187" s="11"/>
      <c r="AY4187" s="11"/>
      <c r="BC4187" s="11"/>
      <c r="BD4187" s="11"/>
      <c r="BE4187" s="11"/>
      <c r="BF4187" s="11"/>
      <c r="BG4187" s="11"/>
      <c r="BH4187" s="11"/>
      <c r="BI4187" s="11"/>
      <c r="BJ4187" s="11"/>
    </row>
    <row r="4188" spans="1:63" ht="12" customHeight="1" x14ac:dyDescent="0.15">
      <c r="A4188" s="1" t="s">
        <v>12301</v>
      </c>
      <c r="B4188" s="1">
        <v>43</v>
      </c>
      <c r="C4188" s="1" t="s">
        <v>20</v>
      </c>
      <c r="D4188" s="1" t="s">
        <v>85</v>
      </c>
      <c r="E4188" s="1" t="s">
        <v>12302</v>
      </c>
      <c r="F4188" s="72">
        <v>41637</v>
      </c>
      <c r="G4188" s="1" t="s">
        <v>12303</v>
      </c>
      <c r="H4188" s="1" t="s">
        <v>12304</v>
      </c>
      <c r="I4188" s="1" t="s">
        <v>404</v>
      </c>
      <c r="J4188" s="4" t="s">
        <v>12305</v>
      </c>
      <c r="K4188" s="1" t="s">
        <v>4537</v>
      </c>
      <c r="L4188" s="1" t="s">
        <v>12306</v>
      </c>
      <c r="M4188" s="1" t="s">
        <v>27</v>
      </c>
      <c r="N4188" s="1" t="s">
        <v>12307</v>
      </c>
      <c r="O4188" s="1" t="s">
        <v>1010</v>
      </c>
      <c r="P4188" s="1" t="s">
        <v>401</v>
      </c>
      <c r="Q4188" s="63" t="s">
        <v>12308</v>
      </c>
      <c r="R4188" s="1" t="s">
        <v>100</v>
      </c>
      <c r="S4188" s="13" t="s">
        <v>379</v>
      </c>
      <c r="AX4188" s="11"/>
      <c r="AY4188" s="11"/>
      <c r="BC4188" s="11"/>
      <c r="BD4188" s="11"/>
      <c r="BE4188" s="11"/>
      <c r="BF4188" s="11"/>
      <c r="BG4188" s="11"/>
      <c r="BH4188" s="11"/>
      <c r="BI4188" s="11"/>
      <c r="BJ4188" s="11"/>
    </row>
    <row r="4189" spans="1:63" ht="12" customHeight="1" x14ac:dyDescent="0.2">
      <c r="A4189" s="1" t="s">
        <v>12298</v>
      </c>
      <c r="B4189" s="1">
        <v>45</v>
      </c>
      <c r="C4189" s="1" t="s">
        <v>20</v>
      </c>
      <c r="D4189" s="1" t="s">
        <v>21</v>
      </c>
      <c r="F4189" s="72">
        <v>41637</v>
      </c>
      <c r="G4189" s="1" t="s">
        <v>24475</v>
      </c>
      <c r="H4189" s="1" t="s">
        <v>679</v>
      </c>
      <c r="I4189" s="1" t="s">
        <v>45</v>
      </c>
      <c r="J4189" s="4" t="s">
        <v>8095</v>
      </c>
      <c r="K4189" s="1" t="s">
        <v>680</v>
      </c>
      <c r="L4189" s="1" t="s">
        <v>681</v>
      </c>
      <c r="M4189" s="1" t="s">
        <v>27</v>
      </c>
      <c r="N4189" s="1" t="s">
        <v>12299</v>
      </c>
      <c r="O4189" s="1" t="s">
        <v>1010</v>
      </c>
      <c r="P4189" s="1" t="s">
        <v>401</v>
      </c>
      <c r="Q4189" s="63" t="s">
        <v>12300</v>
      </c>
      <c r="R4189" s="1" t="s">
        <v>29</v>
      </c>
      <c r="S4189" s="13" t="s">
        <v>28</v>
      </c>
      <c r="AX4189" s="70"/>
      <c r="AY4189" s="70"/>
      <c r="BC4189" s="70"/>
      <c r="BD4189" s="70"/>
      <c r="BE4189" s="70"/>
      <c r="BF4189" s="70"/>
      <c r="BG4189" s="70"/>
      <c r="BH4189" s="70"/>
      <c r="BI4189" s="70"/>
      <c r="BJ4189" s="70"/>
    </row>
    <row r="4190" spans="1:63" ht="12" customHeight="1" x14ac:dyDescent="0.2">
      <c r="A4190" s="1" t="s">
        <v>12344</v>
      </c>
      <c r="B4190" s="1">
        <v>31</v>
      </c>
      <c r="C4190" s="1" t="s">
        <v>114</v>
      </c>
      <c r="D4190" s="1" t="s">
        <v>37</v>
      </c>
      <c r="F4190" s="72">
        <v>41637</v>
      </c>
      <c r="G4190" s="1" t="s">
        <v>24476</v>
      </c>
      <c r="H4190" s="1" t="s">
        <v>12345</v>
      </c>
      <c r="I4190" s="1" t="s">
        <v>45</v>
      </c>
      <c r="J4190" s="4" t="s">
        <v>12346</v>
      </c>
      <c r="K4190" s="1" t="s">
        <v>680</v>
      </c>
      <c r="L4190" s="1" t="s">
        <v>747</v>
      </c>
      <c r="M4190" s="1" t="s">
        <v>27</v>
      </c>
      <c r="N4190" s="1" t="s">
        <v>12347</v>
      </c>
      <c r="O4190" s="1" t="s">
        <v>1010</v>
      </c>
      <c r="P4190" s="1" t="s">
        <v>401</v>
      </c>
      <c r="Q4190" s="63" t="s">
        <v>12348</v>
      </c>
      <c r="R4190" s="1" t="s">
        <v>29</v>
      </c>
      <c r="S4190" s="13" t="s">
        <v>28</v>
      </c>
      <c r="AX4190" s="70"/>
      <c r="AY4190" s="70"/>
      <c r="AZ4190" s="70"/>
      <c r="BC4190" s="11"/>
      <c r="BD4190" s="11"/>
      <c r="BE4190" s="11"/>
      <c r="BF4190" s="11"/>
      <c r="BG4190" s="11"/>
      <c r="BH4190" s="11"/>
      <c r="BI4190" s="11"/>
      <c r="BJ4190" s="11"/>
    </row>
    <row r="4191" spans="1:63" ht="12" customHeight="1" x14ac:dyDescent="0.15">
      <c r="A4191" s="1" t="s">
        <v>12337</v>
      </c>
      <c r="B4191" s="1">
        <v>44</v>
      </c>
      <c r="C4191" s="1" t="s">
        <v>20</v>
      </c>
      <c r="D4191" s="1" t="s">
        <v>37</v>
      </c>
      <c r="E4191" s="1" t="s">
        <v>12338</v>
      </c>
      <c r="F4191" s="72">
        <v>41637</v>
      </c>
      <c r="G4191" s="1" t="s">
        <v>12339</v>
      </c>
      <c r="H4191" s="1" t="s">
        <v>12340</v>
      </c>
      <c r="I4191" s="1" t="s">
        <v>209</v>
      </c>
      <c r="J4191" s="4" t="s">
        <v>12341</v>
      </c>
      <c r="K4191" s="1" t="s">
        <v>996</v>
      </c>
      <c r="L4191" s="1" t="s">
        <v>2692</v>
      </c>
      <c r="M4191" s="1" t="s">
        <v>27</v>
      </c>
      <c r="N4191" s="1" t="s">
        <v>12342</v>
      </c>
      <c r="O4191" s="1" t="s">
        <v>1010</v>
      </c>
      <c r="P4191" s="1" t="s">
        <v>401</v>
      </c>
      <c r="Q4191" s="63" t="s">
        <v>12343</v>
      </c>
      <c r="R4191" s="1" t="s">
        <v>29</v>
      </c>
      <c r="S4191" s="13" t="s">
        <v>28</v>
      </c>
      <c r="BC4191" s="11"/>
      <c r="BD4191" s="11"/>
      <c r="BE4191" s="11"/>
      <c r="BF4191" s="11"/>
      <c r="BG4191" s="11"/>
      <c r="BH4191" s="11"/>
      <c r="BI4191" s="11"/>
      <c r="BJ4191" s="11"/>
    </row>
    <row r="4192" spans="1:63" ht="12" customHeight="1" x14ac:dyDescent="0.15">
      <c r="A4192" s="1" t="s">
        <v>12318</v>
      </c>
      <c r="B4192" s="1">
        <v>22</v>
      </c>
      <c r="C4192" s="1" t="s">
        <v>20</v>
      </c>
      <c r="D4192" s="1" t="s">
        <v>30</v>
      </c>
      <c r="F4192" s="72">
        <v>41637</v>
      </c>
      <c r="G4192" s="1" t="s">
        <v>12319</v>
      </c>
      <c r="H4192" s="1" t="s">
        <v>11686</v>
      </c>
      <c r="I4192" s="1" t="s">
        <v>25</v>
      </c>
      <c r="J4192" s="4" t="s">
        <v>11687</v>
      </c>
      <c r="K4192" s="1" t="s">
        <v>2316</v>
      </c>
      <c r="L4192" s="1" t="s">
        <v>12320</v>
      </c>
      <c r="M4192" s="1" t="s">
        <v>27</v>
      </c>
      <c r="N4192" s="1" t="s">
        <v>12321</v>
      </c>
      <c r="O4192" s="1" t="s">
        <v>1010</v>
      </c>
      <c r="P4192" s="1" t="s">
        <v>401</v>
      </c>
      <c r="Q4192" s="63" t="s">
        <v>12322</v>
      </c>
      <c r="R4192" s="1" t="s">
        <v>29</v>
      </c>
      <c r="S4192" s="13" t="s">
        <v>18</v>
      </c>
    </row>
    <row r="4193" spans="1:62" ht="12" customHeight="1" x14ac:dyDescent="0.15">
      <c r="A4193" s="1" t="s">
        <v>12349</v>
      </c>
      <c r="B4193" s="1">
        <v>24</v>
      </c>
      <c r="C4193" s="1" t="s">
        <v>20</v>
      </c>
      <c r="D4193" s="1" t="s">
        <v>85</v>
      </c>
      <c r="E4193" s="1" t="s">
        <v>12350</v>
      </c>
      <c r="F4193" s="72">
        <v>41636</v>
      </c>
      <c r="G4193" s="1" t="s">
        <v>12351</v>
      </c>
      <c r="H4193" s="1" t="s">
        <v>3386</v>
      </c>
      <c r="I4193" s="1" t="s">
        <v>62</v>
      </c>
      <c r="J4193" s="4" t="s">
        <v>3387</v>
      </c>
      <c r="K4193" s="1" t="s">
        <v>2095</v>
      </c>
      <c r="L4193" s="1" t="s">
        <v>1025</v>
      </c>
      <c r="M4193" s="1" t="s">
        <v>27</v>
      </c>
      <c r="N4193" s="1" t="s">
        <v>12352</v>
      </c>
      <c r="O4193" s="1" t="s">
        <v>1010</v>
      </c>
      <c r="P4193" s="1" t="s">
        <v>401</v>
      </c>
      <c r="Q4193" s="63" t="s">
        <v>12353</v>
      </c>
      <c r="R4193" s="1" t="s">
        <v>100</v>
      </c>
      <c r="S4193" s="13" t="s">
        <v>28</v>
      </c>
      <c r="AX4193" s="11"/>
      <c r="AY4193" s="11"/>
      <c r="BC4193" s="11"/>
      <c r="BD4193" s="11"/>
      <c r="BE4193" s="11"/>
      <c r="BF4193" s="11"/>
      <c r="BG4193" s="11"/>
      <c r="BH4193" s="11"/>
      <c r="BI4193" s="11"/>
      <c r="BJ4193" s="11"/>
    </row>
    <row r="4194" spans="1:62" ht="12" customHeight="1" x14ac:dyDescent="0.15">
      <c r="A4194" s="1" t="s">
        <v>12358</v>
      </c>
      <c r="B4194" s="1">
        <v>25</v>
      </c>
      <c r="C4194" s="1" t="s">
        <v>20</v>
      </c>
      <c r="D4194" s="1" t="s">
        <v>48</v>
      </c>
      <c r="F4194" s="72">
        <v>41636</v>
      </c>
      <c r="G4194" s="1" t="s">
        <v>12359</v>
      </c>
      <c r="H4194" s="1" t="s">
        <v>632</v>
      </c>
      <c r="I4194" s="1" t="s">
        <v>123</v>
      </c>
      <c r="J4194" s="4" t="s">
        <v>4614</v>
      </c>
      <c r="K4194" s="1" t="s">
        <v>633</v>
      </c>
      <c r="L4194" s="1" t="s">
        <v>634</v>
      </c>
      <c r="M4194" s="1" t="s">
        <v>27</v>
      </c>
      <c r="N4194" s="1" t="s">
        <v>12360</v>
      </c>
      <c r="O4194" s="1" t="s">
        <v>1010</v>
      </c>
      <c r="P4194" s="1" t="s">
        <v>401</v>
      </c>
      <c r="Q4194" s="63" t="s">
        <v>12361</v>
      </c>
      <c r="R4194" s="1" t="s">
        <v>100</v>
      </c>
      <c r="S4194" s="13" t="s">
        <v>28</v>
      </c>
    </row>
    <row r="4195" spans="1:62" ht="12" customHeight="1" x14ac:dyDescent="0.15">
      <c r="A4195" s="1" t="s">
        <v>12354</v>
      </c>
      <c r="B4195" s="1">
        <v>37</v>
      </c>
      <c r="C4195" s="1" t="s">
        <v>20</v>
      </c>
      <c r="D4195" s="1" t="s">
        <v>85</v>
      </c>
      <c r="F4195" s="72">
        <v>41636</v>
      </c>
      <c r="G4195" s="1" t="s">
        <v>12355</v>
      </c>
      <c r="H4195" s="1" t="s">
        <v>723</v>
      </c>
      <c r="I4195" s="1" t="s">
        <v>73</v>
      </c>
      <c r="K4195" s="1" t="s">
        <v>558</v>
      </c>
      <c r="L4195" s="1" t="s">
        <v>12356</v>
      </c>
      <c r="M4195" s="1" t="s">
        <v>27</v>
      </c>
      <c r="P4195" s="1" t="s">
        <v>401</v>
      </c>
      <c r="Q4195" s="63" t="s">
        <v>12357</v>
      </c>
      <c r="R4195" s="1" t="s">
        <v>29</v>
      </c>
      <c r="S4195" s="13" t="s">
        <v>28</v>
      </c>
      <c r="AX4195" s="11"/>
      <c r="AY4195" s="11"/>
      <c r="BC4195" s="11"/>
      <c r="BD4195" s="11"/>
      <c r="BE4195" s="11"/>
      <c r="BF4195" s="11"/>
      <c r="BG4195" s="11"/>
      <c r="BH4195" s="11"/>
      <c r="BI4195" s="11"/>
      <c r="BJ4195" s="11"/>
    </row>
    <row r="4196" spans="1:62" ht="12" customHeight="1" x14ac:dyDescent="0.15">
      <c r="A4196" s="1" t="s">
        <v>12362</v>
      </c>
      <c r="B4196" s="1">
        <v>22</v>
      </c>
      <c r="C4196" s="1" t="s">
        <v>20</v>
      </c>
      <c r="D4196" s="1" t="s">
        <v>85</v>
      </c>
      <c r="E4196" s="1" t="s">
        <v>12363</v>
      </c>
      <c r="F4196" s="72">
        <v>41635</v>
      </c>
      <c r="G4196" s="1" t="s">
        <v>24479</v>
      </c>
      <c r="H4196" s="1" t="s">
        <v>1094</v>
      </c>
      <c r="I4196" s="1" t="s">
        <v>395</v>
      </c>
      <c r="J4196" s="4" t="s">
        <v>11577</v>
      </c>
      <c r="K4196" s="1" t="s">
        <v>984</v>
      </c>
      <c r="L4196" s="1" t="s">
        <v>2045</v>
      </c>
      <c r="M4196" s="1" t="s">
        <v>27</v>
      </c>
      <c r="N4196" s="1" t="s">
        <v>12364</v>
      </c>
      <c r="O4196" s="1" t="s">
        <v>1010</v>
      </c>
      <c r="P4196" s="1" t="s">
        <v>401</v>
      </c>
      <c r="Q4196" s="6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4196" s="1" t="s">
        <v>100</v>
      </c>
      <c r="S4196" s="13" t="s">
        <v>28</v>
      </c>
      <c r="AX4196" s="11"/>
      <c r="AY4196" s="11"/>
      <c r="BC4196" s="11"/>
      <c r="BD4196" s="11"/>
      <c r="BE4196" s="11"/>
      <c r="BF4196" s="11"/>
      <c r="BG4196" s="11"/>
      <c r="BH4196" s="11"/>
      <c r="BI4196" s="11"/>
      <c r="BJ4196" s="11"/>
    </row>
    <row r="4197" spans="1:62" ht="12" customHeight="1" x14ac:dyDescent="0.15">
      <c r="A4197" s="1" t="s">
        <v>12368</v>
      </c>
      <c r="B4197" s="1">
        <v>30</v>
      </c>
      <c r="C4197" s="1" t="s">
        <v>20</v>
      </c>
      <c r="D4197" s="1" t="s">
        <v>30</v>
      </c>
      <c r="F4197" s="72">
        <v>41635</v>
      </c>
      <c r="G4197" s="1" t="s">
        <v>24477</v>
      </c>
      <c r="H4197" s="1" t="s">
        <v>6277</v>
      </c>
      <c r="I4197" s="1" t="s">
        <v>173</v>
      </c>
      <c r="J4197" s="4" t="s">
        <v>12369</v>
      </c>
      <c r="K4197" s="1" t="s">
        <v>3309</v>
      </c>
      <c r="L4197" s="1" t="s">
        <v>3310</v>
      </c>
      <c r="M4197" s="1" t="s">
        <v>27</v>
      </c>
      <c r="N4197" s="1" t="s">
        <v>12370</v>
      </c>
      <c r="O4197" s="1" t="s">
        <v>1010</v>
      </c>
      <c r="P4197" s="1" t="s">
        <v>401</v>
      </c>
      <c r="Q4197" s="63" t="s">
        <v>12371</v>
      </c>
      <c r="R4197" s="1" t="s">
        <v>555</v>
      </c>
      <c r="S4197" s="13" t="s">
        <v>28</v>
      </c>
      <c r="BA4197" s="11"/>
      <c r="BB4197" s="11"/>
    </row>
    <row r="4198" spans="1:62" ht="12" customHeight="1" x14ac:dyDescent="0.15">
      <c r="A4198" s="1" t="s">
        <v>12372</v>
      </c>
      <c r="B4198" s="1">
        <v>49</v>
      </c>
      <c r="C4198" s="1" t="s">
        <v>20</v>
      </c>
      <c r="D4198" s="1" t="s">
        <v>37</v>
      </c>
      <c r="E4198" s="1" t="s">
        <v>12373</v>
      </c>
      <c r="F4198" s="72">
        <v>41635</v>
      </c>
      <c r="G4198" s="1" t="s">
        <v>24478</v>
      </c>
      <c r="H4198" s="1" t="s">
        <v>12374</v>
      </c>
      <c r="I4198" s="1" t="s">
        <v>73</v>
      </c>
      <c r="J4198" s="4" t="s">
        <v>12375</v>
      </c>
      <c r="K4198" s="1" t="s">
        <v>74</v>
      </c>
      <c r="L4198" s="1" t="s">
        <v>12376</v>
      </c>
      <c r="M4198" s="1" t="s">
        <v>27</v>
      </c>
      <c r="N4198" s="1" t="s">
        <v>12377</v>
      </c>
      <c r="O4198" s="1" t="s">
        <v>1010</v>
      </c>
      <c r="P4198" s="1" t="s">
        <v>401</v>
      </c>
      <c r="Q4198" s="63" t="s">
        <v>12378</v>
      </c>
      <c r="R4198" s="1" t="s">
        <v>555</v>
      </c>
      <c r="S4198" s="13" t="s">
        <v>28</v>
      </c>
      <c r="BA4198" s="44"/>
      <c r="BB4198" s="44"/>
      <c r="BC4198" s="11"/>
      <c r="BD4198" s="11"/>
      <c r="BE4198" s="11"/>
      <c r="BF4198" s="11"/>
      <c r="BG4198" s="11"/>
      <c r="BH4198" s="11"/>
      <c r="BI4198" s="11"/>
      <c r="BJ4198" s="11"/>
    </row>
    <row r="4199" spans="1:62" ht="12" customHeight="1" x14ac:dyDescent="0.15">
      <c r="A4199" s="1" t="s">
        <v>12365</v>
      </c>
      <c r="B4199" s="1">
        <v>22</v>
      </c>
      <c r="C4199" s="1" t="s">
        <v>20</v>
      </c>
      <c r="D4199" s="1" t="s">
        <v>85</v>
      </c>
      <c r="F4199" s="72">
        <v>41635</v>
      </c>
      <c r="G4199" s="1" t="s">
        <v>12366</v>
      </c>
      <c r="H4199" s="1" t="s">
        <v>2487</v>
      </c>
      <c r="I4199" s="1" t="s">
        <v>395</v>
      </c>
      <c r="K4199" s="1" t="s">
        <v>2487</v>
      </c>
      <c r="L4199" s="1" t="s">
        <v>2045</v>
      </c>
      <c r="M4199" s="1" t="s">
        <v>27</v>
      </c>
      <c r="P4199" s="1" t="s">
        <v>401</v>
      </c>
      <c r="Q4199" s="63" t="s">
        <v>12367</v>
      </c>
      <c r="R4199" s="1" t="s">
        <v>29</v>
      </c>
      <c r="S4199" s="13" t="s">
        <v>28</v>
      </c>
      <c r="AX4199" s="11"/>
      <c r="AY4199" s="11"/>
      <c r="BC4199" s="44"/>
      <c r="BD4199" s="44"/>
      <c r="BE4199" s="44"/>
      <c r="BF4199" s="44"/>
      <c r="BG4199" s="44"/>
      <c r="BH4199" s="44"/>
      <c r="BI4199" s="44"/>
      <c r="BJ4199" s="44"/>
    </row>
    <row r="4200" spans="1:62" ht="12" customHeight="1" x14ac:dyDescent="0.15">
      <c r="A4200" s="1" t="s">
        <v>12379</v>
      </c>
      <c r="B4200" s="1">
        <v>44</v>
      </c>
      <c r="C4200" s="1" t="s">
        <v>20</v>
      </c>
      <c r="D4200" s="1" t="s">
        <v>85</v>
      </c>
      <c r="E4200" s="1" t="s">
        <v>12380</v>
      </c>
      <c r="F4200" s="72">
        <v>41634</v>
      </c>
      <c r="G4200" s="1" t="s">
        <v>12381</v>
      </c>
      <c r="H4200" s="1" t="s">
        <v>1844</v>
      </c>
      <c r="I4200" s="1" t="s">
        <v>423</v>
      </c>
      <c r="J4200" s="4" t="s">
        <v>12382</v>
      </c>
      <c r="K4200" s="1" t="s">
        <v>754</v>
      </c>
      <c r="L4200" s="1" t="s">
        <v>582</v>
      </c>
      <c r="M4200" s="1" t="s">
        <v>27</v>
      </c>
      <c r="N4200" s="1" t="s">
        <v>12383</v>
      </c>
      <c r="O4200" s="1" t="s">
        <v>1010</v>
      </c>
      <c r="P4200" s="1" t="s">
        <v>401</v>
      </c>
      <c r="Q4200" s="63" t="s">
        <v>12384</v>
      </c>
      <c r="R4200" s="1" t="s">
        <v>100</v>
      </c>
      <c r="S4200" s="13" t="s">
        <v>28</v>
      </c>
      <c r="AX4200" s="11"/>
      <c r="AY4200" s="11"/>
      <c r="BC4200" s="11"/>
      <c r="BD4200" s="11"/>
      <c r="BE4200" s="11"/>
      <c r="BF4200" s="11"/>
      <c r="BG4200" s="11"/>
      <c r="BH4200" s="11"/>
      <c r="BI4200" s="11"/>
      <c r="BJ4200" s="11"/>
    </row>
    <row r="4201" spans="1:62" ht="12" customHeight="1" x14ac:dyDescent="0.15">
      <c r="A4201" s="1" t="s">
        <v>12385</v>
      </c>
      <c r="B4201" s="1">
        <v>19</v>
      </c>
      <c r="C4201" s="1" t="s">
        <v>20</v>
      </c>
      <c r="D4201" s="1" t="s">
        <v>37</v>
      </c>
      <c r="E4201" s="1" t="s">
        <v>12386</v>
      </c>
      <c r="F4201" s="72">
        <v>41634</v>
      </c>
      <c r="G4201" s="1" t="s">
        <v>12387</v>
      </c>
      <c r="H4201" s="1" t="s">
        <v>12137</v>
      </c>
      <c r="I4201" s="1" t="s">
        <v>45</v>
      </c>
      <c r="J4201" s="4" t="s">
        <v>12388</v>
      </c>
      <c r="K4201" s="1" t="s">
        <v>98</v>
      </c>
      <c r="L4201" s="1" t="s">
        <v>12389</v>
      </c>
      <c r="M4201" s="1" t="s">
        <v>27</v>
      </c>
      <c r="N4201" s="1" t="s">
        <v>12390</v>
      </c>
      <c r="O4201" s="1" t="s">
        <v>1010</v>
      </c>
      <c r="P4201" s="1" t="s">
        <v>401</v>
      </c>
      <c r="Q4201" s="63" t="s">
        <v>12391</v>
      </c>
      <c r="R4201" s="1" t="s">
        <v>100</v>
      </c>
      <c r="S4201" s="13" t="s">
        <v>28</v>
      </c>
      <c r="BC4201" s="11"/>
      <c r="BD4201" s="11"/>
      <c r="BE4201" s="11"/>
      <c r="BF4201" s="11"/>
      <c r="BG4201" s="11"/>
      <c r="BH4201" s="11"/>
      <c r="BI4201" s="11"/>
      <c r="BJ4201" s="11"/>
    </row>
    <row r="4202" spans="1:62" ht="12" customHeight="1" x14ac:dyDescent="0.15">
      <c r="A4202" s="1" t="s">
        <v>12398</v>
      </c>
      <c r="B4202" s="1">
        <v>16</v>
      </c>
      <c r="C4202" s="1" t="s">
        <v>20</v>
      </c>
      <c r="D4202" s="1" t="s">
        <v>37</v>
      </c>
      <c r="E4202" s="1" t="s">
        <v>12399</v>
      </c>
      <c r="F4202" s="72">
        <v>41633</v>
      </c>
      <c r="G4202" s="1" t="s">
        <v>12400</v>
      </c>
      <c r="H4202" s="1" t="s">
        <v>12401</v>
      </c>
      <c r="I4202" s="1" t="s">
        <v>73</v>
      </c>
      <c r="J4202" s="4" t="s">
        <v>12402</v>
      </c>
      <c r="K4202" s="1" t="s">
        <v>74</v>
      </c>
      <c r="L4202" s="1" t="s">
        <v>12403</v>
      </c>
      <c r="M4202" s="1" t="s">
        <v>27</v>
      </c>
      <c r="N4202" s="1" t="s">
        <v>12404</v>
      </c>
      <c r="O4202" s="1" t="s">
        <v>550</v>
      </c>
      <c r="P4202" s="1" t="s">
        <v>401</v>
      </c>
      <c r="Q4202" s="63" t="s">
        <v>12405</v>
      </c>
      <c r="R4202" s="1" t="s">
        <v>100</v>
      </c>
      <c r="S4202" s="13" t="s">
        <v>28</v>
      </c>
      <c r="BC4202" s="11"/>
      <c r="BD4202" s="11"/>
      <c r="BE4202" s="11"/>
      <c r="BF4202" s="11"/>
      <c r="BG4202" s="11"/>
      <c r="BH4202" s="11"/>
      <c r="BI4202" s="11"/>
      <c r="BJ4202" s="11"/>
    </row>
    <row r="4203" spans="1:62" ht="12" customHeight="1" x14ac:dyDescent="0.15">
      <c r="A4203" s="1" t="s">
        <v>12392</v>
      </c>
      <c r="B4203" s="1">
        <v>58</v>
      </c>
      <c r="C4203" s="1" t="s">
        <v>20</v>
      </c>
      <c r="D4203" s="1" t="s">
        <v>37</v>
      </c>
      <c r="F4203" s="72">
        <v>41633</v>
      </c>
      <c r="G4203" s="1" t="s">
        <v>12393</v>
      </c>
      <c r="H4203" s="1" t="s">
        <v>12394</v>
      </c>
      <c r="I4203" s="1" t="s">
        <v>45</v>
      </c>
      <c r="J4203" s="4" t="s">
        <v>12395</v>
      </c>
      <c r="K4203" s="1" t="s">
        <v>156</v>
      </c>
      <c r="L4203" s="1" t="s">
        <v>4732</v>
      </c>
      <c r="M4203" s="1" t="s">
        <v>14359</v>
      </c>
      <c r="N4203" s="1" t="s">
        <v>12396</v>
      </c>
      <c r="O4203" s="1" t="s">
        <v>1010</v>
      </c>
      <c r="P4203" s="1" t="s">
        <v>401</v>
      </c>
      <c r="Q4203" s="63" t="s">
        <v>12397</v>
      </c>
      <c r="R4203" s="1" t="s">
        <v>100</v>
      </c>
      <c r="S4203" s="13" t="s">
        <v>18</v>
      </c>
      <c r="AX4203" s="44"/>
      <c r="AY4203" s="44"/>
      <c r="AZ4203" s="44"/>
      <c r="BC4203" s="44"/>
      <c r="BD4203" s="44"/>
      <c r="BE4203" s="44"/>
      <c r="BF4203" s="44"/>
      <c r="BG4203" s="44"/>
      <c r="BH4203" s="44"/>
      <c r="BI4203" s="44"/>
      <c r="BJ4203" s="44"/>
    </row>
    <row r="4204" spans="1:62" ht="12" customHeight="1" x14ac:dyDescent="0.15">
      <c r="A4204" s="1" t="s">
        <v>12406</v>
      </c>
      <c r="B4204" s="1">
        <v>44</v>
      </c>
      <c r="C4204" s="1" t="s">
        <v>20</v>
      </c>
      <c r="D4204" s="1" t="s">
        <v>48</v>
      </c>
      <c r="E4204" s="1" t="s">
        <v>12407</v>
      </c>
      <c r="F4204" s="72">
        <v>41632</v>
      </c>
      <c r="G4204" s="1" t="s">
        <v>12408</v>
      </c>
      <c r="H4204" s="1" t="s">
        <v>12409</v>
      </c>
      <c r="I4204" s="1" t="s">
        <v>73</v>
      </c>
      <c r="J4204" s="4" t="s">
        <v>12410</v>
      </c>
      <c r="K4204" s="1" t="s">
        <v>12411</v>
      </c>
      <c r="L4204" s="1" t="s">
        <v>12412</v>
      </c>
      <c r="M4204" s="1" t="s">
        <v>27</v>
      </c>
      <c r="N4204" s="1" t="s">
        <v>12413</v>
      </c>
      <c r="O4204" s="1" t="s">
        <v>550</v>
      </c>
      <c r="P4204" s="1" t="s">
        <v>401</v>
      </c>
      <c r="Q4204" s="63" t="s">
        <v>12414</v>
      </c>
      <c r="R4204" s="11" t="s">
        <v>964</v>
      </c>
      <c r="S4204" s="13" t="s">
        <v>28</v>
      </c>
    </row>
    <row r="4205" spans="1:62" ht="12" customHeight="1" x14ac:dyDescent="0.15">
      <c r="A4205" s="1" t="s">
        <v>12419</v>
      </c>
      <c r="B4205" s="1">
        <v>17</v>
      </c>
      <c r="C4205" s="1" t="s">
        <v>20</v>
      </c>
      <c r="D4205" s="1" t="s">
        <v>30</v>
      </c>
      <c r="F4205" s="72">
        <v>41632</v>
      </c>
      <c r="G4205" s="1" t="s">
        <v>12420</v>
      </c>
      <c r="H4205" s="1" t="s">
        <v>5436</v>
      </c>
      <c r="I4205" s="1" t="s">
        <v>62</v>
      </c>
      <c r="J4205" s="4" t="s">
        <v>12421</v>
      </c>
      <c r="K4205" s="1" t="s">
        <v>5437</v>
      </c>
      <c r="L4205" s="1" t="s">
        <v>12422</v>
      </c>
      <c r="M4205" s="1" t="s">
        <v>27</v>
      </c>
      <c r="N4205" s="1" t="s">
        <v>12423</v>
      </c>
      <c r="O4205" s="1" t="s">
        <v>550</v>
      </c>
      <c r="P4205" s="1" t="s">
        <v>401</v>
      </c>
      <c r="Q4205" s="63" t="s">
        <v>12424</v>
      </c>
      <c r="R4205" s="11" t="s">
        <v>964</v>
      </c>
      <c r="S4205" s="13" t="s">
        <v>379</v>
      </c>
    </row>
    <row r="4206" spans="1:62" ht="12" customHeight="1" x14ac:dyDescent="0.15">
      <c r="A4206" s="1" t="s">
        <v>12415</v>
      </c>
      <c r="B4206" s="1">
        <v>31</v>
      </c>
      <c r="C4206" s="1" t="s">
        <v>114</v>
      </c>
      <c r="D4206" s="1" t="s">
        <v>30</v>
      </c>
      <c r="F4206" s="72">
        <v>41632</v>
      </c>
      <c r="G4206" s="1" t="s">
        <v>12416</v>
      </c>
      <c r="H4206" s="1" t="s">
        <v>1784</v>
      </c>
      <c r="I4206" s="1" t="s">
        <v>32</v>
      </c>
      <c r="J4206" s="4" t="s">
        <v>9432</v>
      </c>
      <c r="K4206" s="1" t="s">
        <v>1784</v>
      </c>
      <c r="L4206" s="1" t="s">
        <v>12417</v>
      </c>
      <c r="M4206" s="1" t="s">
        <v>379</v>
      </c>
      <c r="N4206" s="1" t="s">
        <v>21171</v>
      </c>
      <c r="O4206" s="1" t="s">
        <v>1010</v>
      </c>
      <c r="P4206" s="1" t="s">
        <v>401</v>
      </c>
      <c r="Q4206" s="63" t="s">
        <v>12418</v>
      </c>
      <c r="R4206" s="1" t="s">
        <v>100</v>
      </c>
      <c r="S4206" s="13" t="s">
        <v>379</v>
      </c>
    </row>
    <row r="4207" spans="1:62" ht="12" customHeight="1" x14ac:dyDescent="0.15">
      <c r="A4207" s="1" t="s">
        <v>12425</v>
      </c>
      <c r="B4207" s="1">
        <v>32</v>
      </c>
      <c r="C4207" s="1" t="s">
        <v>20</v>
      </c>
      <c r="D4207" s="1" t="s">
        <v>37</v>
      </c>
      <c r="E4207" s="1" t="s">
        <v>12426</v>
      </c>
      <c r="F4207" s="72">
        <v>41631</v>
      </c>
      <c r="G4207" s="1" t="s">
        <v>12427</v>
      </c>
      <c r="H4207" s="1" t="s">
        <v>9928</v>
      </c>
      <c r="I4207" s="1" t="s">
        <v>123</v>
      </c>
      <c r="J4207" s="4" t="s">
        <v>9929</v>
      </c>
      <c r="K4207" s="1" t="s">
        <v>2390</v>
      </c>
      <c r="L4207" s="1" t="s">
        <v>2391</v>
      </c>
      <c r="M4207" s="1" t="s">
        <v>27</v>
      </c>
      <c r="N4207" s="1" t="s">
        <v>12428</v>
      </c>
      <c r="O4207" s="1" t="s">
        <v>29</v>
      </c>
      <c r="P4207" s="1" t="s">
        <v>401</v>
      </c>
      <c r="Q4207" s="63" t="s">
        <v>12429</v>
      </c>
      <c r="R4207" s="1" t="s">
        <v>100</v>
      </c>
      <c r="S4207" s="13" t="s">
        <v>18</v>
      </c>
      <c r="BC4207" s="11"/>
      <c r="BD4207" s="11"/>
      <c r="BE4207" s="11"/>
      <c r="BF4207" s="11"/>
      <c r="BG4207" s="11"/>
      <c r="BH4207" s="11"/>
      <c r="BI4207" s="11"/>
      <c r="BJ4207" s="11"/>
    </row>
    <row r="4208" spans="1:62" ht="12" customHeight="1" x14ac:dyDescent="0.15">
      <c r="A4208" s="1" t="s">
        <v>12430</v>
      </c>
      <c r="B4208" s="1">
        <v>24</v>
      </c>
      <c r="C4208" s="1" t="s">
        <v>20</v>
      </c>
      <c r="D4208" s="1" t="s">
        <v>37</v>
      </c>
      <c r="E4208" s="1" t="s">
        <v>12431</v>
      </c>
      <c r="F4208" s="72">
        <v>41630</v>
      </c>
      <c r="G4208" s="1" t="s">
        <v>12432</v>
      </c>
      <c r="H4208" s="1" t="s">
        <v>12433</v>
      </c>
      <c r="I4208" s="1" t="s">
        <v>366</v>
      </c>
      <c r="J4208" s="4" t="s">
        <v>12434</v>
      </c>
      <c r="K4208" s="1" t="s">
        <v>826</v>
      </c>
      <c r="L4208" s="1" t="s">
        <v>827</v>
      </c>
      <c r="M4208" s="1" t="s">
        <v>27</v>
      </c>
      <c r="N4208" s="1" t="s">
        <v>12435</v>
      </c>
      <c r="O4208" s="1" t="s">
        <v>550</v>
      </c>
      <c r="P4208" s="1" t="s">
        <v>401</v>
      </c>
      <c r="Q4208" s="63" t="s">
        <v>12436</v>
      </c>
      <c r="R4208" s="1" t="s">
        <v>555</v>
      </c>
      <c r="S4208" s="13" t="s">
        <v>28</v>
      </c>
      <c r="BA4208" s="44"/>
      <c r="BB4208" s="44"/>
      <c r="BC4208" s="11"/>
      <c r="BD4208" s="11"/>
      <c r="BE4208" s="11"/>
      <c r="BF4208" s="11"/>
      <c r="BG4208" s="11"/>
      <c r="BH4208" s="11"/>
      <c r="BI4208" s="11"/>
      <c r="BJ4208" s="11"/>
    </row>
    <row r="4209" spans="1:62" ht="12" customHeight="1" x14ac:dyDescent="0.15">
      <c r="A4209" s="1" t="s">
        <v>12437</v>
      </c>
      <c r="B4209" s="1">
        <v>18</v>
      </c>
      <c r="C4209" s="1" t="s">
        <v>20</v>
      </c>
      <c r="D4209" s="1" t="s">
        <v>139</v>
      </c>
      <c r="E4209" s="1" t="s">
        <v>12438</v>
      </c>
      <c r="F4209" s="72">
        <v>41629</v>
      </c>
      <c r="G4209" s="1" t="s">
        <v>12439</v>
      </c>
      <c r="H4209" s="1" t="s">
        <v>6368</v>
      </c>
      <c r="I4209" s="1" t="s">
        <v>395</v>
      </c>
      <c r="J4209" s="4" t="s">
        <v>12440</v>
      </c>
      <c r="K4209" s="1" t="s">
        <v>12441</v>
      </c>
      <c r="L4209" s="1" t="s">
        <v>12442</v>
      </c>
      <c r="M4209" s="1" t="s">
        <v>27</v>
      </c>
      <c r="N4209" s="1" t="s">
        <v>12443</v>
      </c>
      <c r="O4209" s="1" t="s">
        <v>550</v>
      </c>
      <c r="P4209" s="1" t="s">
        <v>401</v>
      </c>
      <c r="Q4209" s="6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4209" s="1" t="s">
        <v>555</v>
      </c>
      <c r="S4209" s="13" t="s">
        <v>28</v>
      </c>
      <c r="BA4209" s="11"/>
      <c r="BB4209" s="11"/>
    </row>
    <row r="4210" spans="1:62" ht="12" customHeight="1" x14ac:dyDescent="0.15">
      <c r="A4210" s="1" t="s">
        <v>12444</v>
      </c>
      <c r="B4210" s="1">
        <v>22</v>
      </c>
      <c r="C4210" s="1" t="s">
        <v>20</v>
      </c>
      <c r="D4210" s="1" t="s">
        <v>37</v>
      </c>
      <c r="E4210" s="1" t="s">
        <v>12445</v>
      </c>
      <c r="F4210" s="72">
        <v>41629</v>
      </c>
      <c r="G4210" s="1" t="s">
        <v>12446</v>
      </c>
      <c r="H4210" s="1" t="s">
        <v>12447</v>
      </c>
      <c r="I4210" s="1" t="s">
        <v>404</v>
      </c>
      <c r="J4210" s="4" t="s">
        <v>12448</v>
      </c>
      <c r="K4210" s="1" t="s">
        <v>1492</v>
      </c>
      <c r="L4210" s="1" t="s">
        <v>12449</v>
      </c>
      <c r="M4210" s="1" t="s">
        <v>27</v>
      </c>
      <c r="N4210" s="1" t="s">
        <v>12450</v>
      </c>
      <c r="O4210" s="1" t="s">
        <v>550</v>
      </c>
      <c r="P4210" s="1" t="s">
        <v>401</v>
      </c>
      <c r="Q4210" s="63" t="s">
        <v>12451</v>
      </c>
      <c r="R4210" s="1" t="s">
        <v>555</v>
      </c>
      <c r="S4210" s="13" t="s">
        <v>28</v>
      </c>
      <c r="BA4210" s="44"/>
      <c r="BB4210" s="44"/>
      <c r="BC4210" s="11"/>
      <c r="BD4210" s="11"/>
      <c r="BE4210" s="11"/>
      <c r="BF4210" s="11"/>
      <c r="BG4210" s="11"/>
      <c r="BH4210" s="11"/>
      <c r="BI4210" s="11"/>
      <c r="BJ4210" s="11"/>
    </row>
    <row r="4211" spans="1:62" ht="12" customHeight="1" x14ac:dyDescent="0.15">
      <c r="A4211" s="1" t="s">
        <v>12452</v>
      </c>
      <c r="B4211" s="1">
        <v>49</v>
      </c>
      <c r="C4211" s="1" t="s">
        <v>114</v>
      </c>
      <c r="D4211" s="1" t="s">
        <v>85</v>
      </c>
      <c r="E4211" s="1" t="s">
        <v>12453</v>
      </c>
      <c r="F4211" s="72">
        <v>41628</v>
      </c>
      <c r="G4211" s="1" t="s">
        <v>12454</v>
      </c>
      <c r="H4211" s="1" t="s">
        <v>252</v>
      </c>
      <c r="I4211" s="1" t="s">
        <v>32</v>
      </c>
      <c r="J4211" s="4" t="s">
        <v>5699</v>
      </c>
      <c r="K4211" s="1" t="s">
        <v>252</v>
      </c>
      <c r="L4211" s="1" t="s">
        <v>12455</v>
      </c>
      <c r="M4211" s="1" t="s">
        <v>27</v>
      </c>
      <c r="N4211" s="1" t="s">
        <v>12456</v>
      </c>
      <c r="O4211" s="1" t="s">
        <v>29</v>
      </c>
      <c r="P4211" s="1" t="s">
        <v>401</v>
      </c>
      <c r="Q4211" s="63" t="s">
        <v>12457</v>
      </c>
      <c r="R4211" s="1" t="s">
        <v>100</v>
      </c>
      <c r="S4211" s="13" t="s">
        <v>379</v>
      </c>
      <c r="AX4211" s="11"/>
      <c r="AY4211" s="11"/>
      <c r="BC4211" s="44"/>
      <c r="BD4211" s="44"/>
      <c r="BE4211" s="44"/>
      <c r="BF4211" s="44"/>
      <c r="BG4211" s="44"/>
      <c r="BH4211" s="44"/>
      <c r="BI4211" s="44"/>
      <c r="BJ4211" s="44"/>
    </row>
    <row r="4212" spans="1:62" ht="12" customHeight="1" x14ac:dyDescent="0.15">
      <c r="A4212" s="1" t="s">
        <v>12458</v>
      </c>
      <c r="B4212" s="1">
        <v>46</v>
      </c>
      <c r="C4212" s="1" t="s">
        <v>20</v>
      </c>
      <c r="D4212" s="1" t="s">
        <v>30</v>
      </c>
      <c r="F4212" s="72">
        <v>41628</v>
      </c>
      <c r="G4212" s="1" t="s">
        <v>24480</v>
      </c>
      <c r="H4212" s="1" t="s">
        <v>575</v>
      </c>
      <c r="I4212" s="1" t="s">
        <v>73</v>
      </c>
      <c r="J4212" s="4" t="s">
        <v>12459</v>
      </c>
      <c r="K4212" s="1" t="s">
        <v>576</v>
      </c>
      <c r="L4212" s="1" t="s">
        <v>577</v>
      </c>
      <c r="M4212" s="1" t="s">
        <v>27</v>
      </c>
      <c r="N4212" s="1" t="s">
        <v>12460</v>
      </c>
      <c r="O4212" s="1" t="s">
        <v>550</v>
      </c>
      <c r="P4212" s="1" t="s">
        <v>401</v>
      </c>
      <c r="Q4212" s="63" t="str">
        <f>HYPERLINK("http://www.kens5.com/story/local/2014/09/26/10621720/","http://www.kens5.com/story/local/2014/09/26/10621720/")</f>
        <v>http://www.kens5.com/story/local/2014/09/26/10621720/</v>
      </c>
      <c r="R4212" s="1" t="s">
        <v>555</v>
      </c>
      <c r="S4212" s="13" t="s">
        <v>28</v>
      </c>
      <c r="BA4212" s="11"/>
      <c r="BB4212" s="11"/>
    </row>
    <row r="4213" spans="1:62" ht="12" customHeight="1" x14ac:dyDescent="0.15">
      <c r="A4213" s="1" t="s">
        <v>12461</v>
      </c>
      <c r="B4213" s="1">
        <v>33</v>
      </c>
      <c r="C4213" s="1" t="s">
        <v>20</v>
      </c>
      <c r="D4213" s="1" t="s">
        <v>85</v>
      </c>
      <c r="E4213" s="1" t="s">
        <v>12462</v>
      </c>
      <c r="F4213" s="72">
        <v>41627</v>
      </c>
      <c r="G4213" s="1" t="s">
        <v>12463</v>
      </c>
      <c r="H4213" s="1" t="s">
        <v>12464</v>
      </c>
      <c r="I4213" s="1" t="s">
        <v>94</v>
      </c>
      <c r="J4213" s="4" t="s">
        <v>12465</v>
      </c>
      <c r="K4213" s="1" t="s">
        <v>12466</v>
      </c>
      <c r="L4213" s="1" t="s">
        <v>12467</v>
      </c>
      <c r="M4213" s="1" t="s">
        <v>27</v>
      </c>
      <c r="N4213" s="1" t="s">
        <v>12468</v>
      </c>
      <c r="O4213" s="1" t="s">
        <v>29</v>
      </c>
      <c r="P4213" s="1" t="s">
        <v>401</v>
      </c>
      <c r="Q4213" s="63" t="str">
        <f>HYPERLINK("http://blog.al.com/montgomery/2013/12/phenix_city_police_fatally_sho.html","http://blog.al.com/montgomery/2013/12/phenix_city_police_fatally_sho.html")</f>
        <v>http://blog.al.com/montgomery/2013/12/phenix_city_police_fatally_sho.html</v>
      </c>
      <c r="R4213" s="1" t="s">
        <v>29</v>
      </c>
      <c r="S4213" s="13" t="s">
        <v>28</v>
      </c>
      <c r="AX4213" s="11"/>
      <c r="AY4213" s="11"/>
      <c r="BC4213" s="44"/>
      <c r="BD4213" s="44"/>
      <c r="BE4213" s="44"/>
      <c r="BF4213" s="44"/>
      <c r="BG4213" s="44"/>
      <c r="BH4213" s="44"/>
      <c r="BI4213" s="44"/>
      <c r="BJ4213" s="44"/>
    </row>
    <row r="4214" spans="1:62" ht="12" customHeight="1" x14ac:dyDescent="0.15">
      <c r="A4214" s="1" t="s">
        <v>12469</v>
      </c>
      <c r="B4214" s="1">
        <v>49</v>
      </c>
      <c r="C4214" s="1" t="s">
        <v>20</v>
      </c>
      <c r="D4214" s="1" t="s">
        <v>37</v>
      </c>
      <c r="E4214" s="1" t="s">
        <v>12470</v>
      </c>
      <c r="F4214" s="72">
        <v>41626</v>
      </c>
      <c r="G4214" s="1" t="s">
        <v>12471</v>
      </c>
      <c r="H4214" s="1" t="s">
        <v>216</v>
      </c>
      <c r="I4214" s="1" t="s">
        <v>217</v>
      </c>
      <c r="J4214" s="4" t="s">
        <v>12472</v>
      </c>
      <c r="K4214" s="1" t="s">
        <v>420</v>
      </c>
      <c r="L4214" s="1" t="s">
        <v>218</v>
      </c>
      <c r="M4214" s="1" t="s">
        <v>27</v>
      </c>
      <c r="N4214" s="1" t="s">
        <v>12473</v>
      </c>
      <c r="O4214" s="1" t="s">
        <v>1010</v>
      </c>
      <c r="P4214" s="1" t="s">
        <v>401</v>
      </c>
      <c r="Q4214" s="6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4214" s="11" t="s">
        <v>964</v>
      </c>
      <c r="S4214" s="13" t="s">
        <v>28</v>
      </c>
      <c r="BC4214" s="11"/>
      <c r="BD4214" s="11"/>
      <c r="BE4214" s="11"/>
      <c r="BF4214" s="11"/>
      <c r="BG4214" s="11"/>
      <c r="BH4214" s="11"/>
      <c r="BI4214" s="11"/>
      <c r="BJ4214" s="11"/>
    </row>
    <row r="4215" spans="1:62" ht="12" customHeight="1" x14ac:dyDescent="0.15">
      <c r="A4215" s="1" t="s">
        <v>12474</v>
      </c>
      <c r="B4215" s="1">
        <v>22</v>
      </c>
      <c r="C4215" s="1" t="s">
        <v>20</v>
      </c>
      <c r="D4215" s="1" t="s">
        <v>85</v>
      </c>
      <c r="E4215" s="1" t="s">
        <v>12475</v>
      </c>
      <c r="F4215" s="72">
        <v>41625</v>
      </c>
      <c r="H4215" s="1" t="s">
        <v>12476</v>
      </c>
      <c r="I4215" s="1" t="s">
        <v>62</v>
      </c>
      <c r="K4215" s="1" t="s">
        <v>161</v>
      </c>
      <c r="L4215" s="1" t="s">
        <v>162</v>
      </c>
      <c r="M4215" s="1" t="s">
        <v>379</v>
      </c>
      <c r="N4215" s="1" t="s">
        <v>12477</v>
      </c>
      <c r="O4215" s="1" t="s">
        <v>1010</v>
      </c>
      <c r="P4215" s="1" t="s">
        <v>401</v>
      </c>
      <c r="Q4215" s="63" t="s">
        <v>12478</v>
      </c>
      <c r="R4215" s="1" t="s">
        <v>100</v>
      </c>
      <c r="S4215" s="13" t="s">
        <v>379</v>
      </c>
      <c r="AX4215" s="44"/>
      <c r="AY4215" s="44"/>
      <c r="BC4215" s="44"/>
      <c r="BD4215" s="44"/>
      <c r="BE4215" s="44"/>
      <c r="BF4215" s="44"/>
      <c r="BG4215" s="44"/>
      <c r="BH4215" s="44"/>
      <c r="BI4215" s="44"/>
      <c r="BJ4215" s="44"/>
    </row>
    <row r="4216" spans="1:62" ht="12" customHeight="1" x14ac:dyDescent="0.15">
      <c r="A4216" s="1" t="s">
        <v>12479</v>
      </c>
      <c r="B4216" s="1">
        <v>29</v>
      </c>
      <c r="C4216" s="1" t="s">
        <v>20</v>
      </c>
      <c r="D4216" s="1" t="s">
        <v>37</v>
      </c>
      <c r="E4216" s="1" t="s">
        <v>12480</v>
      </c>
      <c r="F4216" s="72">
        <v>41624</v>
      </c>
      <c r="G4216" s="1" t="s">
        <v>12481</v>
      </c>
      <c r="H4216" s="1" t="s">
        <v>12482</v>
      </c>
      <c r="I4216" s="1" t="s">
        <v>44</v>
      </c>
      <c r="J4216" s="4" t="s">
        <v>12483</v>
      </c>
      <c r="K4216" s="1" t="s">
        <v>88</v>
      </c>
      <c r="L4216" s="1" t="s">
        <v>12484</v>
      </c>
      <c r="M4216" s="1" t="s">
        <v>27</v>
      </c>
      <c r="N4216" s="1" t="s">
        <v>12485</v>
      </c>
      <c r="O4216" s="1" t="s">
        <v>1010</v>
      </c>
      <c r="P4216" s="1" t="s">
        <v>401</v>
      </c>
      <c r="Q4216" s="63" t="s">
        <v>12486</v>
      </c>
      <c r="R4216" s="1" t="s">
        <v>100</v>
      </c>
      <c r="S4216" s="13" t="s">
        <v>28</v>
      </c>
      <c r="BC4216" s="11"/>
      <c r="BD4216" s="11"/>
      <c r="BE4216" s="11"/>
      <c r="BF4216" s="11"/>
      <c r="BG4216" s="11"/>
      <c r="BH4216" s="11"/>
      <c r="BI4216" s="11"/>
      <c r="BJ4216" s="11"/>
    </row>
    <row r="4217" spans="1:62" ht="12" customHeight="1" x14ac:dyDescent="0.15">
      <c r="A4217" s="1" t="s">
        <v>12487</v>
      </c>
      <c r="B4217" s="1">
        <v>63</v>
      </c>
      <c r="C4217" s="1" t="s">
        <v>20</v>
      </c>
      <c r="D4217" s="1" t="s">
        <v>37</v>
      </c>
      <c r="E4217" s="1" t="s">
        <v>12488</v>
      </c>
      <c r="F4217" s="72">
        <v>41624</v>
      </c>
      <c r="G4217" s="1" t="s">
        <v>12489</v>
      </c>
      <c r="H4217" s="1" t="s">
        <v>437</v>
      </c>
      <c r="I4217" s="1" t="s">
        <v>438</v>
      </c>
      <c r="J4217" s="4" t="s">
        <v>4061</v>
      </c>
      <c r="K4217" s="1" t="s">
        <v>4062</v>
      </c>
      <c r="L4217" s="1" t="s">
        <v>4063</v>
      </c>
      <c r="M4217" s="1" t="s">
        <v>27</v>
      </c>
      <c r="N4217" s="1" t="s">
        <v>12490</v>
      </c>
      <c r="O4217" s="1" t="s">
        <v>550</v>
      </c>
      <c r="P4217" s="1" t="s">
        <v>401</v>
      </c>
      <c r="Q4217" s="63" t="s">
        <v>12491</v>
      </c>
      <c r="R4217" s="1" t="s">
        <v>100</v>
      </c>
      <c r="S4217" s="13" t="s">
        <v>28</v>
      </c>
      <c r="BC4217" s="11"/>
      <c r="BD4217" s="11"/>
      <c r="BE4217" s="11"/>
      <c r="BF4217" s="11"/>
      <c r="BG4217" s="11"/>
      <c r="BH4217" s="11"/>
      <c r="BI4217" s="11"/>
      <c r="BJ4217" s="11"/>
    </row>
    <row r="4218" spans="1:62" ht="12" customHeight="1" x14ac:dyDescent="0.15">
      <c r="A4218" s="1" t="s">
        <v>12492</v>
      </c>
      <c r="B4218" s="1">
        <v>63</v>
      </c>
      <c r="C4218" s="1" t="s">
        <v>20</v>
      </c>
      <c r="D4218" s="1" t="s">
        <v>37</v>
      </c>
      <c r="E4218" s="1" t="s">
        <v>12493</v>
      </c>
      <c r="F4218" s="72">
        <v>41624</v>
      </c>
      <c r="G4218" s="1" t="s">
        <v>12494</v>
      </c>
      <c r="H4218" s="1" t="s">
        <v>3324</v>
      </c>
      <c r="I4218" s="1" t="s">
        <v>123</v>
      </c>
      <c r="J4218" s="4" t="s">
        <v>11358</v>
      </c>
      <c r="K4218" s="1" t="s">
        <v>633</v>
      </c>
      <c r="L4218" s="1" t="s">
        <v>15113</v>
      </c>
      <c r="M4218" s="1" t="s">
        <v>379</v>
      </c>
      <c r="N4218" s="1" t="s">
        <v>12495</v>
      </c>
      <c r="O4218" s="1" t="s">
        <v>1010</v>
      </c>
      <c r="P4218" s="1" t="s">
        <v>401</v>
      </c>
      <c r="Q4218" s="63" t="s">
        <v>12496</v>
      </c>
      <c r="R4218" s="1" t="s">
        <v>100</v>
      </c>
      <c r="S4218" s="66" t="s">
        <v>379</v>
      </c>
      <c r="T4218" s="66" t="s">
        <v>30738</v>
      </c>
      <c r="BC4218" s="11"/>
      <c r="BD4218" s="11"/>
      <c r="BE4218" s="11"/>
      <c r="BF4218" s="11"/>
      <c r="BG4218" s="11"/>
      <c r="BH4218" s="11"/>
      <c r="BI4218" s="11"/>
      <c r="BJ4218" s="11"/>
    </row>
    <row r="4219" spans="1:62" ht="12" customHeight="1" x14ac:dyDescent="0.15">
      <c r="A4219" s="1" t="s">
        <v>12514</v>
      </c>
      <c r="B4219" s="1">
        <v>49</v>
      </c>
      <c r="C4219" s="1" t="s">
        <v>20</v>
      </c>
      <c r="D4219" s="1" t="s">
        <v>48</v>
      </c>
      <c r="E4219" s="1" t="s">
        <v>12515</v>
      </c>
      <c r="F4219" s="72">
        <v>41622</v>
      </c>
      <c r="G4219" s="1" t="s">
        <v>12516</v>
      </c>
      <c r="H4219" s="1" t="s">
        <v>2282</v>
      </c>
      <c r="I4219" s="1" t="s">
        <v>209</v>
      </c>
      <c r="J4219" s="4" t="s">
        <v>12517</v>
      </c>
      <c r="K4219" s="1" t="s">
        <v>1428</v>
      </c>
      <c r="L4219" s="1" t="s">
        <v>12518</v>
      </c>
      <c r="M4219" s="1" t="s">
        <v>27</v>
      </c>
      <c r="N4219" s="1" t="s">
        <v>12519</v>
      </c>
      <c r="O4219" s="1" t="s">
        <v>550</v>
      </c>
      <c r="P4219" s="1" t="s">
        <v>401</v>
      </c>
      <c r="Q4219" s="63" t="s">
        <v>12520</v>
      </c>
      <c r="R4219" s="11" t="s">
        <v>964</v>
      </c>
      <c r="S4219" s="13" t="s">
        <v>28</v>
      </c>
    </row>
    <row r="4220" spans="1:62" ht="12" customHeight="1" x14ac:dyDescent="0.15">
      <c r="A4220" s="1" t="s">
        <v>12497</v>
      </c>
      <c r="B4220" s="1">
        <v>30</v>
      </c>
      <c r="C4220" s="1" t="s">
        <v>114</v>
      </c>
      <c r="D4220" s="1" t="s">
        <v>85</v>
      </c>
      <c r="F4220" s="72">
        <v>41622</v>
      </c>
      <c r="G4220" s="1" t="s">
        <v>12498</v>
      </c>
      <c r="H4220" s="1" t="s">
        <v>5191</v>
      </c>
      <c r="I4220" s="1" t="s">
        <v>45</v>
      </c>
      <c r="J4220" s="4" t="s">
        <v>12499</v>
      </c>
      <c r="K4220" s="1" t="s">
        <v>98</v>
      </c>
      <c r="L4220" s="11" t="s">
        <v>414</v>
      </c>
      <c r="M4220" s="1" t="s">
        <v>379</v>
      </c>
      <c r="N4220" s="1" t="s">
        <v>21183</v>
      </c>
      <c r="O4220" s="1" t="s">
        <v>1010</v>
      </c>
      <c r="P4220" s="1" t="s">
        <v>401</v>
      </c>
      <c r="Q4220" s="63" t="s">
        <v>12500</v>
      </c>
      <c r="R4220" s="1" t="s">
        <v>100</v>
      </c>
      <c r="S4220" s="13" t="s">
        <v>379</v>
      </c>
      <c r="AX4220" s="44"/>
      <c r="AY4220" s="44"/>
      <c r="BC4220" s="44"/>
      <c r="BD4220" s="44"/>
      <c r="BE4220" s="44"/>
      <c r="BF4220" s="44"/>
      <c r="BG4220" s="44"/>
      <c r="BH4220" s="44"/>
      <c r="BI4220" s="44"/>
      <c r="BJ4220" s="44"/>
    </row>
    <row r="4221" spans="1:62" ht="12" customHeight="1" x14ac:dyDescent="0.15">
      <c r="A4221" s="1" t="s">
        <v>12513</v>
      </c>
      <c r="B4221" s="1">
        <v>31</v>
      </c>
      <c r="C4221" s="1" t="s">
        <v>20</v>
      </c>
      <c r="D4221" s="1" t="s">
        <v>48</v>
      </c>
      <c r="E4221" s="1" t="s">
        <v>12508</v>
      </c>
      <c r="F4221" s="72">
        <v>41622</v>
      </c>
      <c r="G4221" s="1" t="s">
        <v>12509</v>
      </c>
      <c r="H4221" s="1" t="s">
        <v>6234</v>
      </c>
      <c r="I4221" s="1" t="s">
        <v>45</v>
      </c>
      <c r="J4221" s="4" t="s">
        <v>12510</v>
      </c>
      <c r="K4221" s="1" t="s">
        <v>98</v>
      </c>
      <c r="L4221" s="11" t="s">
        <v>414</v>
      </c>
      <c r="M4221" s="1" t="s">
        <v>379</v>
      </c>
      <c r="N4221" s="1" t="s">
        <v>12511</v>
      </c>
      <c r="O4221" s="1" t="s">
        <v>1010</v>
      </c>
      <c r="P4221" s="1" t="s">
        <v>401</v>
      </c>
      <c r="Q4221" s="63" t="s">
        <v>12512</v>
      </c>
      <c r="R4221" s="1" t="s">
        <v>100</v>
      </c>
      <c r="S4221" s="66" t="s">
        <v>379</v>
      </c>
      <c r="T4221" s="66" t="s">
        <v>30738</v>
      </c>
    </row>
    <row r="4222" spans="1:62" ht="12" customHeight="1" x14ac:dyDescent="0.15">
      <c r="A4222" s="1" t="s">
        <v>12507</v>
      </c>
      <c r="B4222" s="1">
        <v>20</v>
      </c>
      <c r="C4222" s="1" t="s">
        <v>114</v>
      </c>
      <c r="D4222" s="1" t="s">
        <v>48</v>
      </c>
      <c r="E4222" s="1" t="s">
        <v>12508</v>
      </c>
      <c r="F4222" s="72">
        <v>41622</v>
      </c>
      <c r="G4222" s="1" t="s">
        <v>12509</v>
      </c>
      <c r="H4222" s="1" t="s">
        <v>6234</v>
      </c>
      <c r="I4222" s="1" t="s">
        <v>45</v>
      </c>
      <c r="J4222" s="4" t="s">
        <v>12510</v>
      </c>
      <c r="K4222" s="1" t="s">
        <v>98</v>
      </c>
      <c r="L4222" s="11" t="s">
        <v>414</v>
      </c>
      <c r="M4222" s="1" t="s">
        <v>379</v>
      </c>
      <c r="N4222" s="1" t="s">
        <v>12511</v>
      </c>
      <c r="O4222" s="1" t="s">
        <v>1010</v>
      </c>
      <c r="P4222" s="1" t="s">
        <v>401</v>
      </c>
      <c r="Q4222" s="63" t="s">
        <v>12512</v>
      </c>
      <c r="R4222" s="1" t="s">
        <v>100</v>
      </c>
      <c r="S4222" s="66" t="s">
        <v>379</v>
      </c>
      <c r="T4222" s="66" t="s">
        <v>30738</v>
      </c>
    </row>
    <row r="4223" spans="1:62" ht="12" customHeight="1" x14ac:dyDescent="0.15">
      <c r="A4223" s="1" t="s">
        <v>12521</v>
      </c>
      <c r="B4223" s="1">
        <v>35</v>
      </c>
      <c r="C4223" s="1" t="s">
        <v>20</v>
      </c>
      <c r="D4223" s="1" t="s">
        <v>30</v>
      </c>
      <c r="F4223" s="72">
        <v>41622</v>
      </c>
      <c r="G4223" s="1" t="s">
        <v>12498</v>
      </c>
      <c r="H4223" s="1" t="s">
        <v>5191</v>
      </c>
      <c r="I4223" s="1" t="s">
        <v>45</v>
      </c>
      <c r="J4223" s="4" t="s">
        <v>12499</v>
      </c>
      <c r="K4223" s="1" t="s">
        <v>98</v>
      </c>
      <c r="L4223" s="11" t="s">
        <v>414</v>
      </c>
      <c r="M4223" s="1" t="s">
        <v>379</v>
      </c>
      <c r="N4223" s="1" t="s">
        <v>21184</v>
      </c>
      <c r="O4223" s="1" t="s">
        <v>1010</v>
      </c>
      <c r="P4223" s="1" t="s">
        <v>401</v>
      </c>
      <c r="Q4223" s="63" t="s">
        <v>12500</v>
      </c>
      <c r="R4223" s="1" t="s">
        <v>100</v>
      </c>
      <c r="S4223" s="66" t="s">
        <v>379</v>
      </c>
      <c r="T4223" s="66" t="s">
        <v>30738</v>
      </c>
    </row>
    <row r="4224" spans="1:62" ht="12" customHeight="1" x14ac:dyDescent="0.15">
      <c r="A4224" s="1" t="s">
        <v>3252</v>
      </c>
      <c r="B4224" s="1" t="s">
        <v>29</v>
      </c>
      <c r="C4224" s="1" t="s">
        <v>29</v>
      </c>
      <c r="D4224" s="1" t="s">
        <v>30</v>
      </c>
      <c r="F4224" s="72">
        <v>41622</v>
      </c>
      <c r="G4224" s="1" t="s">
        <v>12498</v>
      </c>
      <c r="H4224" s="1" t="s">
        <v>5191</v>
      </c>
      <c r="I4224" s="1" t="s">
        <v>45</v>
      </c>
      <c r="J4224" s="4" t="s">
        <v>12499</v>
      </c>
      <c r="K4224" s="1" t="s">
        <v>98</v>
      </c>
      <c r="L4224" s="11" t="s">
        <v>414</v>
      </c>
      <c r="M4224" s="1" t="s">
        <v>379</v>
      </c>
      <c r="N4224" s="1" t="s">
        <v>21185</v>
      </c>
      <c r="O4224" s="1" t="s">
        <v>1010</v>
      </c>
      <c r="P4224" s="1" t="s">
        <v>401</v>
      </c>
      <c r="Q4224" s="63" t="s">
        <v>12500</v>
      </c>
      <c r="R4224" s="1" t="s">
        <v>100</v>
      </c>
      <c r="S4224" s="66" t="s">
        <v>379</v>
      </c>
      <c r="T4224" s="66" t="s">
        <v>30738</v>
      </c>
    </row>
    <row r="4225" spans="1:63" ht="12" customHeight="1" x14ac:dyDescent="0.15">
      <c r="A4225" s="1" t="s">
        <v>12522</v>
      </c>
      <c r="B4225" s="1">
        <v>58</v>
      </c>
      <c r="C4225" s="1" t="s">
        <v>20</v>
      </c>
      <c r="D4225" s="1" t="s">
        <v>30</v>
      </c>
      <c r="F4225" s="72">
        <v>41622</v>
      </c>
      <c r="G4225" s="1" t="s">
        <v>12523</v>
      </c>
      <c r="H4225" s="1" t="s">
        <v>12524</v>
      </c>
      <c r="I4225" s="1" t="s">
        <v>225</v>
      </c>
      <c r="J4225" s="4" t="s">
        <v>12525</v>
      </c>
      <c r="K4225" s="1" t="s">
        <v>1990</v>
      </c>
      <c r="L4225" s="1" t="s">
        <v>12526</v>
      </c>
      <c r="M4225" s="1" t="s">
        <v>27</v>
      </c>
      <c r="N4225" s="1" t="s">
        <v>12527</v>
      </c>
      <c r="O4225" s="1" t="s">
        <v>1010</v>
      </c>
      <c r="P4225" s="1" t="s">
        <v>401</v>
      </c>
      <c r="Q4225" s="63" t="s">
        <v>12528</v>
      </c>
      <c r="R4225" s="1" t="s">
        <v>29</v>
      </c>
      <c r="S4225" s="13" t="s">
        <v>28</v>
      </c>
    </row>
    <row r="4226" spans="1:63" ht="12" customHeight="1" x14ac:dyDescent="0.15">
      <c r="A4226" s="1" t="s">
        <v>12501</v>
      </c>
      <c r="B4226" s="1">
        <v>43</v>
      </c>
      <c r="C4226" s="1" t="s">
        <v>20</v>
      </c>
      <c r="D4226" s="1" t="s">
        <v>48</v>
      </c>
      <c r="F4226" s="72">
        <v>41622</v>
      </c>
      <c r="G4226" s="1" t="s">
        <v>12502</v>
      </c>
      <c r="H4226" s="1" t="s">
        <v>12503</v>
      </c>
      <c r="I4226" s="1" t="s">
        <v>870</v>
      </c>
      <c r="J4226" s="4" t="s">
        <v>12504</v>
      </c>
      <c r="K4226" s="1" t="s">
        <v>2362</v>
      </c>
      <c r="L4226" s="1" t="s">
        <v>3582</v>
      </c>
      <c r="M4226" s="1" t="s">
        <v>27</v>
      </c>
      <c r="N4226" s="1" t="s">
        <v>12505</v>
      </c>
      <c r="O4226" s="1" t="s">
        <v>1010</v>
      </c>
      <c r="P4226" s="1" t="s">
        <v>401</v>
      </c>
      <c r="Q4226" s="63" t="s">
        <v>12506</v>
      </c>
      <c r="R4226" s="1" t="s">
        <v>555</v>
      </c>
      <c r="S4226" s="13" t="s">
        <v>28</v>
      </c>
      <c r="BA4226" s="11"/>
      <c r="BB4226" s="11"/>
    </row>
    <row r="4227" spans="1:63" ht="12" customHeight="1" x14ac:dyDescent="0.15">
      <c r="A4227" s="1" t="s">
        <v>12536</v>
      </c>
      <c r="B4227" s="1">
        <v>23</v>
      </c>
      <c r="C4227" s="1" t="s">
        <v>20</v>
      </c>
      <c r="D4227" s="1" t="s">
        <v>37</v>
      </c>
      <c r="E4227" s="1" t="s">
        <v>12537</v>
      </c>
      <c r="F4227" s="72">
        <v>41621</v>
      </c>
      <c r="G4227" s="1" t="s">
        <v>12538</v>
      </c>
      <c r="H4227" s="1" t="s">
        <v>12539</v>
      </c>
      <c r="I4227" s="1" t="s">
        <v>438</v>
      </c>
      <c r="J4227" s="4" t="s">
        <v>12540</v>
      </c>
      <c r="K4227" s="1" t="s">
        <v>570</v>
      </c>
      <c r="L4227" s="1" t="s">
        <v>12541</v>
      </c>
      <c r="M4227" s="1" t="s">
        <v>27</v>
      </c>
      <c r="N4227" s="1" t="s">
        <v>12542</v>
      </c>
      <c r="O4227" s="1" t="s">
        <v>550</v>
      </c>
      <c r="P4227" s="1" t="s">
        <v>401</v>
      </c>
      <c r="Q4227" s="63" t="s">
        <v>12543</v>
      </c>
      <c r="R4227" s="11" t="s">
        <v>964</v>
      </c>
      <c r="S4227" s="13" t="s">
        <v>28</v>
      </c>
      <c r="BC4227" s="44"/>
      <c r="BD4227" s="44"/>
      <c r="BE4227" s="44"/>
      <c r="BF4227" s="44"/>
      <c r="BG4227" s="44"/>
      <c r="BH4227" s="44"/>
      <c r="BI4227" s="44"/>
      <c r="BJ4227" s="44"/>
    </row>
    <row r="4228" spans="1:63" ht="12" customHeight="1" x14ac:dyDescent="0.15">
      <c r="A4228" s="1" t="s">
        <v>12544</v>
      </c>
      <c r="B4228" s="1">
        <v>43</v>
      </c>
      <c r="C4228" s="1" t="s">
        <v>20</v>
      </c>
      <c r="D4228" s="1" t="s">
        <v>37</v>
      </c>
      <c r="E4228" s="1" t="s">
        <v>12545</v>
      </c>
      <c r="F4228" s="72">
        <v>41621</v>
      </c>
      <c r="G4228" s="1" t="s">
        <v>12546</v>
      </c>
      <c r="H4228" s="1" t="s">
        <v>12547</v>
      </c>
      <c r="I4228" s="1" t="s">
        <v>41</v>
      </c>
      <c r="J4228" s="4" t="s">
        <v>12548</v>
      </c>
      <c r="K4228" s="1" t="s">
        <v>849</v>
      </c>
      <c r="L4228" s="1" t="s">
        <v>12549</v>
      </c>
      <c r="M4228" s="1" t="s">
        <v>27</v>
      </c>
      <c r="N4228" s="1" t="s">
        <v>12550</v>
      </c>
      <c r="O4228" s="1" t="s">
        <v>1010</v>
      </c>
      <c r="P4228" s="1" t="s">
        <v>401</v>
      </c>
      <c r="Q4228" s="63" t="s">
        <v>12551</v>
      </c>
      <c r="R4228" s="1" t="s">
        <v>29</v>
      </c>
      <c r="S4228" s="13" t="s">
        <v>28</v>
      </c>
      <c r="BC4228" s="11"/>
      <c r="BD4228" s="11"/>
      <c r="BE4228" s="11"/>
      <c r="BF4228" s="11"/>
      <c r="BG4228" s="11"/>
      <c r="BH4228" s="11"/>
      <c r="BI4228" s="11"/>
      <c r="BJ4228" s="11"/>
    </row>
    <row r="4229" spans="1:63" ht="12" customHeight="1" x14ac:dyDescent="0.15">
      <c r="A4229" s="1" t="s">
        <v>12529</v>
      </c>
      <c r="B4229" s="1">
        <v>41</v>
      </c>
      <c r="C4229" s="1" t="s">
        <v>20</v>
      </c>
      <c r="D4229" s="1" t="s">
        <v>37</v>
      </c>
      <c r="E4229" s="1" t="s">
        <v>12530</v>
      </c>
      <c r="F4229" s="72">
        <v>41621</v>
      </c>
      <c r="G4229" s="1" t="s">
        <v>24481</v>
      </c>
      <c r="H4229" s="1" t="s">
        <v>12531</v>
      </c>
      <c r="I4229" s="1" t="s">
        <v>44</v>
      </c>
      <c r="J4229" s="4" t="s">
        <v>12532</v>
      </c>
      <c r="K4229" s="1" t="s">
        <v>88</v>
      </c>
      <c r="L4229" s="1" t="s">
        <v>12533</v>
      </c>
      <c r="M4229" s="1" t="s">
        <v>27</v>
      </c>
      <c r="N4229" s="1" t="s">
        <v>12534</v>
      </c>
      <c r="O4229" s="1" t="s">
        <v>1010</v>
      </c>
      <c r="P4229" s="1" t="s">
        <v>401</v>
      </c>
      <c r="Q4229" s="63" t="s">
        <v>12535</v>
      </c>
      <c r="R4229" s="1" t="s">
        <v>29</v>
      </c>
      <c r="S4229" s="13" t="s">
        <v>28</v>
      </c>
      <c r="BC4229" s="11"/>
      <c r="BD4229" s="11"/>
      <c r="BE4229" s="11"/>
      <c r="BF4229" s="11"/>
      <c r="BG4229" s="11"/>
      <c r="BH4229" s="11"/>
      <c r="BI4229" s="11"/>
      <c r="BJ4229" s="11"/>
    </row>
    <row r="4230" spans="1:63" ht="12" customHeight="1" x14ac:dyDescent="0.15">
      <c r="A4230" s="1" t="s">
        <v>12552</v>
      </c>
      <c r="B4230" s="1">
        <v>51</v>
      </c>
      <c r="C4230" s="1" t="s">
        <v>20</v>
      </c>
      <c r="D4230" s="1" t="s">
        <v>37</v>
      </c>
      <c r="E4230" s="1" t="s">
        <v>12553</v>
      </c>
      <c r="F4230" s="72">
        <v>41621</v>
      </c>
      <c r="G4230" s="1" t="s">
        <v>12554</v>
      </c>
      <c r="H4230" s="1" t="s">
        <v>98</v>
      </c>
      <c r="I4230" s="1" t="s">
        <v>45</v>
      </c>
      <c r="J4230" s="4" t="s">
        <v>12555</v>
      </c>
      <c r="K4230" s="1" t="s">
        <v>98</v>
      </c>
      <c r="L4230" s="1" t="s">
        <v>99</v>
      </c>
      <c r="M4230" s="1" t="s">
        <v>27</v>
      </c>
      <c r="N4230" s="1" t="s">
        <v>12556</v>
      </c>
      <c r="O4230" s="1" t="s">
        <v>12557</v>
      </c>
      <c r="P4230" s="1" t="s">
        <v>401</v>
      </c>
      <c r="Q4230" s="63" t="s">
        <v>12558</v>
      </c>
      <c r="R4230" s="1" t="s">
        <v>555</v>
      </c>
      <c r="S4230" s="13" t="s">
        <v>18</v>
      </c>
      <c r="BA4230" s="44"/>
      <c r="BB4230" s="44"/>
      <c r="BC4230" s="11"/>
      <c r="BD4230" s="11"/>
      <c r="BE4230" s="11"/>
      <c r="BF4230" s="11"/>
      <c r="BG4230" s="11"/>
      <c r="BH4230" s="11"/>
      <c r="BI4230" s="11"/>
      <c r="BJ4230" s="11"/>
    </row>
    <row r="4231" spans="1:63" ht="12" customHeight="1" x14ac:dyDescent="0.15">
      <c r="A4231" s="1" t="s">
        <v>12565</v>
      </c>
      <c r="B4231" s="1">
        <v>61</v>
      </c>
      <c r="C4231" s="1" t="s">
        <v>20</v>
      </c>
      <c r="D4231" s="1" t="s">
        <v>37</v>
      </c>
      <c r="E4231" s="1" t="s">
        <v>12566</v>
      </c>
      <c r="F4231" s="72">
        <v>41620</v>
      </c>
      <c r="G4231" s="1" t="s">
        <v>12567</v>
      </c>
      <c r="H4231" s="1" t="s">
        <v>12568</v>
      </c>
      <c r="I4231" s="1" t="s">
        <v>4371</v>
      </c>
      <c r="J4231" s="4" t="s">
        <v>12569</v>
      </c>
      <c r="K4231" s="1" t="s">
        <v>1604</v>
      </c>
      <c r="L4231" s="1" t="s">
        <v>4374</v>
      </c>
      <c r="M4231" s="1" t="s">
        <v>27</v>
      </c>
      <c r="N4231" s="1" t="s">
        <v>12570</v>
      </c>
      <c r="O4231" s="1" t="s">
        <v>550</v>
      </c>
      <c r="P4231" s="1" t="s">
        <v>401</v>
      </c>
      <c r="Q4231" s="63" t="s">
        <v>12571</v>
      </c>
      <c r="R4231" s="11" t="s">
        <v>964</v>
      </c>
      <c r="S4231" s="13" t="s">
        <v>28</v>
      </c>
      <c r="BC4231" s="11"/>
      <c r="BD4231" s="11"/>
      <c r="BE4231" s="11"/>
      <c r="BF4231" s="11"/>
      <c r="BG4231" s="11"/>
      <c r="BH4231" s="11"/>
      <c r="BI4231" s="11"/>
      <c r="BJ4231" s="11"/>
    </row>
    <row r="4232" spans="1:63" ht="12" customHeight="1" x14ac:dyDescent="0.15">
      <c r="A4232" s="1" t="s">
        <v>12559</v>
      </c>
      <c r="B4232" s="1">
        <v>50</v>
      </c>
      <c r="C4232" s="1" t="s">
        <v>20</v>
      </c>
      <c r="D4232" s="1" t="s">
        <v>85</v>
      </c>
      <c r="E4232" s="1" t="s">
        <v>12560</v>
      </c>
      <c r="F4232" s="72">
        <v>41620</v>
      </c>
      <c r="G4232" s="1" t="s">
        <v>24482</v>
      </c>
      <c r="H4232" s="1" t="s">
        <v>1287</v>
      </c>
      <c r="I4232" s="1" t="s">
        <v>69</v>
      </c>
      <c r="J4232" s="4" t="s">
        <v>12561</v>
      </c>
      <c r="K4232" s="1" t="s">
        <v>1288</v>
      </c>
      <c r="L4232" s="1" t="s">
        <v>12562</v>
      </c>
      <c r="M4232" s="1" t="s">
        <v>27</v>
      </c>
      <c r="N4232" s="1" t="s">
        <v>12563</v>
      </c>
      <c r="O4232" s="1" t="s">
        <v>550</v>
      </c>
      <c r="P4232" s="1" t="s">
        <v>401</v>
      </c>
      <c r="Q4232" s="63" t="s">
        <v>12564</v>
      </c>
      <c r="R4232" s="1" t="s">
        <v>29</v>
      </c>
      <c r="S4232" s="13" t="s">
        <v>28</v>
      </c>
      <c r="AX4232" s="11"/>
      <c r="AY4232" s="11"/>
      <c r="BC4232" s="44"/>
      <c r="BD4232" s="44"/>
      <c r="BE4232" s="44"/>
      <c r="BF4232" s="44"/>
      <c r="BG4232" s="44"/>
      <c r="BH4232" s="44"/>
      <c r="BI4232" s="44"/>
      <c r="BJ4232" s="44"/>
    </row>
    <row r="4233" spans="1:63" ht="12" customHeight="1" x14ac:dyDescent="0.15">
      <c r="A4233" s="1" t="s">
        <v>12572</v>
      </c>
      <c r="B4233" s="1">
        <v>43</v>
      </c>
      <c r="C4233" s="1" t="s">
        <v>20</v>
      </c>
      <c r="D4233" s="1" t="s">
        <v>37</v>
      </c>
      <c r="F4233" s="72">
        <v>41620</v>
      </c>
      <c r="G4233" s="1" t="s">
        <v>12573</v>
      </c>
      <c r="H4233" s="1" t="s">
        <v>12574</v>
      </c>
      <c r="I4233" s="1" t="s">
        <v>303</v>
      </c>
      <c r="J4233" s="4" t="s">
        <v>12575</v>
      </c>
      <c r="K4233" s="1" t="s">
        <v>938</v>
      </c>
      <c r="L4233" s="1" t="s">
        <v>12576</v>
      </c>
      <c r="M4233" s="1" t="s">
        <v>27</v>
      </c>
      <c r="N4233" s="1" t="s">
        <v>12577</v>
      </c>
      <c r="O4233" s="1" t="s">
        <v>550</v>
      </c>
      <c r="P4233" s="1" t="s">
        <v>401</v>
      </c>
      <c r="Q4233" s="63" t="s">
        <v>12578</v>
      </c>
      <c r="R4233" s="1" t="s">
        <v>29</v>
      </c>
      <c r="S4233" s="13" t="s">
        <v>379</v>
      </c>
      <c r="BC4233" s="11"/>
      <c r="BD4233" s="11"/>
      <c r="BE4233" s="11"/>
      <c r="BF4233" s="11"/>
      <c r="BG4233" s="11"/>
      <c r="BH4233" s="11"/>
      <c r="BI4233" s="11"/>
      <c r="BJ4233" s="11"/>
    </row>
    <row r="4234" spans="1:63" ht="12" customHeight="1" x14ac:dyDescent="0.15">
      <c r="A4234" s="1" t="s">
        <v>12596</v>
      </c>
      <c r="B4234" s="1">
        <v>64</v>
      </c>
      <c r="C4234" s="1" t="s">
        <v>20</v>
      </c>
      <c r="D4234" s="1" t="s">
        <v>37</v>
      </c>
      <c r="E4234" s="1" t="s">
        <v>12597</v>
      </c>
      <c r="F4234" s="72">
        <v>41619</v>
      </c>
      <c r="G4234" s="1" t="s">
        <v>12598</v>
      </c>
      <c r="H4234" s="1" t="s">
        <v>5229</v>
      </c>
      <c r="I4234" s="1" t="s">
        <v>62</v>
      </c>
      <c r="J4234" s="4" t="s">
        <v>12599</v>
      </c>
      <c r="K4234" s="1" t="s">
        <v>2397</v>
      </c>
      <c r="L4234" s="1" t="s">
        <v>12600</v>
      </c>
      <c r="M4234" s="1" t="s">
        <v>27</v>
      </c>
      <c r="N4234" s="1" t="s">
        <v>12601</v>
      </c>
      <c r="O4234" s="1" t="s">
        <v>1010</v>
      </c>
      <c r="P4234" s="1" t="s">
        <v>401</v>
      </c>
      <c r="Q4234" s="63" t="s">
        <v>12602</v>
      </c>
      <c r="R4234" s="11" t="s">
        <v>964</v>
      </c>
      <c r="S4234" s="13" t="s">
        <v>28</v>
      </c>
      <c r="BC4234" s="11"/>
      <c r="BD4234" s="11"/>
      <c r="BE4234" s="11"/>
      <c r="BF4234" s="11"/>
      <c r="BG4234" s="11"/>
      <c r="BH4234" s="11"/>
      <c r="BI4234" s="11"/>
      <c r="BJ4234" s="11"/>
    </row>
    <row r="4235" spans="1:63" ht="12" customHeight="1" x14ac:dyDescent="0.15">
      <c r="A4235" s="1" t="s">
        <v>12579</v>
      </c>
      <c r="B4235" s="1">
        <v>70</v>
      </c>
      <c r="C4235" s="1" t="s">
        <v>20</v>
      </c>
      <c r="D4235" s="1" t="s">
        <v>37</v>
      </c>
      <c r="E4235" s="1" t="s">
        <v>12580</v>
      </c>
      <c r="F4235" s="72">
        <v>41619</v>
      </c>
      <c r="G4235" s="1" t="s">
        <v>12581</v>
      </c>
      <c r="H4235" s="1" t="s">
        <v>12582</v>
      </c>
      <c r="I4235" s="1" t="s">
        <v>73</v>
      </c>
      <c r="J4235" s="4" t="s">
        <v>12583</v>
      </c>
      <c r="K4235" s="1" t="s">
        <v>12584</v>
      </c>
      <c r="L4235" s="1" t="s">
        <v>12585</v>
      </c>
      <c r="M4235" s="1" t="s">
        <v>14359</v>
      </c>
      <c r="N4235" s="1" t="s">
        <v>12586</v>
      </c>
      <c r="O4235" s="1" t="s">
        <v>29651</v>
      </c>
      <c r="P4235" s="1" t="s">
        <v>29652</v>
      </c>
      <c r="Q4235" s="63" t="s">
        <v>12587</v>
      </c>
      <c r="R4235" s="1" t="s">
        <v>100</v>
      </c>
      <c r="S4235" s="13" t="s">
        <v>18</v>
      </c>
      <c r="AX4235" s="44"/>
      <c r="AY4235" s="44"/>
      <c r="AZ4235" s="44"/>
      <c r="BC4235" s="11"/>
      <c r="BD4235" s="11"/>
      <c r="BE4235" s="11"/>
      <c r="BF4235" s="11"/>
      <c r="BG4235" s="11"/>
      <c r="BH4235" s="11"/>
      <c r="BI4235" s="11"/>
      <c r="BJ4235" s="11"/>
    </row>
    <row r="4236" spans="1:63" ht="12" customHeight="1" x14ac:dyDescent="0.15">
      <c r="A4236" s="1" t="s">
        <v>12588</v>
      </c>
      <c r="B4236" s="1">
        <v>35</v>
      </c>
      <c r="C4236" s="1" t="s">
        <v>114</v>
      </c>
      <c r="D4236" s="1" t="s">
        <v>37</v>
      </c>
      <c r="E4236" s="1" t="s">
        <v>12589</v>
      </c>
      <c r="F4236" s="72">
        <v>41619</v>
      </c>
      <c r="G4236" s="1" t="s">
        <v>12590</v>
      </c>
      <c r="H4236" s="1" t="s">
        <v>12591</v>
      </c>
      <c r="I4236" s="1" t="s">
        <v>69</v>
      </c>
      <c r="J4236" s="4" t="s">
        <v>12592</v>
      </c>
      <c r="K4236" s="1" t="s">
        <v>3223</v>
      </c>
      <c r="L4236" s="1" t="s">
        <v>12593</v>
      </c>
      <c r="M4236" s="1" t="s">
        <v>27</v>
      </c>
      <c r="N4236" s="1" t="s">
        <v>12594</v>
      </c>
      <c r="O4236" s="1" t="s">
        <v>550</v>
      </c>
      <c r="P4236" s="1" t="s">
        <v>401</v>
      </c>
      <c r="Q4236" s="63" t="s">
        <v>12595</v>
      </c>
      <c r="R4236" s="1" t="s">
        <v>100</v>
      </c>
      <c r="S4236" s="13" t="s">
        <v>18</v>
      </c>
      <c r="BC4236" s="11"/>
      <c r="BD4236" s="11"/>
      <c r="BE4236" s="11"/>
      <c r="BF4236" s="11"/>
      <c r="BG4236" s="11"/>
      <c r="BH4236" s="11"/>
      <c r="BI4236" s="11"/>
      <c r="BJ4236" s="11"/>
    </row>
    <row r="4237" spans="1:63" ht="12" customHeight="1" x14ac:dyDescent="0.15">
      <c r="A4237" s="1" t="s">
        <v>12608</v>
      </c>
      <c r="B4237" s="1">
        <v>27</v>
      </c>
      <c r="C4237" s="1" t="s">
        <v>20</v>
      </c>
      <c r="D4237" s="1" t="s">
        <v>37</v>
      </c>
      <c r="E4237" s="1" t="s">
        <v>12609</v>
      </c>
      <c r="F4237" s="72">
        <v>41618</v>
      </c>
      <c r="G4237" s="1" t="s">
        <v>12605</v>
      </c>
      <c r="H4237" s="1" t="s">
        <v>213</v>
      </c>
      <c r="I4237" s="1" t="s">
        <v>62</v>
      </c>
      <c r="J4237" s="4" t="s">
        <v>9078</v>
      </c>
      <c r="K4237" s="1" t="s">
        <v>161</v>
      </c>
      <c r="L4237" s="1" t="s">
        <v>162</v>
      </c>
      <c r="M4237" s="1" t="s">
        <v>27</v>
      </c>
      <c r="N4237" s="1" t="s">
        <v>12610</v>
      </c>
      <c r="O4237" s="1" t="s">
        <v>400</v>
      </c>
      <c r="P4237" s="1" t="s">
        <v>401</v>
      </c>
      <c r="Q4237" s="63" t="s">
        <v>12607</v>
      </c>
      <c r="R4237" s="11" t="s">
        <v>964</v>
      </c>
      <c r="S4237" s="13" t="s">
        <v>18</v>
      </c>
      <c r="BC4237" s="11"/>
      <c r="BD4237" s="11"/>
      <c r="BE4237" s="11"/>
      <c r="BF4237" s="11"/>
      <c r="BG4237" s="11"/>
      <c r="BH4237" s="11"/>
      <c r="BI4237" s="11"/>
      <c r="BJ4237" s="11"/>
    </row>
    <row r="4238" spans="1:63" ht="12" customHeight="1" x14ac:dyDescent="0.15">
      <c r="A4238" s="1" t="s">
        <v>12603</v>
      </c>
      <c r="B4238" s="1">
        <v>50</v>
      </c>
      <c r="C4238" s="1" t="s">
        <v>20</v>
      </c>
      <c r="D4238" s="1" t="s">
        <v>48</v>
      </c>
      <c r="E4238" s="1" t="s">
        <v>12604</v>
      </c>
      <c r="F4238" s="72">
        <v>41618</v>
      </c>
      <c r="G4238" s="1" t="s">
        <v>12605</v>
      </c>
      <c r="H4238" s="1" t="s">
        <v>213</v>
      </c>
      <c r="I4238" s="1" t="s">
        <v>62</v>
      </c>
      <c r="J4238" s="4" t="s">
        <v>9078</v>
      </c>
      <c r="K4238" s="1" t="s">
        <v>161</v>
      </c>
      <c r="L4238" s="1" t="s">
        <v>162</v>
      </c>
      <c r="M4238" s="1" t="s">
        <v>27</v>
      </c>
      <c r="N4238" s="1" t="s">
        <v>12606</v>
      </c>
      <c r="O4238" s="1" t="s">
        <v>1010</v>
      </c>
      <c r="P4238" s="1" t="s">
        <v>401</v>
      </c>
      <c r="Q4238" s="63" t="s">
        <v>12607</v>
      </c>
      <c r="R4238" s="1" t="s">
        <v>100</v>
      </c>
      <c r="S4238" s="13" t="s">
        <v>18</v>
      </c>
    </row>
    <row r="4239" spans="1:63" ht="12" customHeight="1" x14ac:dyDescent="0.15">
      <c r="A4239" s="1" t="s">
        <v>12611</v>
      </c>
      <c r="B4239" s="1">
        <v>54</v>
      </c>
      <c r="C4239" s="1" t="s">
        <v>20</v>
      </c>
      <c r="D4239" s="1" t="s">
        <v>37</v>
      </c>
      <c r="E4239" s="1" t="s">
        <v>12612</v>
      </c>
      <c r="F4239" s="72">
        <v>41618</v>
      </c>
      <c r="G4239" s="1" t="s">
        <v>12613</v>
      </c>
      <c r="H4239" s="1" t="s">
        <v>9849</v>
      </c>
      <c r="I4239" s="1" t="s">
        <v>62</v>
      </c>
      <c r="J4239" s="4" t="s">
        <v>12614</v>
      </c>
      <c r="K4239" s="1" t="s">
        <v>4353</v>
      </c>
      <c r="L4239" s="1" t="s">
        <v>12615</v>
      </c>
      <c r="M4239" s="1" t="s">
        <v>14359</v>
      </c>
      <c r="N4239" s="1" t="s">
        <v>12616</v>
      </c>
      <c r="O4239" s="1" t="s">
        <v>1010</v>
      </c>
      <c r="P4239" s="1" t="s">
        <v>401</v>
      </c>
      <c r="Q4239" s="63" t="str">
        <f>HYPERLINK("http://web.tampabay.com/news/publicsafety/crime/new-port-richey-man-dies-after-being-stunned-in-confrontation-with-police/2158068","http://web.tampabay.com/news/publicsafety/crime/new-port-richey-man-dies-after-being-stunned-in-confrontation-with-police/2158068")</f>
        <v>http://web.tampabay.com/news/publicsafety/crime/new-port-richey-man-dies-after-being-stunned-in-confrontation-with-police/2158068</v>
      </c>
      <c r="R4239" s="1" t="s">
        <v>555</v>
      </c>
      <c r="S4239" s="13" t="s">
        <v>18</v>
      </c>
      <c r="AX4239" s="44"/>
      <c r="AY4239" s="44"/>
      <c r="AZ4239" s="44"/>
      <c r="BC4239" s="11"/>
      <c r="BD4239" s="11"/>
      <c r="BE4239" s="11"/>
      <c r="BF4239" s="11"/>
      <c r="BG4239" s="11"/>
      <c r="BH4239" s="11"/>
      <c r="BI4239" s="11"/>
      <c r="BJ4239" s="11"/>
    </row>
    <row r="4240" spans="1:63" ht="12" customHeight="1" x14ac:dyDescent="0.15">
      <c r="A4240" s="1" t="s">
        <v>12617</v>
      </c>
      <c r="B4240" s="1">
        <v>43</v>
      </c>
      <c r="C4240" s="1" t="s">
        <v>20</v>
      </c>
      <c r="D4240" s="1" t="s">
        <v>37</v>
      </c>
      <c r="E4240" s="1" t="s">
        <v>12618</v>
      </c>
      <c r="F4240" s="72">
        <v>41618</v>
      </c>
      <c r="G4240" s="1" t="s">
        <v>12619</v>
      </c>
      <c r="H4240" s="1" t="s">
        <v>7113</v>
      </c>
      <c r="I4240" s="1" t="s">
        <v>45</v>
      </c>
      <c r="J4240" s="4" t="s">
        <v>12620</v>
      </c>
      <c r="K4240" s="1" t="s">
        <v>607</v>
      </c>
      <c r="L4240" s="1" t="s">
        <v>20933</v>
      </c>
      <c r="M4240" s="1" t="s">
        <v>27</v>
      </c>
      <c r="N4240" s="1" t="s">
        <v>12621</v>
      </c>
      <c r="O4240" s="1" t="s">
        <v>1010</v>
      </c>
      <c r="P4240" s="1" t="s">
        <v>401</v>
      </c>
      <c r="Q4240" s="63" t="s">
        <v>12622</v>
      </c>
      <c r="R4240" s="1" t="s">
        <v>555</v>
      </c>
      <c r="S4240" s="13" t="s">
        <v>35</v>
      </c>
      <c r="BA4240" s="44"/>
      <c r="BB4240" s="44"/>
      <c r="BC4240" s="11"/>
      <c r="BD4240" s="11"/>
      <c r="BE4240" s="11"/>
      <c r="BF4240" s="11"/>
      <c r="BG4240" s="11"/>
      <c r="BH4240" s="11"/>
      <c r="BI4240" s="11"/>
      <c r="BJ4240" s="11"/>
      <c r="BK4240" s="11"/>
    </row>
    <row r="4241" spans="1:63" ht="12" customHeight="1" x14ac:dyDescent="0.15">
      <c r="A4241" s="1" t="s">
        <v>12623</v>
      </c>
      <c r="B4241" s="1">
        <v>26</v>
      </c>
      <c r="C4241" s="1" t="s">
        <v>20</v>
      </c>
      <c r="D4241" s="1" t="s">
        <v>37</v>
      </c>
      <c r="E4241" s="1" t="s">
        <v>12624</v>
      </c>
      <c r="F4241" s="72">
        <v>41617</v>
      </c>
      <c r="G4241" s="1" t="s">
        <v>24483</v>
      </c>
      <c r="H4241" s="1" t="s">
        <v>12625</v>
      </c>
      <c r="I4241" s="1" t="s">
        <v>404</v>
      </c>
      <c r="J4241" s="4" t="s">
        <v>12626</v>
      </c>
      <c r="K4241" s="1" t="s">
        <v>1635</v>
      </c>
      <c r="L4241" s="1" t="s">
        <v>12627</v>
      </c>
      <c r="M4241" s="1" t="s">
        <v>27</v>
      </c>
      <c r="N4241" s="1" t="s">
        <v>12628</v>
      </c>
      <c r="O4241" s="1" t="s">
        <v>1010</v>
      </c>
      <c r="P4241" s="1" t="s">
        <v>401</v>
      </c>
      <c r="Q4241" s="63" t="s">
        <v>12629</v>
      </c>
      <c r="R4241" s="1" t="s">
        <v>29</v>
      </c>
      <c r="S4241" s="13" t="s">
        <v>28</v>
      </c>
      <c r="BC4241" s="11"/>
      <c r="BD4241" s="11"/>
      <c r="BE4241" s="11"/>
      <c r="BF4241" s="11"/>
      <c r="BG4241" s="11"/>
      <c r="BH4241" s="11"/>
      <c r="BI4241" s="11"/>
      <c r="BJ4241" s="11"/>
    </row>
    <row r="4242" spans="1:63" ht="12" customHeight="1" x14ac:dyDescent="0.15">
      <c r="A4242" s="1" t="s">
        <v>12637</v>
      </c>
      <c r="B4242" s="1">
        <v>54</v>
      </c>
      <c r="C4242" s="1" t="s">
        <v>20</v>
      </c>
      <c r="D4242" s="1" t="s">
        <v>48</v>
      </c>
      <c r="F4242" s="72">
        <v>41616</v>
      </c>
      <c r="G4242" s="1" t="s">
        <v>12638</v>
      </c>
      <c r="H4242" s="1" t="s">
        <v>213</v>
      </c>
      <c r="I4242" s="1" t="s">
        <v>62</v>
      </c>
      <c r="J4242" s="4" t="s">
        <v>12639</v>
      </c>
      <c r="K4242" s="1" t="s">
        <v>161</v>
      </c>
      <c r="L4242" s="1" t="s">
        <v>162</v>
      </c>
      <c r="M4242" s="1" t="s">
        <v>27</v>
      </c>
      <c r="N4242" s="1" t="s">
        <v>12640</v>
      </c>
      <c r="O4242" s="1" t="s">
        <v>1010</v>
      </c>
      <c r="P4242" s="1" t="s">
        <v>401</v>
      </c>
      <c r="Q4242" s="63" t="str">
        <f>HYPERLINK("http://www.local10.com/news/man-dead-after-shootout-with-swat/23386254","http://www.local10.com/news/man-dead-after-shootout-with-swat/23386254")</f>
        <v>http://www.local10.com/news/man-dead-after-shootout-with-swat/23386254</v>
      </c>
      <c r="R4242" s="1" t="s">
        <v>100</v>
      </c>
      <c r="S4242" s="13" t="s">
        <v>28</v>
      </c>
    </row>
    <row r="4243" spans="1:63" ht="12" customHeight="1" x14ac:dyDescent="0.15">
      <c r="A4243" s="1" t="s">
        <v>12647</v>
      </c>
      <c r="B4243" s="1" t="s">
        <v>8724</v>
      </c>
      <c r="C4243" s="1" t="s">
        <v>20</v>
      </c>
      <c r="D4243" s="1" t="s">
        <v>37</v>
      </c>
      <c r="E4243" s="1" t="s">
        <v>12648</v>
      </c>
      <c r="F4243" s="72">
        <v>41616</v>
      </c>
      <c r="G4243" s="1" t="s">
        <v>12649</v>
      </c>
      <c r="H4243" s="1" t="s">
        <v>922</v>
      </c>
      <c r="I4243" s="1" t="s">
        <v>195</v>
      </c>
      <c r="J4243" s="4" t="s">
        <v>12650</v>
      </c>
      <c r="K4243" s="1" t="s">
        <v>467</v>
      </c>
      <c r="L4243" s="1" t="s">
        <v>4961</v>
      </c>
      <c r="M4243" s="1" t="s">
        <v>27</v>
      </c>
      <c r="N4243" s="1" t="s">
        <v>12651</v>
      </c>
      <c r="O4243" s="1" t="s">
        <v>29</v>
      </c>
      <c r="P4243" s="1" t="s">
        <v>401</v>
      </c>
      <c r="Q4243" s="63" t="s">
        <v>10114</v>
      </c>
      <c r="R4243" s="1" t="s">
        <v>100</v>
      </c>
      <c r="S4243" s="13" t="s">
        <v>28</v>
      </c>
      <c r="BC4243" s="11"/>
      <c r="BD4243" s="11"/>
      <c r="BE4243" s="11"/>
      <c r="BF4243" s="11"/>
      <c r="BG4243" s="11"/>
      <c r="BH4243" s="11"/>
      <c r="BI4243" s="11"/>
      <c r="BJ4243" s="11"/>
    </row>
    <row r="4244" spans="1:63" ht="12" customHeight="1" x14ac:dyDescent="0.2">
      <c r="A4244" s="1" t="s">
        <v>12652</v>
      </c>
      <c r="B4244" s="1">
        <v>65</v>
      </c>
      <c r="C4244" s="1" t="s">
        <v>20</v>
      </c>
      <c r="D4244" s="1" t="s">
        <v>37</v>
      </c>
      <c r="E4244" s="1" t="s">
        <v>12653</v>
      </c>
      <c r="F4244" s="72">
        <v>41616</v>
      </c>
      <c r="G4244" s="1" t="s">
        <v>12654</v>
      </c>
      <c r="H4244" s="1" t="s">
        <v>12655</v>
      </c>
      <c r="I4244" s="1" t="s">
        <v>45</v>
      </c>
      <c r="J4244" s="4" t="s">
        <v>12656</v>
      </c>
      <c r="K4244" s="1" t="s">
        <v>98</v>
      </c>
      <c r="L4244" s="11" t="s">
        <v>414</v>
      </c>
      <c r="M4244" s="1" t="s">
        <v>379</v>
      </c>
      <c r="N4244" s="1" t="s">
        <v>12657</v>
      </c>
      <c r="O4244" s="1" t="s">
        <v>3381</v>
      </c>
      <c r="P4244" s="1" t="s">
        <v>401</v>
      </c>
      <c r="Q4244" s="63" t="s">
        <v>12658</v>
      </c>
      <c r="R4244" s="1" t="s">
        <v>100</v>
      </c>
      <c r="S4244" s="13" t="s">
        <v>18</v>
      </c>
      <c r="BC4244" s="11"/>
      <c r="BD4244" s="11"/>
      <c r="BE4244" s="11"/>
      <c r="BF4244" s="11"/>
      <c r="BG4244" s="11"/>
      <c r="BH4244" s="11"/>
      <c r="BI4244" s="11"/>
      <c r="BJ4244" s="11"/>
      <c r="BK4244" s="70"/>
    </row>
    <row r="4245" spans="1:63" ht="12" customHeight="1" x14ac:dyDescent="0.15">
      <c r="A4245" s="1" t="s">
        <v>12630</v>
      </c>
      <c r="B4245" s="1">
        <v>21</v>
      </c>
      <c r="C4245" s="1" t="s">
        <v>20</v>
      </c>
      <c r="D4245" s="1" t="s">
        <v>85</v>
      </c>
      <c r="E4245" s="1" t="s">
        <v>12631</v>
      </c>
      <c r="F4245" s="72">
        <v>41616</v>
      </c>
      <c r="G4245" s="1" t="s">
        <v>12632</v>
      </c>
      <c r="H4245" s="1" t="s">
        <v>12633</v>
      </c>
      <c r="I4245" s="1" t="s">
        <v>404</v>
      </c>
      <c r="J4245" s="4" t="s">
        <v>12634</v>
      </c>
      <c r="K4245" s="1" t="s">
        <v>1635</v>
      </c>
      <c r="L4245" s="1" t="s">
        <v>9350</v>
      </c>
      <c r="M4245" s="1" t="s">
        <v>27</v>
      </c>
      <c r="N4245" s="1" t="s">
        <v>12635</v>
      </c>
      <c r="O4245" s="1" t="s">
        <v>550</v>
      </c>
      <c r="P4245" s="1" t="s">
        <v>401</v>
      </c>
      <c r="Q4245" s="63" t="s">
        <v>12636</v>
      </c>
      <c r="R4245" s="1" t="s">
        <v>29</v>
      </c>
      <c r="S4245" s="13" t="s">
        <v>28</v>
      </c>
      <c r="AX4245" s="11"/>
      <c r="AY4245" s="11"/>
      <c r="BC4245" s="44"/>
      <c r="BD4245" s="44"/>
      <c r="BE4245" s="44"/>
      <c r="BF4245" s="44"/>
      <c r="BG4245" s="44"/>
      <c r="BH4245" s="44"/>
      <c r="BI4245" s="44"/>
      <c r="BJ4245" s="44"/>
    </row>
    <row r="4246" spans="1:63" ht="12" customHeight="1" x14ac:dyDescent="0.15">
      <c r="A4246" s="1" t="s">
        <v>12641</v>
      </c>
      <c r="B4246" s="1">
        <v>57</v>
      </c>
      <c r="C4246" s="1" t="s">
        <v>20</v>
      </c>
      <c r="D4246" s="1" t="s">
        <v>48</v>
      </c>
      <c r="E4246" s="1" t="s">
        <v>12642</v>
      </c>
      <c r="F4246" s="72">
        <v>41616</v>
      </c>
      <c r="G4246" s="1" t="s">
        <v>12643</v>
      </c>
      <c r="H4246" s="1" t="s">
        <v>213</v>
      </c>
      <c r="I4246" s="1" t="s">
        <v>62</v>
      </c>
      <c r="J4246" s="4" t="s">
        <v>12644</v>
      </c>
      <c r="K4246" s="1" t="s">
        <v>161</v>
      </c>
      <c r="L4246" s="1" t="s">
        <v>456</v>
      </c>
      <c r="M4246" s="1" t="s">
        <v>27</v>
      </c>
      <c r="N4246" s="1" t="s">
        <v>12645</v>
      </c>
      <c r="O4246" s="1" t="s">
        <v>1010</v>
      </c>
      <c r="P4246" s="1" t="s">
        <v>401</v>
      </c>
      <c r="Q4246" s="63" t="s">
        <v>12646</v>
      </c>
      <c r="R4246" s="1" t="s">
        <v>29</v>
      </c>
      <c r="S4246" s="13" t="s">
        <v>28</v>
      </c>
    </row>
    <row r="4247" spans="1:63" ht="12" customHeight="1" x14ac:dyDescent="0.15">
      <c r="A4247" s="1" t="s">
        <v>12659</v>
      </c>
      <c r="B4247" s="1">
        <v>20</v>
      </c>
      <c r="C4247" s="1" t="s">
        <v>20</v>
      </c>
      <c r="D4247" s="1" t="s">
        <v>85</v>
      </c>
      <c r="E4247" s="1" t="s">
        <v>12660</v>
      </c>
      <c r="F4247" s="72">
        <v>41615</v>
      </c>
      <c r="G4247" s="1" t="s">
        <v>12661</v>
      </c>
      <c r="H4247" s="1" t="s">
        <v>822</v>
      </c>
      <c r="I4247" s="1" t="s">
        <v>46</v>
      </c>
      <c r="J4247" s="4" t="s">
        <v>12662</v>
      </c>
      <c r="K4247" s="1" t="s">
        <v>1699</v>
      </c>
      <c r="L4247" s="1" t="s">
        <v>3230</v>
      </c>
      <c r="M4247" s="1" t="s">
        <v>27</v>
      </c>
      <c r="N4247" s="1" t="s">
        <v>12663</v>
      </c>
      <c r="O4247" s="1" t="s">
        <v>1010</v>
      </c>
      <c r="P4247" s="1" t="s">
        <v>401</v>
      </c>
      <c r="Q4247" s="63" t="s">
        <v>12664</v>
      </c>
      <c r="R4247" s="1" t="s">
        <v>100</v>
      </c>
      <c r="S4247" s="13" t="s">
        <v>28</v>
      </c>
      <c r="AX4247" s="11"/>
      <c r="AY4247" s="11"/>
      <c r="BC4247" s="44"/>
      <c r="BD4247" s="44"/>
      <c r="BE4247" s="44"/>
      <c r="BF4247" s="44"/>
      <c r="BG4247" s="44"/>
      <c r="BH4247" s="44"/>
      <c r="BI4247" s="44"/>
      <c r="BJ4247" s="44"/>
    </row>
    <row r="4248" spans="1:63" ht="12" customHeight="1" x14ac:dyDescent="0.15">
      <c r="A4248" s="1" t="s">
        <v>12665</v>
      </c>
      <c r="B4248" s="1">
        <v>23</v>
      </c>
      <c r="C4248" s="1" t="s">
        <v>20</v>
      </c>
      <c r="D4248" s="1" t="s">
        <v>85</v>
      </c>
      <c r="F4248" s="72">
        <v>41615</v>
      </c>
      <c r="G4248" s="1" t="s">
        <v>12666</v>
      </c>
      <c r="H4248" s="1" t="s">
        <v>12667</v>
      </c>
      <c r="I4248" s="1" t="s">
        <v>303</v>
      </c>
      <c r="J4248" s="4" t="s">
        <v>12668</v>
      </c>
      <c r="K4248" s="1" t="s">
        <v>1209</v>
      </c>
      <c r="L4248" s="1" t="s">
        <v>12669</v>
      </c>
      <c r="M4248" s="1" t="s">
        <v>27</v>
      </c>
      <c r="N4248" s="1" t="s">
        <v>12670</v>
      </c>
      <c r="O4248" s="1" t="s">
        <v>1010</v>
      </c>
      <c r="P4248" s="1" t="s">
        <v>401</v>
      </c>
      <c r="Q4248" s="63" t="s">
        <v>12671</v>
      </c>
      <c r="R4248" s="1" t="s">
        <v>29</v>
      </c>
      <c r="S4248" s="13" t="s">
        <v>28</v>
      </c>
      <c r="AX4248" s="11"/>
      <c r="AY4248" s="11"/>
      <c r="BC4248" s="44"/>
      <c r="BD4248" s="44"/>
      <c r="BE4248" s="44"/>
      <c r="BF4248" s="44"/>
      <c r="BG4248" s="44"/>
      <c r="BH4248" s="44"/>
      <c r="BI4248" s="44"/>
      <c r="BJ4248" s="44"/>
    </row>
    <row r="4249" spans="1:63" ht="12" customHeight="1" x14ac:dyDescent="0.15">
      <c r="A4249" s="1" t="s">
        <v>12675</v>
      </c>
      <c r="B4249" s="1">
        <v>26</v>
      </c>
      <c r="C4249" s="1" t="s">
        <v>20</v>
      </c>
      <c r="D4249" s="1" t="s">
        <v>37</v>
      </c>
      <c r="E4249" s="1" t="s">
        <v>12676</v>
      </c>
      <c r="F4249" s="72">
        <v>41615</v>
      </c>
      <c r="G4249" s="1" t="s">
        <v>12677</v>
      </c>
      <c r="H4249" s="1" t="s">
        <v>655</v>
      </c>
      <c r="I4249" s="1" t="s">
        <v>269</v>
      </c>
      <c r="J4249" s="4" t="s">
        <v>12678</v>
      </c>
      <c r="K4249" s="1" t="s">
        <v>570</v>
      </c>
      <c r="L4249" s="1" t="s">
        <v>571</v>
      </c>
      <c r="M4249" s="1" t="s">
        <v>27</v>
      </c>
      <c r="N4249" s="1" t="s">
        <v>12679</v>
      </c>
      <c r="O4249" s="1" t="s">
        <v>1010</v>
      </c>
      <c r="P4249" s="1" t="s">
        <v>401</v>
      </c>
      <c r="Q4249" s="63" t="s">
        <v>12674</v>
      </c>
      <c r="R4249" s="1" t="s">
        <v>29</v>
      </c>
      <c r="S4249" s="13" t="s">
        <v>28</v>
      </c>
    </row>
    <row r="4250" spans="1:63" ht="12" customHeight="1" x14ac:dyDescent="0.15">
      <c r="A4250" s="1" t="s">
        <v>12672</v>
      </c>
      <c r="B4250" s="1">
        <v>26</v>
      </c>
      <c r="C4250" s="1" t="s">
        <v>20</v>
      </c>
      <c r="D4250" s="1" t="s">
        <v>37</v>
      </c>
      <c r="F4250" s="72">
        <v>41615</v>
      </c>
      <c r="G4250" s="1" t="s">
        <v>12673</v>
      </c>
      <c r="H4250" s="1" t="s">
        <v>655</v>
      </c>
      <c r="I4250" s="1" t="s">
        <v>269</v>
      </c>
      <c r="K4250" s="1" t="s">
        <v>570</v>
      </c>
      <c r="L4250" s="1" t="s">
        <v>571</v>
      </c>
      <c r="M4250" s="1" t="s">
        <v>27</v>
      </c>
      <c r="P4250" s="1" t="s">
        <v>401</v>
      </c>
      <c r="Q4250" s="63" t="s">
        <v>12674</v>
      </c>
      <c r="R4250" s="1" t="s">
        <v>29</v>
      </c>
      <c r="S4250" s="13" t="s">
        <v>28</v>
      </c>
      <c r="BC4250" s="11"/>
      <c r="BD4250" s="11"/>
      <c r="BE4250" s="11"/>
      <c r="BF4250" s="11"/>
      <c r="BG4250" s="11"/>
      <c r="BH4250" s="11"/>
      <c r="BI4250" s="11"/>
      <c r="BJ4250" s="11"/>
    </row>
    <row r="4251" spans="1:63" ht="12" customHeight="1" x14ac:dyDescent="0.15">
      <c r="A4251" s="1" t="s">
        <v>12686</v>
      </c>
      <c r="B4251" s="1">
        <v>23</v>
      </c>
      <c r="C4251" s="1" t="s">
        <v>20</v>
      </c>
      <c r="D4251" s="1" t="s">
        <v>37</v>
      </c>
      <c r="E4251" s="1" t="s">
        <v>12689</v>
      </c>
      <c r="F4251" s="72">
        <v>41614</v>
      </c>
      <c r="G4251" s="1" t="s">
        <v>12687</v>
      </c>
      <c r="H4251" s="1" t="s">
        <v>12690</v>
      </c>
      <c r="I4251" s="1" t="s">
        <v>73</v>
      </c>
      <c r="J4251" s="4" t="s">
        <v>12688</v>
      </c>
      <c r="K4251" s="1" t="s">
        <v>576</v>
      </c>
      <c r="L4251" s="1" t="s">
        <v>12691</v>
      </c>
      <c r="M4251" s="1" t="s">
        <v>27</v>
      </c>
      <c r="N4251" s="1" t="s">
        <v>21023</v>
      </c>
      <c r="O4251" s="1" t="s">
        <v>550</v>
      </c>
      <c r="P4251" s="1" t="s">
        <v>401</v>
      </c>
      <c r="Q4251" s="63" t="str">
        <f>HYPERLINK("http://www.today.com/news/unjustified-family-student-killed-campus-police-speaks-out-2D11723684","http://www.today.com/news/unjustified-family-student-killed-campus-police-speaks-out-2D11723684")</f>
        <v>http://www.today.com/news/unjustified-family-student-killed-campus-police-speaks-out-2D11723684</v>
      </c>
      <c r="R4251" s="11" t="s">
        <v>964</v>
      </c>
      <c r="S4251" s="13" t="s">
        <v>35</v>
      </c>
      <c r="BC4251" s="11"/>
      <c r="BD4251" s="11"/>
      <c r="BE4251" s="11"/>
      <c r="BF4251" s="11"/>
      <c r="BG4251" s="11"/>
      <c r="BH4251" s="11"/>
      <c r="BI4251" s="11"/>
      <c r="BJ4251" s="11"/>
      <c r="BK4251" s="11"/>
    </row>
    <row r="4252" spans="1:63" ht="12" customHeight="1" x14ac:dyDescent="0.2">
      <c r="A4252" s="66" t="s">
        <v>30700</v>
      </c>
      <c r="B4252" s="66">
        <v>23</v>
      </c>
      <c r="C4252" s="66" t="s">
        <v>20</v>
      </c>
      <c r="D4252" s="66" t="s">
        <v>85</v>
      </c>
      <c r="E4252" s="66"/>
      <c r="F4252" s="69">
        <v>41614</v>
      </c>
      <c r="G4252" s="66" t="s">
        <v>30701</v>
      </c>
      <c r="H4252" s="66" t="s">
        <v>14236</v>
      </c>
      <c r="I4252" s="66" t="s">
        <v>978</v>
      </c>
      <c r="J4252" s="66" t="s">
        <v>14237</v>
      </c>
      <c r="K4252" s="66" t="s">
        <v>1778</v>
      </c>
      <c r="L4252" s="66" t="s">
        <v>30702</v>
      </c>
      <c r="M4252" s="66" t="s">
        <v>27</v>
      </c>
      <c r="N4252" s="66" t="s">
        <v>30703</v>
      </c>
      <c r="O4252" s="66" t="s">
        <v>550</v>
      </c>
      <c r="P4252" s="66" t="s">
        <v>30375</v>
      </c>
      <c r="Q4252" s="76" t="s">
        <v>30704</v>
      </c>
      <c r="R4252" s="66" t="s">
        <v>100</v>
      </c>
      <c r="S4252" s="66" t="s">
        <v>28</v>
      </c>
      <c r="T4252" s="77"/>
      <c r="U4252" s="77"/>
      <c r="V4252" s="77"/>
      <c r="W4252" s="77"/>
      <c r="X4252" s="77"/>
      <c r="Y4252" s="66"/>
      <c r="Z4252" s="66"/>
      <c r="AA4252" s="66"/>
      <c r="AB4252" s="66"/>
      <c r="AC4252" s="66"/>
      <c r="AD4252" s="66"/>
      <c r="AE4252" s="66"/>
      <c r="AF4252" s="66"/>
      <c r="AG4252" s="66"/>
      <c r="AH4252" s="66"/>
      <c r="AI4252" s="66"/>
      <c r="AJ4252" s="66"/>
      <c r="AK4252" s="66"/>
      <c r="AL4252" s="66"/>
      <c r="AM4252" s="66"/>
      <c r="AN4252" s="66"/>
      <c r="AO4252" s="66"/>
      <c r="AP4252" s="66"/>
      <c r="AQ4252" s="66"/>
      <c r="AR4252" s="66"/>
      <c r="AS4252" s="66"/>
      <c r="AT4252" s="66"/>
      <c r="AU4252" s="66"/>
      <c r="AV4252" s="78"/>
      <c r="AW4252" s="78"/>
      <c r="AX4252" s="78"/>
      <c r="AY4252" s="78"/>
      <c r="AZ4252" s="78"/>
      <c r="BA4252" s="78"/>
      <c r="BB4252" s="78"/>
      <c r="BC4252" s="78"/>
      <c r="BD4252" s="78"/>
      <c r="BE4252" s="78"/>
      <c r="BF4252" s="78"/>
      <c r="BG4252" s="78"/>
      <c r="BH4252" s="78"/>
      <c r="BI4252" s="78"/>
      <c r="BJ4252" s="78"/>
    </row>
    <row r="4253" spans="1:63" ht="12" customHeight="1" x14ac:dyDescent="0.15">
      <c r="A4253" s="1" t="s">
        <v>12680</v>
      </c>
      <c r="B4253" s="1">
        <v>42</v>
      </c>
      <c r="C4253" s="1" t="s">
        <v>20</v>
      </c>
      <c r="D4253" s="1" t="s">
        <v>37</v>
      </c>
      <c r="E4253" s="1" t="s">
        <v>12681</v>
      </c>
      <c r="F4253" s="72">
        <v>41614</v>
      </c>
      <c r="G4253" s="1" t="s">
        <v>12682</v>
      </c>
      <c r="H4253" s="1" t="s">
        <v>632</v>
      </c>
      <c r="I4253" s="1" t="s">
        <v>123</v>
      </c>
      <c r="J4253" s="4" t="s">
        <v>12683</v>
      </c>
      <c r="K4253" s="1" t="s">
        <v>633</v>
      </c>
      <c r="L4253" s="1" t="s">
        <v>634</v>
      </c>
      <c r="M4253" s="1" t="s">
        <v>27</v>
      </c>
      <c r="N4253" s="1" t="s">
        <v>12684</v>
      </c>
      <c r="O4253" s="1" t="s">
        <v>1010</v>
      </c>
      <c r="P4253" s="1" t="s">
        <v>401</v>
      </c>
      <c r="Q4253" s="63" t="s">
        <v>12685</v>
      </c>
      <c r="R4253" s="1" t="s">
        <v>100</v>
      </c>
      <c r="S4253" s="13" t="s">
        <v>28</v>
      </c>
      <c r="BC4253" s="11"/>
      <c r="BD4253" s="11"/>
      <c r="BE4253" s="11"/>
      <c r="BF4253" s="11"/>
      <c r="BG4253" s="11"/>
      <c r="BH4253" s="11"/>
      <c r="BI4253" s="11"/>
      <c r="BJ4253" s="11"/>
    </row>
    <row r="4254" spans="1:63" ht="12" customHeight="1" x14ac:dyDescent="0.15">
      <c r="A4254" s="1" t="s">
        <v>12696</v>
      </c>
      <c r="B4254" s="1">
        <v>43</v>
      </c>
      <c r="C4254" s="1" t="s">
        <v>20</v>
      </c>
      <c r="D4254" s="1" t="s">
        <v>30</v>
      </c>
      <c r="F4254" s="72">
        <v>41613</v>
      </c>
      <c r="G4254" s="1" t="s">
        <v>12697</v>
      </c>
      <c r="H4254" s="1" t="s">
        <v>1760</v>
      </c>
      <c r="I4254" s="1" t="s">
        <v>45</v>
      </c>
      <c r="J4254" s="4" t="s">
        <v>1761</v>
      </c>
      <c r="K4254" s="1" t="s">
        <v>1762</v>
      </c>
      <c r="L4254" s="1" t="s">
        <v>1763</v>
      </c>
      <c r="M4254" s="1" t="s">
        <v>27</v>
      </c>
      <c r="N4254" s="1" t="s">
        <v>12698</v>
      </c>
      <c r="O4254" s="1" t="s">
        <v>1010</v>
      </c>
      <c r="P4254" s="1" t="s">
        <v>401</v>
      </c>
      <c r="Q4254" s="63" t="s">
        <v>12699</v>
      </c>
      <c r="R4254" s="1" t="s">
        <v>100</v>
      </c>
      <c r="S4254" s="13" t="s">
        <v>28</v>
      </c>
    </row>
    <row r="4255" spans="1:63" ht="12" customHeight="1" x14ac:dyDescent="0.15">
      <c r="A4255" s="1" t="s">
        <v>12692</v>
      </c>
      <c r="B4255" s="1">
        <v>49</v>
      </c>
      <c r="C4255" s="1" t="s">
        <v>20</v>
      </c>
      <c r="D4255" s="1" t="s">
        <v>30</v>
      </c>
      <c r="F4255" s="72">
        <v>41613</v>
      </c>
      <c r="G4255" s="1" t="s">
        <v>24484</v>
      </c>
      <c r="H4255" s="1" t="s">
        <v>5353</v>
      </c>
      <c r="I4255" s="1" t="s">
        <v>431</v>
      </c>
      <c r="J4255" s="4" t="s">
        <v>12693</v>
      </c>
      <c r="K4255" s="1" t="s">
        <v>433</v>
      </c>
      <c r="L4255" s="1" t="s">
        <v>1412</v>
      </c>
      <c r="M4255" s="1" t="s">
        <v>27</v>
      </c>
      <c r="N4255" s="1" t="s">
        <v>12694</v>
      </c>
      <c r="O4255" s="1" t="s">
        <v>1010</v>
      </c>
      <c r="P4255" s="1" t="s">
        <v>401</v>
      </c>
      <c r="Q4255" s="63" t="s">
        <v>12695</v>
      </c>
      <c r="R4255" s="1" t="s">
        <v>29</v>
      </c>
      <c r="S4255" s="13" t="s">
        <v>28</v>
      </c>
    </row>
    <row r="4256" spans="1:63" ht="12" customHeight="1" x14ac:dyDescent="0.15">
      <c r="A4256" s="1" t="s">
        <v>12700</v>
      </c>
      <c r="B4256" s="1">
        <v>73</v>
      </c>
      <c r="C4256" s="1" t="s">
        <v>20</v>
      </c>
      <c r="D4256" s="1" t="s">
        <v>85</v>
      </c>
      <c r="F4256" s="72">
        <v>41612</v>
      </c>
      <c r="G4256" s="1" t="s">
        <v>12701</v>
      </c>
      <c r="H4256" s="1" t="s">
        <v>12702</v>
      </c>
      <c r="I4256" s="1" t="s">
        <v>94</v>
      </c>
      <c r="J4256" s="4" t="s">
        <v>12703</v>
      </c>
      <c r="K4256" s="1" t="s">
        <v>285</v>
      </c>
      <c r="L4256" s="1" t="s">
        <v>12704</v>
      </c>
      <c r="M4256" s="1" t="s">
        <v>27</v>
      </c>
      <c r="N4256" s="1" t="s">
        <v>12705</v>
      </c>
      <c r="O4256" s="1" t="s">
        <v>1010</v>
      </c>
      <c r="P4256" s="1" t="s">
        <v>401</v>
      </c>
      <c r="Q4256" s="63" t="s">
        <v>12706</v>
      </c>
      <c r="R4256" s="1" t="s">
        <v>29</v>
      </c>
      <c r="S4256" s="13" t="s">
        <v>28</v>
      </c>
      <c r="AX4256" s="11"/>
      <c r="AY4256" s="11"/>
      <c r="BC4256" s="44"/>
      <c r="BD4256" s="44"/>
      <c r="BE4256" s="44"/>
      <c r="BF4256" s="44"/>
      <c r="BG4256" s="44"/>
      <c r="BH4256" s="44"/>
      <c r="BI4256" s="44"/>
      <c r="BJ4256" s="44"/>
    </row>
    <row r="4257" spans="1:62" ht="12" customHeight="1" x14ac:dyDescent="0.15">
      <c r="A4257" s="1" t="s">
        <v>12707</v>
      </c>
      <c r="B4257" s="1">
        <v>31</v>
      </c>
      <c r="C4257" s="1" t="s">
        <v>20</v>
      </c>
      <c r="D4257" s="1" t="s">
        <v>48</v>
      </c>
      <c r="E4257" s="1" t="s">
        <v>12708</v>
      </c>
      <c r="F4257" s="72">
        <v>41612</v>
      </c>
      <c r="G4257" s="1" t="s">
        <v>12709</v>
      </c>
      <c r="H4257" s="1" t="s">
        <v>12710</v>
      </c>
      <c r="I4257" s="1" t="s">
        <v>81</v>
      </c>
      <c r="J4257" s="4" t="s">
        <v>12711</v>
      </c>
      <c r="K4257" s="1" t="s">
        <v>42</v>
      </c>
      <c r="L4257" s="1" t="s">
        <v>12712</v>
      </c>
      <c r="M4257" s="1" t="s">
        <v>27</v>
      </c>
      <c r="N4257" s="1" t="s">
        <v>12713</v>
      </c>
      <c r="O4257" s="1" t="s">
        <v>550</v>
      </c>
      <c r="P4257" s="1" t="s">
        <v>401</v>
      </c>
      <c r="Q4257" s="63" t="s">
        <v>12714</v>
      </c>
      <c r="R4257" s="1" t="s">
        <v>29</v>
      </c>
      <c r="S4257" s="13" t="s">
        <v>28</v>
      </c>
    </row>
    <row r="4258" spans="1:62" ht="12" customHeight="1" x14ac:dyDescent="0.15">
      <c r="A4258" s="1" t="s">
        <v>12715</v>
      </c>
      <c r="B4258" s="1">
        <v>19</v>
      </c>
      <c r="C4258" s="1" t="s">
        <v>20</v>
      </c>
      <c r="D4258" s="1" t="s">
        <v>85</v>
      </c>
      <c r="F4258" s="72">
        <v>41611</v>
      </c>
      <c r="G4258" s="1" t="s">
        <v>24485</v>
      </c>
      <c r="H4258" s="1" t="s">
        <v>118</v>
      </c>
      <c r="I4258" s="1" t="s">
        <v>3664</v>
      </c>
      <c r="J4258" s="4" t="s">
        <v>12716</v>
      </c>
      <c r="K4258" s="1" t="s">
        <v>3666</v>
      </c>
      <c r="L4258" s="1" t="s">
        <v>19405</v>
      </c>
      <c r="M4258" s="1" t="s">
        <v>27</v>
      </c>
      <c r="N4258" s="1" t="s">
        <v>12717</v>
      </c>
      <c r="O4258" s="1" t="s">
        <v>1010</v>
      </c>
      <c r="P4258" s="1" t="s">
        <v>401</v>
      </c>
      <c r="Q4258" s="63" t="s">
        <v>12718</v>
      </c>
      <c r="R4258" s="1" t="s">
        <v>100</v>
      </c>
      <c r="S4258" s="13" t="s">
        <v>28</v>
      </c>
      <c r="AX4258" s="11"/>
      <c r="AY4258" s="11"/>
      <c r="BC4258" s="44"/>
      <c r="BD4258" s="44"/>
      <c r="BE4258" s="44"/>
      <c r="BF4258" s="44"/>
      <c r="BG4258" s="44"/>
      <c r="BH4258" s="44"/>
      <c r="BI4258" s="44"/>
      <c r="BJ4258" s="44"/>
    </row>
    <row r="4259" spans="1:62" ht="12" customHeight="1" x14ac:dyDescent="0.15">
      <c r="A4259" s="1" t="s">
        <v>12719</v>
      </c>
      <c r="B4259" s="1">
        <v>38</v>
      </c>
      <c r="C4259" s="1" t="s">
        <v>20</v>
      </c>
      <c r="D4259" s="1" t="s">
        <v>37</v>
      </c>
      <c r="E4259" s="1" t="s">
        <v>12720</v>
      </c>
      <c r="F4259" s="72">
        <v>41611</v>
      </c>
      <c r="G4259" s="1" t="s">
        <v>24486</v>
      </c>
      <c r="H4259" s="1" t="s">
        <v>1862</v>
      </c>
      <c r="I4259" s="1" t="s">
        <v>370</v>
      </c>
      <c r="J4259" s="4" t="s">
        <v>7179</v>
      </c>
      <c r="K4259" s="1" t="s">
        <v>1864</v>
      </c>
      <c r="L4259" s="1" t="s">
        <v>1865</v>
      </c>
      <c r="M4259" s="1" t="s">
        <v>27</v>
      </c>
      <c r="N4259" s="1" t="s">
        <v>12721</v>
      </c>
      <c r="O4259" s="1" t="s">
        <v>1010</v>
      </c>
      <c r="P4259" s="1" t="s">
        <v>401</v>
      </c>
      <c r="Q4259" s="63" t="s">
        <v>12722</v>
      </c>
      <c r="R4259" s="1" t="s">
        <v>29</v>
      </c>
      <c r="S4259" s="13" t="s">
        <v>28</v>
      </c>
      <c r="BC4259" s="11"/>
      <c r="BD4259" s="11"/>
      <c r="BE4259" s="11"/>
      <c r="BF4259" s="11"/>
      <c r="BG4259" s="11"/>
      <c r="BH4259" s="11"/>
      <c r="BI4259" s="11"/>
      <c r="BJ4259" s="11"/>
    </row>
    <row r="4260" spans="1:62" ht="12" customHeight="1" x14ac:dyDescent="0.15">
      <c r="A4260" s="1" t="s">
        <v>12723</v>
      </c>
      <c r="B4260" s="1">
        <v>53</v>
      </c>
      <c r="C4260" s="1" t="s">
        <v>20</v>
      </c>
      <c r="D4260" s="1" t="s">
        <v>37</v>
      </c>
      <c r="E4260" s="1" t="s">
        <v>12724</v>
      </c>
      <c r="F4260" s="72">
        <v>41611</v>
      </c>
      <c r="G4260" s="1" t="s">
        <v>12725</v>
      </c>
      <c r="H4260" s="1" t="s">
        <v>1094</v>
      </c>
      <c r="I4260" s="1" t="s">
        <v>395</v>
      </c>
      <c r="K4260" s="1" t="s">
        <v>1095</v>
      </c>
      <c r="L4260" s="1" t="s">
        <v>12726</v>
      </c>
      <c r="M4260" s="1" t="s">
        <v>2291</v>
      </c>
      <c r="N4260" s="1" t="s">
        <v>12727</v>
      </c>
      <c r="O4260" s="1" t="s">
        <v>20489</v>
      </c>
      <c r="P4260" s="1" t="s">
        <v>20489</v>
      </c>
      <c r="Q4260" s="63" t="s">
        <v>12728</v>
      </c>
      <c r="R4260" s="1" t="s">
        <v>29</v>
      </c>
      <c r="S4260" s="13" t="s">
        <v>28</v>
      </c>
      <c r="BC4260" s="11"/>
      <c r="BD4260" s="11"/>
      <c r="BE4260" s="11"/>
      <c r="BF4260" s="11"/>
      <c r="BG4260" s="11"/>
      <c r="BH4260" s="11"/>
      <c r="BI4260" s="11"/>
      <c r="BJ4260" s="11"/>
    </row>
    <row r="4261" spans="1:62" ht="12" customHeight="1" x14ac:dyDescent="0.15">
      <c r="A4261" s="1" t="s">
        <v>12729</v>
      </c>
      <c r="B4261" s="1">
        <v>22</v>
      </c>
      <c r="C4261" s="1" t="s">
        <v>20</v>
      </c>
      <c r="D4261" s="1" t="s">
        <v>85</v>
      </c>
      <c r="E4261" s="1" t="s">
        <v>12730</v>
      </c>
      <c r="F4261" s="72">
        <v>41610</v>
      </c>
      <c r="G4261" s="1" t="s">
        <v>12731</v>
      </c>
      <c r="H4261" s="1" t="s">
        <v>1287</v>
      </c>
      <c r="I4261" s="1" t="s">
        <v>69</v>
      </c>
      <c r="J4261" s="4" t="s">
        <v>3401</v>
      </c>
      <c r="K4261" s="1" t="s">
        <v>1288</v>
      </c>
      <c r="L4261" s="1" t="s">
        <v>12562</v>
      </c>
      <c r="M4261" s="1" t="s">
        <v>27</v>
      </c>
      <c r="N4261" s="1" t="s">
        <v>12732</v>
      </c>
      <c r="O4261" s="1" t="s">
        <v>550</v>
      </c>
      <c r="P4261" s="1" t="s">
        <v>401</v>
      </c>
      <c r="Q4261" s="63" t="s">
        <v>12733</v>
      </c>
      <c r="R4261" s="1" t="s">
        <v>100</v>
      </c>
      <c r="S4261" s="13" t="s">
        <v>28</v>
      </c>
      <c r="AX4261" s="11"/>
      <c r="AY4261" s="11"/>
      <c r="BC4261" s="44"/>
      <c r="BD4261" s="44"/>
      <c r="BE4261" s="44"/>
      <c r="BF4261" s="44"/>
      <c r="BG4261" s="44"/>
      <c r="BH4261" s="44"/>
      <c r="BI4261" s="44"/>
      <c r="BJ4261" s="44"/>
    </row>
    <row r="4262" spans="1:62" ht="12" customHeight="1" x14ac:dyDescent="0.15">
      <c r="A4262" s="1" t="s">
        <v>12734</v>
      </c>
      <c r="B4262" s="1">
        <v>46</v>
      </c>
      <c r="C4262" s="1" t="s">
        <v>20</v>
      </c>
      <c r="D4262" s="1" t="s">
        <v>30</v>
      </c>
      <c r="F4262" s="72">
        <v>41610</v>
      </c>
      <c r="G4262" s="1" t="s">
        <v>24488</v>
      </c>
      <c r="H4262" s="1" t="s">
        <v>561</v>
      </c>
      <c r="I4262" s="1" t="s">
        <v>123</v>
      </c>
      <c r="J4262" s="4" t="s">
        <v>6325</v>
      </c>
      <c r="K4262" s="1" t="s">
        <v>562</v>
      </c>
      <c r="L4262" s="1" t="s">
        <v>12735</v>
      </c>
      <c r="M4262" s="1" t="s">
        <v>27</v>
      </c>
      <c r="N4262" s="1" t="s">
        <v>12736</v>
      </c>
      <c r="O4262" s="1" t="s">
        <v>1010</v>
      </c>
      <c r="P4262" s="1" t="s">
        <v>401</v>
      </c>
      <c r="Q4262" s="63" t="s">
        <v>12737</v>
      </c>
      <c r="R4262" s="1" t="s">
        <v>100</v>
      </c>
      <c r="S4262" s="13" t="s">
        <v>28</v>
      </c>
    </row>
    <row r="4263" spans="1:62" ht="12" customHeight="1" x14ac:dyDescent="0.15">
      <c r="A4263" s="1" t="s">
        <v>12738</v>
      </c>
      <c r="B4263" s="1">
        <v>49</v>
      </c>
      <c r="C4263" s="1" t="s">
        <v>20</v>
      </c>
      <c r="D4263" s="1" t="s">
        <v>37</v>
      </c>
      <c r="E4263" s="1" t="s">
        <v>12739</v>
      </c>
      <c r="F4263" s="72">
        <v>41610</v>
      </c>
      <c r="G4263" s="1" t="s">
        <v>24487</v>
      </c>
      <c r="H4263" s="1" t="s">
        <v>12740</v>
      </c>
      <c r="I4263" s="1" t="s">
        <v>319</v>
      </c>
      <c r="J4263" s="4" t="s">
        <v>12741</v>
      </c>
      <c r="K4263" s="1" t="s">
        <v>12742</v>
      </c>
      <c r="L4263" s="1" t="s">
        <v>12743</v>
      </c>
      <c r="M4263" s="1" t="s">
        <v>27</v>
      </c>
      <c r="N4263" s="1" t="s">
        <v>12744</v>
      </c>
      <c r="O4263" s="1" t="s">
        <v>550</v>
      </c>
      <c r="P4263" s="1" t="s">
        <v>401</v>
      </c>
      <c r="Q4263" s="63" t="s">
        <v>12745</v>
      </c>
      <c r="R4263" s="1" t="s">
        <v>100</v>
      </c>
      <c r="S4263" s="13" t="s">
        <v>28</v>
      </c>
      <c r="BC4263" s="11"/>
      <c r="BD4263" s="11"/>
      <c r="BE4263" s="11"/>
      <c r="BF4263" s="11"/>
      <c r="BG4263" s="11"/>
      <c r="BH4263" s="11"/>
      <c r="BI4263" s="11"/>
      <c r="BJ4263" s="11"/>
    </row>
    <row r="4264" spans="1:62" ht="12" customHeight="1" x14ac:dyDescent="0.15">
      <c r="A4264" s="1" t="s">
        <v>12763</v>
      </c>
      <c r="B4264" s="1">
        <v>26</v>
      </c>
      <c r="C4264" s="1" t="s">
        <v>20</v>
      </c>
      <c r="D4264" s="1" t="s">
        <v>37</v>
      </c>
      <c r="E4264" s="1" t="s">
        <v>12764</v>
      </c>
      <c r="F4264" s="72">
        <v>41609</v>
      </c>
      <c r="G4264" s="1" t="s">
        <v>12765</v>
      </c>
      <c r="H4264" s="1" t="s">
        <v>430</v>
      </c>
      <c r="I4264" s="1" t="s">
        <v>431</v>
      </c>
      <c r="J4264" s="4" t="s">
        <v>12766</v>
      </c>
      <c r="K4264" s="1" t="s">
        <v>433</v>
      </c>
      <c r="L4264" s="1" t="s">
        <v>434</v>
      </c>
      <c r="M4264" s="1" t="s">
        <v>27</v>
      </c>
      <c r="N4264" s="1" t="s">
        <v>21009</v>
      </c>
      <c r="O4264" s="1" t="s">
        <v>550</v>
      </c>
      <c r="P4264" s="1" t="s">
        <v>401</v>
      </c>
      <c r="Q4264" s="63" t="s">
        <v>12767</v>
      </c>
      <c r="R4264" s="11" t="s">
        <v>964</v>
      </c>
      <c r="S4264" s="13" t="s">
        <v>18</v>
      </c>
      <c r="BC4264" s="11"/>
      <c r="BD4264" s="11"/>
      <c r="BE4264" s="11"/>
      <c r="BF4264" s="11"/>
      <c r="BG4264" s="11"/>
      <c r="BH4264" s="11"/>
      <c r="BI4264" s="11"/>
      <c r="BJ4264" s="11"/>
    </row>
    <row r="4265" spans="1:62" ht="12" customHeight="1" x14ac:dyDescent="0.15">
      <c r="A4265" s="1" t="s">
        <v>12746</v>
      </c>
      <c r="B4265" s="1">
        <v>21</v>
      </c>
      <c r="C4265" s="1" t="s">
        <v>114</v>
      </c>
      <c r="D4265" s="1" t="s">
        <v>48</v>
      </c>
      <c r="E4265" s="1" t="s">
        <v>12747</v>
      </c>
      <c r="F4265" s="72">
        <v>41609</v>
      </c>
      <c r="G4265" s="1" t="s">
        <v>12748</v>
      </c>
      <c r="H4265" s="1" t="s">
        <v>12749</v>
      </c>
      <c r="I4265" s="1" t="s">
        <v>62</v>
      </c>
      <c r="J4265" s="4" t="s">
        <v>12750</v>
      </c>
      <c r="K4265" s="1" t="s">
        <v>12749</v>
      </c>
      <c r="L4265" s="1" t="s">
        <v>12751</v>
      </c>
      <c r="M4265" s="1" t="s">
        <v>379</v>
      </c>
      <c r="N4265" s="1" t="s">
        <v>12752</v>
      </c>
      <c r="O4265" s="1" t="s">
        <v>12753</v>
      </c>
      <c r="P4265" s="1" t="s">
        <v>401</v>
      </c>
      <c r="Q4265" s="63" t="s">
        <v>12754</v>
      </c>
      <c r="R4265" s="1" t="s">
        <v>100</v>
      </c>
      <c r="S4265" s="66" t="s">
        <v>379</v>
      </c>
      <c r="T4265" s="66" t="s">
        <v>30738</v>
      </c>
    </row>
    <row r="4266" spans="1:62" ht="12" customHeight="1" x14ac:dyDescent="0.15">
      <c r="A4266" s="1" t="s">
        <v>12755</v>
      </c>
      <c r="B4266" s="1">
        <v>21</v>
      </c>
      <c r="C4266" s="1" t="s">
        <v>114</v>
      </c>
      <c r="D4266" s="1" t="s">
        <v>48</v>
      </c>
      <c r="E4266" s="1" t="s">
        <v>12747</v>
      </c>
      <c r="F4266" s="72">
        <v>41609</v>
      </c>
      <c r="G4266" s="1" t="s">
        <v>12748</v>
      </c>
      <c r="H4266" s="1" t="s">
        <v>12749</v>
      </c>
      <c r="I4266" s="1" t="s">
        <v>62</v>
      </c>
      <c r="J4266" s="4" t="s">
        <v>12750</v>
      </c>
      <c r="K4266" s="1" t="s">
        <v>12749</v>
      </c>
      <c r="L4266" s="1" t="s">
        <v>12751</v>
      </c>
      <c r="M4266" s="1" t="s">
        <v>379</v>
      </c>
      <c r="N4266" s="1" t="s">
        <v>12752</v>
      </c>
      <c r="O4266" s="1" t="s">
        <v>12753</v>
      </c>
      <c r="P4266" s="1" t="s">
        <v>401</v>
      </c>
      <c r="Q4266" s="63" t="s">
        <v>12754</v>
      </c>
      <c r="R4266" s="1" t="s">
        <v>100</v>
      </c>
      <c r="S4266" s="66" t="s">
        <v>379</v>
      </c>
      <c r="T4266" s="66" t="s">
        <v>30738</v>
      </c>
    </row>
    <row r="4267" spans="1:62" ht="12" customHeight="1" x14ac:dyDescent="0.15">
      <c r="A4267" s="1" t="s">
        <v>12756</v>
      </c>
      <c r="B4267" s="1">
        <v>33</v>
      </c>
      <c r="C4267" s="1" t="s">
        <v>20</v>
      </c>
      <c r="D4267" s="1" t="s">
        <v>37</v>
      </c>
      <c r="E4267" s="1" t="s">
        <v>12757</v>
      </c>
      <c r="F4267" s="72">
        <v>41609</v>
      </c>
      <c r="G4267" s="1" t="s">
        <v>24489</v>
      </c>
      <c r="H4267" s="1" t="s">
        <v>12758</v>
      </c>
      <c r="I4267" s="1" t="s">
        <v>431</v>
      </c>
      <c r="J4267" s="4" t="s">
        <v>12759</v>
      </c>
      <c r="K4267" s="1" t="s">
        <v>4946</v>
      </c>
      <c r="L4267" s="1" t="s">
        <v>12760</v>
      </c>
      <c r="M4267" s="1" t="s">
        <v>27</v>
      </c>
      <c r="N4267" s="1" t="s">
        <v>12761</v>
      </c>
      <c r="O4267" s="1" t="s">
        <v>550</v>
      </c>
      <c r="P4267" s="1" t="s">
        <v>401</v>
      </c>
      <c r="Q4267" s="63" t="s">
        <v>12762</v>
      </c>
      <c r="R4267" s="1" t="s">
        <v>29</v>
      </c>
      <c r="S4267" s="13" t="s">
        <v>18</v>
      </c>
      <c r="BC4267" s="11"/>
      <c r="BD4267" s="11"/>
      <c r="BE4267" s="11"/>
      <c r="BF4267" s="11"/>
      <c r="BG4267" s="11"/>
      <c r="BH4267" s="11"/>
      <c r="BI4267" s="11"/>
      <c r="BJ4267" s="11"/>
    </row>
    <row r="4268" spans="1:62" ht="12" customHeight="1" x14ac:dyDescent="0.15">
      <c r="A4268" s="1" t="s">
        <v>12768</v>
      </c>
      <c r="B4268" s="1">
        <v>23</v>
      </c>
      <c r="C4268" s="1" t="s">
        <v>20</v>
      </c>
      <c r="D4268" s="1" t="s">
        <v>48</v>
      </c>
      <c r="F4268" s="72">
        <v>41607</v>
      </c>
      <c r="G4268" s="1" t="s">
        <v>12769</v>
      </c>
      <c r="H4268" s="1" t="s">
        <v>1667</v>
      </c>
      <c r="I4268" s="1" t="s">
        <v>45</v>
      </c>
      <c r="J4268" s="4" t="s">
        <v>1668</v>
      </c>
      <c r="K4268" s="1" t="s">
        <v>98</v>
      </c>
      <c r="L4268" s="1" t="s">
        <v>12770</v>
      </c>
      <c r="M4268" s="1" t="s">
        <v>27</v>
      </c>
      <c r="N4268" s="1" t="s">
        <v>12771</v>
      </c>
      <c r="O4268" s="1" t="s">
        <v>1010</v>
      </c>
      <c r="P4268" s="1" t="s">
        <v>401</v>
      </c>
      <c r="Q4268" s="63" t="s">
        <v>12772</v>
      </c>
      <c r="R4268" s="1" t="s">
        <v>100</v>
      </c>
      <c r="S4268" s="13" t="s">
        <v>28</v>
      </c>
    </row>
    <row r="4269" spans="1:62" ht="12" customHeight="1" x14ac:dyDescent="0.15">
      <c r="A4269" s="1" t="s">
        <v>12782</v>
      </c>
      <c r="B4269" s="1">
        <v>51</v>
      </c>
      <c r="C4269" s="1" t="s">
        <v>20</v>
      </c>
      <c r="D4269" s="1" t="s">
        <v>37</v>
      </c>
      <c r="F4269" s="72">
        <v>41607</v>
      </c>
      <c r="G4269" s="1" t="s">
        <v>12783</v>
      </c>
      <c r="H4269" s="1" t="s">
        <v>1208</v>
      </c>
      <c r="I4269" s="1" t="s">
        <v>303</v>
      </c>
      <c r="J4269" s="4" t="s">
        <v>10726</v>
      </c>
      <c r="K4269" s="1" t="s">
        <v>1209</v>
      </c>
      <c r="L4269" s="1" t="s">
        <v>1210</v>
      </c>
      <c r="M4269" s="1" t="s">
        <v>27</v>
      </c>
      <c r="N4269" s="1" t="s">
        <v>12784</v>
      </c>
      <c r="O4269" s="1" t="s">
        <v>4684</v>
      </c>
      <c r="P4269" s="1" t="s">
        <v>401</v>
      </c>
      <c r="Q4269" s="63" t="s">
        <v>12785</v>
      </c>
      <c r="R4269" s="1" t="s">
        <v>100</v>
      </c>
      <c r="S4269" s="13" t="s">
        <v>28</v>
      </c>
      <c r="BC4269" s="11"/>
      <c r="BD4269" s="11"/>
      <c r="BE4269" s="11"/>
      <c r="BF4269" s="11"/>
      <c r="BG4269" s="11"/>
      <c r="BH4269" s="11"/>
      <c r="BI4269" s="11"/>
      <c r="BJ4269" s="11"/>
    </row>
    <row r="4270" spans="1:62" ht="12" customHeight="1" x14ac:dyDescent="0.15">
      <c r="A4270" s="1" t="s">
        <v>12773</v>
      </c>
      <c r="B4270" s="1">
        <v>22</v>
      </c>
      <c r="C4270" s="1" t="s">
        <v>20</v>
      </c>
      <c r="D4270" s="1" t="s">
        <v>37</v>
      </c>
      <c r="E4270" s="1" t="s">
        <v>12774</v>
      </c>
      <c r="F4270" s="72">
        <v>41607</v>
      </c>
      <c r="G4270" s="1" t="s">
        <v>12775</v>
      </c>
      <c r="H4270" s="1" t="s">
        <v>12776</v>
      </c>
      <c r="I4270" s="1" t="s">
        <v>73</v>
      </c>
      <c r="J4270" s="4" t="s">
        <v>12777</v>
      </c>
      <c r="K4270" s="1" t="s">
        <v>12778</v>
      </c>
      <c r="L4270" s="1" t="s">
        <v>12779</v>
      </c>
      <c r="M4270" s="1" t="s">
        <v>27</v>
      </c>
      <c r="N4270" s="1" t="s">
        <v>12780</v>
      </c>
      <c r="O4270" s="1" t="s">
        <v>400</v>
      </c>
      <c r="P4270" s="1" t="s">
        <v>401</v>
      </c>
      <c r="Q4270" s="63" t="s">
        <v>12781</v>
      </c>
      <c r="R4270" s="1" t="s">
        <v>29</v>
      </c>
      <c r="S4270" s="13" t="s">
        <v>28</v>
      </c>
    </row>
    <row r="4271" spans="1:62" ht="12" customHeight="1" x14ac:dyDescent="0.15">
      <c r="A4271" s="1" t="s">
        <v>12803</v>
      </c>
      <c r="B4271" s="1">
        <v>48</v>
      </c>
      <c r="C4271" s="1" t="s">
        <v>20</v>
      </c>
      <c r="D4271" s="1" t="s">
        <v>37</v>
      </c>
      <c r="E4271" s="1" t="s">
        <v>12804</v>
      </c>
      <c r="F4271" s="72">
        <v>41606</v>
      </c>
      <c r="G4271" s="1" t="s">
        <v>12805</v>
      </c>
      <c r="H4271" s="1" t="s">
        <v>1922</v>
      </c>
      <c r="I4271" s="1" t="s">
        <v>209</v>
      </c>
      <c r="J4271" s="4" t="s">
        <v>1923</v>
      </c>
      <c r="K4271" s="1" t="s">
        <v>3825</v>
      </c>
      <c r="L4271" s="1" t="s">
        <v>10229</v>
      </c>
      <c r="M4271" s="1" t="s">
        <v>27</v>
      </c>
      <c r="N4271" s="1" t="s">
        <v>12806</v>
      </c>
      <c r="O4271" s="1" t="s">
        <v>550</v>
      </c>
      <c r="P4271" s="1" t="s">
        <v>401</v>
      </c>
      <c r="Q4271" s="63" t="s">
        <v>12807</v>
      </c>
      <c r="R4271" s="1" t="s">
        <v>100</v>
      </c>
      <c r="S4271" s="13" t="s">
        <v>28</v>
      </c>
      <c r="BC4271" s="11"/>
      <c r="BD4271" s="11"/>
      <c r="BE4271" s="11"/>
      <c r="BF4271" s="11"/>
      <c r="BG4271" s="11"/>
      <c r="BH4271" s="11"/>
      <c r="BI4271" s="11"/>
      <c r="BJ4271" s="11"/>
    </row>
    <row r="4272" spans="1:62" ht="12" customHeight="1" x14ac:dyDescent="0.15">
      <c r="A4272" s="1" t="s">
        <v>12808</v>
      </c>
      <c r="B4272" s="1">
        <v>44</v>
      </c>
      <c r="C4272" s="1" t="s">
        <v>20</v>
      </c>
      <c r="D4272" s="1" t="s">
        <v>37</v>
      </c>
      <c r="E4272" s="1" t="s">
        <v>12809</v>
      </c>
      <c r="F4272" s="72">
        <v>41606</v>
      </c>
      <c r="G4272" s="1" t="s">
        <v>12810</v>
      </c>
      <c r="H4272" s="1" t="s">
        <v>2028</v>
      </c>
      <c r="I4272" s="1" t="s">
        <v>217</v>
      </c>
      <c r="J4272" s="4" t="s">
        <v>12811</v>
      </c>
      <c r="K4272" s="1" t="s">
        <v>4062</v>
      </c>
      <c r="L4272" s="1" t="s">
        <v>12812</v>
      </c>
      <c r="M4272" s="1" t="s">
        <v>27</v>
      </c>
      <c r="N4272" s="1" t="s">
        <v>12813</v>
      </c>
      <c r="O4272" s="1" t="s">
        <v>1010</v>
      </c>
      <c r="P4272" s="1" t="s">
        <v>401</v>
      </c>
      <c r="Q4272" s="63" t="s">
        <v>12814</v>
      </c>
      <c r="R4272" s="1" t="s">
        <v>100</v>
      </c>
      <c r="S4272" s="13" t="s">
        <v>28</v>
      </c>
      <c r="BC4272" s="11"/>
      <c r="BD4272" s="11"/>
      <c r="BE4272" s="11"/>
      <c r="BF4272" s="11"/>
      <c r="BG4272" s="11"/>
      <c r="BH4272" s="11"/>
      <c r="BI4272" s="11"/>
      <c r="BJ4272" s="11"/>
    </row>
    <row r="4273" spans="1:62" ht="12" customHeight="1" x14ac:dyDescent="0.2">
      <c r="A4273" s="1" t="s">
        <v>12815</v>
      </c>
      <c r="B4273" s="1">
        <v>61</v>
      </c>
      <c r="C4273" s="1" t="s">
        <v>20</v>
      </c>
      <c r="D4273" s="1" t="s">
        <v>37</v>
      </c>
      <c r="E4273" s="1" t="s">
        <v>12816</v>
      </c>
      <c r="F4273" s="72">
        <v>41606</v>
      </c>
      <c r="G4273" s="1" t="s">
        <v>12817</v>
      </c>
      <c r="H4273" s="1" t="s">
        <v>12818</v>
      </c>
      <c r="I4273" s="1" t="s">
        <v>62</v>
      </c>
      <c r="J4273" s="4" t="s">
        <v>12819</v>
      </c>
      <c r="K4273" s="1" t="s">
        <v>1104</v>
      </c>
      <c r="L4273" s="1" t="s">
        <v>12820</v>
      </c>
      <c r="M4273" s="1" t="s">
        <v>12821</v>
      </c>
      <c r="N4273" s="1" t="s">
        <v>12822</v>
      </c>
      <c r="O4273" s="1" t="s">
        <v>3381</v>
      </c>
      <c r="P4273" s="1" t="s">
        <v>401</v>
      </c>
      <c r="Q4273" s="63" t="s">
        <v>12823</v>
      </c>
      <c r="R4273" s="1" t="s">
        <v>100</v>
      </c>
      <c r="S4273" s="13" t="s">
        <v>18</v>
      </c>
      <c r="AU4273" s="70"/>
      <c r="AV4273" s="70"/>
      <c r="AW4273" s="70"/>
      <c r="AX4273" s="44"/>
      <c r="AY4273" s="44"/>
      <c r="AZ4273" s="44"/>
      <c r="BC4273" s="11"/>
      <c r="BD4273" s="11"/>
      <c r="BE4273" s="11"/>
      <c r="BF4273" s="11"/>
      <c r="BG4273" s="11"/>
      <c r="BH4273" s="11"/>
      <c r="BI4273" s="11"/>
      <c r="BJ4273" s="11"/>
    </row>
    <row r="4274" spans="1:62" ht="12" customHeight="1" x14ac:dyDescent="0.15">
      <c r="A4274" s="1" t="s">
        <v>12791</v>
      </c>
      <c r="B4274" s="1">
        <v>16</v>
      </c>
      <c r="C4274" s="1" t="s">
        <v>20</v>
      </c>
      <c r="D4274" s="1" t="s">
        <v>85</v>
      </c>
      <c r="F4274" s="72">
        <v>41606</v>
      </c>
      <c r="G4274" s="1" t="s">
        <v>12792</v>
      </c>
      <c r="H4274" s="1" t="s">
        <v>7574</v>
      </c>
      <c r="I4274" s="1" t="s">
        <v>62</v>
      </c>
      <c r="J4274" s="4" t="s">
        <v>12793</v>
      </c>
      <c r="K4274" s="1" t="s">
        <v>12788</v>
      </c>
      <c r="L4274" s="1" t="s">
        <v>12789</v>
      </c>
      <c r="M4274" s="1" t="s">
        <v>379</v>
      </c>
      <c r="N4274" s="1" t="s">
        <v>12794</v>
      </c>
      <c r="O4274" s="1" t="s">
        <v>1010</v>
      </c>
      <c r="P4274" s="1" t="s">
        <v>401</v>
      </c>
      <c r="Q4274" s="63" t="s">
        <v>12790</v>
      </c>
      <c r="R4274" s="1" t="s">
        <v>100</v>
      </c>
      <c r="S4274" s="66" t="s">
        <v>379</v>
      </c>
      <c r="T4274" s="66" t="s">
        <v>30738</v>
      </c>
      <c r="AX4274" s="44"/>
      <c r="AY4274" s="44"/>
      <c r="BC4274" s="44"/>
      <c r="BD4274" s="44"/>
      <c r="BE4274" s="44"/>
      <c r="BF4274" s="44"/>
      <c r="BG4274" s="44"/>
      <c r="BH4274" s="44"/>
      <c r="BI4274" s="44"/>
      <c r="BJ4274" s="44"/>
    </row>
    <row r="4275" spans="1:62" ht="12" customHeight="1" x14ac:dyDescent="0.15">
      <c r="A4275" s="1" t="s">
        <v>12795</v>
      </c>
      <c r="B4275" s="1">
        <v>20</v>
      </c>
      <c r="C4275" s="1" t="s">
        <v>20</v>
      </c>
      <c r="D4275" s="1" t="s">
        <v>85</v>
      </c>
      <c r="E4275" s="1" t="s">
        <v>12796</v>
      </c>
      <c r="F4275" s="72">
        <v>41606</v>
      </c>
      <c r="G4275" s="1" t="s">
        <v>12797</v>
      </c>
      <c r="H4275" s="1" t="s">
        <v>7574</v>
      </c>
      <c r="I4275" s="1" t="s">
        <v>62</v>
      </c>
      <c r="J4275" s="4" t="s">
        <v>12793</v>
      </c>
      <c r="K4275" s="1" t="s">
        <v>12788</v>
      </c>
      <c r="L4275" s="1" t="s">
        <v>12789</v>
      </c>
      <c r="M4275" s="1" t="s">
        <v>379</v>
      </c>
      <c r="N4275" s="1" t="s">
        <v>12794</v>
      </c>
      <c r="O4275" s="1" t="s">
        <v>1010</v>
      </c>
      <c r="P4275" s="1" t="s">
        <v>401</v>
      </c>
      <c r="Q4275" s="63" t="s">
        <v>12790</v>
      </c>
      <c r="R4275" s="1" t="s">
        <v>100</v>
      </c>
      <c r="S4275" s="13" t="s">
        <v>379</v>
      </c>
      <c r="AX4275" s="44"/>
      <c r="AY4275" s="44"/>
      <c r="BC4275" s="44"/>
      <c r="BD4275" s="44"/>
      <c r="BE4275" s="44"/>
      <c r="BF4275" s="44"/>
      <c r="BG4275" s="44"/>
      <c r="BH4275" s="44"/>
      <c r="BI4275" s="44"/>
      <c r="BJ4275" s="44"/>
    </row>
    <row r="4276" spans="1:62" ht="12" customHeight="1" x14ac:dyDescent="0.15">
      <c r="A4276" s="1" t="s">
        <v>12798</v>
      </c>
      <c r="B4276" s="1">
        <v>42</v>
      </c>
      <c r="C4276" s="1" t="s">
        <v>20</v>
      </c>
      <c r="D4276" s="1" t="s">
        <v>48</v>
      </c>
      <c r="E4276" s="1" t="s">
        <v>12799</v>
      </c>
      <c r="F4276" s="72">
        <v>41606</v>
      </c>
      <c r="G4276" s="1" t="s">
        <v>24490</v>
      </c>
      <c r="H4276" s="1" t="s">
        <v>606</v>
      </c>
      <c r="I4276" s="1" t="s">
        <v>45</v>
      </c>
      <c r="J4276" s="4" t="s">
        <v>12800</v>
      </c>
      <c r="K4276" s="1" t="s">
        <v>607</v>
      </c>
      <c r="L4276" s="1" t="s">
        <v>727</v>
      </c>
      <c r="M4276" s="1" t="s">
        <v>27</v>
      </c>
      <c r="N4276" s="1" t="s">
        <v>12801</v>
      </c>
      <c r="O4276" s="1" t="s">
        <v>4684</v>
      </c>
      <c r="P4276" s="1" t="s">
        <v>401</v>
      </c>
      <c r="Q4276" s="63" t="s">
        <v>12802</v>
      </c>
      <c r="R4276" s="1" t="s">
        <v>100</v>
      </c>
      <c r="S4276" s="13" t="s">
        <v>379</v>
      </c>
    </row>
    <row r="4277" spans="1:62" ht="12" customHeight="1" x14ac:dyDescent="0.15">
      <c r="A4277" s="1" t="s">
        <v>12786</v>
      </c>
      <c r="B4277" s="1">
        <v>20</v>
      </c>
      <c r="C4277" s="1" t="s">
        <v>114</v>
      </c>
      <c r="D4277" s="1" t="s">
        <v>85</v>
      </c>
      <c r="E4277" s="1" t="str">
        <f>HYPERLINK("https://www.facebook.com/remembershia","https://www.facebook.com/remembershia")</f>
        <v>https://www.facebook.com/remembershia</v>
      </c>
      <c r="F4277" s="72">
        <v>41606</v>
      </c>
      <c r="G4277" s="1" t="s">
        <v>12787</v>
      </c>
      <c r="H4277" s="1" t="s">
        <v>7574</v>
      </c>
      <c r="I4277" s="1" t="s">
        <v>62</v>
      </c>
      <c r="J4277" s="4" t="s">
        <v>12793</v>
      </c>
      <c r="K4277" s="1" t="s">
        <v>12788</v>
      </c>
      <c r="L4277" s="1" t="s">
        <v>12789</v>
      </c>
      <c r="M4277" s="1" t="s">
        <v>379</v>
      </c>
      <c r="N4277" s="1" t="s">
        <v>12794</v>
      </c>
      <c r="P4277" s="1" t="s">
        <v>401</v>
      </c>
      <c r="Q4277" s="63" t="s">
        <v>12790</v>
      </c>
      <c r="R4277" s="1" t="s">
        <v>29</v>
      </c>
      <c r="S4277" s="66" t="s">
        <v>379</v>
      </c>
      <c r="T4277" s="66" t="s">
        <v>30738</v>
      </c>
      <c r="AX4277" s="44"/>
      <c r="AY4277" s="44"/>
      <c r="BC4277" s="44"/>
      <c r="BD4277" s="44"/>
      <c r="BE4277" s="44"/>
      <c r="BF4277" s="44"/>
      <c r="BG4277" s="44"/>
      <c r="BH4277" s="44"/>
      <c r="BI4277" s="44"/>
      <c r="BJ4277" s="44"/>
    </row>
    <row r="4278" spans="1:62" ht="12" customHeight="1" x14ac:dyDescent="0.15">
      <c r="A4278" s="1" t="s">
        <v>12830</v>
      </c>
      <c r="B4278" s="1">
        <v>30</v>
      </c>
      <c r="C4278" s="1" t="s">
        <v>20</v>
      </c>
      <c r="D4278" s="1" t="s">
        <v>48</v>
      </c>
      <c r="E4278" s="1" t="s">
        <v>12831</v>
      </c>
      <c r="F4278" s="72">
        <v>41605</v>
      </c>
      <c r="G4278" s="1" t="s">
        <v>12832</v>
      </c>
      <c r="H4278" s="1" t="s">
        <v>1094</v>
      </c>
      <c r="I4278" s="1" t="s">
        <v>395</v>
      </c>
      <c r="J4278" s="4" t="s">
        <v>12833</v>
      </c>
      <c r="K4278" s="1" t="s">
        <v>1095</v>
      </c>
      <c r="L4278" s="1" t="s">
        <v>1096</v>
      </c>
      <c r="M4278" s="1" t="s">
        <v>27</v>
      </c>
      <c r="N4278" s="1" t="s">
        <v>12834</v>
      </c>
      <c r="O4278" s="1" t="s">
        <v>4684</v>
      </c>
      <c r="P4278" s="1" t="s">
        <v>401</v>
      </c>
      <c r="Q4278" s="63" t="s">
        <v>12835</v>
      </c>
      <c r="R4278" s="1" t="s">
        <v>100</v>
      </c>
      <c r="S4278" s="13" t="s">
        <v>28</v>
      </c>
    </row>
    <row r="4279" spans="1:62" ht="12" customHeight="1" x14ac:dyDescent="0.15">
      <c r="A4279" s="1" t="s">
        <v>12824</v>
      </c>
      <c r="B4279" s="1">
        <v>28</v>
      </c>
      <c r="C4279" s="1" t="s">
        <v>20</v>
      </c>
      <c r="D4279" s="1" t="s">
        <v>85</v>
      </c>
      <c r="E4279" s="1" t="s">
        <v>12825</v>
      </c>
      <c r="F4279" s="72">
        <v>41605</v>
      </c>
      <c r="G4279" s="1" t="s">
        <v>12826</v>
      </c>
      <c r="H4279" s="1" t="s">
        <v>2158</v>
      </c>
      <c r="I4279" s="1" t="s">
        <v>94</v>
      </c>
      <c r="J4279" s="4" t="s">
        <v>12827</v>
      </c>
      <c r="K4279" s="1" t="s">
        <v>2160</v>
      </c>
      <c r="L4279" s="1" t="s">
        <v>12828</v>
      </c>
      <c r="M4279" s="1" t="s">
        <v>27</v>
      </c>
      <c r="N4279" s="1" t="s">
        <v>12829</v>
      </c>
      <c r="O4279" s="1" t="s">
        <v>400</v>
      </c>
      <c r="P4279" s="1" t="s">
        <v>401</v>
      </c>
      <c r="Q4279" s="63" t="str">
        <f>HYPERLINK("http://whnt.com/2013/12/02/grand-jury-to-review-shooting-involving-corrections-officer/","http://whnt.com/2013/12/02/grand-jury-to-review-shooting-involving-corrections-officer/")</f>
        <v>http://whnt.com/2013/12/02/grand-jury-to-review-shooting-involving-corrections-officer/</v>
      </c>
      <c r="R4279" s="1" t="s">
        <v>29</v>
      </c>
      <c r="S4279" s="13" t="s">
        <v>18</v>
      </c>
      <c r="AX4279" s="11"/>
      <c r="AY4279" s="11"/>
      <c r="BC4279" s="11"/>
      <c r="BD4279" s="11"/>
      <c r="BE4279" s="11"/>
      <c r="BF4279" s="11"/>
      <c r="BG4279" s="11"/>
      <c r="BH4279" s="11"/>
      <c r="BI4279" s="11"/>
      <c r="BJ4279" s="11"/>
    </row>
    <row r="4280" spans="1:62" ht="12" customHeight="1" x14ac:dyDescent="0.15">
      <c r="A4280" s="1" t="s">
        <v>12842</v>
      </c>
      <c r="B4280" s="1">
        <v>31</v>
      </c>
      <c r="C4280" s="1" t="s">
        <v>20</v>
      </c>
      <c r="D4280" s="1" t="s">
        <v>37</v>
      </c>
      <c r="E4280" s="1" t="s">
        <v>12843</v>
      </c>
      <c r="F4280" s="72">
        <v>41604</v>
      </c>
      <c r="G4280" s="1" t="s">
        <v>12844</v>
      </c>
      <c r="H4280" s="1" t="s">
        <v>1060</v>
      </c>
      <c r="I4280" s="1" t="s">
        <v>62</v>
      </c>
      <c r="J4280" s="4" t="s">
        <v>12845</v>
      </c>
      <c r="K4280" s="1" t="s">
        <v>1061</v>
      </c>
      <c r="L4280" s="1" t="s">
        <v>1062</v>
      </c>
      <c r="M4280" s="1" t="s">
        <v>27</v>
      </c>
      <c r="N4280" s="1" t="s">
        <v>12846</v>
      </c>
      <c r="O4280" s="1" t="s">
        <v>4684</v>
      </c>
      <c r="P4280" s="1" t="s">
        <v>401</v>
      </c>
      <c r="Q4280" s="63" t="s">
        <v>12847</v>
      </c>
      <c r="R4280" s="1" t="s">
        <v>100</v>
      </c>
      <c r="S4280" s="13" t="s">
        <v>379</v>
      </c>
      <c r="BC4280" s="11"/>
      <c r="BD4280" s="11"/>
      <c r="BE4280" s="11"/>
      <c r="BF4280" s="11"/>
      <c r="BG4280" s="11"/>
      <c r="BH4280" s="11"/>
      <c r="BI4280" s="11"/>
      <c r="BJ4280" s="11"/>
    </row>
    <row r="4281" spans="1:62" ht="12" customHeight="1" x14ac:dyDescent="0.15">
      <c r="A4281" s="1" t="s">
        <v>12836</v>
      </c>
      <c r="B4281" s="1">
        <v>38</v>
      </c>
      <c r="C4281" s="1" t="s">
        <v>20</v>
      </c>
      <c r="D4281" s="1" t="s">
        <v>85</v>
      </c>
      <c r="F4281" s="72">
        <v>41604</v>
      </c>
      <c r="G4281" s="1" t="s">
        <v>12837</v>
      </c>
      <c r="H4281" s="1" t="s">
        <v>12838</v>
      </c>
      <c r="I4281" s="1" t="s">
        <v>25</v>
      </c>
      <c r="K4281" s="1" t="s">
        <v>12839</v>
      </c>
      <c r="L4281" s="1" t="s">
        <v>12840</v>
      </c>
      <c r="M4281" s="1" t="s">
        <v>391</v>
      </c>
      <c r="P4281" s="1" t="s">
        <v>401</v>
      </c>
      <c r="Q4281" s="63" t="s">
        <v>12841</v>
      </c>
      <c r="R4281" s="1" t="s">
        <v>29</v>
      </c>
      <c r="S4281" s="13" t="s">
        <v>28</v>
      </c>
      <c r="AU4281" s="11"/>
      <c r="AV4281" s="11"/>
      <c r="AW4281" s="11"/>
      <c r="AX4281" s="44"/>
      <c r="AY4281" s="44"/>
      <c r="BC4281" s="11"/>
      <c r="BD4281" s="11"/>
      <c r="BE4281" s="11"/>
      <c r="BF4281" s="11"/>
      <c r="BG4281" s="11"/>
      <c r="BH4281" s="11"/>
      <c r="BI4281" s="11"/>
      <c r="BJ4281" s="11"/>
    </row>
    <row r="4282" spans="1:62" ht="12" customHeight="1" x14ac:dyDescent="0.15">
      <c r="A4282" s="1" t="s">
        <v>12848</v>
      </c>
      <c r="B4282" s="1">
        <v>23</v>
      </c>
      <c r="C4282" s="1" t="s">
        <v>20</v>
      </c>
      <c r="D4282" s="1" t="s">
        <v>85</v>
      </c>
      <c r="E4282" s="1" t="s">
        <v>12849</v>
      </c>
      <c r="F4282" s="72">
        <v>41603</v>
      </c>
      <c r="G4282" s="1" t="s">
        <v>12850</v>
      </c>
      <c r="H4282" s="1" t="s">
        <v>12851</v>
      </c>
      <c r="I4282" s="1" t="s">
        <v>41</v>
      </c>
      <c r="J4282" s="4" t="s">
        <v>12852</v>
      </c>
      <c r="K4282" s="1" t="s">
        <v>4883</v>
      </c>
      <c r="L4282" s="1" t="s">
        <v>12853</v>
      </c>
      <c r="M4282" s="1" t="s">
        <v>27</v>
      </c>
      <c r="N4282" s="1" t="s">
        <v>12854</v>
      </c>
      <c r="O4282" s="1" t="s">
        <v>4684</v>
      </c>
      <c r="P4282" s="1" t="s">
        <v>401</v>
      </c>
      <c r="Q4282" s="63" t="s">
        <v>12855</v>
      </c>
      <c r="R4282" s="1" t="s">
        <v>100</v>
      </c>
      <c r="S4282" s="13" t="s">
        <v>28</v>
      </c>
      <c r="AX4282" s="11"/>
      <c r="AY4282" s="11"/>
      <c r="BC4282" s="11"/>
      <c r="BD4282" s="11"/>
      <c r="BE4282" s="11"/>
      <c r="BF4282" s="11"/>
      <c r="BG4282" s="11"/>
      <c r="BH4282" s="11"/>
      <c r="BI4282" s="11"/>
      <c r="BJ4282" s="11"/>
    </row>
    <row r="4283" spans="1:62" ht="12" customHeight="1" x14ac:dyDescent="0.15">
      <c r="A4283" s="1" t="s">
        <v>12868</v>
      </c>
      <c r="B4283" s="1">
        <v>26</v>
      </c>
      <c r="C4283" s="1" t="s">
        <v>20</v>
      </c>
      <c r="D4283" s="1" t="s">
        <v>85</v>
      </c>
      <c r="F4283" s="72">
        <v>41603</v>
      </c>
      <c r="G4283" s="1" t="s">
        <v>21204</v>
      </c>
      <c r="H4283" s="1" t="s">
        <v>118</v>
      </c>
      <c r="I4283" s="1" t="s">
        <v>3664</v>
      </c>
      <c r="J4283" s="4" t="s">
        <v>10654</v>
      </c>
      <c r="K4283" s="1" t="s">
        <v>3666</v>
      </c>
      <c r="L4283" s="1" t="s">
        <v>19405</v>
      </c>
      <c r="M4283" s="1" t="s">
        <v>27</v>
      </c>
      <c r="N4283" s="1" t="s">
        <v>12869</v>
      </c>
      <c r="O4283" s="1" t="s">
        <v>1010</v>
      </c>
      <c r="P4283" s="1" t="s">
        <v>401</v>
      </c>
      <c r="Q4283" s="63" t="s">
        <v>12870</v>
      </c>
      <c r="R4283" s="1" t="s">
        <v>100</v>
      </c>
      <c r="S4283" s="13" t="s">
        <v>28</v>
      </c>
      <c r="AX4283" s="11"/>
      <c r="AY4283" s="11"/>
      <c r="BC4283" s="11"/>
      <c r="BD4283" s="11"/>
      <c r="BE4283" s="11"/>
      <c r="BF4283" s="11"/>
      <c r="BG4283" s="11"/>
      <c r="BH4283" s="11"/>
      <c r="BI4283" s="11"/>
      <c r="BJ4283" s="11"/>
    </row>
    <row r="4284" spans="1:62" ht="12" customHeight="1" x14ac:dyDescent="0.15">
      <c r="A4284" s="1" t="s">
        <v>12856</v>
      </c>
      <c r="B4284" s="1">
        <v>53</v>
      </c>
      <c r="C4284" s="1" t="s">
        <v>20</v>
      </c>
      <c r="D4284" s="1" t="s">
        <v>85</v>
      </c>
      <c r="F4284" s="72">
        <v>41603</v>
      </c>
      <c r="G4284" s="1" t="s">
        <v>12857</v>
      </c>
      <c r="H4284" s="1" t="s">
        <v>12858</v>
      </c>
      <c r="I4284" s="1" t="s">
        <v>173</v>
      </c>
      <c r="J4284" s="4" t="s">
        <v>12859</v>
      </c>
      <c r="K4284" s="1" t="s">
        <v>3309</v>
      </c>
      <c r="L4284" s="1" t="s">
        <v>3310</v>
      </c>
      <c r="M4284" s="1" t="s">
        <v>27</v>
      </c>
      <c r="N4284" s="1" t="s">
        <v>12860</v>
      </c>
      <c r="O4284" s="1" t="s">
        <v>1010</v>
      </c>
      <c r="P4284" s="1" t="s">
        <v>401</v>
      </c>
      <c r="Q4284" s="63" t="s">
        <v>12861</v>
      </c>
      <c r="R4284" s="1" t="s">
        <v>100</v>
      </c>
      <c r="S4284" s="13" t="s">
        <v>28</v>
      </c>
      <c r="AX4284" s="11"/>
      <c r="AY4284" s="11"/>
      <c r="BC4284" s="11"/>
      <c r="BD4284" s="11"/>
      <c r="BE4284" s="11"/>
      <c r="BF4284" s="11"/>
      <c r="BG4284" s="11"/>
      <c r="BH4284" s="11"/>
      <c r="BI4284" s="11"/>
      <c r="BJ4284" s="11"/>
    </row>
    <row r="4285" spans="1:62" ht="12" customHeight="1" x14ac:dyDescent="0.15">
      <c r="A4285" s="1" t="s">
        <v>12862</v>
      </c>
      <c r="B4285" s="1">
        <v>72</v>
      </c>
      <c r="C4285" s="1" t="s">
        <v>20</v>
      </c>
      <c r="D4285" s="1" t="s">
        <v>48</v>
      </c>
      <c r="F4285" s="72">
        <v>41603</v>
      </c>
      <c r="G4285" s="1" t="s">
        <v>12863</v>
      </c>
      <c r="H4285" s="1" t="s">
        <v>12864</v>
      </c>
      <c r="I4285" s="1" t="s">
        <v>45</v>
      </c>
      <c r="J4285" s="4" t="s">
        <v>12865</v>
      </c>
      <c r="K4285" s="1" t="s">
        <v>98</v>
      </c>
      <c r="L4285" s="1" t="s">
        <v>99</v>
      </c>
      <c r="M4285" s="1" t="s">
        <v>27</v>
      </c>
      <c r="N4285" s="1" t="s">
        <v>12866</v>
      </c>
      <c r="O4285" s="1" t="s">
        <v>4684</v>
      </c>
      <c r="P4285" s="1" t="s">
        <v>401</v>
      </c>
      <c r="Q4285" s="63" t="s">
        <v>12867</v>
      </c>
      <c r="R4285" s="1" t="s">
        <v>100</v>
      </c>
      <c r="S4285" s="13" t="s">
        <v>28</v>
      </c>
    </row>
    <row r="4286" spans="1:62" ht="12" customHeight="1" x14ac:dyDescent="0.15">
      <c r="A4286" s="1" t="s">
        <v>12874</v>
      </c>
      <c r="B4286" s="1">
        <v>42</v>
      </c>
      <c r="C4286" s="1" t="s">
        <v>20</v>
      </c>
      <c r="D4286" s="1" t="s">
        <v>37</v>
      </c>
      <c r="F4286" s="72">
        <v>41602</v>
      </c>
      <c r="G4286" s="1" t="s">
        <v>12875</v>
      </c>
      <c r="H4286" s="1" t="s">
        <v>996</v>
      </c>
      <c r="I4286" s="1" t="s">
        <v>209</v>
      </c>
      <c r="J4286" s="4" t="s">
        <v>12876</v>
      </c>
      <c r="K4286" s="1" t="s">
        <v>996</v>
      </c>
      <c r="L4286" s="1" t="s">
        <v>997</v>
      </c>
      <c r="M4286" s="1" t="s">
        <v>27</v>
      </c>
      <c r="N4286" s="1" t="s">
        <v>12877</v>
      </c>
      <c r="O4286" s="1" t="s">
        <v>550</v>
      </c>
      <c r="P4286" s="1" t="s">
        <v>401</v>
      </c>
      <c r="Q4286" s="63" t="s">
        <v>12878</v>
      </c>
      <c r="R4286" s="1" t="s">
        <v>100</v>
      </c>
      <c r="S4286" s="13" t="s">
        <v>28</v>
      </c>
      <c r="BC4286" s="11"/>
      <c r="BD4286" s="11"/>
      <c r="BE4286" s="11"/>
      <c r="BF4286" s="11"/>
      <c r="BG4286" s="11"/>
      <c r="BH4286" s="11"/>
      <c r="BI4286" s="11"/>
      <c r="BJ4286" s="11"/>
    </row>
    <row r="4287" spans="1:62" ht="12" customHeight="1" x14ac:dyDescent="0.15">
      <c r="A4287" s="1" t="s">
        <v>12871</v>
      </c>
      <c r="B4287" s="1">
        <v>35</v>
      </c>
      <c r="C4287" s="1" t="s">
        <v>20</v>
      </c>
      <c r="D4287" s="1" t="s">
        <v>85</v>
      </c>
      <c r="F4287" s="72">
        <v>41602</v>
      </c>
      <c r="G4287" s="1" t="s">
        <v>12872</v>
      </c>
      <c r="H4287" s="1" t="s">
        <v>12873</v>
      </c>
      <c r="I4287" s="1" t="s">
        <v>45</v>
      </c>
      <c r="K4287" s="1" t="s">
        <v>783</v>
      </c>
      <c r="L4287" s="1" t="s">
        <v>784</v>
      </c>
      <c r="M4287" s="1" t="s">
        <v>27</v>
      </c>
      <c r="P4287" s="1" t="s">
        <v>401</v>
      </c>
      <c r="Q4287" s="63" t="s">
        <v>5817</v>
      </c>
      <c r="R4287" s="1" t="s">
        <v>29</v>
      </c>
      <c r="S4287" s="13" t="s">
        <v>28</v>
      </c>
      <c r="AX4287" s="11"/>
      <c r="AY4287" s="11"/>
      <c r="BC4287" s="11"/>
      <c r="BD4287" s="11"/>
      <c r="BE4287" s="11"/>
      <c r="BF4287" s="11"/>
      <c r="BG4287" s="11"/>
      <c r="BH4287" s="11"/>
      <c r="BI4287" s="11"/>
      <c r="BJ4287" s="11"/>
    </row>
    <row r="4288" spans="1:62" ht="12" customHeight="1" x14ac:dyDescent="0.15">
      <c r="A4288" s="1" t="s">
        <v>12879</v>
      </c>
      <c r="B4288" s="1">
        <v>24</v>
      </c>
      <c r="C4288" s="1" t="s">
        <v>20</v>
      </c>
      <c r="D4288" s="1" t="s">
        <v>30</v>
      </c>
      <c r="F4288" s="72">
        <v>41601</v>
      </c>
      <c r="G4288" s="1" t="s">
        <v>24491</v>
      </c>
      <c r="H4288" s="1" t="s">
        <v>3697</v>
      </c>
      <c r="I4288" s="1" t="s">
        <v>45</v>
      </c>
      <c r="J4288" s="4" t="s">
        <v>3698</v>
      </c>
      <c r="K4288" s="1" t="s">
        <v>98</v>
      </c>
      <c r="L4288" s="1" t="s">
        <v>3699</v>
      </c>
      <c r="M4288" s="1" t="s">
        <v>27</v>
      </c>
      <c r="N4288" s="1" t="s">
        <v>12880</v>
      </c>
      <c r="O4288" s="1" t="s">
        <v>4684</v>
      </c>
      <c r="P4288" s="1" t="s">
        <v>401</v>
      </c>
      <c r="Q4288" s="63" t="s">
        <v>12881</v>
      </c>
      <c r="R4288" s="1" t="s">
        <v>100</v>
      </c>
      <c r="S4288" s="13" t="s">
        <v>18</v>
      </c>
    </row>
    <row r="4289" spans="1:63" ht="12" customHeight="1" x14ac:dyDescent="0.15">
      <c r="A4289" s="1" t="s">
        <v>12882</v>
      </c>
      <c r="B4289" s="1">
        <v>24</v>
      </c>
      <c r="C4289" s="1" t="s">
        <v>20</v>
      </c>
      <c r="D4289" s="1" t="s">
        <v>37</v>
      </c>
      <c r="E4289" s="1" t="s">
        <v>12883</v>
      </c>
      <c r="F4289" s="72">
        <v>41601</v>
      </c>
      <c r="G4289" s="1" t="s">
        <v>12884</v>
      </c>
      <c r="H4289" s="1" t="s">
        <v>926</v>
      </c>
      <c r="I4289" s="1" t="s">
        <v>73</v>
      </c>
      <c r="J4289" s="4" t="s">
        <v>12885</v>
      </c>
      <c r="K4289" s="1" t="s">
        <v>74</v>
      </c>
      <c r="L4289" s="1" t="s">
        <v>927</v>
      </c>
      <c r="M4289" s="1" t="s">
        <v>27</v>
      </c>
      <c r="N4289" s="1" t="s">
        <v>12886</v>
      </c>
      <c r="O4289" s="1" t="s">
        <v>550</v>
      </c>
      <c r="P4289" s="1" t="s">
        <v>401</v>
      </c>
      <c r="Q4289" s="63" t="s">
        <v>12887</v>
      </c>
      <c r="R4289" s="1" t="s">
        <v>100</v>
      </c>
      <c r="S4289" s="13" t="s">
        <v>379</v>
      </c>
      <c r="BC4289" s="11"/>
      <c r="BD4289" s="11"/>
      <c r="BE4289" s="11"/>
      <c r="BF4289" s="11"/>
      <c r="BG4289" s="11"/>
      <c r="BH4289" s="11"/>
      <c r="BI4289" s="11"/>
      <c r="BJ4289" s="11"/>
    </row>
    <row r="4290" spans="1:63" ht="12" customHeight="1" x14ac:dyDescent="0.15">
      <c r="A4290" s="1" t="s">
        <v>12888</v>
      </c>
      <c r="B4290" s="1">
        <v>47</v>
      </c>
      <c r="C4290" s="1" t="s">
        <v>20</v>
      </c>
      <c r="D4290" s="1" t="s">
        <v>85</v>
      </c>
      <c r="E4290" s="1" t="s">
        <v>12889</v>
      </c>
      <c r="F4290" s="72">
        <v>41600</v>
      </c>
      <c r="G4290" s="1" t="s">
        <v>12890</v>
      </c>
      <c r="H4290" s="1" t="s">
        <v>1287</v>
      </c>
      <c r="I4290" s="1" t="s">
        <v>69</v>
      </c>
      <c r="J4290" s="4" t="s">
        <v>5030</v>
      </c>
      <c r="K4290" s="1" t="s">
        <v>1288</v>
      </c>
      <c r="L4290" s="1" t="s">
        <v>12562</v>
      </c>
      <c r="M4290" s="1" t="s">
        <v>27</v>
      </c>
      <c r="N4290" s="1" t="s">
        <v>12891</v>
      </c>
      <c r="O4290" s="1" t="s">
        <v>1010</v>
      </c>
      <c r="P4290" s="1" t="s">
        <v>401</v>
      </c>
      <c r="Q4290" s="63" t="s">
        <v>12892</v>
      </c>
      <c r="R4290" s="1" t="s">
        <v>100</v>
      </c>
      <c r="S4290" s="13" t="s">
        <v>28</v>
      </c>
      <c r="AX4290" s="11"/>
      <c r="AY4290" s="11"/>
      <c r="BC4290" s="11"/>
      <c r="BD4290" s="11"/>
      <c r="BE4290" s="11"/>
      <c r="BF4290" s="11"/>
      <c r="BG4290" s="11"/>
      <c r="BH4290" s="11"/>
      <c r="BI4290" s="11"/>
      <c r="BJ4290" s="11"/>
    </row>
    <row r="4291" spans="1:63" ht="12" customHeight="1" x14ac:dyDescent="0.15">
      <c r="A4291" s="1" t="s">
        <v>12893</v>
      </c>
      <c r="B4291" s="1">
        <v>18</v>
      </c>
      <c r="C4291" s="1" t="s">
        <v>20</v>
      </c>
      <c r="D4291" s="1" t="s">
        <v>48</v>
      </c>
      <c r="F4291" s="72">
        <v>41600</v>
      </c>
      <c r="G4291" s="1" t="s">
        <v>12894</v>
      </c>
      <c r="H4291" s="1" t="s">
        <v>98</v>
      </c>
      <c r="I4291" s="1" t="s">
        <v>45</v>
      </c>
      <c r="J4291" s="4" t="s">
        <v>12895</v>
      </c>
      <c r="K4291" s="1" t="s">
        <v>98</v>
      </c>
      <c r="L4291" s="1" t="s">
        <v>99</v>
      </c>
      <c r="M4291" s="1" t="s">
        <v>27</v>
      </c>
      <c r="N4291" s="1" t="s">
        <v>12896</v>
      </c>
      <c r="O4291" s="1" t="s">
        <v>4684</v>
      </c>
      <c r="P4291" s="1" t="s">
        <v>401</v>
      </c>
      <c r="Q4291" s="63" t="s">
        <v>12897</v>
      </c>
      <c r="R4291" s="1" t="s">
        <v>100</v>
      </c>
      <c r="S4291" s="13" t="s">
        <v>28</v>
      </c>
    </row>
    <row r="4292" spans="1:63" ht="12" customHeight="1" x14ac:dyDescent="0.15">
      <c r="A4292" s="1" t="s">
        <v>12898</v>
      </c>
      <c r="B4292" s="1" t="s">
        <v>8724</v>
      </c>
      <c r="C4292" s="1" t="s">
        <v>20</v>
      </c>
      <c r="D4292" s="1" t="s">
        <v>48</v>
      </c>
      <c r="F4292" s="72">
        <v>41600</v>
      </c>
      <c r="G4292" s="1" t="s">
        <v>12899</v>
      </c>
      <c r="H4292" s="1" t="s">
        <v>783</v>
      </c>
      <c r="I4292" s="1" t="s">
        <v>45</v>
      </c>
      <c r="J4292" s="4" t="s">
        <v>12900</v>
      </c>
      <c r="K4292" s="1" t="s">
        <v>783</v>
      </c>
      <c r="L4292" s="1" t="s">
        <v>5936</v>
      </c>
      <c r="M4292" s="1" t="s">
        <v>27</v>
      </c>
      <c r="N4292" s="1" t="s">
        <v>12901</v>
      </c>
      <c r="O4292" s="1" t="s">
        <v>29</v>
      </c>
      <c r="P4292" s="1" t="s">
        <v>401</v>
      </c>
      <c r="Q4292" s="63" t="s">
        <v>12902</v>
      </c>
      <c r="R4292" s="1" t="s">
        <v>100</v>
      </c>
      <c r="S4292" s="13" t="s">
        <v>28</v>
      </c>
    </row>
    <row r="4293" spans="1:63" ht="12" customHeight="1" x14ac:dyDescent="0.15">
      <c r="A4293" s="1" t="s">
        <v>12916</v>
      </c>
      <c r="B4293" s="1">
        <v>30</v>
      </c>
      <c r="C4293" s="1" t="s">
        <v>20</v>
      </c>
      <c r="D4293" s="1" t="s">
        <v>37</v>
      </c>
      <c r="E4293" s="1" t="s">
        <v>12917</v>
      </c>
      <c r="F4293" s="72">
        <v>41600</v>
      </c>
      <c r="G4293" s="1" t="s">
        <v>12918</v>
      </c>
      <c r="H4293" s="1" t="s">
        <v>12919</v>
      </c>
      <c r="I4293" s="1" t="s">
        <v>44</v>
      </c>
      <c r="J4293" s="4" t="s">
        <v>12920</v>
      </c>
      <c r="K4293" s="1" t="s">
        <v>12921</v>
      </c>
      <c r="L4293" s="1" t="s">
        <v>12922</v>
      </c>
      <c r="M4293" s="1" t="s">
        <v>27</v>
      </c>
      <c r="N4293" s="1" t="s">
        <v>12923</v>
      </c>
      <c r="O4293" s="1" t="s">
        <v>550</v>
      </c>
      <c r="P4293" s="1" t="s">
        <v>401</v>
      </c>
      <c r="Q4293" s="63" t="s">
        <v>12924</v>
      </c>
      <c r="R4293" s="1" t="s">
        <v>100</v>
      </c>
      <c r="S4293" s="13" t="s">
        <v>28</v>
      </c>
      <c r="BC4293" s="11"/>
      <c r="BD4293" s="11"/>
      <c r="BE4293" s="11"/>
      <c r="BF4293" s="11"/>
      <c r="BG4293" s="11"/>
      <c r="BH4293" s="11"/>
      <c r="BI4293" s="11"/>
      <c r="BJ4293" s="11"/>
    </row>
    <row r="4294" spans="1:63" ht="12" customHeight="1" x14ac:dyDescent="0.15">
      <c r="A4294" s="1" t="s">
        <v>12911</v>
      </c>
      <c r="B4294" s="1">
        <v>26</v>
      </c>
      <c r="C4294" s="1" t="s">
        <v>20</v>
      </c>
      <c r="D4294" s="1" t="s">
        <v>37</v>
      </c>
      <c r="E4294" s="1" t="s">
        <v>12912</v>
      </c>
      <c r="F4294" s="72">
        <v>41600</v>
      </c>
      <c r="G4294" s="1" t="s">
        <v>24492</v>
      </c>
      <c r="H4294" s="1" t="s">
        <v>926</v>
      </c>
      <c r="I4294" s="1" t="s">
        <v>73</v>
      </c>
      <c r="J4294" s="4" t="s">
        <v>12913</v>
      </c>
      <c r="K4294" s="1" t="s">
        <v>74</v>
      </c>
      <c r="L4294" s="1" t="s">
        <v>927</v>
      </c>
      <c r="M4294" s="1" t="s">
        <v>27</v>
      </c>
      <c r="N4294" s="1" t="s">
        <v>12914</v>
      </c>
      <c r="O4294" s="1" t="s">
        <v>550</v>
      </c>
      <c r="P4294" s="1" t="s">
        <v>401</v>
      </c>
      <c r="Q4294" s="63" t="s">
        <v>12915</v>
      </c>
      <c r="R4294" s="1" t="s">
        <v>100</v>
      </c>
      <c r="S4294" s="13" t="s">
        <v>28</v>
      </c>
      <c r="BC4294" s="11"/>
      <c r="BD4294" s="11"/>
      <c r="BE4294" s="11"/>
      <c r="BF4294" s="11"/>
      <c r="BG4294" s="11"/>
      <c r="BH4294" s="11"/>
      <c r="BI4294" s="11"/>
      <c r="BJ4294" s="11"/>
    </row>
    <row r="4295" spans="1:63" ht="12" customHeight="1" x14ac:dyDescent="0.15">
      <c r="A4295" s="1" t="s">
        <v>12903</v>
      </c>
      <c r="B4295" s="1">
        <v>31</v>
      </c>
      <c r="C4295" s="1" t="s">
        <v>20</v>
      </c>
      <c r="D4295" s="1" t="s">
        <v>37</v>
      </c>
      <c r="E4295" s="1" t="s">
        <v>12904</v>
      </c>
      <c r="F4295" s="72">
        <v>41600</v>
      </c>
      <c r="G4295" s="1" t="s">
        <v>12905</v>
      </c>
      <c r="H4295" s="1" t="s">
        <v>12906</v>
      </c>
      <c r="I4295" s="1" t="s">
        <v>117</v>
      </c>
      <c r="J4295" s="4" t="s">
        <v>12907</v>
      </c>
      <c r="K4295" s="1" t="s">
        <v>12908</v>
      </c>
      <c r="L4295" s="1" t="s">
        <v>12909</v>
      </c>
      <c r="M4295" s="1" t="s">
        <v>27</v>
      </c>
      <c r="N4295" s="1" t="s">
        <v>12910</v>
      </c>
      <c r="O4295" s="1" t="s">
        <v>550</v>
      </c>
      <c r="P4295" s="1" t="s">
        <v>401</v>
      </c>
      <c r="Q4295" s="63" t="s">
        <v>21024</v>
      </c>
      <c r="R4295" s="1" t="s">
        <v>100</v>
      </c>
      <c r="S4295" s="13" t="s">
        <v>18</v>
      </c>
      <c r="BC4295" s="11"/>
      <c r="BD4295" s="11"/>
      <c r="BE4295" s="11"/>
      <c r="BF4295" s="11"/>
      <c r="BG4295" s="11"/>
      <c r="BH4295" s="11"/>
      <c r="BI4295" s="11"/>
      <c r="BJ4295" s="11"/>
    </row>
    <row r="4296" spans="1:63" ht="12" customHeight="1" x14ac:dyDescent="0.15">
      <c r="A4296" s="1" t="s">
        <v>12933</v>
      </c>
      <c r="B4296" s="1">
        <v>58</v>
      </c>
      <c r="C4296" s="1" t="s">
        <v>20</v>
      </c>
      <c r="D4296" s="1" t="s">
        <v>37</v>
      </c>
      <c r="E4296" s="1" t="s">
        <v>12934</v>
      </c>
      <c r="F4296" s="72">
        <v>41599</v>
      </c>
      <c r="G4296" s="1" t="s">
        <v>24493</v>
      </c>
      <c r="H4296" s="1" t="s">
        <v>4631</v>
      </c>
      <c r="I4296" s="1" t="s">
        <v>62</v>
      </c>
      <c r="J4296" s="4" t="s">
        <v>12935</v>
      </c>
      <c r="K4296" s="1" t="s">
        <v>2095</v>
      </c>
      <c r="L4296" s="1" t="s">
        <v>3388</v>
      </c>
      <c r="M4296" s="1" t="s">
        <v>27</v>
      </c>
      <c r="N4296" s="1" t="s">
        <v>12936</v>
      </c>
      <c r="O4296" s="1" t="s">
        <v>400</v>
      </c>
      <c r="P4296" s="1" t="s">
        <v>401</v>
      </c>
      <c r="Q4296" s="63" t="s">
        <v>12937</v>
      </c>
      <c r="R4296" s="1" t="s">
        <v>100</v>
      </c>
      <c r="S4296" s="13" t="s">
        <v>28</v>
      </c>
      <c r="BC4296" s="11"/>
      <c r="BD4296" s="11"/>
      <c r="BE4296" s="11"/>
      <c r="BF4296" s="11"/>
      <c r="BG4296" s="11"/>
      <c r="BH4296" s="11"/>
      <c r="BI4296" s="11"/>
      <c r="BJ4296" s="11"/>
    </row>
    <row r="4297" spans="1:63" ht="12" customHeight="1" x14ac:dyDescent="0.15">
      <c r="A4297" s="1" t="s">
        <v>12925</v>
      </c>
      <c r="B4297" s="1">
        <v>28</v>
      </c>
      <c r="C4297" s="1" t="s">
        <v>20</v>
      </c>
      <c r="D4297" s="1" t="s">
        <v>37</v>
      </c>
      <c r="E4297" s="1" t="s">
        <v>12926</v>
      </c>
      <c r="F4297" s="72">
        <v>41599</v>
      </c>
      <c r="G4297" s="1" t="s">
        <v>12927</v>
      </c>
      <c r="H4297" s="1" t="s">
        <v>12928</v>
      </c>
      <c r="I4297" s="1" t="s">
        <v>81</v>
      </c>
      <c r="J4297" s="4" t="s">
        <v>12929</v>
      </c>
      <c r="K4297" s="1" t="s">
        <v>42</v>
      </c>
      <c r="L4297" s="1" t="s">
        <v>12930</v>
      </c>
      <c r="M4297" s="1" t="s">
        <v>27</v>
      </c>
      <c r="N4297" s="1" t="s">
        <v>12931</v>
      </c>
      <c r="O4297" s="1" t="s">
        <v>29</v>
      </c>
      <c r="P4297" s="1" t="s">
        <v>401</v>
      </c>
      <c r="Q4297" s="63" t="s">
        <v>12932</v>
      </c>
      <c r="R4297" s="1" t="s">
        <v>555</v>
      </c>
      <c r="S4297" s="13" t="s">
        <v>28</v>
      </c>
      <c r="BA4297" s="44"/>
      <c r="BB4297" s="44"/>
      <c r="BC4297" s="11"/>
      <c r="BD4297" s="11"/>
      <c r="BE4297" s="11"/>
      <c r="BF4297" s="11"/>
      <c r="BG4297" s="11"/>
      <c r="BH4297" s="11"/>
      <c r="BI4297" s="11"/>
      <c r="BJ4297" s="11"/>
    </row>
    <row r="4298" spans="1:63" ht="12" customHeight="1" x14ac:dyDescent="0.15">
      <c r="A4298" s="1" t="s">
        <v>12944</v>
      </c>
      <c r="B4298" s="1">
        <v>25</v>
      </c>
      <c r="C4298" s="1" t="s">
        <v>20</v>
      </c>
      <c r="D4298" s="1" t="s">
        <v>85</v>
      </c>
      <c r="E4298" s="1" t="s">
        <v>12945</v>
      </c>
      <c r="F4298" s="72">
        <v>41598</v>
      </c>
      <c r="G4298" s="1" t="s">
        <v>12946</v>
      </c>
      <c r="H4298" s="1" t="s">
        <v>2125</v>
      </c>
      <c r="I4298" s="1" t="s">
        <v>423</v>
      </c>
      <c r="J4298" s="4" t="s">
        <v>12947</v>
      </c>
      <c r="K4298" s="1" t="s">
        <v>1061</v>
      </c>
      <c r="L4298" s="1" t="s">
        <v>12948</v>
      </c>
      <c r="M4298" s="1" t="s">
        <v>27</v>
      </c>
      <c r="N4298" s="1" t="s">
        <v>12949</v>
      </c>
      <c r="O4298" s="1" t="s">
        <v>550</v>
      </c>
      <c r="P4298" s="1" t="s">
        <v>401</v>
      </c>
      <c r="Q4298" s="63" t="s">
        <v>12950</v>
      </c>
      <c r="R4298" s="1" t="s">
        <v>100</v>
      </c>
      <c r="S4298" s="13" t="s">
        <v>28</v>
      </c>
      <c r="AX4298" s="11"/>
      <c r="AY4298" s="11"/>
      <c r="BC4298" s="11"/>
      <c r="BD4298" s="11"/>
      <c r="BE4298" s="11"/>
      <c r="BF4298" s="11"/>
      <c r="BG4298" s="11"/>
      <c r="BH4298" s="11"/>
      <c r="BI4298" s="11"/>
      <c r="BJ4298" s="11"/>
    </row>
    <row r="4299" spans="1:63" ht="12" customHeight="1" x14ac:dyDescent="0.15">
      <c r="A4299" s="1" t="s">
        <v>12951</v>
      </c>
      <c r="B4299" s="1">
        <v>44</v>
      </c>
      <c r="C4299" s="1" t="s">
        <v>20</v>
      </c>
      <c r="D4299" s="1" t="s">
        <v>37</v>
      </c>
      <c r="F4299" s="72">
        <v>41598</v>
      </c>
      <c r="G4299" s="1" t="s">
        <v>12952</v>
      </c>
      <c r="H4299" s="1" t="s">
        <v>3194</v>
      </c>
      <c r="I4299" s="1" t="s">
        <v>117</v>
      </c>
      <c r="J4299" s="4" t="s">
        <v>12953</v>
      </c>
      <c r="K4299" s="1" t="s">
        <v>3196</v>
      </c>
      <c r="L4299" s="1" t="s">
        <v>3197</v>
      </c>
      <c r="M4299" s="1" t="s">
        <v>27</v>
      </c>
      <c r="N4299" s="1" t="s">
        <v>12954</v>
      </c>
      <c r="O4299" s="1" t="s">
        <v>550</v>
      </c>
      <c r="P4299" s="1" t="s">
        <v>401</v>
      </c>
      <c r="Q4299" s="63" t="s">
        <v>12955</v>
      </c>
      <c r="R4299" s="1" t="s">
        <v>29</v>
      </c>
      <c r="S4299" s="13" t="s">
        <v>28</v>
      </c>
      <c r="BC4299" s="11"/>
      <c r="BD4299" s="11"/>
      <c r="BE4299" s="11"/>
      <c r="BF4299" s="11"/>
      <c r="BG4299" s="11"/>
      <c r="BH4299" s="11"/>
      <c r="BI4299" s="11"/>
      <c r="BJ4299" s="11"/>
    </row>
    <row r="4300" spans="1:63" ht="12" customHeight="1" x14ac:dyDescent="0.15">
      <c r="A4300" s="1" t="s">
        <v>12938</v>
      </c>
      <c r="B4300" s="1">
        <v>20</v>
      </c>
      <c r="C4300" s="1" t="s">
        <v>20</v>
      </c>
      <c r="D4300" s="1" t="s">
        <v>85</v>
      </c>
      <c r="E4300" s="1" t="s">
        <v>12939</v>
      </c>
      <c r="F4300" s="72">
        <v>41598</v>
      </c>
      <c r="G4300" s="1" t="s">
        <v>24494</v>
      </c>
      <c r="H4300" s="1" t="s">
        <v>12940</v>
      </c>
      <c r="I4300" s="1" t="s">
        <v>123</v>
      </c>
      <c r="J4300" s="4" t="s">
        <v>12941</v>
      </c>
      <c r="K4300" s="1" t="s">
        <v>562</v>
      </c>
      <c r="L4300" s="1" t="s">
        <v>12735</v>
      </c>
      <c r="M4300" s="1" t="s">
        <v>27</v>
      </c>
      <c r="N4300" s="1" t="s">
        <v>12942</v>
      </c>
      <c r="O4300" s="1" t="s">
        <v>4684</v>
      </c>
      <c r="P4300" s="1" t="s">
        <v>401</v>
      </c>
      <c r="Q4300" s="63" t="s">
        <v>12943</v>
      </c>
      <c r="R4300" s="1" t="s">
        <v>555</v>
      </c>
      <c r="S4300" s="13" t="s">
        <v>28</v>
      </c>
      <c r="AX4300" s="11"/>
      <c r="AY4300" s="11"/>
      <c r="BC4300" s="11"/>
      <c r="BD4300" s="11"/>
      <c r="BE4300" s="11"/>
      <c r="BF4300" s="11"/>
      <c r="BG4300" s="11"/>
      <c r="BH4300" s="11"/>
      <c r="BI4300" s="11"/>
      <c r="BJ4300" s="11"/>
    </row>
    <row r="4301" spans="1:63" ht="12" customHeight="1" x14ac:dyDescent="0.15">
      <c r="A4301" s="1" t="s">
        <v>12965</v>
      </c>
      <c r="B4301" s="1">
        <v>58</v>
      </c>
      <c r="C4301" s="1" t="s">
        <v>20</v>
      </c>
      <c r="D4301" s="1" t="s">
        <v>30</v>
      </c>
      <c r="F4301" s="72">
        <v>41597</v>
      </c>
      <c r="G4301" s="1" t="s">
        <v>12966</v>
      </c>
      <c r="H4301" s="1" t="s">
        <v>12967</v>
      </c>
      <c r="I4301" s="1" t="s">
        <v>45</v>
      </c>
      <c r="J4301" s="4" t="s">
        <v>12968</v>
      </c>
      <c r="K4301" s="1" t="s">
        <v>2669</v>
      </c>
      <c r="L4301" s="1" t="s">
        <v>2670</v>
      </c>
      <c r="M4301" s="1" t="s">
        <v>27</v>
      </c>
      <c r="N4301" s="1" t="s">
        <v>12969</v>
      </c>
      <c r="O4301" s="1" t="s">
        <v>1010</v>
      </c>
      <c r="P4301" s="1" t="s">
        <v>401</v>
      </c>
      <c r="Q4301" s="63" t="s">
        <v>12970</v>
      </c>
      <c r="R4301" s="11" t="s">
        <v>964</v>
      </c>
      <c r="S4301" s="13" t="s">
        <v>28</v>
      </c>
    </row>
    <row r="4302" spans="1:63" ht="12" customHeight="1" x14ac:dyDescent="0.15">
      <c r="A4302" s="1" t="s">
        <v>12986</v>
      </c>
      <c r="B4302" s="1">
        <v>47</v>
      </c>
      <c r="C4302" s="1" t="s">
        <v>20</v>
      </c>
      <c r="D4302" s="1" t="s">
        <v>37</v>
      </c>
      <c r="E4302" s="1" t="s">
        <v>12987</v>
      </c>
      <c r="F4302" s="72">
        <v>41597</v>
      </c>
      <c r="G4302" s="1" t="s">
        <v>12988</v>
      </c>
      <c r="H4302" s="1" t="s">
        <v>10823</v>
      </c>
      <c r="I4302" s="1" t="s">
        <v>45</v>
      </c>
      <c r="J4302" s="4" t="s">
        <v>10824</v>
      </c>
      <c r="K4302" s="1" t="s">
        <v>309</v>
      </c>
      <c r="L4302" s="1" t="s">
        <v>310</v>
      </c>
      <c r="M4302" s="1" t="s">
        <v>27</v>
      </c>
      <c r="N4302" s="1" t="s">
        <v>12989</v>
      </c>
      <c r="O4302" s="1" t="s">
        <v>1010</v>
      </c>
      <c r="P4302" s="1" t="s">
        <v>401</v>
      </c>
      <c r="Q4302" s="63" t="s">
        <v>12990</v>
      </c>
      <c r="R4302" s="1" t="s">
        <v>100</v>
      </c>
      <c r="S4302" s="13" t="s">
        <v>28</v>
      </c>
      <c r="BC4302" s="11"/>
      <c r="BD4302" s="11"/>
      <c r="BE4302" s="11"/>
      <c r="BF4302" s="11"/>
      <c r="BG4302" s="11"/>
      <c r="BH4302" s="11"/>
      <c r="BI4302" s="11"/>
      <c r="BJ4302" s="11"/>
    </row>
    <row r="4303" spans="1:63" ht="12" customHeight="1" x14ac:dyDescent="0.15">
      <c r="A4303" s="1" t="s">
        <v>12956</v>
      </c>
      <c r="B4303" s="1">
        <v>19</v>
      </c>
      <c r="C4303" s="1" t="s">
        <v>20</v>
      </c>
      <c r="D4303" s="1" t="s">
        <v>85</v>
      </c>
      <c r="E4303" s="1" t="s">
        <v>12957</v>
      </c>
      <c r="F4303" s="72">
        <v>41597</v>
      </c>
      <c r="G4303" s="1" t="s">
        <v>12958</v>
      </c>
      <c r="H4303" s="1" t="s">
        <v>489</v>
      </c>
      <c r="I4303" s="1" t="s">
        <v>45</v>
      </c>
      <c r="J4303" s="4" t="s">
        <v>6340</v>
      </c>
      <c r="K4303" s="1" t="s">
        <v>98</v>
      </c>
      <c r="L4303" s="1" t="s">
        <v>490</v>
      </c>
      <c r="M4303" s="1" t="s">
        <v>27</v>
      </c>
      <c r="N4303" s="1" t="s">
        <v>12959</v>
      </c>
      <c r="O4303" s="1" t="s">
        <v>1010</v>
      </c>
      <c r="P4303" s="1" t="s">
        <v>401</v>
      </c>
      <c r="Q4303" s="6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4303" s="1" t="s">
        <v>100</v>
      </c>
      <c r="S4303" s="13" t="s">
        <v>35</v>
      </c>
      <c r="AX4303" s="11"/>
      <c r="AY4303" s="11"/>
      <c r="BC4303" s="11"/>
      <c r="BD4303" s="11"/>
      <c r="BE4303" s="11"/>
      <c r="BF4303" s="11"/>
      <c r="BG4303" s="11"/>
      <c r="BH4303" s="11"/>
      <c r="BI4303" s="11"/>
      <c r="BJ4303" s="11"/>
      <c r="BK4303" s="11"/>
    </row>
    <row r="4304" spans="1:63" ht="12" customHeight="1" x14ac:dyDescent="0.15">
      <c r="A4304" s="1" t="s">
        <v>12960</v>
      </c>
      <c r="B4304" s="1">
        <v>17</v>
      </c>
      <c r="C4304" s="1" t="s">
        <v>20</v>
      </c>
      <c r="D4304" s="1" t="s">
        <v>48</v>
      </c>
      <c r="E4304" s="1" t="s">
        <v>12961</v>
      </c>
      <c r="F4304" s="72">
        <v>41597</v>
      </c>
      <c r="G4304" s="1" t="s">
        <v>12962</v>
      </c>
      <c r="H4304" s="1" t="s">
        <v>493</v>
      </c>
      <c r="I4304" s="1" t="s">
        <v>366</v>
      </c>
      <c r="J4304" s="4" t="s">
        <v>12963</v>
      </c>
      <c r="K4304" s="1" t="s">
        <v>493</v>
      </c>
      <c r="L4304" s="1" t="s">
        <v>495</v>
      </c>
      <c r="M4304" s="1" t="s">
        <v>27</v>
      </c>
      <c r="N4304" s="1" t="s">
        <v>21010</v>
      </c>
      <c r="O4304" s="1" t="s">
        <v>613</v>
      </c>
      <c r="P4304" s="1" t="s">
        <v>401</v>
      </c>
      <c r="Q4304" s="63" t="s">
        <v>12964</v>
      </c>
      <c r="R4304" s="1" t="s">
        <v>100</v>
      </c>
      <c r="S4304" s="13" t="s">
        <v>35</v>
      </c>
      <c r="BK4304" s="11"/>
    </row>
    <row r="4305" spans="1:63" ht="12" customHeight="1" x14ac:dyDescent="0.15">
      <c r="A4305" s="1" t="s">
        <v>12971</v>
      </c>
      <c r="B4305" s="1">
        <v>19</v>
      </c>
      <c r="C4305" s="1" t="s">
        <v>20</v>
      </c>
      <c r="D4305" s="1" t="s">
        <v>37</v>
      </c>
      <c r="E4305" s="1" t="s">
        <v>12972</v>
      </c>
      <c r="F4305" s="72">
        <v>41597</v>
      </c>
      <c r="G4305" s="1" t="s">
        <v>12973</v>
      </c>
      <c r="H4305" s="1" t="s">
        <v>12974</v>
      </c>
      <c r="I4305" s="1" t="s">
        <v>244</v>
      </c>
      <c r="J4305" s="4" t="s">
        <v>12975</v>
      </c>
      <c r="K4305" s="1" t="s">
        <v>12976</v>
      </c>
      <c r="L4305" s="1" t="s">
        <v>12977</v>
      </c>
      <c r="M4305" s="1" t="s">
        <v>27</v>
      </c>
      <c r="N4305" s="1" t="s">
        <v>12978</v>
      </c>
      <c r="O4305" s="1" t="s">
        <v>550</v>
      </c>
      <c r="P4305" s="1" t="s">
        <v>401</v>
      </c>
      <c r="Q4305" s="63" t="s">
        <v>12979</v>
      </c>
      <c r="R4305" s="1" t="s">
        <v>29</v>
      </c>
      <c r="S4305" s="13" t="s">
        <v>28</v>
      </c>
      <c r="BC4305" s="11"/>
      <c r="BD4305" s="11"/>
      <c r="BE4305" s="11"/>
      <c r="BF4305" s="11"/>
      <c r="BG4305" s="11"/>
      <c r="BH4305" s="11"/>
      <c r="BI4305" s="11"/>
      <c r="BJ4305" s="11"/>
    </row>
    <row r="4306" spans="1:63" ht="12" customHeight="1" x14ac:dyDescent="0.15">
      <c r="A4306" s="1" t="s">
        <v>12980</v>
      </c>
      <c r="B4306" s="1">
        <v>44</v>
      </c>
      <c r="C4306" s="1" t="s">
        <v>20</v>
      </c>
      <c r="D4306" s="1" t="s">
        <v>37</v>
      </c>
      <c r="E4306" s="1" t="s">
        <v>12981</v>
      </c>
      <c r="F4306" s="72">
        <v>41597</v>
      </c>
      <c r="G4306" s="1" t="s">
        <v>24495</v>
      </c>
      <c r="H4306" s="1" t="s">
        <v>522</v>
      </c>
      <c r="I4306" s="1" t="s">
        <v>123</v>
      </c>
      <c r="J4306" s="4" t="s">
        <v>12982</v>
      </c>
      <c r="K4306" s="1" t="s">
        <v>179</v>
      </c>
      <c r="L4306" s="1" t="s">
        <v>12983</v>
      </c>
      <c r="M4306" s="1" t="s">
        <v>27</v>
      </c>
      <c r="N4306" s="1" t="s">
        <v>12984</v>
      </c>
      <c r="O4306" s="1" t="s">
        <v>550</v>
      </c>
      <c r="P4306" s="1" t="s">
        <v>401</v>
      </c>
      <c r="Q4306" s="63" t="s">
        <v>12985</v>
      </c>
      <c r="R4306" s="1" t="s">
        <v>555</v>
      </c>
      <c r="S4306" s="13" t="s">
        <v>28</v>
      </c>
      <c r="BA4306" s="44"/>
      <c r="BB4306" s="44"/>
      <c r="BC4306" s="11"/>
      <c r="BD4306" s="11"/>
      <c r="BE4306" s="11"/>
      <c r="BF4306" s="11"/>
      <c r="BG4306" s="11"/>
      <c r="BH4306" s="11"/>
      <c r="BI4306" s="11"/>
      <c r="BJ4306" s="11"/>
    </row>
    <row r="4307" spans="1:63" ht="12" customHeight="1" x14ac:dyDescent="0.2">
      <c r="A4307" s="1" t="s">
        <v>13001</v>
      </c>
      <c r="B4307" s="1">
        <v>16</v>
      </c>
      <c r="C4307" s="1" t="s">
        <v>20</v>
      </c>
      <c r="D4307" s="1" t="s">
        <v>48</v>
      </c>
      <c r="E4307" s="1" t="s">
        <v>13002</v>
      </c>
      <c r="F4307" s="72">
        <v>41596</v>
      </c>
      <c r="G4307" s="1" t="s">
        <v>13003</v>
      </c>
      <c r="H4307" s="1" t="s">
        <v>156</v>
      </c>
      <c r="I4307" s="1" t="s">
        <v>45</v>
      </c>
      <c r="J4307" s="4" t="s">
        <v>13004</v>
      </c>
      <c r="K4307" s="1" t="s">
        <v>156</v>
      </c>
      <c r="L4307" s="1" t="s">
        <v>4732</v>
      </c>
      <c r="M4307" s="1" t="s">
        <v>15903</v>
      </c>
      <c r="N4307" s="1" t="s">
        <v>13005</v>
      </c>
      <c r="O4307" s="1" t="s">
        <v>1010</v>
      </c>
      <c r="P4307" s="1" t="s">
        <v>401</v>
      </c>
      <c r="Q4307" s="63" t="s">
        <v>13006</v>
      </c>
      <c r="R4307" s="11" t="s">
        <v>964</v>
      </c>
      <c r="S4307" s="13" t="s">
        <v>18</v>
      </c>
      <c r="AT4307" s="70"/>
      <c r="AU4307" s="70"/>
      <c r="BK4307" s="78"/>
    </row>
    <row r="4308" spans="1:63" ht="12" customHeight="1" x14ac:dyDescent="0.15">
      <c r="A4308" s="1" t="s">
        <v>12991</v>
      </c>
      <c r="B4308" s="1">
        <v>27</v>
      </c>
      <c r="C4308" s="1" t="s">
        <v>20</v>
      </c>
      <c r="D4308" s="1" t="s">
        <v>85</v>
      </c>
      <c r="F4308" s="72">
        <v>41596</v>
      </c>
      <c r="G4308" s="1" t="s">
        <v>12992</v>
      </c>
      <c r="H4308" s="1" t="s">
        <v>8528</v>
      </c>
      <c r="I4308" s="1" t="s">
        <v>52</v>
      </c>
      <c r="J4308" s="4" t="s">
        <v>12993</v>
      </c>
      <c r="K4308" s="1" t="s">
        <v>1056</v>
      </c>
      <c r="L4308" s="1" t="s">
        <v>2357</v>
      </c>
      <c r="M4308" s="1" t="s">
        <v>27</v>
      </c>
      <c r="N4308" s="1" t="s">
        <v>12994</v>
      </c>
      <c r="O4308" s="1" t="s">
        <v>1010</v>
      </c>
      <c r="P4308" s="1" t="s">
        <v>401</v>
      </c>
      <c r="Q4308" s="63" t="s">
        <v>12995</v>
      </c>
      <c r="R4308" s="1" t="s">
        <v>100</v>
      </c>
      <c r="S4308" s="13" t="s">
        <v>28</v>
      </c>
      <c r="AX4308" s="11"/>
      <c r="AY4308" s="11"/>
      <c r="BC4308" s="11"/>
      <c r="BD4308" s="11"/>
      <c r="BE4308" s="11"/>
      <c r="BF4308" s="11"/>
      <c r="BG4308" s="11"/>
      <c r="BH4308" s="11"/>
      <c r="BI4308" s="11"/>
      <c r="BJ4308" s="11"/>
    </row>
    <row r="4309" spans="1:63" ht="12" customHeight="1" x14ac:dyDescent="0.15">
      <c r="A4309" s="1" t="s">
        <v>13007</v>
      </c>
      <c r="B4309" s="1">
        <v>55</v>
      </c>
      <c r="C4309" s="1" t="s">
        <v>20</v>
      </c>
      <c r="D4309" s="1" t="s">
        <v>37</v>
      </c>
      <c r="E4309" s="1" t="s">
        <v>13008</v>
      </c>
      <c r="F4309" s="72">
        <v>41596</v>
      </c>
      <c r="G4309" s="1" t="s">
        <v>13009</v>
      </c>
      <c r="H4309" s="1" t="s">
        <v>13010</v>
      </c>
      <c r="I4309" s="1" t="s">
        <v>62</v>
      </c>
      <c r="J4309" s="4" t="s">
        <v>13011</v>
      </c>
      <c r="K4309" s="1" t="s">
        <v>5318</v>
      </c>
      <c r="L4309" s="1" t="s">
        <v>63</v>
      </c>
      <c r="M4309" s="1" t="s">
        <v>27</v>
      </c>
      <c r="N4309" s="1" t="s">
        <v>13012</v>
      </c>
      <c r="O4309" s="1" t="s">
        <v>1010</v>
      </c>
      <c r="P4309" s="1" t="s">
        <v>401</v>
      </c>
      <c r="Q4309" s="63" t="s">
        <v>13013</v>
      </c>
      <c r="R4309" s="1" t="s">
        <v>100</v>
      </c>
      <c r="S4309" s="13" t="s">
        <v>28</v>
      </c>
      <c r="BC4309" s="11"/>
      <c r="BD4309" s="11"/>
      <c r="BE4309" s="11"/>
      <c r="BF4309" s="11"/>
      <c r="BG4309" s="11"/>
      <c r="BH4309" s="11"/>
      <c r="BI4309" s="11"/>
      <c r="BJ4309" s="11"/>
    </row>
    <row r="4310" spans="1:63" ht="12" customHeight="1" x14ac:dyDescent="0.15">
      <c r="A4310" s="1" t="s">
        <v>13014</v>
      </c>
      <c r="B4310" s="1">
        <v>38</v>
      </c>
      <c r="C4310" s="1" t="s">
        <v>20</v>
      </c>
      <c r="D4310" s="1" t="s">
        <v>37</v>
      </c>
      <c r="E4310" s="1" t="s">
        <v>13015</v>
      </c>
      <c r="F4310" s="72">
        <v>41596</v>
      </c>
      <c r="G4310" s="1" t="s">
        <v>13016</v>
      </c>
      <c r="H4310" s="1" t="s">
        <v>8230</v>
      </c>
      <c r="I4310" s="1" t="s">
        <v>423</v>
      </c>
      <c r="J4310" s="4" t="s">
        <v>13017</v>
      </c>
      <c r="K4310" s="1" t="s">
        <v>664</v>
      </c>
      <c r="L4310" s="1" t="s">
        <v>13018</v>
      </c>
      <c r="M4310" s="1" t="s">
        <v>27</v>
      </c>
      <c r="N4310" s="1" t="s">
        <v>13019</v>
      </c>
      <c r="O4310" s="1" t="s">
        <v>550</v>
      </c>
      <c r="P4310" s="1" t="s">
        <v>401</v>
      </c>
      <c r="Q4310" s="63" t="s">
        <v>13020</v>
      </c>
      <c r="R4310" s="1" t="s">
        <v>100</v>
      </c>
      <c r="S4310" s="13" t="s">
        <v>28</v>
      </c>
      <c r="BC4310" s="11"/>
      <c r="BD4310" s="11"/>
      <c r="BE4310" s="11"/>
      <c r="BF4310" s="11"/>
      <c r="BG4310" s="11"/>
      <c r="BH4310" s="11"/>
      <c r="BI4310" s="11"/>
      <c r="BJ4310" s="11"/>
    </row>
    <row r="4311" spans="1:63" ht="12" customHeight="1" x14ac:dyDescent="0.15">
      <c r="A4311" s="1" t="s">
        <v>12996</v>
      </c>
      <c r="B4311" s="1">
        <v>22</v>
      </c>
      <c r="C4311" s="1" t="s">
        <v>20</v>
      </c>
      <c r="D4311" s="1" t="s">
        <v>85</v>
      </c>
      <c r="E4311" s="1" t="s">
        <v>12997</v>
      </c>
      <c r="F4311" s="72">
        <v>41596</v>
      </c>
      <c r="G4311" s="1" t="s">
        <v>24496</v>
      </c>
      <c r="H4311" s="1" t="s">
        <v>754</v>
      </c>
      <c r="I4311" s="1" t="s">
        <v>423</v>
      </c>
      <c r="J4311" s="4" t="s">
        <v>12998</v>
      </c>
      <c r="K4311" s="1" t="s">
        <v>1712</v>
      </c>
      <c r="L4311" s="1" t="s">
        <v>582</v>
      </c>
      <c r="M4311" s="1" t="s">
        <v>27</v>
      </c>
      <c r="N4311" s="1" t="s">
        <v>12999</v>
      </c>
      <c r="O4311" s="1" t="s">
        <v>29</v>
      </c>
      <c r="P4311" s="1" t="s">
        <v>401</v>
      </c>
      <c r="Q4311" s="63" t="s">
        <v>13000</v>
      </c>
      <c r="R4311" s="1" t="s">
        <v>555</v>
      </c>
      <c r="S4311" s="13" t="s">
        <v>28</v>
      </c>
      <c r="AX4311" s="11"/>
      <c r="AY4311" s="11"/>
      <c r="BC4311" s="11"/>
      <c r="BD4311" s="11"/>
      <c r="BE4311" s="11"/>
      <c r="BF4311" s="11"/>
      <c r="BG4311" s="11"/>
      <c r="BH4311" s="11"/>
      <c r="BI4311" s="11"/>
      <c r="BJ4311" s="11"/>
    </row>
    <row r="4312" spans="1:63" ht="12" customHeight="1" x14ac:dyDescent="0.15">
      <c r="A4312" s="1" t="s">
        <v>13028</v>
      </c>
      <c r="B4312" s="1">
        <v>26</v>
      </c>
      <c r="C4312" s="1" t="s">
        <v>20</v>
      </c>
      <c r="D4312" s="1" t="s">
        <v>85</v>
      </c>
      <c r="E4312" s="1" t="s">
        <v>13029</v>
      </c>
      <c r="F4312" s="72">
        <v>41595</v>
      </c>
      <c r="G4312" s="1" t="s">
        <v>13030</v>
      </c>
      <c r="H4312" s="1" t="s">
        <v>13031</v>
      </c>
      <c r="I4312" s="1" t="s">
        <v>62</v>
      </c>
      <c r="J4312" s="4" t="s">
        <v>13032</v>
      </c>
      <c r="K4312" s="1" t="s">
        <v>1769</v>
      </c>
      <c r="L4312" s="1" t="s">
        <v>13033</v>
      </c>
      <c r="M4312" s="1" t="s">
        <v>27</v>
      </c>
      <c r="N4312" s="1" t="s">
        <v>13034</v>
      </c>
      <c r="O4312" s="1" t="s">
        <v>1010</v>
      </c>
      <c r="P4312" s="1" t="s">
        <v>401</v>
      </c>
      <c r="Q4312" s="63" t="s">
        <v>13035</v>
      </c>
      <c r="R4312" s="1" t="s">
        <v>100</v>
      </c>
      <c r="S4312" s="13" t="s">
        <v>28</v>
      </c>
      <c r="AX4312" s="11"/>
      <c r="AY4312" s="11"/>
      <c r="BC4312" s="11"/>
      <c r="BD4312" s="11"/>
      <c r="BE4312" s="11"/>
      <c r="BF4312" s="11"/>
      <c r="BG4312" s="11"/>
      <c r="BH4312" s="11"/>
      <c r="BI4312" s="11"/>
      <c r="BJ4312" s="11"/>
    </row>
    <row r="4313" spans="1:63" ht="12" customHeight="1" x14ac:dyDescent="0.15">
      <c r="A4313" s="1" t="s">
        <v>13036</v>
      </c>
      <c r="B4313" s="1">
        <v>78</v>
      </c>
      <c r="C4313" s="1" t="s">
        <v>20</v>
      </c>
      <c r="D4313" s="1" t="s">
        <v>37</v>
      </c>
      <c r="E4313" s="1" t="s">
        <v>13037</v>
      </c>
      <c r="F4313" s="72">
        <v>41595</v>
      </c>
      <c r="G4313" s="1" t="s">
        <v>13038</v>
      </c>
      <c r="H4313" s="1" t="s">
        <v>98</v>
      </c>
      <c r="I4313" s="1" t="s">
        <v>45</v>
      </c>
      <c r="J4313" s="4" t="s">
        <v>13039</v>
      </c>
      <c r="K4313" s="1" t="s">
        <v>98</v>
      </c>
      <c r="L4313" s="1" t="s">
        <v>99</v>
      </c>
      <c r="M4313" s="1" t="s">
        <v>27</v>
      </c>
      <c r="N4313" s="1" t="s">
        <v>13040</v>
      </c>
      <c r="O4313" s="1" t="s">
        <v>1010</v>
      </c>
      <c r="P4313" s="1" t="s">
        <v>401</v>
      </c>
      <c r="Q4313" s="63" t="s">
        <v>13041</v>
      </c>
      <c r="R4313" s="1" t="s">
        <v>29</v>
      </c>
      <c r="S4313" s="13" t="s">
        <v>28</v>
      </c>
      <c r="BC4313" s="11"/>
      <c r="BD4313" s="11"/>
      <c r="BE4313" s="11"/>
      <c r="BF4313" s="11"/>
      <c r="BG4313" s="11"/>
      <c r="BH4313" s="11"/>
      <c r="BI4313" s="11"/>
      <c r="BJ4313" s="11"/>
    </row>
    <row r="4314" spans="1:63" ht="12" customHeight="1" x14ac:dyDescent="0.15">
      <c r="A4314" s="1" t="s">
        <v>13021</v>
      </c>
      <c r="B4314" s="1">
        <v>31</v>
      </c>
      <c r="C4314" s="1" t="s">
        <v>20</v>
      </c>
      <c r="D4314" s="1" t="s">
        <v>85</v>
      </c>
      <c r="E4314" s="1" t="s">
        <v>13022</v>
      </c>
      <c r="F4314" s="72">
        <v>41595</v>
      </c>
      <c r="G4314" s="1" t="s">
        <v>13023</v>
      </c>
      <c r="H4314" s="1" t="s">
        <v>13024</v>
      </c>
      <c r="I4314" s="1" t="s">
        <v>69</v>
      </c>
      <c r="J4314" s="4" t="s">
        <v>13025</v>
      </c>
      <c r="K4314" s="1" t="s">
        <v>1288</v>
      </c>
      <c r="L4314" s="1" t="s">
        <v>12562</v>
      </c>
      <c r="M4314" s="1" t="s">
        <v>27</v>
      </c>
      <c r="N4314" s="1" t="s">
        <v>13026</v>
      </c>
      <c r="O4314" s="1" t="s">
        <v>550</v>
      </c>
      <c r="P4314" s="1" t="s">
        <v>401</v>
      </c>
      <c r="Q4314" s="63" t="s">
        <v>13027</v>
      </c>
      <c r="R4314" s="1" t="s">
        <v>555</v>
      </c>
      <c r="S4314" s="13" t="s">
        <v>28</v>
      </c>
      <c r="AX4314" s="11"/>
      <c r="AY4314" s="11"/>
      <c r="BC4314" s="11"/>
      <c r="BD4314" s="11"/>
      <c r="BE4314" s="11"/>
      <c r="BF4314" s="11"/>
      <c r="BG4314" s="11"/>
      <c r="BH4314" s="11"/>
      <c r="BI4314" s="11"/>
      <c r="BJ4314" s="11"/>
    </row>
    <row r="4315" spans="1:63" ht="12" customHeight="1" x14ac:dyDescent="0.15">
      <c r="A4315" s="1" t="s">
        <v>13042</v>
      </c>
      <c r="B4315" s="1">
        <v>22</v>
      </c>
      <c r="C4315" s="1" t="s">
        <v>20</v>
      </c>
      <c r="D4315" s="1" t="s">
        <v>37</v>
      </c>
      <c r="E4315" s="1" t="s">
        <v>13043</v>
      </c>
      <c r="F4315" s="72">
        <v>41594</v>
      </c>
      <c r="G4315" s="1" t="s">
        <v>13044</v>
      </c>
      <c r="H4315" s="1" t="s">
        <v>430</v>
      </c>
      <c r="I4315" s="1" t="s">
        <v>363</v>
      </c>
      <c r="J4315" s="4" t="s">
        <v>11528</v>
      </c>
      <c r="K4315" s="1" t="s">
        <v>598</v>
      </c>
      <c r="L4315" s="1" t="s">
        <v>2121</v>
      </c>
      <c r="M4315" s="1" t="s">
        <v>27</v>
      </c>
      <c r="N4315" s="1" t="s">
        <v>13045</v>
      </c>
      <c r="O4315" s="1" t="s">
        <v>1010</v>
      </c>
      <c r="P4315" s="1" t="s">
        <v>401</v>
      </c>
      <c r="Q4315" s="63" t="s">
        <v>13046</v>
      </c>
      <c r="R4315" s="1" t="s">
        <v>100</v>
      </c>
      <c r="S4315" s="13" t="s">
        <v>28</v>
      </c>
      <c r="BC4315" s="11"/>
      <c r="BD4315" s="11"/>
      <c r="BE4315" s="11"/>
      <c r="BF4315" s="11"/>
      <c r="BG4315" s="11"/>
      <c r="BH4315" s="11"/>
      <c r="BI4315" s="11"/>
      <c r="BJ4315" s="11"/>
    </row>
    <row r="4316" spans="1:63" ht="12" customHeight="1" x14ac:dyDescent="0.15">
      <c r="A4316" s="1" t="s">
        <v>13047</v>
      </c>
      <c r="B4316" s="1">
        <v>61</v>
      </c>
      <c r="C4316" s="1" t="s">
        <v>114</v>
      </c>
      <c r="D4316" s="1" t="s">
        <v>37</v>
      </c>
      <c r="E4316" s="1" t="s">
        <v>13048</v>
      </c>
      <c r="F4316" s="72">
        <v>41594</v>
      </c>
      <c r="G4316" s="1" t="s">
        <v>13049</v>
      </c>
      <c r="H4316" s="1" t="s">
        <v>606</v>
      </c>
      <c r="I4316" s="1" t="s">
        <v>45</v>
      </c>
      <c r="J4316" s="4" t="s">
        <v>13050</v>
      </c>
      <c r="K4316" s="1" t="s">
        <v>607</v>
      </c>
      <c r="L4316" s="1" t="s">
        <v>20933</v>
      </c>
      <c r="M4316" s="1" t="s">
        <v>27</v>
      </c>
      <c r="N4316" s="1" t="s">
        <v>13051</v>
      </c>
      <c r="O4316" s="1" t="s">
        <v>1010</v>
      </c>
      <c r="P4316" s="1" t="s">
        <v>401</v>
      </c>
      <c r="Q4316" s="63" t="s">
        <v>13052</v>
      </c>
      <c r="R4316" s="1" t="s">
        <v>29</v>
      </c>
      <c r="S4316" s="13" t="s">
        <v>28</v>
      </c>
      <c r="BC4316" s="11"/>
      <c r="BD4316" s="11"/>
      <c r="BE4316" s="11"/>
      <c r="BF4316" s="11"/>
      <c r="BG4316" s="11"/>
      <c r="BH4316" s="11"/>
      <c r="BI4316" s="11"/>
      <c r="BJ4316" s="11"/>
    </row>
    <row r="4317" spans="1:63" ht="12" customHeight="1" x14ac:dyDescent="0.15">
      <c r="A4317" s="1" t="s">
        <v>13058</v>
      </c>
      <c r="B4317" s="1">
        <v>21</v>
      </c>
      <c r="C4317" s="1" t="s">
        <v>20</v>
      </c>
      <c r="D4317" s="1" t="s">
        <v>48</v>
      </c>
      <c r="F4317" s="72">
        <v>41593</v>
      </c>
      <c r="G4317" s="1" t="s">
        <v>13059</v>
      </c>
      <c r="H4317" s="1" t="s">
        <v>13060</v>
      </c>
      <c r="I4317" s="1" t="s">
        <v>45</v>
      </c>
      <c r="J4317" s="4" t="s">
        <v>13061</v>
      </c>
      <c r="K4317" s="1" t="s">
        <v>98</v>
      </c>
      <c r="L4317" s="11" t="s">
        <v>414</v>
      </c>
      <c r="M4317" s="1" t="s">
        <v>27</v>
      </c>
      <c r="N4317" s="1" t="s">
        <v>13062</v>
      </c>
      <c r="O4317" s="1" t="s">
        <v>1010</v>
      </c>
      <c r="P4317" s="1" t="s">
        <v>401</v>
      </c>
      <c r="Q4317" s="63" t="s">
        <v>13063</v>
      </c>
      <c r="R4317" s="11" t="s">
        <v>964</v>
      </c>
      <c r="S4317" s="13" t="s">
        <v>28</v>
      </c>
    </row>
    <row r="4318" spans="1:63" ht="12" customHeight="1" x14ac:dyDescent="0.15">
      <c r="A4318" s="1" t="s">
        <v>13064</v>
      </c>
      <c r="B4318" s="1">
        <v>30</v>
      </c>
      <c r="C4318" s="1" t="s">
        <v>20</v>
      </c>
      <c r="D4318" s="1" t="s">
        <v>37</v>
      </c>
      <c r="E4318" s="1" t="s">
        <v>13065</v>
      </c>
      <c r="F4318" s="72">
        <v>41593</v>
      </c>
      <c r="G4318" s="1" t="s">
        <v>13066</v>
      </c>
      <c r="H4318" s="1" t="s">
        <v>13067</v>
      </c>
      <c r="I4318" s="1" t="s">
        <v>133</v>
      </c>
      <c r="J4318" s="4" t="s">
        <v>13068</v>
      </c>
      <c r="K4318" s="1" t="s">
        <v>1072</v>
      </c>
      <c r="L4318" s="1" t="s">
        <v>13069</v>
      </c>
      <c r="M4318" s="1" t="s">
        <v>27</v>
      </c>
      <c r="N4318" s="1" t="s">
        <v>13070</v>
      </c>
      <c r="O4318" s="1" t="s">
        <v>550</v>
      </c>
      <c r="P4318" s="1" t="s">
        <v>401</v>
      </c>
      <c r="Q4318" s="63" t="str">
        <f>HYPERLINK("http://www.startribune.com/local/west/232358621.html","http://www.startribune.com/local/west/232358621.html")</f>
        <v>http://www.startribune.com/local/west/232358621.html</v>
      </c>
      <c r="R4318" s="1" t="s">
        <v>100</v>
      </c>
      <c r="S4318" s="13" t="s">
        <v>28</v>
      </c>
      <c r="BC4318" s="11"/>
      <c r="BD4318" s="11"/>
      <c r="BE4318" s="11"/>
      <c r="BF4318" s="11"/>
      <c r="BG4318" s="11"/>
      <c r="BH4318" s="11"/>
      <c r="BI4318" s="11"/>
      <c r="BJ4318" s="11"/>
    </row>
    <row r="4319" spans="1:63" ht="12" customHeight="1" x14ac:dyDescent="0.15">
      <c r="A4319" s="1" t="s">
        <v>13053</v>
      </c>
      <c r="B4319" s="1">
        <v>42</v>
      </c>
      <c r="C4319" s="1" t="s">
        <v>20</v>
      </c>
      <c r="D4319" s="1" t="s">
        <v>85</v>
      </c>
      <c r="F4319" s="72">
        <v>41593</v>
      </c>
      <c r="G4319" s="1" t="s">
        <v>13054</v>
      </c>
      <c r="H4319" s="1" t="s">
        <v>2900</v>
      </c>
      <c r="I4319" s="1" t="s">
        <v>81</v>
      </c>
      <c r="J4319" s="4" t="s">
        <v>13055</v>
      </c>
      <c r="K4319" s="1" t="s">
        <v>2902</v>
      </c>
      <c r="L4319" s="1" t="s">
        <v>2903</v>
      </c>
      <c r="M4319" s="1" t="s">
        <v>27</v>
      </c>
      <c r="N4319" s="1" t="s">
        <v>13056</v>
      </c>
      <c r="O4319" s="1" t="s">
        <v>1010</v>
      </c>
      <c r="P4319" s="1" t="s">
        <v>401</v>
      </c>
      <c r="Q4319" s="63" t="s">
        <v>13057</v>
      </c>
      <c r="R4319" s="1" t="s">
        <v>29</v>
      </c>
      <c r="S4319" s="13" t="s">
        <v>28</v>
      </c>
      <c r="AX4319" s="11"/>
      <c r="AY4319" s="11"/>
      <c r="BC4319" s="11"/>
      <c r="BD4319" s="11"/>
      <c r="BE4319" s="11"/>
      <c r="BF4319" s="11"/>
      <c r="BG4319" s="11"/>
      <c r="BH4319" s="11"/>
      <c r="BI4319" s="11"/>
      <c r="BJ4319" s="11"/>
    </row>
    <row r="4320" spans="1:63" ht="12" customHeight="1" x14ac:dyDescent="0.15">
      <c r="A4320" s="1" t="s">
        <v>13080</v>
      </c>
      <c r="B4320" s="1">
        <v>53</v>
      </c>
      <c r="C4320" s="1" t="s">
        <v>20</v>
      </c>
      <c r="D4320" s="1" t="s">
        <v>30</v>
      </c>
      <c r="F4320" s="72">
        <v>41592</v>
      </c>
      <c r="G4320" s="1" t="s">
        <v>13081</v>
      </c>
      <c r="H4320" s="1" t="s">
        <v>575</v>
      </c>
      <c r="I4320" s="1" t="s">
        <v>73</v>
      </c>
      <c r="J4320" s="4" t="s">
        <v>13082</v>
      </c>
      <c r="K4320" s="1" t="s">
        <v>576</v>
      </c>
      <c r="L4320" s="1" t="s">
        <v>577</v>
      </c>
      <c r="M4320" s="1" t="s">
        <v>27</v>
      </c>
      <c r="N4320" s="1" t="s">
        <v>13083</v>
      </c>
      <c r="O4320" s="1" t="s">
        <v>1010</v>
      </c>
      <c r="P4320" s="1" t="s">
        <v>401</v>
      </c>
      <c r="Q4320" s="63" t="s">
        <v>13084</v>
      </c>
      <c r="R4320" s="1" t="s">
        <v>100</v>
      </c>
      <c r="S4320" s="13" t="s">
        <v>28</v>
      </c>
    </row>
    <row r="4321" spans="1:63" ht="12" customHeight="1" x14ac:dyDescent="0.15">
      <c r="A4321" s="1" t="s">
        <v>13074</v>
      </c>
      <c r="B4321" s="1">
        <v>49</v>
      </c>
      <c r="C4321" s="1" t="s">
        <v>20</v>
      </c>
      <c r="D4321" s="1" t="s">
        <v>30</v>
      </c>
      <c r="F4321" s="72">
        <v>41592</v>
      </c>
      <c r="G4321" s="1" t="s">
        <v>13075</v>
      </c>
      <c r="H4321" s="1" t="s">
        <v>13076</v>
      </c>
      <c r="I4321" s="1" t="s">
        <v>978</v>
      </c>
      <c r="J4321" s="4" t="s">
        <v>13077</v>
      </c>
      <c r="K4321" s="1" t="s">
        <v>5087</v>
      </c>
      <c r="L4321" s="1" t="s">
        <v>9754</v>
      </c>
      <c r="M4321" s="1" t="s">
        <v>27</v>
      </c>
      <c r="N4321" s="1" t="s">
        <v>13078</v>
      </c>
      <c r="O4321" s="1" t="s">
        <v>1010</v>
      </c>
      <c r="P4321" s="1" t="s">
        <v>401</v>
      </c>
      <c r="Q4321" s="63" t="s">
        <v>13079</v>
      </c>
      <c r="R4321" s="1" t="s">
        <v>555</v>
      </c>
      <c r="S4321" s="13" t="s">
        <v>28</v>
      </c>
      <c r="BA4321" s="11"/>
      <c r="BB4321" s="11"/>
    </row>
    <row r="4322" spans="1:63" ht="12" customHeight="1" x14ac:dyDescent="0.15">
      <c r="A4322" s="1" t="s">
        <v>13071</v>
      </c>
      <c r="B4322" s="1">
        <v>30</v>
      </c>
      <c r="C4322" s="1" t="s">
        <v>20</v>
      </c>
      <c r="D4322" s="1" t="s">
        <v>48</v>
      </c>
      <c r="F4322" s="72">
        <v>41592</v>
      </c>
      <c r="G4322" s="1" t="s">
        <v>13072</v>
      </c>
      <c r="H4322" s="1" t="s">
        <v>4709</v>
      </c>
      <c r="I4322" s="1" t="s">
        <v>73</v>
      </c>
      <c r="K4322" s="1" t="s">
        <v>4711</v>
      </c>
      <c r="L4322" s="1" t="s">
        <v>4712</v>
      </c>
      <c r="M4322" s="1" t="s">
        <v>29</v>
      </c>
      <c r="P4322" s="1" t="s">
        <v>401</v>
      </c>
      <c r="Q4322" s="63" t="s">
        <v>13073</v>
      </c>
      <c r="R4322" s="1" t="s">
        <v>29</v>
      </c>
      <c r="S4322" s="13" t="s">
        <v>28</v>
      </c>
      <c r="AU4322" s="44"/>
      <c r="AV4322" s="44"/>
      <c r="AW4322" s="44"/>
    </row>
    <row r="4323" spans="1:63" ht="12" customHeight="1" x14ac:dyDescent="0.15">
      <c r="A4323" s="1" t="s">
        <v>3252</v>
      </c>
      <c r="C4323" s="1" t="s">
        <v>20</v>
      </c>
      <c r="D4323" s="1" t="s">
        <v>30</v>
      </c>
      <c r="F4323" s="72">
        <v>41591</v>
      </c>
      <c r="G4323" s="1" t="s">
        <v>13097</v>
      </c>
      <c r="H4323" s="1" t="s">
        <v>3132</v>
      </c>
      <c r="I4323" s="1" t="s">
        <v>45</v>
      </c>
      <c r="J4323" s="4" t="s">
        <v>13098</v>
      </c>
      <c r="K4323" s="1" t="s">
        <v>98</v>
      </c>
      <c r="L4323" s="1" t="s">
        <v>3133</v>
      </c>
      <c r="M4323" s="1" t="s">
        <v>27</v>
      </c>
      <c r="N4323" s="1" t="s">
        <v>13099</v>
      </c>
      <c r="O4323" s="1" t="s">
        <v>1010</v>
      </c>
      <c r="P4323" s="1" t="s">
        <v>401</v>
      </c>
      <c r="Q4323" s="63" t="s">
        <v>13100</v>
      </c>
      <c r="R4323" s="1" t="s">
        <v>100</v>
      </c>
      <c r="S4323" s="13" t="s">
        <v>28</v>
      </c>
    </row>
    <row r="4324" spans="1:63" ht="12" customHeight="1" x14ac:dyDescent="0.15">
      <c r="A4324" s="1" t="s">
        <v>13085</v>
      </c>
      <c r="B4324" s="1">
        <v>27</v>
      </c>
      <c r="C4324" s="1" t="s">
        <v>20</v>
      </c>
      <c r="D4324" s="1" t="s">
        <v>85</v>
      </c>
      <c r="F4324" s="72">
        <v>41591</v>
      </c>
      <c r="G4324" s="1" t="s">
        <v>13086</v>
      </c>
      <c r="H4324" s="1" t="s">
        <v>1287</v>
      </c>
      <c r="I4324" s="1" t="s">
        <v>173</v>
      </c>
      <c r="J4324" s="4" t="s">
        <v>13087</v>
      </c>
      <c r="K4324" s="1" t="s">
        <v>10789</v>
      </c>
      <c r="L4324" s="1" t="s">
        <v>19403</v>
      </c>
      <c r="M4324" s="1" t="s">
        <v>27</v>
      </c>
      <c r="N4324" s="1" t="s">
        <v>13088</v>
      </c>
      <c r="O4324" s="1" t="s">
        <v>1010</v>
      </c>
      <c r="P4324" s="1" t="s">
        <v>401</v>
      </c>
      <c r="Q4324" s="63" t="s">
        <v>13089</v>
      </c>
      <c r="R4324" s="1" t="s">
        <v>100</v>
      </c>
      <c r="S4324" s="13" t="s">
        <v>18</v>
      </c>
      <c r="AX4324" s="11"/>
      <c r="AY4324" s="11"/>
      <c r="BC4324" s="11"/>
      <c r="BD4324" s="11"/>
      <c r="BE4324" s="11"/>
      <c r="BF4324" s="11"/>
      <c r="BG4324" s="11"/>
      <c r="BH4324" s="11"/>
      <c r="BI4324" s="11"/>
      <c r="BJ4324" s="11"/>
    </row>
    <row r="4325" spans="1:63" ht="12" customHeight="1" x14ac:dyDescent="0.15">
      <c r="A4325" s="1" t="s">
        <v>13090</v>
      </c>
      <c r="B4325" s="1">
        <v>17</v>
      </c>
      <c r="C4325" s="1" t="s">
        <v>20</v>
      </c>
      <c r="D4325" s="1" t="s">
        <v>48</v>
      </c>
      <c r="E4325" s="1" t="s">
        <v>13091</v>
      </c>
      <c r="F4325" s="72">
        <v>41591</v>
      </c>
      <c r="G4325" s="1" t="s">
        <v>13092</v>
      </c>
      <c r="H4325" s="1" t="s">
        <v>723</v>
      </c>
      <c r="I4325" s="1" t="s">
        <v>73</v>
      </c>
      <c r="J4325" s="4" t="s">
        <v>13093</v>
      </c>
      <c r="K4325" s="1" t="s">
        <v>558</v>
      </c>
      <c r="L4325" s="1" t="s">
        <v>13094</v>
      </c>
      <c r="M4325" s="1" t="s">
        <v>27</v>
      </c>
      <c r="N4325" s="1" t="s">
        <v>13095</v>
      </c>
      <c r="O4325" s="1" t="s">
        <v>550</v>
      </c>
      <c r="P4325" s="1" t="s">
        <v>401</v>
      </c>
      <c r="Q4325" s="63" t="s">
        <v>13096</v>
      </c>
      <c r="R4325" s="1" t="s">
        <v>100</v>
      </c>
      <c r="S4325" s="13" t="s">
        <v>379</v>
      </c>
    </row>
    <row r="4326" spans="1:63" ht="12" customHeight="1" x14ac:dyDescent="0.15">
      <c r="A4326" s="1" t="s">
        <v>13109</v>
      </c>
      <c r="B4326" s="1">
        <v>17</v>
      </c>
      <c r="C4326" s="1" t="s">
        <v>20</v>
      </c>
      <c r="D4326" s="1" t="s">
        <v>85</v>
      </c>
      <c r="E4326" s="1" t="s">
        <v>13110</v>
      </c>
      <c r="F4326" s="72">
        <v>41589</v>
      </c>
      <c r="G4326" s="1" t="s">
        <v>13111</v>
      </c>
      <c r="H4326" s="1" t="s">
        <v>887</v>
      </c>
      <c r="I4326" s="1" t="s">
        <v>438</v>
      </c>
      <c r="J4326" s="4" t="s">
        <v>13112</v>
      </c>
      <c r="K4326" s="1" t="s">
        <v>887</v>
      </c>
      <c r="L4326" s="1" t="s">
        <v>3865</v>
      </c>
      <c r="M4326" s="1" t="s">
        <v>27</v>
      </c>
      <c r="N4326" s="1" t="s">
        <v>13113</v>
      </c>
      <c r="O4326" s="1" t="s">
        <v>1010</v>
      </c>
      <c r="P4326" s="1" t="s">
        <v>401</v>
      </c>
      <c r="Q4326" s="63" t="str">
        <f>HYPERLINK("http://www.jsonline.com/news/crime/shots-fired-in-downtown-milwaukee-b99139596z1-231430101.html","http://www.jsonline.com/news/crime/shots-fired-in-downtown-milwaukee-b99139596z1-231430101.html")</f>
        <v>http://www.jsonline.com/news/crime/shots-fired-in-downtown-milwaukee-b99139596z1-231430101.html</v>
      </c>
      <c r="R4326" s="1" t="s">
        <v>100</v>
      </c>
      <c r="S4326" s="13" t="s">
        <v>28</v>
      </c>
      <c r="AX4326" s="11"/>
      <c r="AY4326" s="11"/>
      <c r="BC4326" s="11"/>
      <c r="BD4326" s="11"/>
      <c r="BE4326" s="11"/>
      <c r="BF4326" s="11"/>
      <c r="BG4326" s="11"/>
      <c r="BH4326" s="11"/>
      <c r="BI4326" s="11"/>
      <c r="BJ4326" s="11"/>
    </row>
    <row r="4327" spans="1:63" ht="12" customHeight="1" x14ac:dyDescent="0.15">
      <c r="A4327" s="1" t="s">
        <v>13114</v>
      </c>
      <c r="B4327" s="1">
        <v>59</v>
      </c>
      <c r="C4327" s="1" t="s">
        <v>20</v>
      </c>
      <c r="D4327" s="1" t="s">
        <v>30</v>
      </c>
      <c r="F4327" s="72">
        <v>41589</v>
      </c>
      <c r="G4327" s="1" t="s">
        <v>13115</v>
      </c>
      <c r="H4327" s="1" t="s">
        <v>1287</v>
      </c>
      <c r="I4327" s="1" t="s">
        <v>69</v>
      </c>
      <c r="J4327" s="4" t="s">
        <v>13116</v>
      </c>
      <c r="K4327" s="1" t="s">
        <v>906</v>
      </c>
      <c r="L4327" s="1" t="s">
        <v>13117</v>
      </c>
      <c r="M4327" s="1" t="s">
        <v>27</v>
      </c>
      <c r="N4327" s="1" t="s">
        <v>13118</v>
      </c>
      <c r="O4327" s="1" t="s">
        <v>1010</v>
      </c>
      <c r="P4327" s="1" t="s">
        <v>401</v>
      </c>
      <c r="Q4327" s="63" t="s">
        <v>13119</v>
      </c>
      <c r="R4327" s="1" t="s">
        <v>100</v>
      </c>
      <c r="S4327" s="13" t="s">
        <v>28</v>
      </c>
    </row>
    <row r="4328" spans="1:63" ht="12" customHeight="1" x14ac:dyDescent="0.15">
      <c r="A4328" s="1" t="s">
        <v>13101</v>
      </c>
      <c r="B4328" s="1">
        <v>30</v>
      </c>
      <c r="C4328" s="1" t="s">
        <v>20</v>
      </c>
      <c r="D4328" s="1" t="s">
        <v>85</v>
      </c>
      <c r="E4328" s="1" t="s">
        <v>13102</v>
      </c>
      <c r="F4328" s="72">
        <v>41589</v>
      </c>
      <c r="G4328" s="1" t="s">
        <v>13103</v>
      </c>
      <c r="H4328" s="1" t="s">
        <v>13104</v>
      </c>
      <c r="I4328" s="1" t="s">
        <v>81</v>
      </c>
      <c r="J4328" s="4" t="s">
        <v>13105</v>
      </c>
      <c r="K4328" s="1" t="s">
        <v>528</v>
      </c>
      <c r="L4328" s="1" t="s">
        <v>13106</v>
      </c>
      <c r="M4328" s="1" t="s">
        <v>27</v>
      </c>
      <c r="N4328" s="1" t="s">
        <v>13107</v>
      </c>
      <c r="O4328" s="1" t="s">
        <v>400</v>
      </c>
      <c r="P4328" s="1" t="s">
        <v>401</v>
      </c>
      <c r="Q4328" s="63" t="s">
        <v>13108</v>
      </c>
      <c r="R4328" s="1" t="s">
        <v>100</v>
      </c>
      <c r="S4328" s="13" t="s">
        <v>18</v>
      </c>
      <c r="AX4328" s="11"/>
      <c r="AY4328" s="11"/>
      <c r="BC4328" s="11"/>
      <c r="BD4328" s="11"/>
      <c r="BE4328" s="11"/>
      <c r="BF4328" s="11"/>
      <c r="BG4328" s="11"/>
      <c r="BH4328" s="11"/>
      <c r="BI4328" s="11"/>
      <c r="BJ4328" s="11"/>
    </row>
    <row r="4329" spans="1:63" ht="12" customHeight="1" x14ac:dyDescent="0.15">
      <c r="A4329" s="1" t="s">
        <v>13121</v>
      </c>
      <c r="B4329" s="1">
        <v>56</v>
      </c>
      <c r="C4329" s="1" t="s">
        <v>20</v>
      </c>
      <c r="D4329" s="1" t="s">
        <v>37</v>
      </c>
      <c r="E4329" s="1" t="s">
        <v>13122</v>
      </c>
      <c r="F4329" s="72">
        <v>41589</v>
      </c>
      <c r="G4329" s="1" t="s">
        <v>24497</v>
      </c>
      <c r="H4329" s="1" t="s">
        <v>13123</v>
      </c>
      <c r="I4329" s="1" t="s">
        <v>45</v>
      </c>
      <c r="J4329" s="4" t="s">
        <v>13124</v>
      </c>
      <c r="K4329" s="1" t="s">
        <v>309</v>
      </c>
      <c r="L4329" s="1" t="s">
        <v>310</v>
      </c>
      <c r="M4329" s="1" t="s">
        <v>27</v>
      </c>
      <c r="N4329" s="1" t="s">
        <v>13125</v>
      </c>
      <c r="O4329" s="1" t="s">
        <v>550</v>
      </c>
      <c r="P4329" s="1" t="s">
        <v>401</v>
      </c>
      <c r="Q4329" s="63" t="s">
        <v>13126</v>
      </c>
      <c r="R4329" s="1" t="s">
        <v>29</v>
      </c>
      <c r="S4329" s="13" t="s">
        <v>18</v>
      </c>
      <c r="BC4329" s="11"/>
      <c r="BD4329" s="11"/>
      <c r="BE4329" s="11"/>
      <c r="BF4329" s="11"/>
      <c r="BG4329" s="11"/>
      <c r="BH4329" s="11"/>
      <c r="BI4329" s="11"/>
      <c r="BJ4329" s="11"/>
    </row>
    <row r="4330" spans="1:63" ht="12" customHeight="1" x14ac:dyDescent="0.15">
      <c r="A4330" s="1" t="s">
        <v>13132</v>
      </c>
      <c r="B4330" s="1">
        <v>31</v>
      </c>
      <c r="C4330" s="1" t="s">
        <v>20</v>
      </c>
      <c r="D4330" s="1" t="s">
        <v>37</v>
      </c>
      <c r="E4330" s="1" t="s">
        <v>13133</v>
      </c>
      <c r="F4330" s="72">
        <v>41588</v>
      </c>
      <c r="G4330" s="1" t="s">
        <v>13134</v>
      </c>
      <c r="H4330" s="1" t="s">
        <v>7082</v>
      </c>
      <c r="I4330" s="1" t="s">
        <v>217</v>
      </c>
      <c r="J4330" s="4" t="s">
        <v>7083</v>
      </c>
      <c r="K4330" s="1" t="s">
        <v>7082</v>
      </c>
      <c r="L4330" s="1" t="s">
        <v>7084</v>
      </c>
      <c r="M4330" s="1" t="s">
        <v>27</v>
      </c>
      <c r="N4330" s="1" t="s">
        <v>13135</v>
      </c>
      <c r="O4330" s="1" t="s">
        <v>550</v>
      </c>
      <c r="P4330" s="1" t="s">
        <v>401</v>
      </c>
      <c r="Q4330" s="63" t="s">
        <v>13136</v>
      </c>
      <c r="R4330" s="11" t="s">
        <v>964</v>
      </c>
      <c r="S4330" s="13" t="s">
        <v>379</v>
      </c>
      <c r="BC4330" s="11"/>
      <c r="BD4330" s="11"/>
      <c r="BE4330" s="11"/>
      <c r="BF4330" s="11"/>
      <c r="BG4330" s="11"/>
      <c r="BH4330" s="11"/>
      <c r="BI4330" s="11"/>
      <c r="BJ4330" s="11"/>
    </row>
    <row r="4331" spans="1:63" ht="12" customHeight="1" x14ac:dyDescent="0.15">
      <c r="A4331" s="1" t="s">
        <v>13127</v>
      </c>
      <c r="B4331" s="1">
        <v>39</v>
      </c>
      <c r="C4331" s="1" t="s">
        <v>20</v>
      </c>
      <c r="D4331" s="1" t="s">
        <v>85</v>
      </c>
      <c r="E4331" s="1" t="s">
        <v>13128</v>
      </c>
      <c r="F4331" s="72">
        <v>41588</v>
      </c>
      <c r="G4331" s="1" t="s">
        <v>13129</v>
      </c>
      <c r="H4331" s="1" t="s">
        <v>489</v>
      </c>
      <c r="I4331" s="1" t="s">
        <v>45</v>
      </c>
      <c r="J4331" s="4" t="s">
        <v>9601</v>
      </c>
      <c r="K4331" s="1" t="s">
        <v>98</v>
      </c>
      <c r="L4331" s="1" t="s">
        <v>490</v>
      </c>
      <c r="M4331" s="1" t="s">
        <v>27</v>
      </c>
      <c r="N4331" s="1" t="s">
        <v>13130</v>
      </c>
      <c r="O4331" s="1" t="s">
        <v>29</v>
      </c>
      <c r="P4331" s="1" t="s">
        <v>401</v>
      </c>
      <c r="Q4331" s="63" t="s">
        <v>13131</v>
      </c>
      <c r="R4331" s="1" t="s">
        <v>100</v>
      </c>
      <c r="S4331" s="13" t="s">
        <v>28</v>
      </c>
      <c r="AX4331" s="11"/>
      <c r="AY4331" s="11"/>
      <c r="BC4331" s="11"/>
      <c r="BD4331" s="11"/>
      <c r="BE4331" s="11"/>
      <c r="BF4331" s="11"/>
      <c r="BG4331" s="11"/>
      <c r="BH4331" s="11"/>
      <c r="BI4331" s="11"/>
      <c r="BJ4331" s="11"/>
    </row>
    <row r="4332" spans="1:63" ht="12" customHeight="1" x14ac:dyDescent="0.15">
      <c r="A4332" s="1" t="s">
        <v>13137</v>
      </c>
      <c r="B4332" s="1">
        <v>24</v>
      </c>
      <c r="C4332" s="1" t="s">
        <v>20</v>
      </c>
      <c r="D4332" s="1" t="s">
        <v>85</v>
      </c>
      <c r="E4332" s="1" t="s">
        <v>13138</v>
      </c>
      <c r="F4332" s="72">
        <v>41586</v>
      </c>
      <c r="G4332" s="1" t="s">
        <v>13139</v>
      </c>
      <c r="H4332" s="1" t="s">
        <v>3438</v>
      </c>
      <c r="I4332" s="1" t="s">
        <v>25</v>
      </c>
      <c r="J4332" s="4" t="s">
        <v>13140</v>
      </c>
      <c r="K4332" s="1" t="s">
        <v>1778</v>
      </c>
      <c r="L4332" s="1" t="s">
        <v>11949</v>
      </c>
      <c r="M4332" s="1" t="s">
        <v>27</v>
      </c>
      <c r="N4332" s="1" t="s">
        <v>13141</v>
      </c>
      <c r="O4332" s="1" t="s">
        <v>1010</v>
      </c>
      <c r="P4332" s="1" t="s">
        <v>401</v>
      </c>
      <c r="Q4332" s="63" t="s">
        <v>13142</v>
      </c>
      <c r="R4332" s="1" t="s">
        <v>100</v>
      </c>
      <c r="S4332" s="13" t="s">
        <v>379</v>
      </c>
      <c r="AX4332" s="11"/>
      <c r="AY4332" s="11"/>
      <c r="BC4332" s="11"/>
      <c r="BD4332" s="11"/>
      <c r="BE4332" s="11"/>
      <c r="BF4332" s="11"/>
      <c r="BG4332" s="11"/>
      <c r="BH4332" s="11"/>
      <c r="BI4332" s="11"/>
      <c r="BJ4332" s="11"/>
    </row>
    <row r="4333" spans="1:63" ht="12" customHeight="1" x14ac:dyDescent="0.15">
      <c r="A4333" s="1" t="s">
        <v>13143</v>
      </c>
      <c r="B4333" s="1">
        <v>39</v>
      </c>
      <c r="C4333" s="1" t="s">
        <v>114</v>
      </c>
      <c r="D4333" s="1" t="s">
        <v>48</v>
      </c>
      <c r="E4333" s="1" t="s">
        <v>13144</v>
      </c>
      <c r="F4333" s="72">
        <v>41585</v>
      </c>
      <c r="G4333" s="1" t="s">
        <v>13145</v>
      </c>
      <c r="H4333" s="1" t="s">
        <v>628</v>
      </c>
      <c r="I4333" s="1" t="s">
        <v>195</v>
      </c>
      <c r="J4333" s="4" t="s">
        <v>13146</v>
      </c>
      <c r="K4333" s="1" t="s">
        <v>628</v>
      </c>
      <c r="L4333" s="1" t="s">
        <v>3085</v>
      </c>
      <c r="M4333" s="1" t="s">
        <v>27</v>
      </c>
      <c r="N4333" s="1" t="s">
        <v>13147</v>
      </c>
      <c r="O4333" s="1" t="s">
        <v>550</v>
      </c>
      <c r="P4333" s="1" t="s">
        <v>401</v>
      </c>
      <c r="Q4333" s="63" t="s">
        <v>13148</v>
      </c>
      <c r="R4333" s="1" t="s">
        <v>100</v>
      </c>
      <c r="S4333" s="13" t="s">
        <v>379</v>
      </c>
    </row>
    <row r="4334" spans="1:63" ht="12" customHeight="1" x14ac:dyDescent="0.15">
      <c r="A4334" s="1" t="s">
        <v>13149</v>
      </c>
      <c r="B4334" s="1">
        <v>22</v>
      </c>
      <c r="C4334" s="1" t="s">
        <v>20</v>
      </c>
      <c r="D4334" s="1" t="s">
        <v>48</v>
      </c>
      <c r="E4334" s="1" t="s">
        <v>13150</v>
      </c>
      <c r="F4334" s="72">
        <v>41584</v>
      </c>
      <c r="G4334" s="1" t="s">
        <v>13151</v>
      </c>
      <c r="H4334" s="1" t="s">
        <v>526</v>
      </c>
      <c r="I4334" s="1" t="s">
        <v>81</v>
      </c>
      <c r="J4334" s="4" t="s">
        <v>13152</v>
      </c>
      <c r="K4334" s="1" t="s">
        <v>528</v>
      </c>
      <c r="L4334" s="1" t="s">
        <v>13153</v>
      </c>
      <c r="M4334" s="1" t="s">
        <v>27</v>
      </c>
      <c r="N4334" s="1" t="s">
        <v>13154</v>
      </c>
      <c r="O4334" s="1" t="s">
        <v>1010</v>
      </c>
      <c r="P4334" s="1" t="s">
        <v>401</v>
      </c>
      <c r="Q4334" s="63" t="s">
        <v>13155</v>
      </c>
      <c r="R4334" s="1" t="s">
        <v>100</v>
      </c>
      <c r="S4334" s="13" t="s">
        <v>35</v>
      </c>
      <c r="BK4334" s="11"/>
    </row>
    <row r="4335" spans="1:63" ht="12" customHeight="1" x14ac:dyDescent="0.15">
      <c r="A4335" s="1" t="s">
        <v>13156</v>
      </c>
      <c r="B4335" s="1">
        <v>49</v>
      </c>
      <c r="C4335" s="1" t="s">
        <v>20</v>
      </c>
      <c r="D4335" s="1" t="s">
        <v>37</v>
      </c>
      <c r="E4335" s="1" t="s">
        <v>13157</v>
      </c>
      <c r="F4335" s="72">
        <v>41584</v>
      </c>
      <c r="G4335" s="1" t="s">
        <v>13158</v>
      </c>
      <c r="H4335" s="1" t="s">
        <v>5094</v>
      </c>
      <c r="I4335" s="1" t="s">
        <v>10695</v>
      </c>
      <c r="J4335" s="4" t="s">
        <v>13159</v>
      </c>
      <c r="K4335" s="1" t="s">
        <v>13160</v>
      </c>
      <c r="L4335" s="1" t="s">
        <v>5096</v>
      </c>
      <c r="M4335" s="1" t="s">
        <v>27</v>
      </c>
      <c r="N4335" s="1" t="s">
        <v>13161</v>
      </c>
      <c r="O4335" s="1" t="s">
        <v>550</v>
      </c>
      <c r="P4335" s="1" t="s">
        <v>401</v>
      </c>
      <c r="Q4335" s="63" t="s">
        <v>13162</v>
      </c>
      <c r="R4335" s="1" t="s">
        <v>555</v>
      </c>
      <c r="S4335" s="13" t="s">
        <v>28</v>
      </c>
      <c r="BA4335" s="44"/>
      <c r="BB4335" s="44"/>
      <c r="BC4335" s="11"/>
      <c r="BD4335" s="11"/>
      <c r="BE4335" s="11"/>
      <c r="BF4335" s="11"/>
      <c r="BG4335" s="11"/>
      <c r="BH4335" s="11"/>
      <c r="BI4335" s="11"/>
      <c r="BJ4335" s="11"/>
    </row>
    <row r="4336" spans="1:63" ht="12" customHeight="1" x14ac:dyDescent="0.2">
      <c r="A4336" s="1" t="s">
        <v>13163</v>
      </c>
      <c r="B4336" s="1">
        <v>27</v>
      </c>
      <c r="C4336" s="1" t="s">
        <v>20</v>
      </c>
      <c r="D4336" s="1" t="s">
        <v>21</v>
      </c>
      <c r="E4336" s="1" t="s">
        <v>13164</v>
      </c>
      <c r="F4336" s="72">
        <v>41583</v>
      </c>
      <c r="G4336" s="1" t="s">
        <v>13165</v>
      </c>
      <c r="H4336" s="1" t="s">
        <v>200</v>
      </c>
      <c r="I4336" s="1" t="s">
        <v>45</v>
      </c>
      <c r="J4336" s="4" t="s">
        <v>13166</v>
      </c>
      <c r="K4336" s="1" t="s">
        <v>200</v>
      </c>
      <c r="L4336" s="1" t="s">
        <v>1598</v>
      </c>
      <c r="M4336" s="1" t="s">
        <v>27</v>
      </c>
      <c r="N4336" s="1" t="s">
        <v>13167</v>
      </c>
      <c r="O4336" s="1" t="s">
        <v>1010</v>
      </c>
      <c r="P4336" s="1" t="s">
        <v>401</v>
      </c>
      <c r="Q4336" s="63" t="s">
        <v>13168</v>
      </c>
      <c r="R4336" s="1" t="s">
        <v>100</v>
      </c>
      <c r="S4336" s="13" t="s">
        <v>28</v>
      </c>
      <c r="AX4336" s="70"/>
      <c r="AY4336" s="70"/>
      <c r="BC4336" s="70"/>
      <c r="BD4336" s="70"/>
      <c r="BE4336" s="70"/>
      <c r="BF4336" s="70"/>
      <c r="BG4336" s="70"/>
      <c r="BH4336" s="70"/>
      <c r="BI4336" s="70"/>
      <c r="BJ4336" s="70"/>
    </row>
    <row r="4337" spans="1:62" ht="12" customHeight="1" x14ac:dyDescent="0.15">
      <c r="A4337" s="1" t="s">
        <v>13169</v>
      </c>
      <c r="B4337" s="1">
        <v>24</v>
      </c>
      <c r="C4337" s="1" t="s">
        <v>20</v>
      </c>
      <c r="D4337" s="1" t="s">
        <v>85</v>
      </c>
      <c r="E4337" s="1" t="s">
        <v>13170</v>
      </c>
      <c r="F4337" s="72">
        <v>41583</v>
      </c>
      <c r="G4337" s="1" t="s">
        <v>24498</v>
      </c>
      <c r="H4337" s="1" t="s">
        <v>4883</v>
      </c>
      <c r="I4337" s="1" t="s">
        <v>45</v>
      </c>
      <c r="J4337" s="4" t="s">
        <v>4884</v>
      </c>
      <c r="K4337" s="1" t="s">
        <v>3423</v>
      </c>
      <c r="L4337" s="1" t="s">
        <v>4885</v>
      </c>
      <c r="M4337" s="1" t="s">
        <v>27</v>
      </c>
      <c r="N4337" s="1" t="s">
        <v>13171</v>
      </c>
      <c r="O4337" s="1" t="s">
        <v>29</v>
      </c>
      <c r="P4337" s="1" t="s">
        <v>401</v>
      </c>
      <c r="Q4337" s="63" t="s">
        <v>13172</v>
      </c>
      <c r="R4337" s="1" t="s">
        <v>100</v>
      </c>
      <c r="S4337" s="13" t="s">
        <v>28</v>
      </c>
      <c r="AX4337" s="11"/>
      <c r="AY4337" s="11"/>
      <c r="BC4337" s="11"/>
      <c r="BD4337" s="11"/>
      <c r="BE4337" s="11"/>
      <c r="BF4337" s="11"/>
      <c r="BG4337" s="11"/>
      <c r="BH4337" s="11"/>
      <c r="BI4337" s="11"/>
      <c r="BJ4337" s="11"/>
    </row>
    <row r="4338" spans="1:62" ht="12" customHeight="1" x14ac:dyDescent="0.15">
      <c r="A4338" s="1" t="s">
        <v>13179</v>
      </c>
      <c r="B4338" s="1">
        <v>23</v>
      </c>
      <c r="C4338" s="1" t="s">
        <v>20</v>
      </c>
      <c r="D4338" s="1" t="s">
        <v>85</v>
      </c>
      <c r="E4338" s="1" t="s">
        <v>13180</v>
      </c>
      <c r="F4338" s="72">
        <v>41582</v>
      </c>
      <c r="G4338" s="1" t="s">
        <v>13181</v>
      </c>
      <c r="H4338" s="1" t="s">
        <v>4247</v>
      </c>
      <c r="I4338" s="1" t="s">
        <v>62</v>
      </c>
      <c r="J4338" s="4" t="s">
        <v>13182</v>
      </c>
      <c r="K4338" s="1" t="s">
        <v>161</v>
      </c>
      <c r="L4338" s="1" t="s">
        <v>4249</v>
      </c>
      <c r="M4338" s="1" t="s">
        <v>27</v>
      </c>
      <c r="N4338" s="1" t="s">
        <v>13183</v>
      </c>
      <c r="O4338" s="1" t="s">
        <v>1010</v>
      </c>
      <c r="P4338" s="1" t="s">
        <v>401</v>
      </c>
      <c r="Q4338" s="63" t="s">
        <v>13184</v>
      </c>
      <c r="R4338" s="1" t="s">
        <v>100</v>
      </c>
      <c r="S4338" s="13" t="s">
        <v>28</v>
      </c>
      <c r="AX4338" s="11"/>
      <c r="AY4338" s="11"/>
      <c r="BC4338" s="11"/>
      <c r="BD4338" s="11"/>
      <c r="BE4338" s="11"/>
      <c r="BF4338" s="11"/>
      <c r="BG4338" s="11"/>
      <c r="BH4338" s="11"/>
      <c r="BI4338" s="11"/>
      <c r="BJ4338" s="11"/>
    </row>
    <row r="4339" spans="1:62" ht="12" customHeight="1" x14ac:dyDescent="0.15">
      <c r="A4339" s="1" t="s">
        <v>13185</v>
      </c>
      <c r="B4339" s="1">
        <v>19</v>
      </c>
      <c r="C4339" s="1" t="s">
        <v>20</v>
      </c>
      <c r="D4339" s="1" t="s">
        <v>37</v>
      </c>
      <c r="E4339" s="1" t="s">
        <v>13186</v>
      </c>
      <c r="F4339" s="72">
        <v>41582</v>
      </c>
      <c r="G4339" s="1" t="s">
        <v>13187</v>
      </c>
      <c r="H4339" s="1" t="s">
        <v>13188</v>
      </c>
      <c r="I4339" s="1" t="s">
        <v>370</v>
      </c>
      <c r="J4339" s="4" t="s">
        <v>13189</v>
      </c>
      <c r="K4339" s="1" t="s">
        <v>13190</v>
      </c>
      <c r="L4339" s="1" t="s">
        <v>13191</v>
      </c>
      <c r="M4339" s="1" t="s">
        <v>27</v>
      </c>
      <c r="N4339" s="1" t="s">
        <v>13192</v>
      </c>
      <c r="O4339" s="1" t="s">
        <v>550</v>
      </c>
      <c r="P4339" s="1" t="s">
        <v>401</v>
      </c>
      <c r="Q4339" s="63" t="s">
        <v>13193</v>
      </c>
      <c r="R4339" s="1" t="s">
        <v>100</v>
      </c>
      <c r="S4339" s="13" t="s">
        <v>379</v>
      </c>
      <c r="BC4339" s="11"/>
      <c r="BD4339" s="11"/>
      <c r="BE4339" s="11"/>
      <c r="BF4339" s="11"/>
      <c r="BG4339" s="11"/>
      <c r="BH4339" s="11"/>
      <c r="BI4339" s="11"/>
      <c r="BJ4339" s="11"/>
    </row>
    <row r="4340" spans="1:62" ht="12" customHeight="1" x14ac:dyDescent="0.15">
      <c r="A4340" s="1" t="s">
        <v>13173</v>
      </c>
      <c r="B4340" s="1">
        <v>26</v>
      </c>
      <c r="C4340" s="1" t="s">
        <v>20</v>
      </c>
      <c r="D4340" s="1" t="s">
        <v>85</v>
      </c>
      <c r="E4340" s="1" t="s">
        <v>13174</v>
      </c>
      <c r="F4340" s="72">
        <v>41582</v>
      </c>
      <c r="G4340" s="1" t="s">
        <v>24499</v>
      </c>
      <c r="H4340" s="1" t="s">
        <v>874</v>
      </c>
      <c r="I4340" s="1" t="s">
        <v>73</v>
      </c>
      <c r="J4340" s="4" t="s">
        <v>13175</v>
      </c>
      <c r="K4340" s="1" t="s">
        <v>1386</v>
      </c>
      <c r="L4340" s="1" t="s">
        <v>13176</v>
      </c>
      <c r="M4340" s="1" t="s">
        <v>27</v>
      </c>
      <c r="N4340" s="1" t="s">
        <v>13177</v>
      </c>
      <c r="O4340" s="1" t="s">
        <v>1010</v>
      </c>
      <c r="P4340" s="1" t="s">
        <v>401</v>
      </c>
      <c r="Q4340" s="63" t="s">
        <v>13178</v>
      </c>
      <c r="R4340" s="1" t="s">
        <v>555</v>
      </c>
      <c r="S4340" s="13" t="s">
        <v>28</v>
      </c>
      <c r="AX4340" s="11"/>
      <c r="AY4340" s="11"/>
      <c r="BC4340" s="11"/>
      <c r="BD4340" s="11"/>
      <c r="BE4340" s="11"/>
      <c r="BF4340" s="11"/>
      <c r="BG4340" s="11"/>
      <c r="BH4340" s="11"/>
      <c r="BI4340" s="11"/>
      <c r="BJ4340" s="11"/>
    </row>
    <row r="4341" spans="1:62" ht="12" customHeight="1" x14ac:dyDescent="0.15">
      <c r="A4341" s="1" t="s">
        <v>13194</v>
      </c>
      <c r="B4341" s="1">
        <v>51</v>
      </c>
      <c r="C4341" s="1" t="s">
        <v>20</v>
      </c>
      <c r="D4341" s="1" t="s">
        <v>30</v>
      </c>
      <c r="F4341" s="72">
        <v>41581</v>
      </c>
      <c r="G4341" s="1" t="s">
        <v>13195</v>
      </c>
      <c r="H4341" s="1" t="s">
        <v>632</v>
      </c>
      <c r="I4341" s="1" t="s">
        <v>123</v>
      </c>
      <c r="J4341" s="4" t="s">
        <v>13196</v>
      </c>
      <c r="K4341" s="1" t="s">
        <v>633</v>
      </c>
      <c r="L4341" s="1" t="s">
        <v>634</v>
      </c>
      <c r="M4341" s="1" t="s">
        <v>27</v>
      </c>
      <c r="N4341" s="1" t="s">
        <v>13197</v>
      </c>
      <c r="O4341" s="1" t="s">
        <v>1010</v>
      </c>
      <c r="P4341" s="1" t="s">
        <v>401</v>
      </c>
      <c r="Q4341" s="63" t="s">
        <v>13198</v>
      </c>
      <c r="R4341" s="1" t="s">
        <v>100</v>
      </c>
      <c r="S4341" s="13" t="s">
        <v>28</v>
      </c>
    </row>
    <row r="4342" spans="1:62" ht="12" customHeight="1" x14ac:dyDescent="0.15">
      <c r="A4342" s="1" t="s">
        <v>13200</v>
      </c>
      <c r="B4342" s="1">
        <v>64</v>
      </c>
      <c r="C4342" s="1" t="s">
        <v>114</v>
      </c>
      <c r="D4342" s="1" t="s">
        <v>37</v>
      </c>
      <c r="E4342" s="1" t="s">
        <v>13201</v>
      </c>
      <c r="F4342" s="72">
        <v>41581</v>
      </c>
      <c r="G4342" s="1" t="s">
        <v>13202</v>
      </c>
      <c r="H4342" s="1" t="s">
        <v>1240</v>
      </c>
      <c r="I4342" s="1" t="s">
        <v>319</v>
      </c>
      <c r="J4342" s="4" t="s">
        <v>13203</v>
      </c>
      <c r="K4342" s="1" t="s">
        <v>13204</v>
      </c>
      <c r="L4342" s="1" t="s">
        <v>13205</v>
      </c>
      <c r="M4342" s="1" t="s">
        <v>27</v>
      </c>
      <c r="N4342" s="1" t="s">
        <v>13206</v>
      </c>
      <c r="O4342" s="1" t="s">
        <v>1010</v>
      </c>
      <c r="P4342" s="1" t="s">
        <v>401</v>
      </c>
      <c r="Q4342" s="63" t="s">
        <v>13207</v>
      </c>
      <c r="R4342" s="1" t="s">
        <v>555</v>
      </c>
      <c r="S4342" s="13" t="s">
        <v>28</v>
      </c>
      <c r="BA4342" s="44"/>
      <c r="BB4342" s="44"/>
      <c r="BC4342" s="11"/>
      <c r="BD4342" s="11"/>
      <c r="BE4342" s="11"/>
      <c r="BF4342" s="11"/>
      <c r="BG4342" s="11"/>
      <c r="BH4342" s="11"/>
      <c r="BI4342" s="11"/>
      <c r="BJ4342" s="11"/>
    </row>
    <row r="4343" spans="1:62" ht="12" customHeight="1" x14ac:dyDescent="0.15">
      <c r="A4343" s="1" t="s">
        <v>13208</v>
      </c>
      <c r="B4343" s="1">
        <v>22</v>
      </c>
      <c r="C4343" s="1" t="s">
        <v>20</v>
      </c>
      <c r="D4343" s="1" t="s">
        <v>48</v>
      </c>
      <c r="E4343" s="1" t="s">
        <v>13209</v>
      </c>
      <c r="F4343" s="72">
        <v>41580</v>
      </c>
      <c r="G4343" s="1" t="s">
        <v>13210</v>
      </c>
      <c r="H4343" s="1" t="s">
        <v>285</v>
      </c>
      <c r="I4343" s="1" t="s">
        <v>73</v>
      </c>
      <c r="J4343" s="4" t="s">
        <v>8921</v>
      </c>
      <c r="K4343" s="1" t="s">
        <v>285</v>
      </c>
      <c r="L4343" s="1" t="s">
        <v>286</v>
      </c>
      <c r="M4343" s="1" t="s">
        <v>27</v>
      </c>
      <c r="N4343" s="1" t="s">
        <v>13211</v>
      </c>
      <c r="O4343" s="1" t="s">
        <v>1010</v>
      </c>
      <c r="P4343" s="1" t="s">
        <v>401</v>
      </c>
      <c r="Q4343" s="63" t="s">
        <v>13212</v>
      </c>
      <c r="R4343" s="1" t="s">
        <v>100</v>
      </c>
      <c r="S4343" s="13" t="s">
        <v>28</v>
      </c>
    </row>
    <row r="4344" spans="1:62" ht="12" customHeight="1" x14ac:dyDescent="0.15">
      <c r="A4344" s="1" t="s">
        <v>13213</v>
      </c>
      <c r="B4344" s="1">
        <v>27</v>
      </c>
      <c r="C4344" s="1" t="s">
        <v>20</v>
      </c>
      <c r="D4344" s="1" t="s">
        <v>48</v>
      </c>
      <c r="F4344" s="72">
        <v>41579</v>
      </c>
      <c r="G4344" s="1" t="s">
        <v>24500</v>
      </c>
      <c r="H4344" s="1" t="s">
        <v>6423</v>
      </c>
      <c r="I4344" s="1" t="s">
        <v>45</v>
      </c>
      <c r="J4344" s="4" t="s">
        <v>13214</v>
      </c>
      <c r="K4344" s="1" t="s">
        <v>98</v>
      </c>
      <c r="L4344" s="11" t="s">
        <v>414</v>
      </c>
      <c r="M4344" s="1" t="s">
        <v>27</v>
      </c>
      <c r="N4344" s="1" t="s">
        <v>13215</v>
      </c>
      <c r="O4344" s="1" t="s">
        <v>1010</v>
      </c>
      <c r="P4344" s="1" t="s">
        <v>401</v>
      </c>
      <c r="Q4344" s="63" t="s">
        <v>13216</v>
      </c>
      <c r="R4344" s="1" t="s">
        <v>100</v>
      </c>
      <c r="S4344" s="13" t="s">
        <v>28</v>
      </c>
    </row>
    <row r="4345" spans="1:62" ht="12" customHeight="1" x14ac:dyDescent="0.15">
      <c r="A4345" s="1" t="s">
        <v>13217</v>
      </c>
      <c r="B4345" s="1">
        <v>50</v>
      </c>
      <c r="C4345" s="1" t="s">
        <v>114</v>
      </c>
      <c r="D4345" s="1" t="s">
        <v>48</v>
      </c>
      <c r="E4345" s="1" t="s">
        <v>13218</v>
      </c>
      <c r="F4345" s="72">
        <v>41579</v>
      </c>
      <c r="G4345" s="1" t="s">
        <v>13219</v>
      </c>
      <c r="H4345" s="1" t="s">
        <v>7939</v>
      </c>
      <c r="I4345" s="1" t="s">
        <v>73</v>
      </c>
      <c r="J4345" s="4" t="s">
        <v>10833</v>
      </c>
      <c r="K4345" s="1" t="s">
        <v>1778</v>
      </c>
      <c r="L4345" s="1" t="s">
        <v>7940</v>
      </c>
      <c r="M4345" s="1" t="s">
        <v>27</v>
      </c>
      <c r="N4345" s="1" t="s">
        <v>13220</v>
      </c>
      <c r="O4345" s="1" t="s">
        <v>1010</v>
      </c>
      <c r="P4345" s="1" t="s">
        <v>401</v>
      </c>
      <c r="Q4345" s="63" t="s">
        <v>13221</v>
      </c>
      <c r="R4345" s="1" t="s">
        <v>555</v>
      </c>
      <c r="S4345" s="13" t="s">
        <v>28</v>
      </c>
      <c r="BA4345" s="11"/>
      <c r="BB4345" s="11"/>
    </row>
    <row r="4346" spans="1:62" ht="12" customHeight="1" x14ac:dyDescent="0.15">
      <c r="A4346" s="1" t="s">
        <v>13239</v>
      </c>
      <c r="B4346" s="1">
        <v>28</v>
      </c>
      <c r="C4346" s="1" t="s">
        <v>20</v>
      </c>
      <c r="D4346" s="1" t="s">
        <v>37</v>
      </c>
      <c r="E4346" s="1" t="s">
        <v>13240</v>
      </c>
      <c r="F4346" s="72">
        <v>41578</v>
      </c>
      <c r="G4346" s="1" t="s">
        <v>13241</v>
      </c>
      <c r="H4346" s="1" t="s">
        <v>13242</v>
      </c>
      <c r="I4346" s="1" t="s">
        <v>431</v>
      </c>
      <c r="J4346" s="4" t="s">
        <v>13243</v>
      </c>
      <c r="K4346" s="1" t="s">
        <v>11154</v>
      </c>
      <c r="L4346" s="1" t="s">
        <v>13244</v>
      </c>
      <c r="M4346" s="1" t="s">
        <v>27</v>
      </c>
      <c r="N4346" s="1" t="s">
        <v>13245</v>
      </c>
      <c r="O4346" s="1" t="s">
        <v>550</v>
      </c>
      <c r="P4346" s="1" t="s">
        <v>401</v>
      </c>
      <c r="Q4346" s="63" t="s">
        <v>13246</v>
      </c>
      <c r="R4346" s="11" t="s">
        <v>964</v>
      </c>
      <c r="S4346" s="13" t="s">
        <v>379</v>
      </c>
      <c r="BC4346" s="11"/>
      <c r="BD4346" s="11"/>
      <c r="BE4346" s="11"/>
      <c r="BF4346" s="11"/>
      <c r="BG4346" s="11"/>
      <c r="BH4346" s="11"/>
      <c r="BI4346" s="11"/>
      <c r="BJ4346" s="11"/>
    </row>
    <row r="4347" spans="1:62" ht="12" customHeight="1" x14ac:dyDescent="0.15">
      <c r="A4347" s="1" t="s">
        <v>3252</v>
      </c>
      <c r="B4347" s="1">
        <v>26</v>
      </c>
      <c r="C4347" s="1" t="s">
        <v>20</v>
      </c>
      <c r="D4347" s="1" t="s">
        <v>30</v>
      </c>
      <c r="F4347" s="72">
        <v>41578</v>
      </c>
      <c r="G4347" s="1" t="s">
        <v>13230</v>
      </c>
      <c r="H4347" s="1" t="s">
        <v>1844</v>
      </c>
      <c r="I4347" s="1" t="s">
        <v>423</v>
      </c>
      <c r="J4347" s="4" t="s">
        <v>13231</v>
      </c>
      <c r="K4347" s="1" t="s">
        <v>754</v>
      </c>
      <c r="L4347" s="1" t="s">
        <v>582</v>
      </c>
      <c r="M4347" s="1" t="s">
        <v>27</v>
      </c>
      <c r="N4347" s="1" t="s">
        <v>13232</v>
      </c>
      <c r="O4347" s="1" t="s">
        <v>1010</v>
      </c>
      <c r="P4347" s="1" t="s">
        <v>401</v>
      </c>
      <c r="Q4347" s="63" t="s">
        <v>13233</v>
      </c>
      <c r="R4347" s="1" t="s">
        <v>100</v>
      </c>
      <c r="S4347" s="13" t="s">
        <v>28</v>
      </c>
    </row>
    <row r="4348" spans="1:62" ht="12" customHeight="1" x14ac:dyDescent="0.15">
      <c r="A4348" s="1" t="s">
        <v>13234</v>
      </c>
      <c r="B4348" s="1">
        <v>57</v>
      </c>
      <c r="C4348" s="1" t="s">
        <v>20</v>
      </c>
      <c r="D4348" s="1" t="s">
        <v>30</v>
      </c>
      <c r="F4348" s="72">
        <v>41578</v>
      </c>
      <c r="G4348" s="1" t="s">
        <v>13235</v>
      </c>
      <c r="H4348" s="1" t="s">
        <v>5515</v>
      </c>
      <c r="I4348" s="1" t="s">
        <v>173</v>
      </c>
      <c r="J4348" s="4" t="s">
        <v>13236</v>
      </c>
      <c r="K4348" s="1" t="s">
        <v>7293</v>
      </c>
      <c r="L4348" s="1" t="s">
        <v>11730</v>
      </c>
      <c r="M4348" s="1" t="s">
        <v>27</v>
      </c>
      <c r="N4348" s="1" t="s">
        <v>13237</v>
      </c>
      <c r="O4348" s="1" t="s">
        <v>1010</v>
      </c>
      <c r="P4348" s="1" t="s">
        <v>401</v>
      </c>
      <c r="Q4348" s="63" t="s">
        <v>13238</v>
      </c>
      <c r="R4348" s="1" t="s">
        <v>29</v>
      </c>
      <c r="S4348" s="13" t="s">
        <v>28</v>
      </c>
    </row>
    <row r="4349" spans="1:62" ht="12" customHeight="1" x14ac:dyDescent="0.15">
      <c r="A4349" s="1" t="s">
        <v>13222</v>
      </c>
      <c r="C4349" s="1" t="s">
        <v>20</v>
      </c>
      <c r="D4349" s="1" t="s">
        <v>30</v>
      </c>
      <c r="F4349" s="72">
        <v>41578</v>
      </c>
      <c r="G4349" s="1" t="s">
        <v>13223</v>
      </c>
      <c r="H4349" s="1" t="s">
        <v>13224</v>
      </c>
      <c r="I4349" s="1" t="s">
        <v>366</v>
      </c>
      <c r="J4349" s="4" t="s">
        <v>13225</v>
      </c>
      <c r="K4349" s="1" t="s">
        <v>13226</v>
      </c>
      <c r="L4349" s="1" t="s">
        <v>13227</v>
      </c>
      <c r="M4349" s="1" t="s">
        <v>27</v>
      </c>
      <c r="N4349" s="1" t="s">
        <v>13228</v>
      </c>
      <c r="O4349" s="1" t="s">
        <v>550</v>
      </c>
      <c r="P4349" s="1" t="s">
        <v>401</v>
      </c>
      <c r="Q4349" s="63" t="s">
        <v>13229</v>
      </c>
      <c r="R4349" s="1" t="s">
        <v>555</v>
      </c>
      <c r="S4349" s="13" t="s">
        <v>28</v>
      </c>
      <c r="BA4349" s="11"/>
      <c r="BB4349" s="11"/>
    </row>
    <row r="4350" spans="1:62" ht="12" customHeight="1" x14ac:dyDescent="0.15">
      <c r="A4350" s="1" t="s">
        <v>13254</v>
      </c>
      <c r="B4350" s="1">
        <v>28</v>
      </c>
      <c r="C4350" s="1" t="s">
        <v>20</v>
      </c>
      <c r="D4350" s="1" t="s">
        <v>85</v>
      </c>
      <c r="E4350" s="1" t="s">
        <v>13255</v>
      </c>
      <c r="F4350" s="72">
        <v>41577</v>
      </c>
      <c r="G4350" s="1" t="s">
        <v>13256</v>
      </c>
      <c r="H4350" s="1" t="s">
        <v>216</v>
      </c>
      <c r="I4350" s="1" t="s">
        <v>217</v>
      </c>
      <c r="J4350" s="4" t="s">
        <v>13257</v>
      </c>
      <c r="K4350" s="1" t="s">
        <v>420</v>
      </c>
      <c r="L4350" s="1" t="s">
        <v>218</v>
      </c>
      <c r="M4350" s="1" t="s">
        <v>27</v>
      </c>
      <c r="N4350" s="1" t="s">
        <v>13258</v>
      </c>
      <c r="O4350" s="1" t="s">
        <v>1010</v>
      </c>
      <c r="P4350" s="1" t="s">
        <v>401</v>
      </c>
      <c r="Q4350" s="63" t="s">
        <v>13259</v>
      </c>
      <c r="R4350" s="1" t="s">
        <v>100</v>
      </c>
      <c r="S4350" s="13" t="s">
        <v>28</v>
      </c>
      <c r="AX4350" s="11"/>
      <c r="AY4350" s="11"/>
      <c r="BC4350" s="11"/>
      <c r="BD4350" s="11"/>
      <c r="BE4350" s="11"/>
      <c r="BF4350" s="11"/>
      <c r="BG4350" s="11"/>
      <c r="BH4350" s="11"/>
      <c r="BI4350" s="11"/>
      <c r="BJ4350" s="11"/>
    </row>
    <row r="4351" spans="1:62" ht="12" customHeight="1" x14ac:dyDescent="0.15">
      <c r="A4351" s="1" t="s">
        <v>13247</v>
      </c>
      <c r="B4351" s="1">
        <v>30</v>
      </c>
      <c r="C4351" s="1" t="s">
        <v>20</v>
      </c>
      <c r="D4351" s="1" t="s">
        <v>85</v>
      </c>
      <c r="E4351" s="1" t="s">
        <v>13248</v>
      </c>
      <c r="F4351" s="72">
        <v>41577</v>
      </c>
      <c r="G4351" s="1" t="s">
        <v>13249</v>
      </c>
      <c r="H4351" s="1" t="s">
        <v>8765</v>
      </c>
      <c r="I4351" s="1" t="s">
        <v>404</v>
      </c>
      <c r="J4351" s="4" t="s">
        <v>13250</v>
      </c>
      <c r="K4351" s="1" t="s">
        <v>8765</v>
      </c>
      <c r="L4351" s="1" t="s">
        <v>13251</v>
      </c>
      <c r="M4351" s="1" t="s">
        <v>27</v>
      </c>
      <c r="N4351" s="1" t="s">
        <v>13252</v>
      </c>
      <c r="O4351" s="1" t="s">
        <v>550</v>
      </c>
      <c r="P4351" s="1" t="s">
        <v>401</v>
      </c>
      <c r="Q4351" s="63" t="s">
        <v>13253</v>
      </c>
      <c r="R4351" s="1" t="s">
        <v>100</v>
      </c>
      <c r="S4351" s="13" t="s">
        <v>28</v>
      </c>
      <c r="AX4351" s="11"/>
      <c r="AY4351" s="11"/>
      <c r="BC4351" s="11"/>
      <c r="BD4351" s="11"/>
      <c r="BE4351" s="11"/>
      <c r="BF4351" s="11"/>
      <c r="BG4351" s="11"/>
      <c r="BH4351" s="11"/>
      <c r="BI4351" s="11"/>
      <c r="BJ4351" s="11"/>
    </row>
    <row r="4352" spans="1:62" ht="12" customHeight="1" x14ac:dyDescent="0.15">
      <c r="A4352" s="1" t="s">
        <v>13260</v>
      </c>
      <c r="B4352" s="1">
        <v>24</v>
      </c>
      <c r="C4352" s="1" t="s">
        <v>20</v>
      </c>
      <c r="D4352" s="1" t="s">
        <v>139</v>
      </c>
      <c r="E4352" s="1" t="s">
        <v>13261</v>
      </c>
      <c r="F4352" s="72">
        <v>41577</v>
      </c>
      <c r="G4352" s="1" t="s">
        <v>13262</v>
      </c>
      <c r="H4352" s="1" t="s">
        <v>13263</v>
      </c>
      <c r="I4352" s="1" t="s">
        <v>143</v>
      </c>
      <c r="J4352" s="4" t="s">
        <v>13264</v>
      </c>
      <c r="K4352" s="1" t="s">
        <v>13265</v>
      </c>
      <c r="L4352" s="1" t="s">
        <v>13266</v>
      </c>
      <c r="M4352" s="1" t="s">
        <v>27</v>
      </c>
      <c r="N4352" s="1" t="s">
        <v>13267</v>
      </c>
      <c r="O4352" s="1" t="s">
        <v>1010</v>
      </c>
      <c r="P4352" s="1" t="s">
        <v>401</v>
      </c>
      <c r="Q4352" s="63" t="s">
        <v>13268</v>
      </c>
      <c r="R4352" s="1" t="s">
        <v>100</v>
      </c>
      <c r="S4352" s="13" t="s">
        <v>28</v>
      </c>
    </row>
    <row r="4353" spans="1:63" ht="12" customHeight="1" x14ac:dyDescent="0.15">
      <c r="A4353" s="1" t="s">
        <v>13269</v>
      </c>
      <c r="B4353" s="1">
        <v>28</v>
      </c>
      <c r="C4353" s="1" t="s">
        <v>20</v>
      </c>
      <c r="D4353" s="1" t="s">
        <v>30</v>
      </c>
      <c r="F4353" s="72">
        <v>41577</v>
      </c>
      <c r="G4353" s="1" t="s">
        <v>13270</v>
      </c>
      <c r="H4353" s="1" t="s">
        <v>13271</v>
      </c>
      <c r="I4353" s="1" t="s">
        <v>244</v>
      </c>
      <c r="J4353" s="4" t="s">
        <v>13272</v>
      </c>
      <c r="K4353" s="1" t="s">
        <v>4411</v>
      </c>
      <c r="L4353" s="1" t="s">
        <v>13273</v>
      </c>
      <c r="M4353" s="1" t="s">
        <v>27</v>
      </c>
      <c r="N4353" s="1" t="s">
        <v>13274</v>
      </c>
      <c r="O4353" s="1" t="s">
        <v>1010</v>
      </c>
      <c r="P4353" s="1" t="s">
        <v>401</v>
      </c>
      <c r="Q4353" s="63" t="s">
        <v>13275</v>
      </c>
      <c r="R4353" s="1" t="s">
        <v>100</v>
      </c>
      <c r="S4353" s="13" t="s">
        <v>28</v>
      </c>
    </row>
    <row r="4354" spans="1:63" ht="12" customHeight="1" x14ac:dyDescent="0.15">
      <c r="A4354" s="1" t="s">
        <v>13276</v>
      </c>
      <c r="B4354" s="1">
        <v>30</v>
      </c>
      <c r="C4354" s="1" t="s">
        <v>20</v>
      </c>
      <c r="D4354" s="1" t="s">
        <v>30</v>
      </c>
      <c r="F4354" s="72">
        <v>41577</v>
      </c>
      <c r="G4354" s="1" t="s">
        <v>13277</v>
      </c>
      <c r="H4354" s="1" t="s">
        <v>477</v>
      </c>
      <c r="I4354" s="1" t="s">
        <v>244</v>
      </c>
      <c r="J4354" s="4" t="s">
        <v>13278</v>
      </c>
      <c r="K4354" s="1" t="s">
        <v>13279</v>
      </c>
      <c r="L4354" s="1" t="s">
        <v>479</v>
      </c>
      <c r="M4354" s="1" t="s">
        <v>27</v>
      </c>
      <c r="N4354" s="1" t="s">
        <v>13280</v>
      </c>
      <c r="O4354" s="1" t="s">
        <v>1010</v>
      </c>
      <c r="P4354" s="1" t="s">
        <v>401</v>
      </c>
      <c r="Q4354" s="63" t="s">
        <v>13281</v>
      </c>
      <c r="R4354" s="1" t="s">
        <v>555</v>
      </c>
      <c r="S4354" s="13" t="s">
        <v>28</v>
      </c>
      <c r="BA4354" s="11"/>
      <c r="BB4354" s="11"/>
    </row>
    <row r="4355" spans="1:63" ht="12" customHeight="1" x14ac:dyDescent="0.15">
      <c r="A4355" s="1" t="s">
        <v>13288</v>
      </c>
      <c r="B4355" s="1">
        <v>54</v>
      </c>
      <c r="C4355" s="1" t="s">
        <v>20</v>
      </c>
      <c r="D4355" s="1" t="s">
        <v>85</v>
      </c>
      <c r="E4355" s="1" t="s">
        <v>13289</v>
      </c>
      <c r="F4355" s="72">
        <v>41576</v>
      </c>
      <c r="G4355" s="1" t="s">
        <v>13290</v>
      </c>
      <c r="H4355" s="1" t="s">
        <v>2476</v>
      </c>
      <c r="I4355" s="1" t="s">
        <v>423</v>
      </c>
      <c r="J4355" s="4" t="s">
        <v>13291</v>
      </c>
      <c r="K4355" s="1" t="s">
        <v>51</v>
      </c>
      <c r="L4355" s="1" t="s">
        <v>13292</v>
      </c>
      <c r="M4355" s="1" t="s">
        <v>14359</v>
      </c>
      <c r="N4355" s="1" t="s">
        <v>13293</v>
      </c>
      <c r="O4355" s="1" t="s">
        <v>1010</v>
      </c>
      <c r="P4355" s="1" t="s">
        <v>401</v>
      </c>
      <c r="Q4355" s="63" t="s">
        <v>13294</v>
      </c>
      <c r="R4355" s="11" t="s">
        <v>964</v>
      </c>
      <c r="S4355" s="13" t="s">
        <v>18</v>
      </c>
      <c r="AX4355" s="44"/>
      <c r="AY4355" s="44"/>
      <c r="BC4355" s="44"/>
      <c r="BD4355" s="44"/>
      <c r="BE4355" s="44"/>
      <c r="BF4355" s="44"/>
      <c r="BG4355" s="44"/>
      <c r="BH4355" s="44"/>
      <c r="BI4355" s="44"/>
      <c r="BJ4355" s="44"/>
    </row>
    <row r="4356" spans="1:63" ht="12" customHeight="1" x14ac:dyDescent="0.15">
      <c r="A4356" s="1" t="s">
        <v>13295</v>
      </c>
      <c r="B4356" s="1">
        <v>49</v>
      </c>
      <c r="C4356" s="1" t="s">
        <v>20</v>
      </c>
      <c r="D4356" s="1" t="s">
        <v>85</v>
      </c>
      <c r="F4356" s="72">
        <v>41576</v>
      </c>
      <c r="G4356" s="1" t="s">
        <v>13296</v>
      </c>
      <c r="H4356" s="1" t="s">
        <v>8890</v>
      </c>
      <c r="I4356" s="1" t="s">
        <v>45</v>
      </c>
      <c r="J4356" s="4" t="s">
        <v>8891</v>
      </c>
      <c r="K4356" s="1" t="s">
        <v>98</v>
      </c>
      <c r="L4356" s="1" t="s">
        <v>99</v>
      </c>
      <c r="M4356" s="1" t="s">
        <v>27</v>
      </c>
      <c r="N4356" s="1" t="s">
        <v>13297</v>
      </c>
      <c r="O4356" s="1" t="s">
        <v>550</v>
      </c>
      <c r="P4356" s="1" t="s">
        <v>401</v>
      </c>
      <c r="Q4356" s="63" t="s">
        <v>13298</v>
      </c>
      <c r="R4356" s="1" t="s">
        <v>100</v>
      </c>
      <c r="S4356" s="13" t="s">
        <v>28</v>
      </c>
      <c r="AX4356" s="11"/>
      <c r="AY4356" s="11"/>
      <c r="BC4356" s="11"/>
      <c r="BD4356" s="11"/>
      <c r="BE4356" s="11"/>
      <c r="BF4356" s="11"/>
      <c r="BG4356" s="11"/>
      <c r="BH4356" s="11"/>
      <c r="BI4356" s="11"/>
      <c r="BJ4356" s="11"/>
    </row>
    <row r="4357" spans="1:63" ht="12" customHeight="1" x14ac:dyDescent="0.15">
      <c r="A4357" s="1" t="s">
        <v>13299</v>
      </c>
      <c r="B4357" s="1">
        <v>51</v>
      </c>
      <c r="C4357" s="1" t="s">
        <v>20</v>
      </c>
      <c r="D4357" s="1" t="s">
        <v>85</v>
      </c>
      <c r="E4357" s="1" t="s">
        <v>13300</v>
      </c>
      <c r="F4357" s="72">
        <v>41576</v>
      </c>
      <c r="G4357" s="1" t="s">
        <v>13301</v>
      </c>
      <c r="H4357" s="1" t="s">
        <v>213</v>
      </c>
      <c r="I4357" s="1" t="s">
        <v>62</v>
      </c>
      <c r="J4357" s="4" t="s">
        <v>13302</v>
      </c>
      <c r="K4357" s="1" t="s">
        <v>161</v>
      </c>
      <c r="L4357" s="1" t="s">
        <v>162</v>
      </c>
      <c r="M4357" s="1" t="s">
        <v>27</v>
      </c>
      <c r="N4357" s="1" t="s">
        <v>13303</v>
      </c>
      <c r="O4357" s="1" t="s">
        <v>550</v>
      </c>
      <c r="P4357" s="1" t="s">
        <v>401</v>
      </c>
      <c r="Q4357" s="63" t="s">
        <v>13304</v>
      </c>
      <c r="R4357" s="1" t="s">
        <v>100</v>
      </c>
      <c r="S4357" s="13" t="s">
        <v>28</v>
      </c>
      <c r="AX4357" s="11"/>
      <c r="AY4357" s="11"/>
      <c r="BC4357" s="44"/>
      <c r="BD4357" s="44"/>
      <c r="BE4357" s="44"/>
      <c r="BF4357" s="44"/>
      <c r="BG4357" s="44"/>
      <c r="BH4357" s="44"/>
      <c r="BI4357" s="44"/>
      <c r="BJ4357" s="44"/>
    </row>
    <row r="4358" spans="1:63" ht="12" customHeight="1" x14ac:dyDescent="0.15">
      <c r="A4358" s="1" t="s">
        <v>13282</v>
      </c>
      <c r="B4358" s="1">
        <v>25</v>
      </c>
      <c r="C4358" s="1" t="s">
        <v>20</v>
      </c>
      <c r="D4358" s="1" t="s">
        <v>85</v>
      </c>
      <c r="F4358" s="72">
        <v>41576</v>
      </c>
      <c r="G4358" s="1" t="s">
        <v>13283</v>
      </c>
      <c r="H4358" s="1" t="s">
        <v>723</v>
      </c>
      <c r="I4358" s="1" t="s">
        <v>73</v>
      </c>
      <c r="J4358" s="4" t="s">
        <v>13284</v>
      </c>
      <c r="K4358" s="1" t="s">
        <v>558</v>
      </c>
      <c r="L4358" s="1" t="s">
        <v>13285</v>
      </c>
      <c r="M4358" s="1" t="s">
        <v>27</v>
      </c>
      <c r="N4358" s="1" t="s">
        <v>13286</v>
      </c>
      <c r="O4358" s="1" t="s">
        <v>550</v>
      </c>
      <c r="P4358" s="1" t="s">
        <v>401</v>
      </c>
      <c r="Q4358" s="63" t="s">
        <v>13287</v>
      </c>
      <c r="R4358" s="1" t="s">
        <v>100</v>
      </c>
      <c r="S4358" s="13" t="s">
        <v>28</v>
      </c>
      <c r="AX4358" s="11"/>
      <c r="AY4358" s="11"/>
      <c r="BC4358" s="44"/>
      <c r="BD4358" s="44"/>
      <c r="BE4358" s="44"/>
      <c r="BF4358" s="44"/>
      <c r="BG4358" s="44"/>
      <c r="BH4358" s="44"/>
      <c r="BI4358" s="44"/>
      <c r="BJ4358" s="44"/>
    </row>
    <row r="4359" spans="1:63" ht="12" customHeight="1" x14ac:dyDescent="0.15">
      <c r="A4359" s="1" t="s">
        <v>13305</v>
      </c>
      <c r="B4359" s="1">
        <v>57</v>
      </c>
      <c r="C4359" s="1" t="s">
        <v>20</v>
      </c>
      <c r="D4359" s="1" t="s">
        <v>37</v>
      </c>
      <c r="E4359" s="1" t="s">
        <v>13306</v>
      </c>
      <c r="F4359" s="72">
        <v>41576</v>
      </c>
      <c r="G4359" s="1" t="s">
        <v>13307</v>
      </c>
      <c r="H4359" s="1" t="s">
        <v>5000</v>
      </c>
      <c r="I4359" s="1" t="s">
        <v>423</v>
      </c>
      <c r="J4359" s="4" t="s">
        <v>13308</v>
      </c>
      <c r="K4359" s="1" t="s">
        <v>13309</v>
      </c>
      <c r="L4359" s="1" t="s">
        <v>13310</v>
      </c>
      <c r="M4359" s="1" t="s">
        <v>27</v>
      </c>
      <c r="N4359" s="1" t="s">
        <v>13311</v>
      </c>
      <c r="O4359" s="1" t="s">
        <v>550</v>
      </c>
      <c r="P4359" s="1" t="s">
        <v>401</v>
      </c>
      <c r="Q4359" s="63" t="s">
        <v>13312</v>
      </c>
      <c r="R4359" s="1" t="s">
        <v>555</v>
      </c>
      <c r="S4359" s="13" t="s">
        <v>28</v>
      </c>
      <c r="BA4359" s="44"/>
      <c r="BB4359" s="44"/>
      <c r="BC4359" s="11"/>
      <c r="BD4359" s="11"/>
      <c r="BE4359" s="11"/>
      <c r="BF4359" s="11"/>
      <c r="BG4359" s="11"/>
      <c r="BH4359" s="11"/>
      <c r="BI4359" s="11"/>
      <c r="BJ4359" s="11"/>
    </row>
    <row r="4360" spans="1:63" ht="12" customHeight="1" x14ac:dyDescent="0.15">
      <c r="A4360" s="1" t="s">
        <v>13313</v>
      </c>
      <c r="B4360" s="1">
        <v>61</v>
      </c>
      <c r="C4360" s="1" t="s">
        <v>20</v>
      </c>
      <c r="D4360" s="1" t="s">
        <v>85</v>
      </c>
      <c r="E4360" s="1" t="s">
        <v>13314</v>
      </c>
      <c r="F4360" s="72">
        <v>41575</v>
      </c>
      <c r="G4360" s="1" t="s">
        <v>13315</v>
      </c>
      <c r="H4360" s="1" t="s">
        <v>13316</v>
      </c>
      <c r="I4360" s="1" t="s">
        <v>173</v>
      </c>
      <c r="J4360" s="4" t="s">
        <v>13317</v>
      </c>
      <c r="K4360" s="1" t="s">
        <v>13318</v>
      </c>
      <c r="L4360" s="1" t="s">
        <v>13319</v>
      </c>
      <c r="M4360" s="1" t="s">
        <v>27</v>
      </c>
      <c r="N4360" s="1" t="s">
        <v>13320</v>
      </c>
      <c r="O4360" s="1" t="s">
        <v>1010</v>
      </c>
      <c r="P4360" s="1" t="s">
        <v>401</v>
      </c>
      <c r="Q4360" s="63" t="s">
        <v>13321</v>
      </c>
      <c r="R4360" s="1" t="s">
        <v>100</v>
      </c>
      <c r="S4360" s="13" t="s">
        <v>28</v>
      </c>
      <c r="AX4360" s="11"/>
      <c r="AY4360" s="11"/>
      <c r="BC4360" s="44"/>
      <c r="BD4360" s="44"/>
      <c r="BE4360" s="44"/>
      <c r="BF4360" s="44"/>
      <c r="BG4360" s="44"/>
      <c r="BH4360" s="44"/>
      <c r="BI4360" s="44"/>
      <c r="BJ4360" s="44"/>
    </row>
    <row r="4361" spans="1:63" ht="12" customHeight="1" x14ac:dyDescent="0.15">
      <c r="A4361" s="1" t="s">
        <v>13325</v>
      </c>
      <c r="B4361" s="1">
        <v>71</v>
      </c>
      <c r="C4361" s="1" t="s">
        <v>20</v>
      </c>
      <c r="D4361" s="1" t="s">
        <v>37</v>
      </c>
      <c r="E4361" s="1" t="s">
        <v>13326</v>
      </c>
      <c r="F4361" s="72">
        <v>41575</v>
      </c>
      <c r="G4361" s="1" t="s">
        <v>13327</v>
      </c>
      <c r="H4361" s="1" t="s">
        <v>1007</v>
      </c>
      <c r="I4361" s="1" t="s">
        <v>32</v>
      </c>
      <c r="J4361" s="4" t="s">
        <v>13328</v>
      </c>
      <c r="K4361" s="1" t="s">
        <v>1007</v>
      </c>
      <c r="L4361" s="1" t="s">
        <v>2724</v>
      </c>
      <c r="M4361" s="1" t="s">
        <v>27</v>
      </c>
      <c r="N4361" s="1" t="s">
        <v>13329</v>
      </c>
      <c r="O4361" s="1" t="s">
        <v>1010</v>
      </c>
      <c r="P4361" s="1" t="s">
        <v>401</v>
      </c>
      <c r="Q4361" s="63" t="s">
        <v>13330</v>
      </c>
      <c r="R4361" s="1" t="s">
        <v>100</v>
      </c>
      <c r="S4361" s="13" t="s">
        <v>28</v>
      </c>
      <c r="BC4361" s="11"/>
      <c r="BD4361" s="11"/>
      <c r="BE4361" s="11"/>
      <c r="BF4361" s="11"/>
      <c r="BG4361" s="11"/>
      <c r="BH4361" s="11"/>
      <c r="BI4361" s="11"/>
      <c r="BJ4361" s="11"/>
    </row>
    <row r="4362" spans="1:63" ht="12" customHeight="1" x14ac:dyDescent="0.15">
      <c r="A4362" s="1" t="s">
        <v>13322</v>
      </c>
      <c r="B4362" s="1">
        <v>27</v>
      </c>
      <c r="C4362" s="1" t="s">
        <v>20</v>
      </c>
      <c r="D4362" s="1" t="s">
        <v>37</v>
      </c>
      <c r="E4362" s="1" t="s">
        <v>13323</v>
      </c>
      <c r="F4362" s="72">
        <v>41575</v>
      </c>
      <c r="G4362" s="1" t="s">
        <v>24501</v>
      </c>
      <c r="H4362" s="1" t="s">
        <v>8991</v>
      </c>
      <c r="I4362" s="1" t="s">
        <v>73</v>
      </c>
      <c r="J4362" s="4" t="s">
        <v>8992</v>
      </c>
      <c r="K4362" s="1" t="s">
        <v>285</v>
      </c>
      <c r="L4362" s="1" t="s">
        <v>27369</v>
      </c>
      <c r="M4362" s="1" t="s">
        <v>27</v>
      </c>
      <c r="N4362" s="1" t="s">
        <v>13324</v>
      </c>
      <c r="O4362" s="1" t="s">
        <v>550</v>
      </c>
      <c r="P4362" s="1" t="s">
        <v>401</v>
      </c>
      <c r="Q4362" s="6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4362" s="1" t="s">
        <v>100</v>
      </c>
      <c r="S4362" s="13" t="s">
        <v>35</v>
      </c>
      <c r="BC4362" s="11"/>
      <c r="BD4362" s="11"/>
      <c r="BE4362" s="11"/>
      <c r="BF4362" s="11"/>
      <c r="BG4362" s="11"/>
      <c r="BH4362" s="11"/>
      <c r="BI4362" s="11"/>
      <c r="BJ4362" s="11"/>
      <c r="BK4362" s="44"/>
    </row>
    <row r="4363" spans="1:63" ht="12" customHeight="1" x14ac:dyDescent="0.15">
      <c r="A4363" s="1" t="s">
        <v>13353</v>
      </c>
      <c r="B4363" s="1">
        <v>35</v>
      </c>
      <c r="C4363" s="1" t="s">
        <v>114</v>
      </c>
      <c r="D4363" s="1" t="s">
        <v>37</v>
      </c>
      <c r="E4363" s="1" t="s">
        <v>13354</v>
      </c>
      <c r="F4363" s="72">
        <v>41574</v>
      </c>
      <c r="G4363" s="1" t="s">
        <v>13355</v>
      </c>
      <c r="H4363" s="1" t="s">
        <v>449</v>
      </c>
      <c r="I4363" s="1" t="s">
        <v>195</v>
      </c>
      <c r="J4363" s="4" t="s">
        <v>13356</v>
      </c>
      <c r="K4363" s="1" t="s">
        <v>786</v>
      </c>
      <c r="L4363" s="1" t="s">
        <v>13357</v>
      </c>
      <c r="M4363" s="1" t="s">
        <v>27</v>
      </c>
      <c r="N4363" s="1" t="s">
        <v>13358</v>
      </c>
      <c r="O4363" s="1" t="s">
        <v>550</v>
      </c>
      <c r="P4363" s="1" t="s">
        <v>401</v>
      </c>
      <c r="Q4363" s="63" t="s">
        <v>13359</v>
      </c>
      <c r="R4363" s="11" t="s">
        <v>964</v>
      </c>
      <c r="S4363" s="13" t="s">
        <v>18</v>
      </c>
      <c r="BC4363" s="11"/>
      <c r="BD4363" s="11"/>
      <c r="BE4363" s="11"/>
      <c r="BF4363" s="11"/>
      <c r="BG4363" s="11"/>
      <c r="BH4363" s="11"/>
      <c r="BI4363" s="11"/>
      <c r="BJ4363" s="11"/>
    </row>
    <row r="4364" spans="1:63" ht="12" customHeight="1" x14ac:dyDescent="0.15">
      <c r="A4364" s="1" t="s">
        <v>13331</v>
      </c>
      <c r="B4364" s="1">
        <v>28</v>
      </c>
      <c r="C4364" s="1" t="s">
        <v>20</v>
      </c>
      <c r="D4364" s="1" t="s">
        <v>85</v>
      </c>
      <c r="E4364" s="1" t="s">
        <v>13332</v>
      </c>
      <c r="F4364" s="72">
        <v>41574</v>
      </c>
      <c r="G4364" s="1" t="s">
        <v>13333</v>
      </c>
      <c r="H4364" s="1" t="s">
        <v>651</v>
      </c>
      <c r="I4364" s="1" t="s">
        <v>62</v>
      </c>
      <c r="J4364" s="4" t="s">
        <v>13334</v>
      </c>
      <c r="K4364" s="1" t="s">
        <v>652</v>
      </c>
      <c r="L4364" s="11" t="s">
        <v>653</v>
      </c>
      <c r="M4364" s="1" t="s">
        <v>27</v>
      </c>
      <c r="N4364" s="1" t="s">
        <v>13335</v>
      </c>
      <c r="O4364" s="1" t="s">
        <v>1010</v>
      </c>
      <c r="P4364" s="1" t="s">
        <v>401</v>
      </c>
      <c r="Q4364" s="63" t="s">
        <v>13336</v>
      </c>
      <c r="R4364" s="1" t="s">
        <v>100</v>
      </c>
      <c r="S4364" s="13" t="s">
        <v>28</v>
      </c>
      <c r="AX4364" s="11"/>
      <c r="AY4364" s="11"/>
      <c r="BC4364" s="44"/>
      <c r="BD4364" s="44"/>
      <c r="BE4364" s="44"/>
      <c r="BF4364" s="44"/>
      <c r="BG4364" s="44"/>
      <c r="BH4364" s="44"/>
      <c r="BI4364" s="44"/>
      <c r="BJ4364" s="44"/>
    </row>
    <row r="4365" spans="1:63" ht="12" customHeight="1" x14ac:dyDescent="0.15">
      <c r="A4365" s="1" t="s">
        <v>13341</v>
      </c>
      <c r="B4365" s="1">
        <v>51</v>
      </c>
      <c r="C4365" s="1" t="s">
        <v>20</v>
      </c>
      <c r="D4365" s="1" t="s">
        <v>48</v>
      </c>
      <c r="E4365" s="1" t="s">
        <v>13342</v>
      </c>
      <c r="F4365" s="72">
        <v>41574</v>
      </c>
      <c r="G4365" s="1" t="s">
        <v>13343</v>
      </c>
      <c r="H4365" s="1" t="s">
        <v>6443</v>
      </c>
      <c r="I4365" s="1" t="s">
        <v>62</v>
      </c>
      <c r="J4365" s="4" t="s">
        <v>11413</v>
      </c>
      <c r="K4365" s="1" t="s">
        <v>161</v>
      </c>
      <c r="L4365" s="1" t="s">
        <v>6444</v>
      </c>
      <c r="M4365" s="1" t="s">
        <v>27</v>
      </c>
      <c r="N4365" s="1" t="s">
        <v>13344</v>
      </c>
      <c r="O4365" s="1" t="s">
        <v>1010</v>
      </c>
      <c r="P4365" s="1" t="s">
        <v>401</v>
      </c>
      <c r="Q4365" s="63" t="s">
        <v>13345</v>
      </c>
      <c r="R4365" s="1" t="s">
        <v>100</v>
      </c>
      <c r="S4365" s="13" t="s">
        <v>28</v>
      </c>
    </row>
    <row r="4366" spans="1:63" ht="12" customHeight="1" x14ac:dyDescent="0.15">
      <c r="A4366" s="1" t="s">
        <v>13360</v>
      </c>
      <c r="B4366" s="1">
        <v>26</v>
      </c>
      <c r="C4366" s="1" t="s">
        <v>20</v>
      </c>
      <c r="D4366" s="1" t="s">
        <v>37</v>
      </c>
      <c r="E4366" s="1" t="s">
        <v>13361</v>
      </c>
      <c r="F4366" s="72">
        <v>41574</v>
      </c>
      <c r="G4366" s="1" t="s">
        <v>13362</v>
      </c>
      <c r="H4366" s="1" t="s">
        <v>13363</v>
      </c>
      <c r="I4366" s="1" t="s">
        <v>319</v>
      </c>
      <c r="J4366" s="4" t="s">
        <v>13364</v>
      </c>
      <c r="K4366" s="1" t="s">
        <v>13204</v>
      </c>
      <c r="L4366" s="1" t="s">
        <v>13365</v>
      </c>
      <c r="M4366" s="1" t="s">
        <v>27</v>
      </c>
      <c r="N4366" s="1" t="s">
        <v>13366</v>
      </c>
      <c r="O4366" s="1" t="s">
        <v>550</v>
      </c>
      <c r="P4366" s="1" t="s">
        <v>401</v>
      </c>
      <c r="Q4366" s="63" t="s">
        <v>13367</v>
      </c>
      <c r="R4366" s="1" t="s">
        <v>100</v>
      </c>
      <c r="S4366" s="13" t="s">
        <v>28</v>
      </c>
      <c r="BC4366" s="11"/>
      <c r="BD4366" s="11"/>
      <c r="BE4366" s="11"/>
      <c r="BF4366" s="11"/>
      <c r="BG4366" s="11"/>
      <c r="BH4366" s="11"/>
      <c r="BI4366" s="11"/>
      <c r="BJ4366" s="11"/>
    </row>
    <row r="4367" spans="1:63" ht="12" customHeight="1" x14ac:dyDescent="0.15">
      <c r="A4367" s="1" t="s">
        <v>13352</v>
      </c>
      <c r="B4367" s="1">
        <v>27</v>
      </c>
      <c r="C4367" s="1" t="s">
        <v>20</v>
      </c>
      <c r="D4367" s="1" t="s">
        <v>37</v>
      </c>
      <c r="E4367" s="1" t="s">
        <v>13347</v>
      </c>
      <c r="F4367" s="72">
        <v>41574</v>
      </c>
      <c r="G4367" s="1" t="s">
        <v>13348</v>
      </c>
      <c r="H4367" s="1" t="s">
        <v>1592</v>
      </c>
      <c r="I4367" s="1" t="s">
        <v>52</v>
      </c>
      <c r="J4367" s="4" t="s">
        <v>13349</v>
      </c>
      <c r="K4367" s="1" t="s">
        <v>4697</v>
      </c>
      <c r="L4367" s="1" t="s">
        <v>2770</v>
      </c>
      <c r="M4367" s="1" t="s">
        <v>27</v>
      </c>
      <c r="N4367" s="1" t="s">
        <v>13350</v>
      </c>
      <c r="O4367" s="1" t="s">
        <v>1010</v>
      </c>
      <c r="P4367" s="1" t="s">
        <v>401</v>
      </c>
      <c r="Q4367" s="63" t="s">
        <v>13351</v>
      </c>
      <c r="R4367" s="1" t="s">
        <v>100</v>
      </c>
      <c r="S4367" s="13" t="s">
        <v>18</v>
      </c>
      <c r="BC4367" s="11"/>
      <c r="BD4367" s="11"/>
      <c r="BE4367" s="11"/>
      <c r="BF4367" s="11"/>
      <c r="BG4367" s="11"/>
      <c r="BH4367" s="11"/>
      <c r="BI4367" s="11"/>
      <c r="BJ4367" s="11"/>
    </row>
    <row r="4368" spans="1:63" ht="12" customHeight="1" x14ac:dyDescent="0.15">
      <c r="A4368" s="1" t="s">
        <v>13346</v>
      </c>
      <c r="B4368" s="1">
        <v>26</v>
      </c>
      <c r="C4368" s="1" t="s">
        <v>114</v>
      </c>
      <c r="D4368" s="1" t="s">
        <v>37</v>
      </c>
      <c r="E4368" s="1" t="s">
        <v>13347</v>
      </c>
      <c r="F4368" s="72">
        <v>41574</v>
      </c>
      <c r="G4368" s="1" t="s">
        <v>13348</v>
      </c>
      <c r="H4368" s="1" t="s">
        <v>1592</v>
      </c>
      <c r="I4368" s="1" t="s">
        <v>52</v>
      </c>
      <c r="J4368" s="4" t="s">
        <v>13349</v>
      </c>
      <c r="K4368" s="1" t="s">
        <v>4697</v>
      </c>
      <c r="L4368" s="1" t="s">
        <v>2770</v>
      </c>
      <c r="M4368" s="1" t="s">
        <v>27</v>
      </c>
      <c r="N4368" s="1" t="s">
        <v>13350</v>
      </c>
      <c r="O4368" s="1" t="s">
        <v>1010</v>
      </c>
      <c r="P4368" s="1" t="s">
        <v>401</v>
      </c>
      <c r="Q4368" s="63" t="s">
        <v>13351</v>
      </c>
      <c r="R4368" s="1" t="s">
        <v>100</v>
      </c>
      <c r="S4368" s="13" t="s">
        <v>18</v>
      </c>
      <c r="BC4368" s="11"/>
      <c r="BD4368" s="11"/>
      <c r="BE4368" s="11"/>
      <c r="BF4368" s="11"/>
      <c r="BG4368" s="11"/>
      <c r="BH4368" s="11"/>
      <c r="BI4368" s="11"/>
      <c r="BJ4368" s="11"/>
    </row>
    <row r="4369" spans="1:62" ht="12" customHeight="1" x14ac:dyDescent="0.15">
      <c r="A4369" s="1" t="s">
        <v>13337</v>
      </c>
      <c r="B4369" s="1">
        <v>57</v>
      </c>
      <c r="C4369" s="1" t="s">
        <v>20</v>
      </c>
      <c r="D4369" s="1" t="s">
        <v>85</v>
      </c>
      <c r="F4369" s="72">
        <v>41574</v>
      </c>
      <c r="G4369" s="1" t="s">
        <v>24502</v>
      </c>
      <c r="H4369" s="1" t="s">
        <v>13338</v>
      </c>
      <c r="I4369" s="1" t="s">
        <v>45</v>
      </c>
      <c r="J4369" s="4" t="s">
        <v>7789</v>
      </c>
      <c r="K4369" s="1" t="s">
        <v>98</v>
      </c>
      <c r="L4369" s="11" t="s">
        <v>414</v>
      </c>
      <c r="M4369" s="1" t="s">
        <v>27</v>
      </c>
      <c r="N4369" s="1" t="s">
        <v>13339</v>
      </c>
      <c r="O4369" s="1" t="s">
        <v>1010</v>
      </c>
      <c r="P4369" s="1" t="s">
        <v>401</v>
      </c>
      <c r="Q4369" s="63" t="s">
        <v>13340</v>
      </c>
      <c r="R4369" s="1" t="s">
        <v>555</v>
      </c>
      <c r="S4369" s="13" t="s">
        <v>18</v>
      </c>
      <c r="AX4369" s="11"/>
      <c r="AY4369" s="11"/>
      <c r="BC4369" s="44"/>
      <c r="BD4369" s="44"/>
      <c r="BE4369" s="44"/>
      <c r="BF4369" s="44"/>
      <c r="BG4369" s="44"/>
      <c r="BH4369" s="44"/>
      <c r="BI4369" s="44"/>
      <c r="BJ4369" s="44"/>
    </row>
    <row r="4370" spans="1:62" ht="12" customHeight="1" x14ac:dyDescent="0.15">
      <c r="A4370" s="1" t="s">
        <v>13368</v>
      </c>
      <c r="B4370" s="1">
        <v>24</v>
      </c>
      <c r="C4370" s="1" t="s">
        <v>20</v>
      </c>
      <c r="D4370" s="1" t="s">
        <v>85</v>
      </c>
      <c r="E4370" s="1" t="s">
        <v>13369</v>
      </c>
      <c r="F4370" s="72">
        <v>41573</v>
      </c>
      <c r="G4370" s="1" t="s">
        <v>13370</v>
      </c>
      <c r="H4370" s="1" t="s">
        <v>61</v>
      </c>
      <c r="I4370" s="1" t="s">
        <v>62</v>
      </c>
      <c r="J4370" s="4" t="s">
        <v>13371</v>
      </c>
      <c r="K4370" s="1" t="s">
        <v>5318</v>
      </c>
      <c r="L4370" s="1" t="s">
        <v>7670</v>
      </c>
      <c r="M4370" s="1" t="s">
        <v>27</v>
      </c>
      <c r="N4370" s="1" t="s">
        <v>13372</v>
      </c>
      <c r="O4370" s="1" t="s">
        <v>1010</v>
      </c>
      <c r="P4370" s="1" t="s">
        <v>401</v>
      </c>
      <c r="Q4370" s="63" t="s">
        <v>13373</v>
      </c>
      <c r="R4370" s="1" t="s">
        <v>100</v>
      </c>
      <c r="S4370" s="13" t="s">
        <v>28</v>
      </c>
      <c r="AX4370" s="11"/>
      <c r="AY4370" s="11"/>
      <c r="BC4370" s="44"/>
      <c r="BD4370" s="44"/>
      <c r="BE4370" s="44"/>
      <c r="BF4370" s="44"/>
      <c r="BG4370" s="44"/>
      <c r="BH4370" s="44"/>
      <c r="BI4370" s="44"/>
      <c r="BJ4370" s="44"/>
    </row>
    <row r="4371" spans="1:62" ht="12" customHeight="1" x14ac:dyDescent="0.15">
      <c r="A4371" s="1" t="s">
        <v>13374</v>
      </c>
      <c r="B4371" s="1">
        <v>32</v>
      </c>
      <c r="C4371" s="1" t="s">
        <v>20</v>
      </c>
      <c r="D4371" s="1" t="s">
        <v>48</v>
      </c>
      <c r="F4371" s="72">
        <v>41573</v>
      </c>
      <c r="G4371" s="1" t="s">
        <v>24503</v>
      </c>
      <c r="H4371" s="1" t="s">
        <v>13375</v>
      </c>
      <c r="I4371" s="1" t="s">
        <v>45</v>
      </c>
      <c r="J4371" s="4" t="s">
        <v>13376</v>
      </c>
      <c r="K4371" s="1" t="s">
        <v>783</v>
      </c>
      <c r="L4371" s="1" t="s">
        <v>13377</v>
      </c>
      <c r="M4371" s="1" t="s">
        <v>27</v>
      </c>
      <c r="N4371" s="1" t="s">
        <v>13378</v>
      </c>
      <c r="O4371" s="1" t="s">
        <v>1010</v>
      </c>
      <c r="P4371" s="1" t="s">
        <v>401</v>
      </c>
      <c r="Q4371" s="63" t="s">
        <v>13379</v>
      </c>
      <c r="R4371" s="1" t="s">
        <v>100</v>
      </c>
      <c r="S4371" s="13" t="s">
        <v>28</v>
      </c>
    </row>
    <row r="4372" spans="1:62" ht="12" customHeight="1" x14ac:dyDescent="0.15">
      <c r="A4372" s="1" t="s">
        <v>13380</v>
      </c>
      <c r="B4372" s="1">
        <v>32</v>
      </c>
      <c r="C4372" s="1" t="s">
        <v>20</v>
      </c>
      <c r="D4372" s="1" t="s">
        <v>30</v>
      </c>
      <c r="F4372" s="72">
        <v>41573</v>
      </c>
      <c r="G4372" s="1" t="s">
        <v>13381</v>
      </c>
      <c r="H4372" s="1" t="s">
        <v>9776</v>
      </c>
      <c r="I4372" s="1" t="s">
        <v>244</v>
      </c>
      <c r="J4372" s="4" t="s">
        <v>9777</v>
      </c>
      <c r="K4372" s="1" t="s">
        <v>9778</v>
      </c>
      <c r="L4372" s="1" t="s">
        <v>13382</v>
      </c>
      <c r="M4372" s="1" t="s">
        <v>27</v>
      </c>
      <c r="N4372" s="1" t="s">
        <v>13383</v>
      </c>
      <c r="O4372" s="1" t="s">
        <v>550</v>
      </c>
      <c r="P4372" s="1" t="s">
        <v>401</v>
      </c>
      <c r="Q4372" s="63" t="s">
        <v>13384</v>
      </c>
      <c r="R4372" s="1" t="s">
        <v>100</v>
      </c>
      <c r="S4372" s="13" t="s">
        <v>28</v>
      </c>
    </row>
    <row r="4373" spans="1:62" ht="12" customHeight="1" x14ac:dyDescent="0.15">
      <c r="A4373" s="1" t="s">
        <v>13398</v>
      </c>
      <c r="B4373" s="1" t="s">
        <v>13399</v>
      </c>
      <c r="C4373" s="1" t="s">
        <v>20</v>
      </c>
      <c r="D4373" s="1" t="s">
        <v>37</v>
      </c>
      <c r="E4373" s="1" t="s">
        <v>13400</v>
      </c>
      <c r="F4373" s="72">
        <v>41573</v>
      </c>
      <c r="G4373" s="1" t="s">
        <v>13401</v>
      </c>
      <c r="H4373" s="1" t="s">
        <v>13402</v>
      </c>
      <c r="I4373" s="1" t="s">
        <v>123</v>
      </c>
      <c r="J4373" s="4" t="s">
        <v>13403</v>
      </c>
      <c r="K4373" s="1" t="s">
        <v>13402</v>
      </c>
      <c r="L4373" s="1" t="s">
        <v>13404</v>
      </c>
      <c r="M4373" s="1" t="s">
        <v>27</v>
      </c>
      <c r="N4373" s="1" t="s">
        <v>13405</v>
      </c>
      <c r="O4373" s="1" t="s">
        <v>29</v>
      </c>
      <c r="P4373" s="1" t="s">
        <v>401</v>
      </c>
      <c r="Q4373" s="63" t="s">
        <v>13406</v>
      </c>
      <c r="R4373" s="1" t="s">
        <v>100</v>
      </c>
      <c r="S4373" s="13" t="s">
        <v>28</v>
      </c>
      <c r="BC4373" s="11"/>
      <c r="BD4373" s="11"/>
      <c r="BE4373" s="11"/>
      <c r="BF4373" s="11"/>
      <c r="BG4373" s="11"/>
      <c r="BH4373" s="11"/>
      <c r="BI4373" s="11"/>
      <c r="BJ4373" s="11"/>
    </row>
    <row r="4374" spans="1:62" ht="12" customHeight="1" x14ac:dyDescent="0.15">
      <c r="A4374" s="1" t="s">
        <v>13385</v>
      </c>
      <c r="B4374" s="1" t="s">
        <v>13386</v>
      </c>
      <c r="C4374" s="1" t="s">
        <v>20</v>
      </c>
      <c r="D4374" s="1" t="s">
        <v>37</v>
      </c>
      <c r="E4374" s="1" t="s">
        <v>13387</v>
      </c>
      <c r="F4374" s="72">
        <v>41573</v>
      </c>
      <c r="G4374" s="1" t="s">
        <v>13388</v>
      </c>
      <c r="H4374" s="1" t="s">
        <v>922</v>
      </c>
      <c r="I4374" s="1" t="s">
        <v>195</v>
      </c>
      <c r="J4374" s="4" t="s">
        <v>13389</v>
      </c>
      <c r="K4374" s="1" t="s">
        <v>467</v>
      </c>
      <c r="L4374" s="1" t="s">
        <v>4961</v>
      </c>
      <c r="M4374" s="1" t="s">
        <v>27</v>
      </c>
      <c r="N4374" s="1" t="s">
        <v>13390</v>
      </c>
      <c r="O4374" s="1" t="s">
        <v>29</v>
      </c>
      <c r="P4374" s="1" t="s">
        <v>401</v>
      </c>
      <c r="Q4374" s="63" t="s">
        <v>10114</v>
      </c>
      <c r="R4374" s="1" t="s">
        <v>100</v>
      </c>
      <c r="S4374" s="13" t="s">
        <v>28</v>
      </c>
      <c r="BC4374" s="11"/>
      <c r="BD4374" s="11"/>
      <c r="BE4374" s="11"/>
      <c r="BF4374" s="11"/>
      <c r="BG4374" s="11"/>
      <c r="BH4374" s="11"/>
      <c r="BI4374" s="11"/>
      <c r="BJ4374" s="11"/>
    </row>
    <row r="4375" spans="1:62" ht="12" customHeight="1" x14ac:dyDescent="0.15">
      <c r="A4375" s="1" t="s">
        <v>13391</v>
      </c>
      <c r="B4375" s="1">
        <v>69</v>
      </c>
      <c r="C4375" s="1" t="s">
        <v>20</v>
      </c>
      <c r="D4375" s="1" t="s">
        <v>37</v>
      </c>
      <c r="E4375" s="1" t="s">
        <v>13392</v>
      </c>
      <c r="F4375" s="72">
        <v>41573</v>
      </c>
      <c r="G4375" s="1" t="s">
        <v>13393</v>
      </c>
      <c r="H4375" s="1" t="s">
        <v>9830</v>
      </c>
      <c r="I4375" s="1" t="s">
        <v>62</v>
      </c>
      <c r="J4375" s="4" t="s">
        <v>13394</v>
      </c>
      <c r="K4375" s="1" t="s">
        <v>2309</v>
      </c>
      <c r="L4375" s="1" t="s">
        <v>13395</v>
      </c>
      <c r="M4375" s="1" t="s">
        <v>27</v>
      </c>
      <c r="N4375" s="1" t="s">
        <v>13396</v>
      </c>
      <c r="O4375" s="1" t="s">
        <v>550</v>
      </c>
      <c r="P4375" s="1" t="s">
        <v>401</v>
      </c>
      <c r="Q4375" s="63" t="s">
        <v>13397</v>
      </c>
      <c r="R4375" s="1" t="s">
        <v>555</v>
      </c>
      <c r="S4375" s="13" t="s">
        <v>28</v>
      </c>
      <c r="BA4375" s="44"/>
      <c r="BB4375" s="44"/>
      <c r="BC4375" s="11"/>
      <c r="BD4375" s="11"/>
      <c r="BE4375" s="11"/>
      <c r="BF4375" s="11"/>
      <c r="BG4375" s="11"/>
      <c r="BH4375" s="11"/>
      <c r="BI4375" s="11"/>
      <c r="BJ4375" s="11"/>
    </row>
    <row r="4376" spans="1:62" ht="12" customHeight="1" x14ac:dyDescent="0.15">
      <c r="A4376" s="1" t="s">
        <v>13412</v>
      </c>
      <c r="B4376" s="1">
        <v>18</v>
      </c>
      <c r="C4376" s="1" t="s">
        <v>20</v>
      </c>
      <c r="D4376" s="1" t="s">
        <v>85</v>
      </c>
      <c r="F4376" s="72">
        <v>41572</v>
      </c>
      <c r="G4376" s="1" t="s">
        <v>13413</v>
      </c>
      <c r="H4376" s="1" t="s">
        <v>224</v>
      </c>
      <c r="I4376" s="1" t="s">
        <v>366</v>
      </c>
      <c r="J4376" s="4" t="s">
        <v>13414</v>
      </c>
      <c r="K4376" s="1" t="s">
        <v>8584</v>
      </c>
      <c r="L4376" s="1" t="s">
        <v>226</v>
      </c>
      <c r="M4376" s="1" t="s">
        <v>27</v>
      </c>
      <c r="N4376" s="1" t="s">
        <v>13415</v>
      </c>
      <c r="O4376" s="1" t="s">
        <v>550</v>
      </c>
      <c r="P4376" s="1" t="s">
        <v>401</v>
      </c>
      <c r="Q4376" s="63" t="s">
        <v>13416</v>
      </c>
      <c r="R4376" s="1" t="s">
        <v>100</v>
      </c>
      <c r="S4376" s="13" t="s">
        <v>28</v>
      </c>
      <c r="AX4376" s="11"/>
      <c r="AY4376" s="11"/>
      <c r="BC4376" s="44"/>
      <c r="BD4376" s="44"/>
      <c r="BE4376" s="44"/>
      <c r="BF4376" s="44"/>
      <c r="BG4376" s="44"/>
      <c r="BH4376" s="44"/>
      <c r="BI4376" s="44"/>
      <c r="BJ4376" s="44"/>
    </row>
    <row r="4377" spans="1:62" ht="12" customHeight="1" x14ac:dyDescent="0.15">
      <c r="A4377" s="1" t="s">
        <v>13417</v>
      </c>
      <c r="B4377" s="1">
        <v>20</v>
      </c>
      <c r="C4377" s="1" t="s">
        <v>20</v>
      </c>
      <c r="D4377" s="1" t="s">
        <v>85</v>
      </c>
      <c r="F4377" s="72">
        <v>41572</v>
      </c>
      <c r="G4377" s="1" t="s">
        <v>13418</v>
      </c>
      <c r="H4377" s="1" t="s">
        <v>224</v>
      </c>
      <c r="I4377" s="1" t="s">
        <v>366</v>
      </c>
      <c r="J4377" s="4" t="s">
        <v>13414</v>
      </c>
      <c r="K4377" s="1" t="s">
        <v>8584</v>
      </c>
      <c r="L4377" s="1" t="s">
        <v>226</v>
      </c>
      <c r="M4377" s="1" t="s">
        <v>27</v>
      </c>
      <c r="N4377" s="1" t="s">
        <v>13419</v>
      </c>
      <c r="O4377" s="1" t="s">
        <v>550</v>
      </c>
      <c r="P4377" s="1" t="s">
        <v>401</v>
      </c>
      <c r="Q4377" s="63" t="s">
        <v>13420</v>
      </c>
      <c r="R4377" s="1" t="s">
        <v>100</v>
      </c>
      <c r="S4377" s="13" t="s">
        <v>28</v>
      </c>
      <c r="AX4377" s="11"/>
      <c r="AY4377" s="11"/>
      <c r="BC4377" s="44"/>
      <c r="BD4377" s="44"/>
      <c r="BE4377" s="44"/>
      <c r="BF4377" s="44"/>
      <c r="BG4377" s="44"/>
      <c r="BH4377" s="44"/>
      <c r="BI4377" s="44"/>
      <c r="BJ4377" s="44"/>
    </row>
    <row r="4378" spans="1:62" ht="12" customHeight="1" x14ac:dyDescent="0.15">
      <c r="A4378" s="1" t="s">
        <v>13428</v>
      </c>
      <c r="B4378" s="1">
        <v>39</v>
      </c>
      <c r="C4378" s="1" t="s">
        <v>20</v>
      </c>
      <c r="D4378" s="1" t="s">
        <v>48</v>
      </c>
      <c r="E4378" s="1" t="s">
        <v>13429</v>
      </c>
      <c r="F4378" s="72">
        <v>41572</v>
      </c>
      <c r="G4378" s="1" t="s">
        <v>13430</v>
      </c>
      <c r="H4378" s="1" t="s">
        <v>13431</v>
      </c>
      <c r="I4378" s="1" t="s">
        <v>45</v>
      </c>
      <c r="J4378" s="4" t="s">
        <v>13432</v>
      </c>
      <c r="K4378" s="1" t="s">
        <v>680</v>
      </c>
      <c r="L4378" s="1" t="s">
        <v>747</v>
      </c>
      <c r="M4378" s="1" t="s">
        <v>27</v>
      </c>
      <c r="N4378" s="1" t="s">
        <v>13433</v>
      </c>
      <c r="O4378" s="1" t="s">
        <v>29</v>
      </c>
      <c r="P4378" s="1" t="s">
        <v>401</v>
      </c>
      <c r="Q4378" s="63" t="s">
        <v>13434</v>
      </c>
      <c r="R4378" s="1" t="s">
        <v>100</v>
      </c>
      <c r="S4378" s="13" t="s">
        <v>28</v>
      </c>
    </row>
    <row r="4379" spans="1:62" ht="12" customHeight="1" x14ac:dyDescent="0.15">
      <c r="A4379" s="1" t="s">
        <v>13421</v>
      </c>
      <c r="B4379" s="1">
        <v>30</v>
      </c>
      <c r="C4379" s="1" t="s">
        <v>20</v>
      </c>
      <c r="D4379" s="1" t="s">
        <v>48</v>
      </c>
      <c r="F4379" s="72">
        <v>41572</v>
      </c>
      <c r="G4379" s="1" t="s">
        <v>13422</v>
      </c>
      <c r="H4379" s="1" t="s">
        <v>13423</v>
      </c>
      <c r="I4379" s="1" t="s">
        <v>117</v>
      </c>
      <c r="J4379" s="4" t="s">
        <v>13424</v>
      </c>
      <c r="K4379" s="1" t="s">
        <v>118</v>
      </c>
      <c r="L4379" s="1" t="s">
        <v>13425</v>
      </c>
      <c r="M4379" s="1" t="s">
        <v>27</v>
      </c>
      <c r="N4379" s="1" t="s">
        <v>13426</v>
      </c>
      <c r="O4379" s="1" t="s">
        <v>1010</v>
      </c>
      <c r="P4379" s="1" t="s">
        <v>401</v>
      </c>
      <c r="Q4379" s="63" t="s">
        <v>13427</v>
      </c>
      <c r="R4379" s="1" t="s">
        <v>100</v>
      </c>
      <c r="S4379" s="13" t="s">
        <v>28</v>
      </c>
    </row>
    <row r="4380" spans="1:62" ht="12" customHeight="1" x14ac:dyDescent="0.15">
      <c r="A4380" s="1" t="s">
        <v>13447</v>
      </c>
      <c r="B4380" s="1">
        <v>73</v>
      </c>
      <c r="C4380" s="1" t="s">
        <v>20</v>
      </c>
      <c r="D4380" s="1" t="s">
        <v>37</v>
      </c>
      <c r="E4380" s="1" t="s">
        <v>13448</v>
      </c>
      <c r="F4380" s="72">
        <v>41572</v>
      </c>
      <c r="G4380" s="1" t="s">
        <v>13449</v>
      </c>
      <c r="H4380" s="1" t="s">
        <v>13450</v>
      </c>
      <c r="I4380" s="1" t="s">
        <v>62</v>
      </c>
      <c r="J4380" s="4">
        <v>33036</v>
      </c>
      <c r="K4380" s="1" t="s">
        <v>1104</v>
      </c>
      <c r="L4380" s="1" t="s">
        <v>13451</v>
      </c>
      <c r="M4380" s="1" t="s">
        <v>27</v>
      </c>
      <c r="N4380" s="1" t="s">
        <v>13452</v>
      </c>
      <c r="O4380" s="1" t="s">
        <v>550</v>
      </c>
      <c r="P4380" s="1" t="s">
        <v>401</v>
      </c>
      <c r="Q4380" s="63" t="s">
        <v>13453</v>
      </c>
      <c r="R4380" s="1" t="s">
        <v>100</v>
      </c>
      <c r="S4380" s="13" t="s">
        <v>28</v>
      </c>
      <c r="BC4380" s="11"/>
      <c r="BD4380" s="11"/>
      <c r="BE4380" s="11"/>
      <c r="BF4380" s="11"/>
      <c r="BG4380" s="11"/>
      <c r="BH4380" s="11"/>
      <c r="BI4380" s="11"/>
      <c r="BJ4380" s="11"/>
    </row>
    <row r="4381" spans="1:62" ht="12" customHeight="1" x14ac:dyDescent="0.15">
      <c r="A4381" s="1" t="s">
        <v>13407</v>
      </c>
      <c r="B4381" s="1">
        <v>34</v>
      </c>
      <c r="C4381" s="1" t="s">
        <v>20</v>
      </c>
      <c r="D4381" s="1" t="s">
        <v>85</v>
      </c>
      <c r="F4381" s="72">
        <v>41572</v>
      </c>
      <c r="G4381" s="1" t="s">
        <v>13408</v>
      </c>
      <c r="H4381" s="1" t="s">
        <v>709</v>
      </c>
      <c r="I4381" s="1" t="s">
        <v>431</v>
      </c>
      <c r="J4381" s="4" t="s">
        <v>13409</v>
      </c>
      <c r="K4381" s="1" t="s">
        <v>709</v>
      </c>
      <c r="L4381" s="1" t="s">
        <v>4516</v>
      </c>
      <c r="M4381" s="1" t="s">
        <v>27</v>
      </c>
      <c r="N4381" s="1" t="s">
        <v>13410</v>
      </c>
      <c r="O4381" s="1" t="s">
        <v>1010</v>
      </c>
      <c r="P4381" s="1" t="s">
        <v>401</v>
      </c>
      <c r="Q4381" s="63" t="s">
        <v>13411</v>
      </c>
      <c r="R4381" s="1" t="s">
        <v>29</v>
      </c>
      <c r="S4381" s="13" t="s">
        <v>28</v>
      </c>
      <c r="AX4381" s="11"/>
      <c r="AY4381" s="11"/>
      <c r="BC4381" s="44"/>
      <c r="BD4381" s="44"/>
      <c r="BE4381" s="44"/>
      <c r="BF4381" s="44"/>
      <c r="BG4381" s="44"/>
      <c r="BH4381" s="44"/>
      <c r="BI4381" s="44"/>
      <c r="BJ4381" s="44"/>
    </row>
    <row r="4382" spans="1:62" ht="12" customHeight="1" x14ac:dyDescent="0.15">
      <c r="A4382" s="1" t="s">
        <v>13435</v>
      </c>
      <c r="B4382" s="1">
        <v>68</v>
      </c>
      <c r="C4382" s="1" t="s">
        <v>20</v>
      </c>
      <c r="D4382" s="1" t="s">
        <v>30</v>
      </c>
      <c r="F4382" s="72">
        <v>41572</v>
      </c>
      <c r="G4382" s="1" t="s">
        <v>13436</v>
      </c>
      <c r="H4382" s="1" t="s">
        <v>13437</v>
      </c>
      <c r="I4382" s="1" t="s">
        <v>62</v>
      </c>
      <c r="J4382" s="4" t="s">
        <v>13438</v>
      </c>
      <c r="K4382" s="1" t="s">
        <v>2309</v>
      </c>
      <c r="L4382" s="1" t="s">
        <v>13439</v>
      </c>
      <c r="M4382" s="1" t="s">
        <v>27</v>
      </c>
      <c r="N4382" s="1" t="s">
        <v>13440</v>
      </c>
      <c r="O4382" s="1" t="s">
        <v>1010</v>
      </c>
      <c r="P4382" s="1" t="s">
        <v>401</v>
      </c>
      <c r="Q4382" s="63" t="s">
        <v>13441</v>
      </c>
      <c r="R4382" s="1" t="s">
        <v>29</v>
      </c>
      <c r="S4382" s="13" t="s">
        <v>28</v>
      </c>
    </row>
    <row r="4383" spans="1:62" ht="12" customHeight="1" x14ac:dyDescent="0.15">
      <c r="A4383" s="1" t="s">
        <v>13442</v>
      </c>
      <c r="B4383" s="1">
        <v>43</v>
      </c>
      <c r="C4383" s="1" t="s">
        <v>114</v>
      </c>
      <c r="D4383" s="1" t="s">
        <v>30</v>
      </c>
      <c r="F4383" s="72">
        <v>41572</v>
      </c>
      <c r="G4383" s="1" t="s">
        <v>13443</v>
      </c>
      <c r="H4383" s="1" t="s">
        <v>3545</v>
      </c>
      <c r="I4383" s="1" t="s">
        <v>69</v>
      </c>
      <c r="J4383" s="4" t="s">
        <v>13444</v>
      </c>
      <c r="K4383" s="1" t="s">
        <v>1288</v>
      </c>
      <c r="L4383" s="1" t="s">
        <v>12562</v>
      </c>
      <c r="M4383" s="1" t="s">
        <v>27</v>
      </c>
      <c r="N4383" s="1" t="s">
        <v>13445</v>
      </c>
      <c r="O4383" s="1" t="s">
        <v>550</v>
      </c>
      <c r="P4383" s="1" t="s">
        <v>401</v>
      </c>
      <c r="Q4383" s="63" t="s">
        <v>13446</v>
      </c>
      <c r="R4383" s="1" t="s">
        <v>555</v>
      </c>
      <c r="S4383" s="13" t="s">
        <v>28</v>
      </c>
      <c r="BA4383" s="11"/>
      <c r="BB4383" s="11"/>
    </row>
    <row r="4384" spans="1:62" ht="12" customHeight="1" x14ac:dyDescent="0.15">
      <c r="A4384" s="1" t="s">
        <v>13458</v>
      </c>
      <c r="B4384" s="1">
        <v>22</v>
      </c>
      <c r="C4384" s="1" t="s">
        <v>20</v>
      </c>
      <c r="D4384" s="1" t="s">
        <v>85</v>
      </c>
      <c r="E4384" s="1" t="s">
        <v>13459</v>
      </c>
      <c r="F4384" s="72">
        <v>41571</v>
      </c>
      <c r="G4384" s="1" t="s">
        <v>13460</v>
      </c>
      <c r="H4384" s="1" t="s">
        <v>723</v>
      </c>
      <c r="I4384" s="1" t="s">
        <v>73</v>
      </c>
      <c r="J4384" s="4">
        <v>77051</v>
      </c>
      <c r="K4384" s="1" t="s">
        <v>558</v>
      </c>
      <c r="L4384" s="1" t="s">
        <v>724</v>
      </c>
      <c r="M4384" s="1" t="s">
        <v>27</v>
      </c>
      <c r="N4384" s="1" t="s">
        <v>13461</v>
      </c>
      <c r="O4384" s="1" t="s">
        <v>29</v>
      </c>
      <c r="P4384" s="1" t="s">
        <v>401</v>
      </c>
      <c r="Q4384" s="63" t="s">
        <v>13462</v>
      </c>
      <c r="R4384" s="1" t="s">
        <v>100</v>
      </c>
      <c r="S4384" s="13" t="s">
        <v>28</v>
      </c>
      <c r="AX4384" s="11"/>
      <c r="AY4384" s="11"/>
      <c r="BC4384" s="44"/>
      <c r="BD4384" s="44"/>
      <c r="BE4384" s="44"/>
      <c r="BF4384" s="44"/>
      <c r="BG4384" s="44"/>
      <c r="BH4384" s="44"/>
      <c r="BI4384" s="44"/>
      <c r="BJ4384" s="44"/>
    </row>
    <row r="4385" spans="1:63" ht="12" customHeight="1" x14ac:dyDescent="0.15">
      <c r="A4385" s="1" t="s">
        <v>13463</v>
      </c>
      <c r="B4385" s="1">
        <v>47</v>
      </c>
      <c r="C4385" s="1" t="s">
        <v>20</v>
      </c>
      <c r="D4385" s="1" t="s">
        <v>37</v>
      </c>
      <c r="E4385" s="1" t="s">
        <v>13464</v>
      </c>
      <c r="F4385" s="72">
        <v>41571</v>
      </c>
      <c r="G4385" s="1" t="s">
        <v>13465</v>
      </c>
      <c r="H4385" s="1" t="s">
        <v>1916</v>
      </c>
      <c r="I4385" s="1" t="s">
        <v>173</v>
      </c>
      <c r="J4385" s="4" t="s">
        <v>13466</v>
      </c>
      <c r="K4385" s="1" t="s">
        <v>1790</v>
      </c>
      <c r="L4385" s="1" t="s">
        <v>13467</v>
      </c>
      <c r="M4385" s="1" t="s">
        <v>27</v>
      </c>
      <c r="N4385" s="1" t="s">
        <v>13468</v>
      </c>
      <c r="O4385" s="1" t="s">
        <v>4684</v>
      </c>
      <c r="P4385" s="1" t="s">
        <v>401</v>
      </c>
      <c r="Q4385" s="63" t="s">
        <v>13469</v>
      </c>
      <c r="R4385" s="1" t="s">
        <v>100</v>
      </c>
      <c r="S4385" s="13" t="s">
        <v>18</v>
      </c>
      <c r="BC4385" s="11"/>
      <c r="BD4385" s="11"/>
      <c r="BE4385" s="11"/>
      <c r="BF4385" s="11"/>
      <c r="BG4385" s="11"/>
      <c r="BH4385" s="11"/>
      <c r="BI4385" s="11"/>
      <c r="BJ4385" s="11"/>
    </row>
    <row r="4386" spans="1:63" ht="12" customHeight="1" x14ac:dyDescent="0.15">
      <c r="A4386" s="1" t="s">
        <v>13454</v>
      </c>
      <c r="B4386" s="1">
        <v>60</v>
      </c>
      <c r="C4386" s="1" t="s">
        <v>114</v>
      </c>
      <c r="D4386" s="1" t="s">
        <v>85</v>
      </c>
      <c r="E4386" s="1" t="s">
        <v>13455</v>
      </c>
      <c r="F4386" s="72">
        <v>41571</v>
      </c>
      <c r="G4386" s="1" t="s">
        <v>24504</v>
      </c>
      <c r="H4386" s="1" t="s">
        <v>87</v>
      </c>
      <c r="I4386" s="1" t="s">
        <v>44</v>
      </c>
      <c r="J4386" s="4">
        <v>60628</v>
      </c>
      <c r="K4386" s="1" t="s">
        <v>88</v>
      </c>
      <c r="L4386" s="1" t="s">
        <v>89</v>
      </c>
      <c r="M4386" s="1" t="s">
        <v>27</v>
      </c>
      <c r="N4386" s="1" t="s">
        <v>13456</v>
      </c>
      <c r="O4386" s="1" t="s">
        <v>29</v>
      </c>
      <c r="P4386" s="1" t="s">
        <v>401</v>
      </c>
      <c r="Q4386" s="63" t="s">
        <v>13457</v>
      </c>
      <c r="R4386" s="1" t="s">
        <v>29</v>
      </c>
      <c r="S4386" s="13" t="s">
        <v>28</v>
      </c>
      <c r="AX4386" s="11"/>
      <c r="AY4386" s="11"/>
      <c r="BC4386" s="44"/>
      <c r="BD4386" s="44"/>
      <c r="BE4386" s="44"/>
      <c r="BF4386" s="44"/>
      <c r="BG4386" s="44"/>
      <c r="BH4386" s="44"/>
      <c r="BI4386" s="44"/>
      <c r="BJ4386" s="44"/>
    </row>
    <row r="4387" spans="1:63" ht="12" customHeight="1" x14ac:dyDescent="0.15">
      <c r="A4387" s="1" t="s">
        <v>13470</v>
      </c>
      <c r="B4387" s="1">
        <v>32</v>
      </c>
      <c r="C4387" s="1" t="s">
        <v>20</v>
      </c>
      <c r="D4387" s="1" t="s">
        <v>37</v>
      </c>
      <c r="E4387" s="1" t="s">
        <v>13471</v>
      </c>
      <c r="F4387" s="72">
        <v>41571</v>
      </c>
      <c r="G4387" s="1" t="s">
        <v>13472</v>
      </c>
      <c r="H4387" s="1" t="s">
        <v>13473</v>
      </c>
      <c r="I4387" s="1" t="s">
        <v>45</v>
      </c>
      <c r="J4387" s="4" t="s">
        <v>13474</v>
      </c>
      <c r="K4387" s="1" t="s">
        <v>956</v>
      </c>
      <c r="L4387" s="1" t="s">
        <v>13475</v>
      </c>
      <c r="M4387" s="1" t="s">
        <v>27</v>
      </c>
      <c r="N4387" s="1" t="s">
        <v>21172</v>
      </c>
      <c r="O4387" s="1" t="s">
        <v>29</v>
      </c>
      <c r="P4387" s="1" t="s">
        <v>401</v>
      </c>
      <c r="Q4387" s="63" t="s">
        <v>13476</v>
      </c>
      <c r="R4387" s="1" t="s">
        <v>29</v>
      </c>
      <c r="S4387" s="13" t="s">
        <v>35</v>
      </c>
      <c r="BC4387" s="11"/>
      <c r="BD4387" s="11"/>
      <c r="BE4387" s="11"/>
      <c r="BF4387" s="11"/>
      <c r="BG4387" s="11"/>
      <c r="BH4387" s="11"/>
      <c r="BI4387" s="11"/>
      <c r="BJ4387" s="11"/>
      <c r="BK4387" s="11"/>
    </row>
    <row r="4388" spans="1:63" ht="12" customHeight="1" x14ac:dyDescent="0.15">
      <c r="A4388" s="1" t="s">
        <v>13485</v>
      </c>
      <c r="B4388" s="1">
        <v>28</v>
      </c>
      <c r="C4388" s="1" t="s">
        <v>20</v>
      </c>
      <c r="D4388" s="1" t="s">
        <v>37</v>
      </c>
      <c r="E4388" s="1" t="s">
        <v>13486</v>
      </c>
      <c r="F4388" s="72">
        <v>41570</v>
      </c>
      <c r="G4388" s="1" t="s">
        <v>13487</v>
      </c>
      <c r="H4388" s="1" t="s">
        <v>12524</v>
      </c>
      <c r="I4388" s="1" t="s">
        <v>41</v>
      </c>
      <c r="J4388" s="4" t="s">
        <v>13488</v>
      </c>
      <c r="K4388" s="1" t="s">
        <v>3601</v>
      </c>
      <c r="L4388" s="1" t="s">
        <v>43</v>
      </c>
      <c r="M4388" s="1" t="s">
        <v>27</v>
      </c>
      <c r="N4388" s="1" t="s">
        <v>13489</v>
      </c>
      <c r="O4388" s="1" t="s">
        <v>550</v>
      </c>
      <c r="P4388" s="1" t="s">
        <v>401</v>
      </c>
      <c r="Q4388" s="63" t="s">
        <v>13490</v>
      </c>
      <c r="R4388" s="1" t="s">
        <v>100</v>
      </c>
      <c r="S4388" s="13" t="s">
        <v>28</v>
      </c>
      <c r="BC4388" s="11"/>
      <c r="BD4388" s="11"/>
      <c r="BE4388" s="11"/>
      <c r="BF4388" s="11"/>
      <c r="BG4388" s="11"/>
      <c r="BH4388" s="11"/>
      <c r="BI4388" s="11"/>
      <c r="BJ4388" s="11"/>
    </row>
    <row r="4389" spans="1:63" ht="12" customHeight="1" x14ac:dyDescent="0.15">
      <c r="A4389" s="1" t="s">
        <v>13491</v>
      </c>
      <c r="B4389" s="1" t="s">
        <v>13492</v>
      </c>
      <c r="C4389" s="1" t="s">
        <v>20</v>
      </c>
      <c r="D4389" s="1" t="s">
        <v>37</v>
      </c>
      <c r="E4389" s="1" t="s">
        <v>13493</v>
      </c>
      <c r="F4389" s="72">
        <v>41570</v>
      </c>
      <c r="G4389" s="1" t="s">
        <v>13494</v>
      </c>
      <c r="H4389" s="1" t="s">
        <v>13495</v>
      </c>
      <c r="I4389" s="1" t="s">
        <v>133</v>
      </c>
      <c r="J4389" s="4" t="s">
        <v>13496</v>
      </c>
      <c r="K4389" s="1" t="s">
        <v>1072</v>
      </c>
      <c r="L4389" s="1" t="s">
        <v>13497</v>
      </c>
      <c r="M4389" s="1" t="s">
        <v>27</v>
      </c>
      <c r="N4389" s="1" t="s">
        <v>13498</v>
      </c>
      <c r="O4389" s="1" t="s">
        <v>550</v>
      </c>
      <c r="P4389" s="1" t="s">
        <v>401</v>
      </c>
      <c r="Q4389" s="63" t="s">
        <v>13499</v>
      </c>
      <c r="R4389" s="1" t="s">
        <v>100</v>
      </c>
      <c r="S4389" s="13" t="s">
        <v>28</v>
      </c>
      <c r="BC4389" s="11"/>
      <c r="BD4389" s="11"/>
      <c r="BE4389" s="11"/>
      <c r="BF4389" s="11"/>
      <c r="BG4389" s="11"/>
      <c r="BH4389" s="11"/>
      <c r="BI4389" s="11"/>
      <c r="BJ4389" s="11"/>
    </row>
    <row r="4390" spans="1:63" ht="12" customHeight="1" x14ac:dyDescent="0.15">
      <c r="A4390" s="1" t="s">
        <v>13477</v>
      </c>
      <c r="B4390" s="1" t="s">
        <v>13478</v>
      </c>
      <c r="C4390" s="1" t="s">
        <v>20</v>
      </c>
      <c r="D4390" s="1" t="s">
        <v>30</v>
      </c>
      <c r="F4390" s="72">
        <v>41570</v>
      </c>
      <c r="G4390" s="1" t="s">
        <v>13479</v>
      </c>
      <c r="H4390" s="1" t="s">
        <v>13480</v>
      </c>
      <c r="I4390" s="1" t="s">
        <v>269</v>
      </c>
      <c r="J4390" s="4" t="s">
        <v>13481</v>
      </c>
      <c r="K4390" s="1" t="s">
        <v>5410</v>
      </c>
      <c r="L4390" s="1" t="s">
        <v>13482</v>
      </c>
      <c r="M4390" s="1" t="s">
        <v>27</v>
      </c>
      <c r="N4390" s="1" t="s">
        <v>13483</v>
      </c>
      <c r="O4390" s="1" t="s">
        <v>29</v>
      </c>
      <c r="P4390" s="1" t="s">
        <v>401</v>
      </c>
      <c r="Q4390" s="63" t="s">
        <v>13484</v>
      </c>
      <c r="R4390" s="1" t="s">
        <v>29</v>
      </c>
      <c r="S4390" s="13" t="s">
        <v>28</v>
      </c>
    </row>
    <row r="4391" spans="1:63" ht="12" customHeight="1" x14ac:dyDescent="0.15">
      <c r="A4391" s="1" t="s">
        <v>13500</v>
      </c>
      <c r="B4391" s="1">
        <v>40</v>
      </c>
      <c r="C4391" s="1" t="s">
        <v>20</v>
      </c>
      <c r="D4391" s="1" t="s">
        <v>85</v>
      </c>
      <c r="F4391" s="72">
        <v>41569</v>
      </c>
      <c r="G4391" s="1" t="s">
        <v>13501</v>
      </c>
      <c r="H4391" s="1" t="s">
        <v>87</v>
      </c>
      <c r="I4391" s="1" t="s">
        <v>44</v>
      </c>
      <c r="J4391" s="4" t="s">
        <v>11658</v>
      </c>
      <c r="K4391" s="1" t="s">
        <v>88</v>
      </c>
      <c r="L4391" s="1" t="s">
        <v>89</v>
      </c>
      <c r="M4391" s="1" t="s">
        <v>27</v>
      </c>
      <c r="N4391" s="1" t="s">
        <v>13502</v>
      </c>
      <c r="O4391" s="1" t="s">
        <v>1010</v>
      </c>
      <c r="P4391" s="1" t="s">
        <v>401</v>
      </c>
      <c r="Q4391" s="63" t="s">
        <v>13503</v>
      </c>
      <c r="R4391" s="1" t="s">
        <v>100</v>
      </c>
      <c r="S4391" s="13" t="s">
        <v>28</v>
      </c>
      <c r="AX4391" s="11"/>
      <c r="AY4391" s="11"/>
      <c r="BC4391" s="44"/>
      <c r="BD4391" s="44"/>
      <c r="BE4391" s="44"/>
      <c r="BF4391" s="44"/>
      <c r="BG4391" s="44"/>
      <c r="BH4391" s="44"/>
      <c r="BI4391" s="44"/>
      <c r="BJ4391" s="44"/>
    </row>
    <row r="4392" spans="1:63" ht="12" customHeight="1" x14ac:dyDescent="0.15">
      <c r="A4392" s="1" t="s">
        <v>13521</v>
      </c>
      <c r="B4392" s="1">
        <v>57</v>
      </c>
      <c r="C4392" s="1" t="s">
        <v>20</v>
      </c>
      <c r="D4392" s="1" t="s">
        <v>37</v>
      </c>
      <c r="E4392" s="1" t="s">
        <v>13522</v>
      </c>
      <c r="F4392" s="72">
        <v>41569</v>
      </c>
      <c r="G4392" s="1" t="s">
        <v>13523</v>
      </c>
      <c r="H4392" s="1" t="s">
        <v>1900</v>
      </c>
      <c r="I4392" s="1" t="s">
        <v>62</v>
      </c>
      <c r="J4392" s="4" t="s">
        <v>13524</v>
      </c>
      <c r="K4392" s="1" t="s">
        <v>1902</v>
      </c>
      <c r="L4392" s="1" t="s">
        <v>1903</v>
      </c>
      <c r="M4392" s="1" t="s">
        <v>27</v>
      </c>
      <c r="N4392" s="1" t="s">
        <v>13525</v>
      </c>
      <c r="O4392" s="1" t="s">
        <v>1010</v>
      </c>
      <c r="P4392" s="1" t="s">
        <v>401</v>
      </c>
      <c r="Q4392" s="63" t="s">
        <v>13526</v>
      </c>
      <c r="R4392" s="1" t="s">
        <v>100</v>
      </c>
      <c r="S4392" s="13" t="s">
        <v>28</v>
      </c>
      <c r="BC4392" s="11"/>
      <c r="BD4392" s="11"/>
      <c r="BE4392" s="11"/>
      <c r="BF4392" s="11"/>
      <c r="BG4392" s="11"/>
      <c r="BH4392" s="11"/>
      <c r="BI4392" s="11"/>
      <c r="BJ4392" s="11"/>
    </row>
    <row r="4393" spans="1:63" ht="12" customHeight="1" x14ac:dyDescent="0.15">
      <c r="A4393" s="1" t="s">
        <v>13504</v>
      </c>
      <c r="B4393" s="1">
        <v>25</v>
      </c>
      <c r="C4393" s="1" t="s">
        <v>20</v>
      </c>
      <c r="D4393" s="1" t="s">
        <v>48</v>
      </c>
      <c r="E4393" s="1" t="s">
        <v>13505</v>
      </c>
      <c r="F4393" s="72">
        <v>41569</v>
      </c>
      <c r="G4393" s="1" t="s">
        <v>24505</v>
      </c>
      <c r="H4393" s="1" t="s">
        <v>4630</v>
      </c>
      <c r="I4393" s="1" t="s">
        <v>45</v>
      </c>
      <c r="J4393" s="4" t="s">
        <v>13506</v>
      </c>
      <c r="K4393" s="1" t="s">
        <v>4631</v>
      </c>
      <c r="L4393" s="1" t="s">
        <v>13507</v>
      </c>
      <c r="M4393" s="1" t="s">
        <v>27</v>
      </c>
      <c r="N4393" s="1" t="s">
        <v>13508</v>
      </c>
      <c r="O4393" s="1" t="s">
        <v>550</v>
      </c>
      <c r="P4393" s="1" t="s">
        <v>401</v>
      </c>
      <c r="Q4393" s="63" t="str">
        <f>HYPERLINK("http://sfappeal.com/2013/10/sf-man-shot-to-death-by-san-mateo-police/","http://sfappeal.com/2013/10/sf-man-shot-to-death-by-san-mateo-police/")</f>
        <v>http://sfappeal.com/2013/10/sf-man-shot-to-death-by-san-mateo-police/</v>
      </c>
      <c r="R4393" s="1" t="s">
        <v>100</v>
      </c>
      <c r="S4393" s="13" t="s">
        <v>18</v>
      </c>
    </row>
    <row r="4394" spans="1:63" ht="12" customHeight="1" x14ac:dyDescent="0.15">
      <c r="A4394" s="1" t="s">
        <v>13509</v>
      </c>
      <c r="B4394" s="1">
        <v>13</v>
      </c>
      <c r="C4394" s="1" t="s">
        <v>20</v>
      </c>
      <c r="D4394" s="1" t="s">
        <v>48</v>
      </c>
      <c r="E4394" s="1" t="s">
        <v>13510</v>
      </c>
      <c r="F4394" s="72">
        <v>41569</v>
      </c>
      <c r="G4394" s="1" t="s">
        <v>13511</v>
      </c>
      <c r="H4394" s="1" t="s">
        <v>2978</v>
      </c>
      <c r="I4394" s="1" t="s">
        <v>45</v>
      </c>
      <c r="J4394" s="4" t="s">
        <v>13512</v>
      </c>
      <c r="K4394" s="1" t="s">
        <v>2669</v>
      </c>
      <c r="L4394" s="1" t="s">
        <v>13513</v>
      </c>
      <c r="M4394" s="1" t="s">
        <v>27</v>
      </c>
      <c r="N4394" s="1" t="s">
        <v>13514</v>
      </c>
      <c r="O4394" s="1" t="s">
        <v>29</v>
      </c>
      <c r="P4394" s="1" t="s">
        <v>401</v>
      </c>
      <c r="Q4394" s="63" t="s">
        <v>13515</v>
      </c>
      <c r="R4394" s="1" t="s">
        <v>100</v>
      </c>
      <c r="S4394" s="13" t="s">
        <v>18</v>
      </c>
    </row>
    <row r="4395" spans="1:63" ht="12" customHeight="1" x14ac:dyDescent="0.15">
      <c r="A4395" s="1" t="s">
        <v>13516</v>
      </c>
      <c r="B4395" s="1">
        <v>32</v>
      </c>
      <c r="C4395" s="1" t="s">
        <v>20</v>
      </c>
      <c r="D4395" s="1" t="s">
        <v>37</v>
      </c>
      <c r="E4395" s="1" t="s">
        <v>13517</v>
      </c>
      <c r="F4395" s="72">
        <v>41569</v>
      </c>
      <c r="G4395" s="1" t="s">
        <v>13518</v>
      </c>
      <c r="H4395" s="1" t="s">
        <v>285</v>
      </c>
      <c r="I4395" s="1" t="s">
        <v>73</v>
      </c>
      <c r="J4395" s="4" t="s">
        <v>7561</v>
      </c>
      <c r="K4395" s="1" t="s">
        <v>285</v>
      </c>
      <c r="L4395" s="1" t="s">
        <v>286</v>
      </c>
      <c r="M4395" s="1" t="s">
        <v>14359</v>
      </c>
      <c r="N4395" s="1" t="s">
        <v>13519</v>
      </c>
      <c r="O4395" s="1" t="s">
        <v>1010</v>
      </c>
      <c r="P4395" s="1" t="s">
        <v>401</v>
      </c>
      <c r="Q4395" s="63" t="s">
        <v>13520</v>
      </c>
      <c r="R4395" s="1" t="s">
        <v>29</v>
      </c>
      <c r="S4395" s="13" t="s">
        <v>18</v>
      </c>
      <c r="AX4395" s="44"/>
      <c r="AY4395" s="44"/>
      <c r="AZ4395" s="44"/>
      <c r="BC4395" s="11"/>
      <c r="BD4395" s="11"/>
      <c r="BE4395" s="11"/>
      <c r="BF4395" s="11"/>
      <c r="BG4395" s="11"/>
      <c r="BH4395" s="11"/>
      <c r="BI4395" s="11"/>
      <c r="BJ4395" s="11"/>
    </row>
    <row r="4396" spans="1:63" ht="12" customHeight="1" x14ac:dyDescent="0.15">
      <c r="A4396" s="1" t="s">
        <v>13549</v>
      </c>
      <c r="B4396" s="1">
        <v>55</v>
      </c>
      <c r="C4396" s="1" t="s">
        <v>20</v>
      </c>
      <c r="D4396" s="1" t="s">
        <v>37</v>
      </c>
      <c r="E4396" s="1" t="s">
        <v>13550</v>
      </c>
      <c r="F4396" s="72">
        <v>41568</v>
      </c>
      <c r="G4396" s="1" t="s">
        <v>13551</v>
      </c>
      <c r="H4396" s="1" t="s">
        <v>13552</v>
      </c>
      <c r="I4396" s="1" t="s">
        <v>303</v>
      </c>
      <c r="J4396" s="4" t="s">
        <v>13553</v>
      </c>
      <c r="K4396" s="1" t="s">
        <v>2150</v>
      </c>
      <c r="L4396" s="1" t="s">
        <v>2152</v>
      </c>
      <c r="M4396" s="1" t="s">
        <v>379</v>
      </c>
      <c r="N4396" s="1" t="s">
        <v>13554</v>
      </c>
      <c r="O4396" s="1" t="s">
        <v>550</v>
      </c>
      <c r="P4396" s="1" t="s">
        <v>401</v>
      </c>
      <c r="Q4396" s="63" t="s">
        <v>13555</v>
      </c>
      <c r="R4396" s="11" t="s">
        <v>964</v>
      </c>
      <c r="S4396" s="13" t="s">
        <v>379</v>
      </c>
      <c r="BC4396" s="11"/>
      <c r="BD4396" s="11"/>
      <c r="BE4396" s="11"/>
      <c r="BF4396" s="11"/>
      <c r="BG4396" s="11"/>
      <c r="BH4396" s="11"/>
      <c r="BI4396" s="11"/>
      <c r="BJ4396" s="11"/>
    </row>
    <row r="4397" spans="1:63" ht="12" customHeight="1" x14ac:dyDescent="0.15">
      <c r="A4397" s="1" t="s">
        <v>13540</v>
      </c>
      <c r="B4397" s="1" t="s">
        <v>13541</v>
      </c>
      <c r="C4397" s="1" t="s">
        <v>20</v>
      </c>
      <c r="D4397" s="1" t="s">
        <v>48</v>
      </c>
      <c r="E4397" s="1" t="s">
        <v>13542</v>
      </c>
      <c r="F4397" s="72">
        <v>41568</v>
      </c>
      <c r="G4397" s="1" t="s">
        <v>13543</v>
      </c>
      <c r="H4397" s="1" t="s">
        <v>13544</v>
      </c>
      <c r="I4397" s="1" t="s">
        <v>45</v>
      </c>
      <c r="J4397" s="4" t="s">
        <v>13545</v>
      </c>
      <c r="K4397" s="1" t="s">
        <v>602</v>
      </c>
      <c r="L4397" s="1" t="s">
        <v>13546</v>
      </c>
      <c r="M4397" s="1" t="s">
        <v>27</v>
      </c>
      <c r="N4397" s="1" t="s">
        <v>13547</v>
      </c>
      <c r="O4397" s="1" t="s">
        <v>29</v>
      </c>
      <c r="P4397" s="1" t="s">
        <v>401</v>
      </c>
      <c r="Q4397" s="63" t="s">
        <v>13548</v>
      </c>
      <c r="R4397" s="1" t="s">
        <v>100</v>
      </c>
      <c r="S4397" s="13" t="s">
        <v>28</v>
      </c>
    </row>
    <row r="4398" spans="1:63" ht="12" customHeight="1" x14ac:dyDescent="0.15">
      <c r="A4398" s="1" t="s">
        <v>13534</v>
      </c>
      <c r="B4398" s="1">
        <v>30</v>
      </c>
      <c r="C4398" s="1" t="s">
        <v>20</v>
      </c>
      <c r="D4398" s="1" t="s">
        <v>48</v>
      </c>
      <c r="E4398" s="1" t="s">
        <v>13535</v>
      </c>
      <c r="F4398" s="72">
        <v>41568</v>
      </c>
      <c r="G4398" s="1" t="s">
        <v>13536</v>
      </c>
      <c r="H4398" s="1" t="s">
        <v>931</v>
      </c>
      <c r="I4398" s="1" t="s">
        <v>195</v>
      </c>
      <c r="J4398" s="4" t="s">
        <v>13537</v>
      </c>
      <c r="K4398" s="1" t="s">
        <v>13538</v>
      </c>
      <c r="L4398" s="1" t="s">
        <v>3085</v>
      </c>
      <c r="M4398" s="1" t="s">
        <v>27</v>
      </c>
      <c r="N4398" s="1" t="s">
        <v>13539</v>
      </c>
      <c r="O4398" s="1" t="s">
        <v>1010</v>
      </c>
      <c r="P4398" s="1" t="s">
        <v>401</v>
      </c>
      <c r="Q4398" s="63" t="str">
        <f>HYPERLINK("http://www.koat.com/news/fatal-roswell-shootout-caught-on-camera/22577824","http://www.koat.com/news/fatal-roswell-shootout-caught-on-camera/22577824")</f>
        <v>http://www.koat.com/news/fatal-roswell-shootout-caught-on-camera/22577824</v>
      </c>
      <c r="R4398" s="1" t="s">
        <v>100</v>
      </c>
      <c r="S4398" s="13" t="s">
        <v>28</v>
      </c>
    </row>
    <row r="4399" spans="1:63" ht="12" customHeight="1" x14ac:dyDescent="0.15">
      <c r="A4399" s="1" t="s">
        <v>13527</v>
      </c>
      <c r="B4399" s="1">
        <v>42</v>
      </c>
      <c r="C4399" s="1" t="s">
        <v>20</v>
      </c>
      <c r="D4399" s="1" t="s">
        <v>85</v>
      </c>
      <c r="E4399" s="1" t="s">
        <v>13528</v>
      </c>
      <c r="F4399" s="72">
        <v>41568</v>
      </c>
      <c r="G4399" s="1" t="s">
        <v>13529</v>
      </c>
      <c r="H4399" s="1" t="s">
        <v>12142</v>
      </c>
      <c r="I4399" s="1" t="s">
        <v>173</v>
      </c>
      <c r="J4399" s="4" t="s">
        <v>13530</v>
      </c>
      <c r="K4399" s="1" t="s">
        <v>5538</v>
      </c>
      <c r="L4399" s="1" t="s">
        <v>13531</v>
      </c>
      <c r="M4399" s="1" t="s">
        <v>27</v>
      </c>
      <c r="N4399" s="1" t="s">
        <v>13532</v>
      </c>
      <c r="O4399" s="1" t="s">
        <v>550</v>
      </c>
      <c r="P4399" s="1" t="s">
        <v>401</v>
      </c>
      <c r="Q4399" s="63" t="s">
        <v>13533</v>
      </c>
      <c r="R4399" s="1" t="s">
        <v>100</v>
      </c>
      <c r="S4399" s="13" t="s">
        <v>18</v>
      </c>
      <c r="AX4399" s="11"/>
      <c r="AY4399" s="11"/>
      <c r="BC4399" s="44"/>
      <c r="BD4399" s="44"/>
      <c r="BE4399" s="44"/>
      <c r="BF4399" s="44"/>
      <c r="BG4399" s="44"/>
      <c r="BH4399" s="44"/>
      <c r="BI4399" s="44"/>
      <c r="BJ4399" s="44"/>
    </row>
    <row r="4400" spans="1:63" ht="12" customHeight="1" x14ac:dyDescent="0.2">
      <c r="A4400" s="66" t="s">
        <v>30705</v>
      </c>
      <c r="B4400" s="66" t="s">
        <v>13741</v>
      </c>
      <c r="C4400" s="66" t="s">
        <v>20</v>
      </c>
      <c r="D4400" s="66" t="s">
        <v>37</v>
      </c>
      <c r="E4400" s="66"/>
      <c r="F4400" s="69">
        <v>41568</v>
      </c>
      <c r="G4400" s="66" t="s">
        <v>30706</v>
      </c>
      <c r="H4400" s="66" t="s">
        <v>1094</v>
      </c>
      <c r="I4400" s="66" t="s">
        <v>395</v>
      </c>
      <c r="J4400" s="66" t="s">
        <v>17347</v>
      </c>
      <c r="K4400" s="66" t="s">
        <v>1095</v>
      </c>
      <c r="L4400" s="66" t="s">
        <v>1096</v>
      </c>
      <c r="M4400" s="66" t="s">
        <v>2291</v>
      </c>
      <c r="N4400" s="66" t="s">
        <v>30707</v>
      </c>
      <c r="O4400" s="66" t="s">
        <v>27081</v>
      </c>
      <c r="P4400" s="66" t="s">
        <v>30375</v>
      </c>
      <c r="Q4400" s="76" t="s">
        <v>30708</v>
      </c>
      <c r="R4400" s="66" t="s">
        <v>555</v>
      </c>
      <c r="S4400" s="66" t="s">
        <v>18</v>
      </c>
      <c r="T4400" s="77"/>
      <c r="U4400" s="77"/>
      <c r="V4400" s="77"/>
      <c r="W4400" s="77"/>
      <c r="X4400" s="77"/>
      <c r="Y4400" s="66"/>
      <c r="Z4400" s="66"/>
      <c r="AA4400" s="66"/>
      <c r="AB4400" s="66"/>
      <c r="AC4400" s="66"/>
      <c r="AD4400" s="66"/>
      <c r="AE4400" s="66"/>
      <c r="AF4400" s="66"/>
      <c r="AG4400" s="66"/>
      <c r="AH4400" s="66"/>
      <c r="AI4400" s="66"/>
      <c r="AJ4400" s="66"/>
      <c r="AK4400" s="66"/>
      <c r="AL4400" s="66"/>
      <c r="AM4400" s="66"/>
      <c r="AN4400" s="66"/>
      <c r="AO4400" s="66"/>
      <c r="AP4400" s="66"/>
      <c r="AQ4400" s="66"/>
      <c r="AR4400" s="66"/>
      <c r="AS4400" s="66"/>
      <c r="AT4400" s="66"/>
      <c r="AU4400" s="66"/>
      <c r="AV4400" s="78"/>
      <c r="AW4400" s="78"/>
      <c r="AX4400" s="78"/>
      <c r="AY4400" s="78"/>
      <c r="AZ4400" s="78"/>
      <c r="BA4400" s="78"/>
      <c r="BB4400" s="78"/>
      <c r="BC4400" s="78"/>
      <c r="BD4400" s="78"/>
      <c r="BE4400" s="78"/>
      <c r="BF4400" s="78"/>
      <c r="BG4400" s="78"/>
      <c r="BH4400" s="78"/>
      <c r="BI4400" s="78"/>
      <c r="BJ4400" s="78"/>
    </row>
    <row r="4401" spans="1:62" ht="12" customHeight="1" x14ac:dyDescent="0.15">
      <c r="A4401" s="1" t="s">
        <v>13564</v>
      </c>
      <c r="B4401" s="1">
        <v>44</v>
      </c>
      <c r="C4401" s="1" t="s">
        <v>20</v>
      </c>
      <c r="D4401" s="1" t="s">
        <v>85</v>
      </c>
      <c r="F4401" s="72">
        <v>41567</v>
      </c>
      <c r="G4401" s="1" t="s">
        <v>24506</v>
      </c>
      <c r="H4401" s="1" t="s">
        <v>709</v>
      </c>
      <c r="I4401" s="1" t="s">
        <v>431</v>
      </c>
      <c r="J4401" s="4" t="s">
        <v>2798</v>
      </c>
      <c r="K4401" s="1" t="s">
        <v>709</v>
      </c>
      <c r="L4401" s="1" t="s">
        <v>13565</v>
      </c>
      <c r="M4401" s="1" t="s">
        <v>27</v>
      </c>
      <c r="N4401" s="1" t="s">
        <v>13566</v>
      </c>
      <c r="O4401" s="1" t="s">
        <v>613</v>
      </c>
      <c r="P4401" s="1" t="s">
        <v>401</v>
      </c>
      <c r="Q4401" s="63" t="s">
        <v>13567</v>
      </c>
      <c r="R4401" s="1" t="s">
        <v>100</v>
      </c>
      <c r="S4401" s="13" t="s">
        <v>28</v>
      </c>
      <c r="AX4401" s="11"/>
      <c r="AY4401" s="11"/>
      <c r="BC4401" s="44"/>
      <c r="BD4401" s="44"/>
      <c r="BE4401" s="44"/>
      <c r="BF4401" s="44"/>
      <c r="BG4401" s="44"/>
      <c r="BH4401" s="44"/>
      <c r="BI4401" s="44"/>
      <c r="BJ4401" s="44"/>
    </row>
    <row r="4402" spans="1:62" ht="12" customHeight="1" x14ac:dyDescent="0.15">
      <c r="A4402" s="1" t="s">
        <v>13556</v>
      </c>
      <c r="B4402" s="1">
        <v>42</v>
      </c>
      <c r="C4402" s="1" t="s">
        <v>20</v>
      </c>
      <c r="D4402" s="1" t="s">
        <v>85</v>
      </c>
      <c r="F4402" s="72">
        <v>41567</v>
      </c>
      <c r="G4402" s="1" t="s">
        <v>13557</v>
      </c>
      <c r="H4402" s="1" t="s">
        <v>13558</v>
      </c>
      <c r="I4402" s="1" t="s">
        <v>669</v>
      </c>
      <c r="J4402" s="4" t="s">
        <v>13559</v>
      </c>
      <c r="K4402" s="1" t="s">
        <v>13560</v>
      </c>
      <c r="L4402" s="1" t="s">
        <v>13561</v>
      </c>
      <c r="M4402" s="1" t="s">
        <v>27</v>
      </c>
      <c r="N4402" s="1" t="s">
        <v>13562</v>
      </c>
      <c r="O4402" s="1" t="s">
        <v>1010</v>
      </c>
      <c r="P4402" s="1" t="s">
        <v>401</v>
      </c>
      <c r="Q4402" s="63" t="s">
        <v>13563</v>
      </c>
      <c r="R4402" s="1" t="s">
        <v>100</v>
      </c>
      <c r="S4402" s="13" t="s">
        <v>28</v>
      </c>
      <c r="AX4402" s="11"/>
      <c r="AY4402" s="11"/>
      <c r="BC4402" s="44"/>
      <c r="BD4402" s="44"/>
      <c r="BE4402" s="44"/>
      <c r="BF4402" s="44"/>
      <c r="BG4402" s="44"/>
      <c r="BH4402" s="44"/>
      <c r="BI4402" s="44"/>
      <c r="BJ4402" s="44"/>
    </row>
    <row r="4403" spans="1:62" ht="12" customHeight="1" x14ac:dyDescent="0.15">
      <c r="A4403" s="1" t="s">
        <v>13568</v>
      </c>
      <c r="B4403" s="1">
        <v>41</v>
      </c>
      <c r="C4403" s="1" t="s">
        <v>20</v>
      </c>
      <c r="D4403" s="1" t="s">
        <v>37</v>
      </c>
      <c r="E4403" s="1" t="s">
        <v>13569</v>
      </c>
      <c r="F4403" s="72">
        <v>41567</v>
      </c>
      <c r="G4403" s="1" t="s">
        <v>13570</v>
      </c>
      <c r="H4403" s="1" t="s">
        <v>10754</v>
      </c>
      <c r="I4403" s="1" t="s">
        <v>62</v>
      </c>
      <c r="J4403" s="4" t="s">
        <v>13571</v>
      </c>
      <c r="K4403" s="1" t="s">
        <v>5318</v>
      </c>
      <c r="L4403" s="1" t="s">
        <v>13572</v>
      </c>
      <c r="M4403" s="1" t="s">
        <v>27</v>
      </c>
      <c r="N4403" s="1" t="s">
        <v>13573</v>
      </c>
      <c r="O4403" s="1" t="s">
        <v>29</v>
      </c>
      <c r="P4403" s="1" t="s">
        <v>401</v>
      </c>
      <c r="Q4403" s="63" t="s">
        <v>13574</v>
      </c>
      <c r="R4403" s="1" t="s">
        <v>100</v>
      </c>
      <c r="S4403" s="13" t="s">
        <v>28</v>
      </c>
      <c r="BC4403" s="11"/>
      <c r="BD4403" s="11"/>
      <c r="BE4403" s="11"/>
      <c r="BF4403" s="11"/>
      <c r="BG4403" s="11"/>
      <c r="BH4403" s="11"/>
      <c r="BI4403" s="11"/>
      <c r="BJ4403" s="11"/>
    </row>
    <row r="4404" spans="1:62" ht="12" customHeight="1" x14ac:dyDescent="0.15">
      <c r="A4404" s="1" t="s">
        <v>13575</v>
      </c>
      <c r="B4404" s="1">
        <v>53</v>
      </c>
      <c r="C4404" s="1" t="s">
        <v>20</v>
      </c>
      <c r="D4404" s="1" t="s">
        <v>37</v>
      </c>
      <c r="E4404" s="1" t="s">
        <v>13576</v>
      </c>
      <c r="F4404" s="72">
        <v>41567</v>
      </c>
      <c r="G4404" s="1" t="s">
        <v>13577</v>
      </c>
      <c r="H4404" s="1" t="s">
        <v>13578</v>
      </c>
      <c r="I4404" s="1" t="s">
        <v>45</v>
      </c>
      <c r="J4404" s="4" t="s">
        <v>13579</v>
      </c>
      <c r="K4404" s="1" t="s">
        <v>13580</v>
      </c>
      <c r="L4404" s="1" t="s">
        <v>13581</v>
      </c>
      <c r="M4404" s="1" t="s">
        <v>27</v>
      </c>
      <c r="N4404" s="1" t="s">
        <v>13582</v>
      </c>
      <c r="O4404" s="1" t="s">
        <v>550</v>
      </c>
      <c r="P4404" s="1" t="s">
        <v>401</v>
      </c>
      <c r="Q4404" s="63" t="s">
        <v>13583</v>
      </c>
      <c r="R4404" s="1" t="s">
        <v>555</v>
      </c>
      <c r="S4404" s="13" t="s">
        <v>28</v>
      </c>
      <c r="BA4404" s="44"/>
      <c r="BB4404" s="44"/>
      <c r="BC4404" s="11"/>
      <c r="BD4404" s="11"/>
      <c r="BE4404" s="11"/>
      <c r="BF4404" s="11"/>
      <c r="BG4404" s="11"/>
      <c r="BH4404" s="11"/>
      <c r="BI4404" s="11"/>
      <c r="BJ4404" s="11"/>
    </row>
    <row r="4405" spans="1:62" ht="12" customHeight="1" x14ac:dyDescent="0.15">
      <c r="A4405" s="1" t="s">
        <v>13584</v>
      </c>
      <c r="B4405" s="1">
        <v>24</v>
      </c>
      <c r="C4405" s="1" t="s">
        <v>20</v>
      </c>
      <c r="D4405" s="1" t="s">
        <v>85</v>
      </c>
      <c r="E4405" s="1" t="s">
        <v>13585</v>
      </c>
      <c r="F4405" s="72">
        <v>41566</v>
      </c>
      <c r="G4405" s="1" t="s">
        <v>13586</v>
      </c>
      <c r="H4405" s="1" t="s">
        <v>5964</v>
      </c>
      <c r="I4405" s="1" t="s">
        <v>69</v>
      </c>
      <c r="J4405" s="4" t="s">
        <v>13587</v>
      </c>
      <c r="K4405" s="1" t="s">
        <v>1262</v>
      </c>
      <c r="L4405" s="1" t="s">
        <v>13588</v>
      </c>
      <c r="M4405" s="1" t="s">
        <v>27</v>
      </c>
      <c r="N4405" s="1" t="s">
        <v>13589</v>
      </c>
      <c r="O4405" s="1" t="s">
        <v>1010</v>
      </c>
      <c r="P4405" s="1" t="s">
        <v>401</v>
      </c>
      <c r="Q4405" s="63" t="s">
        <v>13590</v>
      </c>
      <c r="R4405" s="1" t="s">
        <v>100</v>
      </c>
      <c r="S4405" s="13" t="s">
        <v>28</v>
      </c>
      <c r="AX4405" s="11"/>
      <c r="AY4405" s="11"/>
      <c r="BC4405" s="44"/>
      <c r="BD4405" s="44"/>
      <c r="BE4405" s="44"/>
      <c r="BF4405" s="44"/>
      <c r="BG4405" s="44"/>
      <c r="BH4405" s="44"/>
      <c r="BI4405" s="44"/>
      <c r="BJ4405" s="44"/>
    </row>
    <row r="4406" spans="1:62" ht="12" customHeight="1" x14ac:dyDescent="0.15">
      <c r="A4406" s="1" t="s">
        <v>13591</v>
      </c>
      <c r="B4406" s="1">
        <v>38</v>
      </c>
      <c r="C4406" s="1" t="s">
        <v>20</v>
      </c>
      <c r="D4406" s="1" t="s">
        <v>48</v>
      </c>
      <c r="F4406" s="72">
        <v>41566</v>
      </c>
      <c r="G4406" s="1" t="s">
        <v>13592</v>
      </c>
      <c r="H4406" s="1" t="s">
        <v>13593</v>
      </c>
      <c r="I4406" s="1" t="s">
        <v>45</v>
      </c>
      <c r="J4406" s="4" t="s">
        <v>11512</v>
      </c>
      <c r="K4406" s="1" t="s">
        <v>156</v>
      </c>
      <c r="L4406" s="1" t="s">
        <v>4732</v>
      </c>
      <c r="M4406" s="1" t="s">
        <v>27</v>
      </c>
      <c r="N4406" s="1" t="s">
        <v>13594</v>
      </c>
      <c r="O4406" s="1" t="s">
        <v>1010</v>
      </c>
      <c r="P4406" s="1" t="s">
        <v>401</v>
      </c>
      <c r="Q4406" s="63" t="s">
        <v>13595</v>
      </c>
      <c r="R4406" s="1" t="s">
        <v>100</v>
      </c>
      <c r="S4406" s="13" t="s">
        <v>379</v>
      </c>
    </row>
    <row r="4407" spans="1:62" ht="12" customHeight="1" x14ac:dyDescent="0.15">
      <c r="A4407" s="1" t="s">
        <v>3252</v>
      </c>
      <c r="B4407" s="1" t="s">
        <v>29</v>
      </c>
      <c r="C4407" s="1" t="s">
        <v>20</v>
      </c>
      <c r="D4407" s="1" t="s">
        <v>30</v>
      </c>
      <c r="F4407" s="72">
        <v>41566</v>
      </c>
      <c r="G4407" s="1" t="s">
        <v>13596</v>
      </c>
      <c r="H4407" s="1" t="s">
        <v>156</v>
      </c>
      <c r="I4407" s="1" t="s">
        <v>45</v>
      </c>
      <c r="J4407" s="4" t="s">
        <v>11512</v>
      </c>
      <c r="K4407" s="1" t="s">
        <v>156</v>
      </c>
      <c r="L4407" s="1" t="s">
        <v>4732</v>
      </c>
      <c r="M4407" s="1" t="s">
        <v>27</v>
      </c>
      <c r="N4407" s="1" t="s">
        <v>13597</v>
      </c>
      <c r="O4407" s="1" t="s">
        <v>4684</v>
      </c>
      <c r="P4407" s="1" t="s">
        <v>401</v>
      </c>
      <c r="Q4407" s="63" t="s">
        <v>13595</v>
      </c>
      <c r="R4407" s="1" t="s">
        <v>100</v>
      </c>
      <c r="S4407" s="13" t="s">
        <v>379</v>
      </c>
    </row>
    <row r="4408" spans="1:62" ht="12" customHeight="1" x14ac:dyDescent="0.15">
      <c r="A4408" s="1" t="s">
        <v>13603</v>
      </c>
      <c r="B4408" s="1">
        <v>44</v>
      </c>
      <c r="C4408" s="1" t="s">
        <v>20</v>
      </c>
      <c r="D4408" s="1" t="s">
        <v>48</v>
      </c>
      <c r="F4408" s="72">
        <v>41565</v>
      </c>
      <c r="G4408" s="1" t="s">
        <v>13604</v>
      </c>
      <c r="H4408" s="1" t="s">
        <v>87</v>
      </c>
      <c r="I4408" s="1" t="s">
        <v>44</v>
      </c>
      <c r="J4408" s="4" t="s">
        <v>13605</v>
      </c>
      <c r="K4408" s="1" t="s">
        <v>88</v>
      </c>
      <c r="L4408" s="1" t="s">
        <v>89</v>
      </c>
      <c r="M4408" s="1" t="s">
        <v>27</v>
      </c>
      <c r="N4408" s="1" t="s">
        <v>13606</v>
      </c>
      <c r="O4408" s="1" t="s">
        <v>4684</v>
      </c>
      <c r="P4408" s="1" t="s">
        <v>401</v>
      </c>
      <c r="Q4408" s="63" t="s">
        <v>13607</v>
      </c>
      <c r="R4408" s="1" t="s">
        <v>100</v>
      </c>
      <c r="S4408" s="13" t="s">
        <v>28</v>
      </c>
    </row>
    <row r="4409" spans="1:62" ht="12" customHeight="1" x14ac:dyDescent="0.15">
      <c r="A4409" s="1" t="s">
        <v>13598</v>
      </c>
      <c r="B4409" s="1">
        <v>33</v>
      </c>
      <c r="C4409" s="1" t="s">
        <v>20</v>
      </c>
      <c r="D4409" s="1" t="s">
        <v>85</v>
      </c>
      <c r="F4409" s="72">
        <v>41565</v>
      </c>
      <c r="G4409" s="1" t="s">
        <v>13599</v>
      </c>
      <c r="H4409" s="1" t="s">
        <v>51</v>
      </c>
      <c r="I4409" s="1" t="s">
        <v>32</v>
      </c>
      <c r="J4409" s="4" t="s">
        <v>13600</v>
      </c>
      <c r="K4409" s="1" t="s">
        <v>2589</v>
      </c>
      <c r="L4409" s="1" t="s">
        <v>11077</v>
      </c>
      <c r="M4409" s="1" t="s">
        <v>27</v>
      </c>
      <c r="N4409" s="1" t="s">
        <v>13601</v>
      </c>
      <c r="O4409" s="1" t="s">
        <v>4684</v>
      </c>
      <c r="P4409" s="1" t="s">
        <v>401</v>
      </c>
      <c r="Q4409" s="63" t="s">
        <v>13602</v>
      </c>
      <c r="R4409" s="1" t="s">
        <v>100</v>
      </c>
      <c r="S4409" s="13" t="s">
        <v>379</v>
      </c>
      <c r="AX4409" s="11"/>
      <c r="AY4409" s="11"/>
      <c r="BC4409" s="44"/>
      <c r="BD4409" s="44"/>
      <c r="BE4409" s="44"/>
      <c r="BF4409" s="44"/>
      <c r="BG4409" s="44"/>
      <c r="BH4409" s="44"/>
      <c r="BI4409" s="44"/>
      <c r="BJ4409" s="44"/>
    </row>
    <row r="4410" spans="1:62" ht="12" customHeight="1" x14ac:dyDescent="0.15">
      <c r="A4410" s="1" t="s">
        <v>13608</v>
      </c>
      <c r="B4410" s="1">
        <v>25</v>
      </c>
      <c r="C4410" s="1" t="s">
        <v>20</v>
      </c>
      <c r="D4410" s="1" t="s">
        <v>37</v>
      </c>
      <c r="E4410" s="1" t="s">
        <v>13609</v>
      </c>
      <c r="F4410" s="72">
        <v>41565</v>
      </c>
      <c r="G4410" s="1" t="s">
        <v>13610</v>
      </c>
      <c r="H4410" s="1" t="s">
        <v>1747</v>
      </c>
      <c r="I4410" s="1" t="s">
        <v>45</v>
      </c>
      <c r="J4410" s="4" t="s">
        <v>1748</v>
      </c>
      <c r="K4410" s="1" t="s">
        <v>1163</v>
      </c>
      <c r="L4410" s="1" t="s">
        <v>1749</v>
      </c>
      <c r="M4410" s="1" t="s">
        <v>27</v>
      </c>
      <c r="N4410" s="1" t="s">
        <v>13611</v>
      </c>
      <c r="O4410" s="1" t="s">
        <v>1010</v>
      </c>
      <c r="P4410" s="1" t="s">
        <v>401</v>
      </c>
      <c r="Q4410" s="63" t="s">
        <v>13612</v>
      </c>
      <c r="R4410" s="1" t="s">
        <v>555</v>
      </c>
      <c r="S4410" s="13" t="s">
        <v>28</v>
      </c>
      <c r="BA4410" s="44"/>
      <c r="BB4410" s="44"/>
      <c r="BC4410" s="11"/>
      <c r="BD4410" s="11"/>
      <c r="BE4410" s="11"/>
      <c r="BF4410" s="11"/>
      <c r="BG4410" s="11"/>
      <c r="BH4410" s="11"/>
      <c r="BI4410" s="11"/>
      <c r="BJ4410" s="11"/>
    </row>
    <row r="4411" spans="1:62" ht="12" customHeight="1" x14ac:dyDescent="0.15">
      <c r="A4411" s="1" t="s">
        <v>13618</v>
      </c>
      <c r="B4411" s="1">
        <v>36</v>
      </c>
      <c r="C4411" s="1" t="s">
        <v>20</v>
      </c>
      <c r="D4411" s="1" t="s">
        <v>48</v>
      </c>
      <c r="F4411" s="72">
        <v>41564</v>
      </c>
      <c r="G4411" s="1" t="s">
        <v>24507</v>
      </c>
      <c r="H4411" s="1" t="s">
        <v>216</v>
      </c>
      <c r="I4411" s="1" t="s">
        <v>217</v>
      </c>
      <c r="J4411" s="4" t="s">
        <v>13619</v>
      </c>
      <c r="K4411" s="1" t="s">
        <v>420</v>
      </c>
      <c r="L4411" s="1" t="s">
        <v>13620</v>
      </c>
      <c r="M4411" s="1" t="s">
        <v>27</v>
      </c>
      <c r="N4411" s="1" t="s">
        <v>13621</v>
      </c>
      <c r="O4411" s="1" t="s">
        <v>4684</v>
      </c>
      <c r="P4411" s="1" t="s">
        <v>401</v>
      </c>
      <c r="Q4411" s="63" t="s">
        <v>13622</v>
      </c>
      <c r="R4411" s="1" t="s">
        <v>100</v>
      </c>
      <c r="S4411" s="13" t="s">
        <v>28</v>
      </c>
    </row>
    <row r="4412" spans="1:62" ht="12" customHeight="1" x14ac:dyDescent="0.15">
      <c r="A4412" s="1" t="s">
        <v>13623</v>
      </c>
      <c r="B4412" s="1">
        <v>31</v>
      </c>
      <c r="C4412" s="1" t="s">
        <v>20</v>
      </c>
      <c r="D4412" s="1" t="s">
        <v>37</v>
      </c>
      <c r="E4412" s="1" t="s">
        <v>13624</v>
      </c>
      <c r="F4412" s="72">
        <v>41564</v>
      </c>
      <c r="G4412" s="1" t="s">
        <v>13625</v>
      </c>
      <c r="H4412" s="1" t="s">
        <v>2307</v>
      </c>
      <c r="I4412" s="1" t="s">
        <v>62</v>
      </c>
      <c r="J4412" s="4" t="s">
        <v>13626</v>
      </c>
      <c r="K4412" s="1" t="s">
        <v>2309</v>
      </c>
      <c r="L4412" s="1" t="s">
        <v>14047</v>
      </c>
      <c r="M4412" s="1" t="s">
        <v>27</v>
      </c>
      <c r="N4412" s="1" t="s">
        <v>13627</v>
      </c>
      <c r="O4412" s="1" t="s">
        <v>550</v>
      </c>
      <c r="P4412" s="1" t="s">
        <v>401</v>
      </c>
      <c r="Q4412" s="63" t="s">
        <v>13628</v>
      </c>
      <c r="R4412" s="1" t="s">
        <v>100</v>
      </c>
      <c r="S4412" s="13" t="s">
        <v>28</v>
      </c>
      <c r="BC4412" s="11"/>
      <c r="BD4412" s="11"/>
      <c r="BE4412" s="11"/>
      <c r="BF4412" s="11"/>
      <c r="BG4412" s="11"/>
      <c r="BH4412" s="11"/>
      <c r="BI4412" s="11"/>
      <c r="BJ4412" s="11"/>
    </row>
    <row r="4413" spans="1:62" ht="12" customHeight="1" x14ac:dyDescent="0.15">
      <c r="A4413" s="1" t="s">
        <v>13613</v>
      </c>
      <c r="B4413" s="1">
        <v>40</v>
      </c>
      <c r="C4413" s="1" t="s">
        <v>20</v>
      </c>
      <c r="D4413" s="1" t="s">
        <v>85</v>
      </c>
      <c r="F4413" s="72">
        <v>41564</v>
      </c>
      <c r="G4413" s="1" t="s">
        <v>13614</v>
      </c>
      <c r="H4413" s="1" t="s">
        <v>1592</v>
      </c>
      <c r="I4413" s="1" t="s">
        <v>52</v>
      </c>
      <c r="J4413" s="4" t="s">
        <v>12090</v>
      </c>
      <c r="K4413" s="1" t="s">
        <v>4697</v>
      </c>
      <c r="L4413" s="1" t="s">
        <v>2770</v>
      </c>
      <c r="M4413" s="1" t="s">
        <v>27</v>
      </c>
      <c r="N4413" s="1" t="s">
        <v>13615</v>
      </c>
      <c r="O4413" s="1" t="s">
        <v>13616</v>
      </c>
      <c r="P4413" s="1" t="s">
        <v>401</v>
      </c>
      <c r="Q4413" s="63" t="s">
        <v>13617</v>
      </c>
      <c r="R4413" s="1" t="s">
        <v>100</v>
      </c>
      <c r="S4413" s="13" t="s">
        <v>379</v>
      </c>
      <c r="AX4413" s="11"/>
      <c r="AY4413" s="11"/>
      <c r="BC4413" s="44"/>
      <c r="BD4413" s="44"/>
      <c r="BE4413" s="44"/>
      <c r="BF4413" s="44"/>
      <c r="BG4413" s="44"/>
      <c r="BH4413" s="44"/>
      <c r="BI4413" s="44"/>
      <c r="BJ4413" s="44"/>
    </row>
    <row r="4414" spans="1:62" ht="12" customHeight="1" x14ac:dyDescent="0.15">
      <c r="A4414" s="1" t="s">
        <v>13629</v>
      </c>
      <c r="B4414" s="1">
        <v>22</v>
      </c>
      <c r="C4414" s="1" t="s">
        <v>20</v>
      </c>
      <c r="D4414" s="1" t="s">
        <v>48</v>
      </c>
      <c r="F4414" s="72">
        <v>41563</v>
      </c>
      <c r="G4414" s="1" t="s">
        <v>24508</v>
      </c>
      <c r="H4414" s="1" t="s">
        <v>13630</v>
      </c>
      <c r="I4414" s="1" t="s">
        <v>303</v>
      </c>
      <c r="J4414" s="4" t="s">
        <v>13631</v>
      </c>
      <c r="K4414" s="1" t="s">
        <v>13632</v>
      </c>
      <c r="L4414" s="1" t="s">
        <v>13633</v>
      </c>
      <c r="M4414" s="1" t="s">
        <v>27</v>
      </c>
      <c r="N4414" s="1" t="s">
        <v>13634</v>
      </c>
      <c r="O4414" s="1" t="s">
        <v>550</v>
      </c>
      <c r="P4414" s="1" t="s">
        <v>401</v>
      </c>
      <c r="Q4414" s="63" t="s">
        <v>13635</v>
      </c>
      <c r="R4414" s="1" t="s">
        <v>100</v>
      </c>
      <c r="S4414" s="13" t="s">
        <v>28</v>
      </c>
    </row>
    <row r="4415" spans="1:62" ht="12" customHeight="1" x14ac:dyDescent="0.15">
      <c r="A4415" s="1" t="s">
        <v>13641</v>
      </c>
      <c r="B4415" s="1">
        <v>35</v>
      </c>
      <c r="C4415" s="1" t="s">
        <v>20</v>
      </c>
      <c r="D4415" s="1" t="s">
        <v>37</v>
      </c>
      <c r="E4415" s="1" t="s">
        <v>13642</v>
      </c>
      <c r="F4415" s="72">
        <v>41563</v>
      </c>
      <c r="G4415" s="1" t="s">
        <v>13643</v>
      </c>
      <c r="H4415" s="1" t="s">
        <v>7185</v>
      </c>
      <c r="I4415" s="1" t="s">
        <v>363</v>
      </c>
      <c r="J4415" s="4" t="s">
        <v>13644</v>
      </c>
      <c r="K4415" s="1" t="s">
        <v>13645</v>
      </c>
      <c r="L4415" s="1" t="s">
        <v>13646</v>
      </c>
      <c r="M4415" s="1" t="s">
        <v>27</v>
      </c>
      <c r="N4415" s="1" t="s">
        <v>13647</v>
      </c>
      <c r="O4415" s="1" t="s">
        <v>4684</v>
      </c>
      <c r="P4415" s="1" t="s">
        <v>401</v>
      </c>
      <c r="Q4415" s="63" t="s">
        <v>13648</v>
      </c>
      <c r="R4415" s="1" t="s">
        <v>555</v>
      </c>
      <c r="S4415" s="13" t="s">
        <v>28</v>
      </c>
      <c r="BA4415" s="44"/>
      <c r="BB4415" s="44"/>
      <c r="BC4415" s="11"/>
      <c r="BD4415" s="11"/>
      <c r="BE4415" s="11"/>
      <c r="BF4415" s="11"/>
      <c r="BG4415" s="11"/>
      <c r="BH4415" s="11"/>
      <c r="BI4415" s="11"/>
      <c r="BJ4415" s="11"/>
    </row>
    <row r="4416" spans="1:62" ht="12" customHeight="1" x14ac:dyDescent="0.15">
      <c r="A4416" s="1" t="s">
        <v>13636</v>
      </c>
      <c r="B4416" s="1">
        <v>37</v>
      </c>
      <c r="C4416" s="1" t="s">
        <v>20</v>
      </c>
      <c r="D4416" s="1" t="s">
        <v>30</v>
      </c>
      <c r="F4416" s="72">
        <v>41563</v>
      </c>
      <c r="G4416" s="1" t="s">
        <v>13637</v>
      </c>
      <c r="H4416" s="1" t="s">
        <v>2978</v>
      </c>
      <c r="I4416" s="1" t="s">
        <v>45</v>
      </c>
      <c r="J4416" s="4" t="s">
        <v>13638</v>
      </c>
      <c r="K4416" s="1" t="s">
        <v>2669</v>
      </c>
      <c r="L4416" s="1" t="s">
        <v>10660</v>
      </c>
      <c r="M4416" s="1" t="s">
        <v>14359</v>
      </c>
      <c r="N4416" s="1" t="s">
        <v>13639</v>
      </c>
      <c r="O4416" s="1" t="s">
        <v>4684</v>
      </c>
      <c r="P4416" s="1" t="s">
        <v>401</v>
      </c>
      <c r="Q4416" s="63" t="s">
        <v>13640</v>
      </c>
      <c r="R4416" s="1" t="s">
        <v>555</v>
      </c>
      <c r="S4416" s="13" t="s">
        <v>18</v>
      </c>
      <c r="BA4416" s="11"/>
      <c r="BB4416" s="11"/>
    </row>
    <row r="4417" spans="1:63" ht="12" customHeight="1" x14ac:dyDescent="0.15">
      <c r="A4417" s="1" t="s">
        <v>13660</v>
      </c>
      <c r="B4417" s="1">
        <v>58</v>
      </c>
      <c r="C4417" s="1" t="s">
        <v>20</v>
      </c>
      <c r="D4417" s="1" t="s">
        <v>37</v>
      </c>
      <c r="E4417" s="1" t="s">
        <v>13661</v>
      </c>
      <c r="F4417" s="72">
        <v>41562</v>
      </c>
      <c r="G4417" s="1" t="s">
        <v>13662</v>
      </c>
      <c r="H4417" s="1" t="s">
        <v>459</v>
      </c>
      <c r="I4417" s="1" t="s">
        <v>25</v>
      </c>
      <c r="J4417" s="4" t="s">
        <v>13663</v>
      </c>
      <c r="K4417" s="1" t="s">
        <v>5907</v>
      </c>
      <c r="L4417" s="1" t="s">
        <v>460</v>
      </c>
      <c r="M4417" s="1" t="s">
        <v>27</v>
      </c>
      <c r="N4417" s="1" t="s">
        <v>13664</v>
      </c>
      <c r="O4417" s="1" t="s">
        <v>550</v>
      </c>
      <c r="P4417" s="1" t="s">
        <v>401</v>
      </c>
      <c r="Q4417" s="63" t="s">
        <v>13665</v>
      </c>
      <c r="R4417" s="11" t="s">
        <v>964</v>
      </c>
      <c r="S4417" s="13" t="s">
        <v>28</v>
      </c>
      <c r="BC4417" s="11"/>
      <c r="BD4417" s="11"/>
      <c r="BE4417" s="11"/>
      <c r="BF4417" s="11"/>
      <c r="BG4417" s="11"/>
      <c r="BH4417" s="11"/>
      <c r="BI4417" s="11"/>
      <c r="BJ4417" s="11"/>
    </row>
    <row r="4418" spans="1:63" ht="12" customHeight="1" x14ac:dyDescent="0.2">
      <c r="A4418" s="1" t="s">
        <v>13655</v>
      </c>
      <c r="B4418" s="1" t="s">
        <v>13656</v>
      </c>
      <c r="C4418" s="1" t="s">
        <v>20</v>
      </c>
      <c r="D4418" s="1" t="s">
        <v>85</v>
      </c>
      <c r="E4418" s="1" t="s">
        <v>13657</v>
      </c>
      <c r="F4418" s="72">
        <v>41562</v>
      </c>
      <c r="G4418" s="1" t="s">
        <v>13658</v>
      </c>
      <c r="H4418" s="1" t="s">
        <v>1192</v>
      </c>
      <c r="I4418" s="1" t="s">
        <v>319</v>
      </c>
      <c r="J4418" s="4">
        <v>38114</v>
      </c>
      <c r="K4418" s="1" t="s">
        <v>1193</v>
      </c>
      <c r="L4418" s="1" t="s">
        <v>1194</v>
      </c>
      <c r="M4418" s="1" t="s">
        <v>12821</v>
      </c>
      <c r="N4418" s="1" t="s">
        <v>13659</v>
      </c>
      <c r="O4418" s="1" t="s">
        <v>29</v>
      </c>
      <c r="P4418" s="1" t="s">
        <v>401</v>
      </c>
      <c r="Q4418" s="63" t="str">
        <f>HYPERLINK("http://www.myfoxmemphis.com/story/24329596/medical-examiner-rules-cause-of-death-aaron-dumas","http://www.myfoxmemphis.com/story/24329596/medical-examiner-rules-cause-of-death-aaron-dumas")</f>
        <v>http://www.myfoxmemphis.com/story/24329596/medical-examiner-rules-cause-of-death-aaron-dumas</v>
      </c>
      <c r="R4418" s="1" t="s">
        <v>100</v>
      </c>
      <c r="S4418" s="13" t="s">
        <v>28</v>
      </c>
      <c r="AX4418" s="44"/>
      <c r="AY4418" s="44"/>
      <c r="BC4418" s="44"/>
      <c r="BD4418" s="44"/>
      <c r="BE4418" s="44"/>
      <c r="BF4418" s="44"/>
      <c r="BG4418" s="44"/>
      <c r="BH4418" s="44"/>
      <c r="BI4418" s="44"/>
      <c r="BJ4418" s="44"/>
      <c r="BK4418" s="78"/>
    </row>
    <row r="4419" spans="1:63" ht="12" customHeight="1" x14ac:dyDescent="0.15">
      <c r="A4419" s="1" t="s">
        <v>13649</v>
      </c>
      <c r="B4419" s="1" t="s">
        <v>8769</v>
      </c>
      <c r="C4419" s="1" t="s">
        <v>20</v>
      </c>
      <c r="D4419" s="1" t="s">
        <v>85</v>
      </c>
      <c r="E4419" s="1" t="s">
        <v>13650</v>
      </c>
      <c r="F4419" s="72">
        <v>41562</v>
      </c>
      <c r="G4419" s="1" t="s">
        <v>13651</v>
      </c>
      <c r="H4419" s="1" t="s">
        <v>13652</v>
      </c>
      <c r="I4419" s="1" t="s">
        <v>94</v>
      </c>
      <c r="J4419" s="4">
        <v>36027</v>
      </c>
      <c r="K4419" s="1" t="s">
        <v>13653</v>
      </c>
      <c r="L4419" s="1" t="s">
        <v>13654</v>
      </c>
      <c r="M4419" s="1" t="s">
        <v>27</v>
      </c>
      <c r="N4419" s="1" t="s">
        <v>21179</v>
      </c>
      <c r="O4419" s="1" t="s">
        <v>550</v>
      </c>
      <c r="P4419" s="1" t="s">
        <v>401</v>
      </c>
      <c r="Q4419" s="63" t="s">
        <v>21180</v>
      </c>
      <c r="R4419" s="1" t="s">
        <v>100</v>
      </c>
      <c r="S4419" s="13" t="s">
        <v>379</v>
      </c>
      <c r="AX4419" s="11"/>
      <c r="AY4419" s="11"/>
      <c r="BC4419" s="44"/>
      <c r="BD4419" s="44"/>
      <c r="BE4419" s="44"/>
      <c r="BF4419" s="44"/>
      <c r="BG4419" s="44"/>
      <c r="BH4419" s="44"/>
      <c r="BI4419" s="44"/>
      <c r="BJ4419" s="44"/>
    </row>
    <row r="4420" spans="1:63" ht="12" customHeight="1" x14ac:dyDescent="0.15">
      <c r="A4420" s="1" t="s">
        <v>13666</v>
      </c>
      <c r="B4420" s="1">
        <v>24</v>
      </c>
      <c r="C4420" s="1" t="s">
        <v>20</v>
      </c>
      <c r="D4420" s="1" t="s">
        <v>37</v>
      </c>
      <c r="E4420" s="1" t="s">
        <v>13667</v>
      </c>
      <c r="F4420" s="72">
        <v>41561</v>
      </c>
      <c r="G4420" s="1" t="s">
        <v>13668</v>
      </c>
      <c r="H4420" s="1" t="s">
        <v>252</v>
      </c>
      <c r="I4420" s="1" t="s">
        <v>32</v>
      </c>
      <c r="J4420" s="4" t="s">
        <v>13669</v>
      </c>
      <c r="K4420" s="1" t="s">
        <v>252</v>
      </c>
      <c r="L4420" s="1" t="s">
        <v>5700</v>
      </c>
      <c r="M4420" s="1" t="s">
        <v>27</v>
      </c>
      <c r="N4420" s="1" t="s">
        <v>13670</v>
      </c>
      <c r="O4420" s="1" t="s">
        <v>1010</v>
      </c>
      <c r="P4420" s="1" t="s">
        <v>401</v>
      </c>
      <c r="Q4420" s="63" t="s">
        <v>13671</v>
      </c>
      <c r="R4420" s="1" t="s">
        <v>100</v>
      </c>
      <c r="S4420" s="13" t="s">
        <v>28</v>
      </c>
      <c r="BC4420" s="11"/>
      <c r="BD4420" s="11"/>
      <c r="BE4420" s="11"/>
      <c r="BF4420" s="11"/>
      <c r="BG4420" s="11"/>
      <c r="BH4420" s="11"/>
      <c r="BI4420" s="11"/>
      <c r="BJ4420" s="11"/>
    </row>
    <row r="4421" spans="1:63" ht="12" customHeight="1" x14ac:dyDescent="0.15">
      <c r="A4421" s="1" t="s">
        <v>13672</v>
      </c>
      <c r="B4421" s="1">
        <v>83</v>
      </c>
      <c r="C4421" s="1" t="s">
        <v>20</v>
      </c>
      <c r="D4421" s="1" t="s">
        <v>37</v>
      </c>
      <c r="E4421" s="1" t="s">
        <v>13673</v>
      </c>
      <c r="F4421" s="72">
        <v>41561</v>
      </c>
      <c r="G4421" s="1" t="s">
        <v>13674</v>
      </c>
      <c r="H4421" s="1" t="s">
        <v>13675</v>
      </c>
      <c r="I4421" s="1" t="s">
        <v>94</v>
      </c>
      <c r="J4421" s="4" t="s">
        <v>13676</v>
      </c>
      <c r="K4421" s="1" t="s">
        <v>13677</v>
      </c>
      <c r="L4421" s="1" t="s">
        <v>13678</v>
      </c>
      <c r="M4421" s="1" t="s">
        <v>27</v>
      </c>
      <c r="N4421" s="1" t="s">
        <v>13679</v>
      </c>
      <c r="O4421" s="1" t="s">
        <v>550</v>
      </c>
      <c r="P4421" s="1" t="s">
        <v>401</v>
      </c>
      <c r="Q4421" s="63" t="s">
        <v>13680</v>
      </c>
      <c r="R4421" s="1" t="s">
        <v>555</v>
      </c>
      <c r="S4421" s="13" t="s">
        <v>28</v>
      </c>
      <c r="BA4421" s="44"/>
      <c r="BB4421" s="44"/>
      <c r="BC4421" s="11"/>
      <c r="BD4421" s="11"/>
      <c r="BE4421" s="11"/>
      <c r="BF4421" s="11"/>
      <c r="BG4421" s="11"/>
      <c r="BH4421" s="11"/>
      <c r="BI4421" s="11"/>
      <c r="BJ4421" s="11"/>
    </row>
    <row r="4422" spans="1:63" ht="12" customHeight="1" x14ac:dyDescent="0.15">
      <c r="A4422" s="1" t="s">
        <v>13681</v>
      </c>
      <c r="B4422" s="1">
        <v>22</v>
      </c>
      <c r="C4422" s="1" t="s">
        <v>20</v>
      </c>
      <c r="D4422" s="1" t="s">
        <v>37</v>
      </c>
      <c r="E4422" s="1" t="s">
        <v>13682</v>
      </c>
      <c r="F4422" s="72">
        <v>41561</v>
      </c>
      <c r="G4422" s="1" t="s">
        <v>13683</v>
      </c>
      <c r="H4422" s="1" t="s">
        <v>13684</v>
      </c>
      <c r="I4422" s="1" t="s">
        <v>143</v>
      </c>
      <c r="J4422" s="4" t="s">
        <v>13685</v>
      </c>
      <c r="K4422" s="1" t="s">
        <v>13686</v>
      </c>
      <c r="L4422" s="1" t="s">
        <v>13687</v>
      </c>
      <c r="M4422" s="1" t="s">
        <v>27</v>
      </c>
      <c r="N4422" s="1" t="s">
        <v>13688</v>
      </c>
      <c r="O4422" s="1" t="s">
        <v>29</v>
      </c>
      <c r="P4422" s="1" t="s">
        <v>401</v>
      </c>
      <c r="Q4422" s="63" t="s">
        <v>13689</v>
      </c>
      <c r="R4422" s="1" t="s">
        <v>555</v>
      </c>
      <c r="S4422" s="13" t="s">
        <v>28</v>
      </c>
      <c r="BA4422" s="44"/>
      <c r="BB4422" s="44"/>
      <c r="BC4422" s="11"/>
      <c r="BD4422" s="11"/>
      <c r="BE4422" s="11"/>
      <c r="BF4422" s="11"/>
      <c r="BG4422" s="11"/>
      <c r="BH4422" s="11"/>
      <c r="BI4422" s="11"/>
      <c r="BJ4422" s="11"/>
    </row>
    <row r="4423" spans="1:63" ht="12" customHeight="1" x14ac:dyDescent="0.15">
      <c r="A4423" s="1" t="s">
        <v>13713</v>
      </c>
      <c r="B4423" s="1">
        <v>36</v>
      </c>
      <c r="C4423" s="1" t="s">
        <v>20</v>
      </c>
      <c r="D4423" s="1" t="s">
        <v>48</v>
      </c>
      <c r="E4423" s="1" t="s">
        <v>13714</v>
      </c>
      <c r="F4423" s="72">
        <v>41560</v>
      </c>
      <c r="G4423" s="1" t="s">
        <v>13715</v>
      </c>
      <c r="H4423" s="1" t="s">
        <v>857</v>
      </c>
      <c r="I4423" s="1" t="s">
        <v>73</v>
      </c>
      <c r="J4423" s="4" t="s">
        <v>13716</v>
      </c>
      <c r="K4423" s="1" t="s">
        <v>857</v>
      </c>
      <c r="L4423" s="1" t="s">
        <v>858</v>
      </c>
      <c r="M4423" s="1" t="s">
        <v>14359</v>
      </c>
      <c r="N4423" s="1" t="s">
        <v>13717</v>
      </c>
      <c r="O4423" s="1" t="s">
        <v>3381</v>
      </c>
      <c r="P4423" s="1" t="s">
        <v>401</v>
      </c>
      <c r="Q4423" s="63" t="s">
        <v>21027</v>
      </c>
      <c r="R4423" s="11" t="s">
        <v>964</v>
      </c>
      <c r="S4423" s="13" t="s">
        <v>18</v>
      </c>
    </row>
    <row r="4424" spans="1:63" ht="12" customHeight="1" x14ac:dyDescent="0.15">
      <c r="A4424" s="1" t="s">
        <v>13726</v>
      </c>
      <c r="B4424" s="1">
        <v>31</v>
      </c>
      <c r="C4424" s="1" t="s">
        <v>20</v>
      </c>
      <c r="D4424" s="1" t="s">
        <v>37</v>
      </c>
      <c r="E4424" s="1" t="s">
        <v>13727</v>
      </c>
      <c r="F4424" s="72">
        <v>41560</v>
      </c>
      <c r="G4424" s="1" t="s">
        <v>13728</v>
      </c>
      <c r="H4424" s="1" t="s">
        <v>4752</v>
      </c>
      <c r="I4424" s="1" t="s">
        <v>32</v>
      </c>
      <c r="J4424" s="4" t="s">
        <v>13729</v>
      </c>
      <c r="K4424" s="1" t="s">
        <v>252</v>
      </c>
      <c r="L4424" s="1" t="s">
        <v>5700</v>
      </c>
      <c r="M4424" s="1" t="s">
        <v>14359</v>
      </c>
      <c r="N4424" s="1" t="s">
        <v>13730</v>
      </c>
      <c r="O4424" s="1" t="s">
        <v>1010</v>
      </c>
      <c r="P4424" s="1" t="s">
        <v>401</v>
      </c>
      <c r="Q4424" s="63" t="s">
        <v>13731</v>
      </c>
      <c r="R4424" s="11" t="s">
        <v>964</v>
      </c>
      <c r="S4424" s="13" t="s">
        <v>18</v>
      </c>
      <c r="AX4424" s="44"/>
      <c r="AY4424" s="44"/>
      <c r="AZ4424" s="44"/>
      <c r="BC4424" s="11"/>
      <c r="BD4424" s="11"/>
      <c r="BE4424" s="11"/>
      <c r="BF4424" s="11"/>
      <c r="BG4424" s="11"/>
      <c r="BH4424" s="11"/>
      <c r="BI4424" s="11"/>
      <c r="BJ4424" s="11"/>
    </row>
    <row r="4425" spans="1:63" ht="12" customHeight="1" x14ac:dyDescent="0.15">
      <c r="A4425" s="1" t="s">
        <v>13690</v>
      </c>
      <c r="B4425" s="1">
        <v>16</v>
      </c>
      <c r="C4425" s="1" t="s">
        <v>20</v>
      </c>
      <c r="D4425" s="1" t="s">
        <v>85</v>
      </c>
      <c r="E4425" s="1" t="s">
        <v>13691</v>
      </c>
      <c r="F4425" s="72">
        <v>41560</v>
      </c>
      <c r="G4425" s="1" t="s">
        <v>13692</v>
      </c>
      <c r="H4425" s="1" t="s">
        <v>5949</v>
      </c>
      <c r="I4425" s="1" t="s">
        <v>366</v>
      </c>
      <c r="J4425" s="4" t="s">
        <v>6417</v>
      </c>
      <c r="K4425" s="1" t="s">
        <v>3152</v>
      </c>
      <c r="L4425" s="1" t="s">
        <v>5951</v>
      </c>
      <c r="M4425" s="1" t="s">
        <v>27</v>
      </c>
      <c r="N4425" s="1" t="s">
        <v>13693</v>
      </c>
      <c r="O4425" s="1" t="s">
        <v>550</v>
      </c>
      <c r="P4425" s="1" t="s">
        <v>401</v>
      </c>
      <c r="Q4425" s="63" t="s">
        <v>13694</v>
      </c>
      <c r="R4425" s="1" t="s">
        <v>100</v>
      </c>
      <c r="S4425" s="13" t="s">
        <v>28</v>
      </c>
      <c r="AX4425" s="11"/>
      <c r="AY4425" s="11"/>
      <c r="BC4425" s="44"/>
      <c r="BD4425" s="44"/>
      <c r="BE4425" s="44"/>
      <c r="BF4425" s="44"/>
      <c r="BG4425" s="44"/>
      <c r="BH4425" s="44"/>
      <c r="BI4425" s="44"/>
      <c r="BJ4425" s="44"/>
    </row>
    <row r="4426" spans="1:63" ht="12" customHeight="1" x14ac:dyDescent="0.15">
      <c r="A4426" s="1" t="s">
        <v>13707</v>
      </c>
      <c r="B4426" s="1">
        <v>43</v>
      </c>
      <c r="C4426" s="1" t="s">
        <v>20</v>
      </c>
      <c r="D4426" s="1" t="s">
        <v>85</v>
      </c>
      <c r="E4426" s="1" t="s">
        <v>13708</v>
      </c>
      <c r="F4426" s="72">
        <v>41560</v>
      </c>
      <c r="G4426" s="1" t="s">
        <v>13709</v>
      </c>
      <c r="H4426" s="1" t="s">
        <v>2003</v>
      </c>
      <c r="I4426" s="1" t="s">
        <v>423</v>
      </c>
      <c r="J4426" s="4" t="s">
        <v>13710</v>
      </c>
      <c r="K4426" s="1" t="s">
        <v>1104</v>
      </c>
      <c r="L4426" s="1" t="s">
        <v>2016</v>
      </c>
      <c r="M4426" s="1" t="s">
        <v>27</v>
      </c>
      <c r="N4426" s="1" t="s">
        <v>13711</v>
      </c>
      <c r="O4426" s="1" t="s">
        <v>1010</v>
      </c>
      <c r="P4426" s="1" t="s">
        <v>401</v>
      </c>
      <c r="Q4426" s="63" t="s">
        <v>13712</v>
      </c>
      <c r="R4426" s="1" t="s">
        <v>100</v>
      </c>
      <c r="S4426" s="13" t="s">
        <v>28</v>
      </c>
      <c r="AX4426" s="11"/>
      <c r="AY4426" s="11"/>
      <c r="BC4426" s="44"/>
      <c r="BD4426" s="44"/>
      <c r="BE4426" s="44"/>
      <c r="BF4426" s="44"/>
      <c r="BG4426" s="44"/>
      <c r="BH4426" s="44"/>
      <c r="BI4426" s="44"/>
      <c r="BJ4426" s="44"/>
    </row>
    <row r="4427" spans="1:63" ht="12" customHeight="1" x14ac:dyDescent="0.15">
      <c r="A4427" s="1" t="s">
        <v>13695</v>
      </c>
      <c r="B4427" s="1">
        <v>32</v>
      </c>
      <c r="C4427" s="1" t="s">
        <v>20</v>
      </c>
      <c r="D4427" s="1" t="s">
        <v>85</v>
      </c>
      <c r="E4427" s="1" t="s">
        <v>13696</v>
      </c>
      <c r="F4427" s="72">
        <v>41560</v>
      </c>
      <c r="G4427" s="1" t="s">
        <v>13697</v>
      </c>
      <c r="H4427" s="1" t="s">
        <v>13698</v>
      </c>
      <c r="I4427" s="1" t="s">
        <v>69</v>
      </c>
      <c r="J4427" s="4" t="s">
        <v>13699</v>
      </c>
      <c r="K4427" s="1" t="s">
        <v>13698</v>
      </c>
      <c r="L4427" s="1" t="s">
        <v>13700</v>
      </c>
      <c r="M4427" s="1" t="s">
        <v>391</v>
      </c>
      <c r="N4427" s="1" t="s">
        <v>13701</v>
      </c>
      <c r="O4427" s="1" t="s">
        <v>1010</v>
      </c>
      <c r="P4427" s="1" t="s">
        <v>401</v>
      </c>
      <c r="Q4427" s="63" t="s">
        <v>13702</v>
      </c>
      <c r="R4427" s="1" t="s">
        <v>100</v>
      </c>
      <c r="S4427" s="13" t="s">
        <v>18</v>
      </c>
      <c r="AU4427" s="11"/>
      <c r="AV4427" s="11"/>
      <c r="AW4427" s="11"/>
      <c r="AX4427" s="44"/>
      <c r="AY4427" s="44"/>
      <c r="BC4427" s="44"/>
      <c r="BD4427" s="44"/>
      <c r="BE4427" s="44"/>
      <c r="BF4427" s="44"/>
      <c r="BG4427" s="44"/>
      <c r="BH4427" s="44"/>
      <c r="BI4427" s="44"/>
      <c r="BJ4427" s="44"/>
    </row>
    <row r="4428" spans="1:63" ht="12" customHeight="1" x14ac:dyDescent="0.15">
      <c r="A4428" s="1" t="s">
        <v>13703</v>
      </c>
      <c r="B4428" s="1">
        <v>30</v>
      </c>
      <c r="C4428" s="1" t="s">
        <v>20</v>
      </c>
      <c r="D4428" s="1" t="s">
        <v>85</v>
      </c>
      <c r="E4428" s="1" t="s">
        <v>13704</v>
      </c>
      <c r="F4428" s="72">
        <v>41560</v>
      </c>
      <c r="G4428" s="1" t="s">
        <v>13705</v>
      </c>
      <c r="H4428" s="1" t="s">
        <v>224</v>
      </c>
      <c r="I4428" s="1" t="s">
        <v>366</v>
      </c>
      <c r="J4428" s="4" t="s">
        <v>13414</v>
      </c>
      <c r="K4428" s="1" t="s">
        <v>8584</v>
      </c>
      <c r="L4428" s="1" t="s">
        <v>13706</v>
      </c>
      <c r="M4428" s="1" t="s">
        <v>27</v>
      </c>
      <c r="N4428" s="1" t="s">
        <v>21025</v>
      </c>
      <c r="O4428" s="1" t="s">
        <v>550</v>
      </c>
      <c r="P4428" s="1" t="s">
        <v>401</v>
      </c>
      <c r="Q4428" s="63" t="s">
        <v>21026</v>
      </c>
      <c r="R4428" s="1" t="s">
        <v>100</v>
      </c>
      <c r="S4428" s="13" t="s">
        <v>35</v>
      </c>
      <c r="AX4428" s="11"/>
      <c r="AY4428" s="11"/>
      <c r="BK4428" s="11"/>
    </row>
    <row r="4429" spans="1:63" ht="12" customHeight="1" x14ac:dyDescent="0.15">
      <c r="A4429" s="1" t="s">
        <v>13718</v>
      </c>
      <c r="B4429" s="1">
        <v>26</v>
      </c>
      <c r="C4429" s="1" t="s">
        <v>20</v>
      </c>
      <c r="D4429" s="1" t="s">
        <v>48</v>
      </c>
      <c r="E4429" s="1" t="s">
        <v>13719</v>
      </c>
      <c r="F4429" s="72">
        <v>41560</v>
      </c>
      <c r="G4429" s="1" t="s">
        <v>13720</v>
      </c>
      <c r="H4429" s="1" t="s">
        <v>13721</v>
      </c>
      <c r="I4429" s="1" t="s">
        <v>404</v>
      </c>
      <c r="J4429" s="4" t="s">
        <v>13722</v>
      </c>
      <c r="K4429" s="1" t="s">
        <v>812</v>
      </c>
      <c r="L4429" s="1" t="s">
        <v>13723</v>
      </c>
      <c r="M4429" s="1" t="s">
        <v>27</v>
      </c>
      <c r="N4429" s="1" t="s">
        <v>13724</v>
      </c>
      <c r="O4429" s="1" t="s">
        <v>550</v>
      </c>
      <c r="P4429" s="1" t="s">
        <v>401</v>
      </c>
      <c r="Q4429" s="63" t="s">
        <v>13725</v>
      </c>
      <c r="R4429" s="1" t="s">
        <v>100</v>
      </c>
      <c r="S4429" s="13" t="s">
        <v>35</v>
      </c>
      <c r="BK4429" s="11"/>
    </row>
    <row r="4430" spans="1:63" ht="12" customHeight="1" x14ac:dyDescent="0.15">
      <c r="A4430" s="1" t="s">
        <v>13740</v>
      </c>
      <c r="B4430" s="1" t="s">
        <v>13741</v>
      </c>
      <c r="C4430" s="1" t="s">
        <v>114</v>
      </c>
      <c r="D4430" s="1" t="s">
        <v>37</v>
      </c>
      <c r="F4430" s="72">
        <v>41560</v>
      </c>
      <c r="G4430" s="1" t="s">
        <v>13742</v>
      </c>
      <c r="H4430" s="1" t="s">
        <v>13743</v>
      </c>
      <c r="I4430" s="1" t="s">
        <v>269</v>
      </c>
      <c r="J4430" s="4" t="s">
        <v>13744</v>
      </c>
      <c r="K4430" s="1" t="s">
        <v>6245</v>
      </c>
      <c r="L4430" s="1" t="s">
        <v>13745</v>
      </c>
      <c r="M4430" s="1" t="s">
        <v>27</v>
      </c>
      <c r="N4430" s="1" t="s">
        <v>13746</v>
      </c>
      <c r="O4430" s="1" t="s">
        <v>29</v>
      </c>
      <c r="P4430" s="1" t="s">
        <v>401</v>
      </c>
      <c r="Q4430" s="63" t="s">
        <v>13747</v>
      </c>
      <c r="R4430" s="1" t="s">
        <v>555</v>
      </c>
      <c r="S4430" s="13" t="s">
        <v>28</v>
      </c>
      <c r="BA4430" s="44"/>
      <c r="BB4430" s="44"/>
      <c r="BC4430" s="11"/>
      <c r="BD4430" s="11"/>
      <c r="BE4430" s="11"/>
      <c r="BF4430" s="11"/>
      <c r="BG4430" s="11"/>
      <c r="BH4430" s="11"/>
      <c r="BI4430" s="11"/>
      <c r="BJ4430" s="11"/>
    </row>
    <row r="4431" spans="1:63" ht="12" customHeight="1" x14ac:dyDescent="0.15">
      <c r="A4431" s="1" t="s">
        <v>13732</v>
      </c>
      <c r="B4431" s="1">
        <v>59</v>
      </c>
      <c r="C4431" s="1" t="s">
        <v>20</v>
      </c>
      <c r="D4431" s="1" t="s">
        <v>37</v>
      </c>
      <c r="E4431" s="1" t="s">
        <v>13733</v>
      </c>
      <c r="F4431" s="72">
        <v>41560</v>
      </c>
      <c r="G4431" s="1" t="s">
        <v>13734</v>
      </c>
      <c r="H4431" s="1" t="s">
        <v>13735</v>
      </c>
      <c r="I4431" s="1" t="s">
        <v>315</v>
      </c>
      <c r="J4431" s="4" t="s">
        <v>13736</v>
      </c>
      <c r="K4431" s="1" t="s">
        <v>13737</v>
      </c>
      <c r="L4431" s="1" t="s">
        <v>3367</v>
      </c>
      <c r="M4431" s="1" t="s">
        <v>27</v>
      </c>
      <c r="N4431" s="1" t="s">
        <v>13738</v>
      </c>
      <c r="O4431" s="1" t="s">
        <v>1010</v>
      </c>
      <c r="P4431" s="1" t="s">
        <v>401</v>
      </c>
      <c r="Q4431" s="63" t="s">
        <v>13739</v>
      </c>
      <c r="R4431" s="1" t="s">
        <v>555</v>
      </c>
      <c r="S4431" s="13" t="s">
        <v>18</v>
      </c>
      <c r="BA4431" s="44"/>
      <c r="BB4431" s="44"/>
      <c r="BC4431" s="11"/>
      <c r="BD4431" s="11"/>
      <c r="BE4431" s="11"/>
      <c r="BF4431" s="11"/>
      <c r="BG4431" s="11"/>
      <c r="BH4431" s="11"/>
      <c r="BI4431" s="11"/>
      <c r="BJ4431" s="11"/>
    </row>
    <row r="4432" spans="1:63" ht="12" customHeight="1" x14ac:dyDescent="0.15">
      <c r="A4432" s="1" t="s">
        <v>13748</v>
      </c>
      <c r="B4432" s="1">
        <v>60</v>
      </c>
      <c r="C4432" s="1" t="s">
        <v>20</v>
      </c>
      <c r="D4432" s="1" t="s">
        <v>37</v>
      </c>
      <c r="E4432" s="1" t="s">
        <v>13749</v>
      </c>
      <c r="F4432" s="72">
        <v>41559</v>
      </c>
      <c r="G4432" s="1" t="s">
        <v>13750</v>
      </c>
      <c r="H4432" s="1" t="s">
        <v>13751</v>
      </c>
      <c r="I4432" s="1" t="s">
        <v>423</v>
      </c>
      <c r="J4432" s="4" t="s">
        <v>13752</v>
      </c>
      <c r="K4432" s="1" t="s">
        <v>1699</v>
      </c>
      <c r="L4432" s="1" t="s">
        <v>3354</v>
      </c>
      <c r="M4432" s="1" t="s">
        <v>14359</v>
      </c>
      <c r="N4432" s="1" t="s">
        <v>21028</v>
      </c>
      <c r="O4432" s="1" t="s">
        <v>1010</v>
      </c>
      <c r="P4432" s="1" t="s">
        <v>401</v>
      </c>
      <c r="Q4432" s="63" t="s">
        <v>13753</v>
      </c>
      <c r="R4432" s="1" t="s">
        <v>100</v>
      </c>
      <c r="S4432" s="13" t="s">
        <v>18</v>
      </c>
      <c r="AX4432" s="44"/>
      <c r="AY4432" s="44"/>
      <c r="AZ4432" s="44"/>
      <c r="BC4432" s="11"/>
      <c r="BD4432" s="11"/>
      <c r="BE4432" s="11"/>
      <c r="BF4432" s="11"/>
      <c r="BG4432" s="11"/>
      <c r="BH4432" s="11"/>
      <c r="BI4432" s="11"/>
      <c r="BJ4432" s="11"/>
    </row>
    <row r="4433" spans="1:63" ht="12" customHeight="1" x14ac:dyDescent="0.15">
      <c r="A4433" s="1" t="s">
        <v>13767</v>
      </c>
      <c r="B4433" s="1">
        <v>41</v>
      </c>
      <c r="C4433" s="1" t="s">
        <v>20</v>
      </c>
      <c r="D4433" s="1" t="s">
        <v>37</v>
      </c>
      <c r="E4433" s="1" t="s">
        <v>13768</v>
      </c>
      <c r="F4433" s="72">
        <v>41558</v>
      </c>
      <c r="G4433" s="1" t="s">
        <v>13769</v>
      </c>
      <c r="H4433" s="1" t="s">
        <v>1219</v>
      </c>
      <c r="I4433" s="1" t="s">
        <v>45</v>
      </c>
      <c r="J4433" s="4" t="s">
        <v>13770</v>
      </c>
      <c r="K4433" s="1" t="s">
        <v>783</v>
      </c>
      <c r="L4433" s="1" t="s">
        <v>1220</v>
      </c>
      <c r="M4433" s="1" t="s">
        <v>29610</v>
      </c>
      <c r="N4433" s="1" t="s">
        <v>13771</v>
      </c>
      <c r="O4433" s="1" t="s">
        <v>1010</v>
      </c>
      <c r="P4433" s="1" t="s">
        <v>401</v>
      </c>
      <c r="Q4433" s="63" t="s">
        <v>13772</v>
      </c>
      <c r="R4433" s="11" t="s">
        <v>964</v>
      </c>
      <c r="S4433" s="13" t="s">
        <v>18</v>
      </c>
      <c r="AX4433" s="44"/>
      <c r="AY4433" s="44"/>
      <c r="AZ4433" s="44"/>
      <c r="BC4433" s="11"/>
      <c r="BD4433" s="11"/>
      <c r="BE4433" s="11"/>
      <c r="BF4433" s="11"/>
      <c r="BG4433" s="11"/>
      <c r="BH4433" s="11"/>
      <c r="BI4433" s="11"/>
      <c r="BJ4433" s="11"/>
    </row>
    <row r="4434" spans="1:63" ht="12" customHeight="1" x14ac:dyDescent="0.15">
      <c r="A4434" s="1" t="s">
        <v>13760</v>
      </c>
      <c r="B4434" s="1">
        <v>40</v>
      </c>
      <c r="C4434" s="1" t="s">
        <v>20</v>
      </c>
      <c r="D4434" s="1" t="s">
        <v>37</v>
      </c>
      <c r="E4434" s="1" t="s">
        <v>13761</v>
      </c>
      <c r="F4434" s="72">
        <v>41558</v>
      </c>
      <c r="G4434" s="1" t="s">
        <v>13762</v>
      </c>
      <c r="H4434" s="1" t="s">
        <v>13763</v>
      </c>
      <c r="I4434" s="1" t="s">
        <v>431</v>
      </c>
      <c r="J4434" s="4" t="s">
        <v>13764</v>
      </c>
      <c r="K4434" s="1" t="s">
        <v>1778</v>
      </c>
      <c r="L4434" s="1" t="s">
        <v>1689</v>
      </c>
      <c r="M4434" s="1" t="s">
        <v>27</v>
      </c>
      <c r="N4434" s="1" t="s">
        <v>13765</v>
      </c>
      <c r="O4434" s="1" t="s">
        <v>550</v>
      </c>
      <c r="P4434" s="1" t="s">
        <v>401</v>
      </c>
      <c r="Q4434" s="63" t="s">
        <v>13766</v>
      </c>
      <c r="R4434" s="1" t="s">
        <v>100</v>
      </c>
      <c r="S4434" s="13" t="s">
        <v>28</v>
      </c>
      <c r="BC4434" s="11"/>
      <c r="BD4434" s="11"/>
      <c r="BE4434" s="11"/>
      <c r="BF4434" s="11"/>
      <c r="BG4434" s="11"/>
      <c r="BH4434" s="11"/>
      <c r="BI4434" s="11"/>
      <c r="BJ4434" s="11"/>
    </row>
    <row r="4435" spans="1:63" ht="12" customHeight="1" x14ac:dyDescent="0.15">
      <c r="A4435" s="1" t="s">
        <v>13773</v>
      </c>
      <c r="B4435" s="1">
        <v>47</v>
      </c>
      <c r="C4435" s="1" t="s">
        <v>20</v>
      </c>
      <c r="D4435" s="1" t="s">
        <v>37</v>
      </c>
      <c r="E4435" s="1" t="s">
        <v>13774</v>
      </c>
      <c r="F4435" s="72">
        <v>41558</v>
      </c>
      <c r="G4435" s="1" t="s">
        <v>13775</v>
      </c>
      <c r="H4435" s="1" t="s">
        <v>6567</v>
      </c>
      <c r="I4435" s="1" t="s">
        <v>319</v>
      </c>
      <c r="J4435" s="4" t="s">
        <v>9566</v>
      </c>
      <c r="K4435" s="1" t="s">
        <v>2911</v>
      </c>
      <c r="L4435" s="1" t="s">
        <v>13776</v>
      </c>
      <c r="M4435" s="1" t="s">
        <v>27</v>
      </c>
      <c r="N4435" s="1" t="s">
        <v>13777</v>
      </c>
      <c r="O4435" s="1" t="s">
        <v>550</v>
      </c>
      <c r="P4435" s="1" t="s">
        <v>401</v>
      </c>
      <c r="Q4435" s="63" t="s">
        <v>13778</v>
      </c>
      <c r="R4435" s="1" t="s">
        <v>100</v>
      </c>
      <c r="S4435" s="13" t="s">
        <v>379</v>
      </c>
      <c r="BC4435" s="11"/>
      <c r="BD4435" s="11"/>
      <c r="BE4435" s="11"/>
      <c r="BF4435" s="11"/>
      <c r="BG4435" s="11"/>
      <c r="BH4435" s="11"/>
      <c r="BI4435" s="11"/>
      <c r="BJ4435" s="11"/>
    </row>
    <row r="4436" spans="1:63" ht="12" customHeight="1" x14ac:dyDescent="0.15">
      <c r="A4436" s="1" t="s">
        <v>13754</v>
      </c>
      <c r="B4436" s="1">
        <v>21</v>
      </c>
      <c r="C4436" s="1" t="s">
        <v>20</v>
      </c>
      <c r="D4436" s="1" t="s">
        <v>30</v>
      </c>
      <c r="F4436" s="72">
        <v>41558</v>
      </c>
      <c r="G4436" s="1" t="s">
        <v>13755</v>
      </c>
      <c r="H4436" s="1" t="s">
        <v>4020</v>
      </c>
      <c r="I4436" s="1" t="s">
        <v>62</v>
      </c>
      <c r="J4436" s="4" t="s">
        <v>13756</v>
      </c>
      <c r="K4436" s="1" t="s">
        <v>1864</v>
      </c>
      <c r="L4436" s="1" t="s">
        <v>13757</v>
      </c>
      <c r="M4436" s="1" t="s">
        <v>27</v>
      </c>
      <c r="N4436" s="1" t="s">
        <v>13758</v>
      </c>
      <c r="O4436" s="1" t="s">
        <v>1010</v>
      </c>
      <c r="P4436" s="1" t="s">
        <v>401</v>
      </c>
      <c r="Q4436" s="63" t="s">
        <v>13759</v>
      </c>
      <c r="R4436" s="1" t="s">
        <v>555</v>
      </c>
      <c r="S4436" s="13" t="s">
        <v>28</v>
      </c>
      <c r="BA4436" s="11"/>
      <c r="BB4436" s="11"/>
    </row>
    <row r="4437" spans="1:63" ht="12" customHeight="1" x14ac:dyDescent="0.15">
      <c r="A4437" s="1" t="s">
        <v>13788</v>
      </c>
      <c r="B4437" s="1">
        <v>28</v>
      </c>
      <c r="C4437" s="1" t="s">
        <v>20</v>
      </c>
      <c r="D4437" s="1" t="s">
        <v>37</v>
      </c>
      <c r="F4437" s="72">
        <v>41556</v>
      </c>
      <c r="G4437" s="1" t="s">
        <v>13789</v>
      </c>
      <c r="H4437" s="1" t="s">
        <v>13790</v>
      </c>
      <c r="I4437" s="1" t="s">
        <v>4371</v>
      </c>
      <c r="J4437" s="4" t="s">
        <v>13791</v>
      </c>
      <c r="K4437" s="1" t="s">
        <v>6987</v>
      </c>
      <c r="L4437" s="1" t="s">
        <v>4374</v>
      </c>
      <c r="M4437" s="1" t="s">
        <v>27</v>
      </c>
      <c r="N4437" s="1" t="s">
        <v>13792</v>
      </c>
      <c r="O4437" s="1" t="s">
        <v>550</v>
      </c>
      <c r="P4437" s="1" t="s">
        <v>401</v>
      </c>
      <c r="Q4437" s="6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4437" s="1" t="s">
        <v>100</v>
      </c>
      <c r="S4437" s="13" t="s">
        <v>28</v>
      </c>
      <c r="BC4437" s="11"/>
      <c r="BD4437" s="11"/>
      <c r="BE4437" s="11"/>
      <c r="BF4437" s="11"/>
      <c r="BG4437" s="11"/>
      <c r="BH4437" s="11"/>
      <c r="BI4437" s="11"/>
      <c r="BJ4437" s="11"/>
    </row>
    <row r="4438" spans="1:63" ht="12" customHeight="1" x14ac:dyDescent="0.15">
      <c r="A4438" s="1" t="s">
        <v>13779</v>
      </c>
      <c r="B4438" s="1">
        <v>43</v>
      </c>
      <c r="C4438" s="1" t="s">
        <v>20</v>
      </c>
      <c r="D4438" s="1" t="s">
        <v>37</v>
      </c>
      <c r="E4438" s="1" t="s">
        <v>13780</v>
      </c>
      <c r="F4438" s="72">
        <v>41556</v>
      </c>
      <c r="G4438" s="1" t="s">
        <v>13781</v>
      </c>
      <c r="H4438" s="1" t="s">
        <v>13782</v>
      </c>
      <c r="I4438" s="1" t="s">
        <v>366</v>
      </c>
      <c r="J4438" s="4" t="s">
        <v>13783</v>
      </c>
      <c r="K4438" s="1" t="s">
        <v>13784</v>
      </c>
      <c r="L4438" s="1" t="s">
        <v>13785</v>
      </c>
      <c r="M4438" s="1" t="s">
        <v>27</v>
      </c>
      <c r="N4438" s="1" t="s">
        <v>13786</v>
      </c>
      <c r="O4438" s="1" t="s">
        <v>1010</v>
      </c>
      <c r="P4438" s="1" t="s">
        <v>401</v>
      </c>
      <c r="Q4438" s="63" t="s">
        <v>13787</v>
      </c>
      <c r="R4438" s="1" t="s">
        <v>100</v>
      </c>
      <c r="S4438" s="13" t="s">
        <v>28</v>
      </c>
      <c r="BC4438" s="11"/>
      <c r="BD4438" s="11"/>
      <c r="BE4438" s="11"/>
      <c r="BF4438" s="11"/>
      <c r="BG4438" s="11"/>
      <c r="BH4438" s="11"/>
      <c r="BI4438" s="11"/>
      <c r="BJ4438" s="11"/>
    </row>
    <row r="4439" spans="1:63" ht="12" customHeight="1" x14ac:dyDescent="0.15">
      <c r="A4439" s="1" t="s">
        <v>13793</v>
      </c>
      <c r="B4439" s="1">
        <v>55</v>
      </c>
      <c r="C4439" s="1" t="s">
        <v>20</v>
      </c>
      <c r="D4439" s="1" t="s">
        <v>37</v>
      </c>
      <c r="E4439" s="1" t="s">
        <v>13794</v>
      </c>
      <c r="F4439" s="72">
        <v>41556</v>
      </c>
      <c r="G4439" s="1" t="s">
        <v>13795</v>
      </c>
      <c r="H4439" s="1" t="s">
        <v>7242</v>
      </c>
      <c r="I4439" s="1" t="s">
        <v>150</v>
      </c>
      <c r="J4439" s="4" t="s">
        <v>13796</v>
      </c>
      <c r="K4439" s="1" t="s">
        <v>13797</v>
      </c>
      <c r="L4439" s="1" t="s">
        <v>7244</v>
      </c>
      <c r="M4439" s="1" t="s">
        <v>27</v>
      </c>
      <c r="N4439" s="1" t="s">
        <v>13798</v>
      </c>
      <c r="O4439" s="1" t="s">
        <v>1010</v>
      </c>
      <c r="P4439" s="1" t="s">
        <v>401</v>
      </c>
      <c r="Q4439" s="63" t="s">
        <v>13799</v>
      </c>
      <c r="R4439" s="1" t="s">
        <v>29</v>
      </c>
      <c r="S4439" s="13" t="s">
        <v>28</v>
      </c>
      <c r="BC4439" s="11"/>
      <c r="BD4439" s="11"/>
      <c r="BE4439" s="11"/>
      <c r="BF4439" s="11"/>
      <c r="BG4439" s="11"/>
      <c r="BH4439" s="11"/>
      <c r="BI4439" s="11"/>
      <c r="BJ4439" s="11"/>
    </row>
    <row r="4440" spans="1:63" ht="12" customHeight="1" x14ac:dyDescent="0.15">
      <c r="A4440" s="1" t="s">
        <v>13809</v>
      </c>
      <c r="B4440" s="1">
        <v>44</v>
      </c>
      <c r="C4440" s="1" t="s">
        <v>20</v>
      </c>
      <c r="D4440" s="1" t="s">
        <v>37</v>
      </c>
      <c r="E4440" s="1" t="s">
        <v>13810</v>
      </c>
      <c r="F4440" s="72">
        <v>41555</v>
      </c>
      <c r="G4440" s="1" t="s">
        <v>24509</v>
      </c>
      <c r="H4440" s="1" t="s">
        <v>1620</v>
      </c>
      <c r="I4440" s="1" t="s">
        <v>73</v>
      </c>
      <c r="J4440" s="4" t="s">
        <v>13811</v>
      </c>
      <c r="K4440" s="1" t="s">
        <v>1622</v>
      </c>
      <c r="L4440" s="1" t="s">
        <v>520</v>
      </c>
      <c r="M4440" s="1" t="s">
        <v>27</v>
      </c>
      <c r="N4440" s="1" t="s">
        <v>13812</v>
      </c>
      <c r="O4440" s="1" t="s">
        <v>1010</v>
      </c>
      <c r="P4440" s="1" t="s">
        <v>401</v>
      </c>
      <c r="Q4440" s="63" t="s">
        <v>13813</v>
      </c>
      <c r="R4440" s="1" t="s">
        <v>100</v>
      </c>
      <c r="S4440" s="13" t="s">
        <v>28</v>
      </c>
      <c r="BC4440" s="11"/>
      <c r="BD4440" s="11"/>
      <c r="BE4440" s="11"/>
      <c r="BF4440" s="11"/>
      <c r="BG4440" s="11"/>
      <c r="BH4440" s="11"/>
      <c r="BI4440" s="11"/>
      <c r="BJ4440" s="11"/>
    </row>
    <row r="4441" spans="1:63" ht="12" customHeight="1" x14ac:dyDescent="0.15">
      <c r="A4441" s="1" t="s">
        <v>13800</v>
      </c>
      <c r="B4441" s="1">
        <v>43</v>
      </c>
      <c r="C4441" s="1" t="s">
        <v>20</v>
      </c>
      <c r="D4441" s="1" t="s">
        <v>85</v>
      </c>
      <c r="E4441" s="1" t="s">
        <v>13801</v>
      </c>
      <c r="F4441" s="72">
        <v>41555</v>
      </c>
      <c r="G4441" s="1" t="s">
        <v>13802</v>
      </c>
      <c r="H4441" s="1" t="s">
        <v>13803</v>
      </c>
      <c r="I4441" s="1" t="s">
        <v>173</v>
      </c>
      <c r="J4441" s="4" t="s">
        <v>13804</v>
      </c>
      <c r="K4441" s="1" t="s">
        <v>13805</v>
      </c>
      <c r="L4441" s="1" t="s">
        <v>13806</v>
      </c>
      <c r="M4441" s="1" t="s">
        <v>27</v>
      </c>
      <c r="N4441" s="1" t="s">
        <v>13807</v>
      </c>
      <c r="O4441" s="1" t="s">
        <v>550</v>
      </c>
      <c r="P4441" s="1" t="s">
        <v>401</v>
      </c>
      <c r="Q4441" s="63" t="s">
        <v>13808</v>
      </c>
      <c r="R4441" s="1" t="s">
        <v>29</v>
      </c>
      <c r="S4441" s="13" t="s">
        <v>28</v>
      </c>
      <c r="AX4441" s="44"/>
      <c r="AY4441" s="44"/>
    </row>
    <row r="4442" spans="1:63" ht="12" customHeight="1" x14ac:dyDescent="0.15">
      <c r="A4442" s="1" t="s">
        <v>13814</v>
      </c>
      <c r="B4442" s="1">
        <v>49</v>
      </c>
      <c r="C4442" s="1" t="s">
        <v>20</v>
      </c>
      <c r="D4442" s="1" t="s">
        <v>85</v>
      </c>
      <c r="F4442" s="72">
        <v>41553</v>
      </c>
      <c r="G4442" s="1" t="s">
        <v>13815</v>
      </c>
      <c r="H4442" s="1" t="s">
        <v>98</v>
      </c>
      <c r="I4442" s="1" t="s">
        <v>45</v>
      </c>
      <c r="J4442" s="4" t="s">
        <v>13816</v>
      </c>
      <c r="K4442" s="1" t="s">
        <v>98</v>
      </c>
      <c r="L4442" s="11" t="s">
        <v>414</v>
      </c>
      <c r="M4442" s="1" t="s">
        <v>27</v>
      </c>
      <c r="N4442" s="1" t="s">
        <v>21029</v>
      </c>
      <c r="O4442" s="1" t="s">
        <v>4684</v>
      </c>
      <c r="P4442" s="1" t="s">
        <v>401</v>
      </c>
      <c r="Q4442" s="63" t="s">
        <v>13817</v>
      </c>
      <c r="R4442" s="1" t="s">
        <v>100</v>
      </c>
      <c r="S4442" s="13" t="s">
        <v>28</v>
      </c>
      <c r="AX4442" s="11"/>
      <c r="AY4442" s="11"/>
    </row>
    <row r="4443" spans="1:63" ht="12" customHeight="1" x14ac:dyDescent="0.15">
      <c r="A4443" s="1" t="s">
        <v>13818</v>
      </c>
      <c r="B4443" s="1">
        <v>53</v>
      </c>
      <c r="C4443" s="1" t="s">
        <v>20</v>
      </c>
      <c r="D4443" s="1" t="s">
        <v>37</v>
      </c>
      <c r="F4443" s="72">
        <v>41553</v>
      </c>
      <c r="G4443" s="1" t="s">
        <v>24510</v>
      </c>
      <c r="H4443" s="1" t="s">
        <v>13819</v>
      </c>
      <c r="I4443" s="1" t="s">
        <v>45</v>
      </c>
      <c r="J4443" s="4" t="s">
        <v>13820</v>
      </c>
      <c r="K4443" s="1" t="s">
        <v>98</v>
      </c>
      <c r="L4443" s="11" t="s">
        <v>414</v>
      </c>
      <c r="M4443" s="1" t="s">
        <v>27</v>
      </c>
      <c r="N4443" s="1" t="s">
        <v>13821</v>
      </c>
      <c r="O4443" s="1" t="s">
        <v>4684</v>
      </c>
      <c r="P4443" s="1" t="s">
        <v>401</v>
      </c>
      <c r="Q4443" s="63" t="s">
        <v>13822</v>
      </c>
      <c r="R4443" s="1" t="s">
        <v>555</v>
      </c>
      <c r="S4443" s="13" t="s">
        <v>28</v>
      </c>
      <c r="BA4443" s="44"/>
      <c r="BB4443" s="44"/>
      <c r="BC4443" s="11"/>
      <c r="BD4443" s="11"/>
      <c r="BE4443" s="11"/>
      <c r="BF4443" s="11"/>
      <c r="BG4443" s="11"/>
      <c r="BH4443" s="11"/>
      <c r="BI4443" s="11"/>
      <c r="BJ4443" s="11"/>
    </row>
    <row r="4444" spans="1:63" ht="12" customHeight="1" x14ac:dyDescent="0.2">
      <c r="A4444" s="1" t="s">
        <v>13846</v>
      </c>
      <c r="B4444" s="1">
        <v>33</v>
      </c>
      <c r="C4444" s="1" t="s">
        <v>20</v>
      </c>
      <c r="D4444" s="1" t="s">
        <v>37</v>
      </c>
      <c r="E4444" s="1" t="s">
        <v>13847</v>
      </c>
      <c r="F4444" s="72">
        <v>41552</v>
      </c>
      <c r="G4444" s="1" t="s">
        <v>24512</v>
      </c>
      <c r="H4444" s="1" t="s">
        <v>7540</v>
      </c>
      <c r="I4444" s="1" t="s">
        <v>45</v>
      </c>
      <c r="J4444" s="4">
        <v>96001</v>
      </c>
      <c r="K4444" s="1" t="s">
        <v>7542</v>
      </c>
      <c r="L4444" s="1" t="s">
        <v>7543</v>
      </c>
      <c r="M4444" s="1" t="s">
        <v>3154</v>
      </c>
      <c r="N4444" s="1" t="s">
        <v>13848</v>
      </c>
      <c r="O4444" s="1" t="s">
        <v>29</v>
      </c>
      <c r="P4444" s="1" t="s">
        <v>401</v>
      </c>
      <c r="Q4444" s="63" t="s">
        <v>13849</v>
      </c>
      <c r="R4444" s="11" t="s">
        <v>964</v>
      </c>
      <c r="S4444" s="13" t="s">
        <v>18</v>
      </c>
      <c r="AT4444" s="70"/>
      <c r="AU4444" s="70"/>
      <c r="AW4444" s="44"/>
      <c r="AX4444" s="44"/>
      <c r="AY4444" s="44"/>
      <c r="BB4444" s="11"/>
      <c r="BC4444" s="11"/>
      <c r="BD4444" s="11"/>
      <c r="BE4444" s="11"/>
      <c r="BF4444" s="11"/>
      <c r="BG4444" s="11"/>
      <c r="BH4444" s="11"/>
      <c r="BI4444" s="11"/>
      <c r="BK4444" s="78"/>
    </row>
    <row r="4445" spans="1:63" ht="12" customHeight="1" x14ac:dyDescent="0.15">
      <c r="A4445" s="1" t="s">
        <v>13823</v>
      </c>
      <c r="B4445" s="1">
        <v>28</v>
      </c>
      <c r="C4445" s="1" t="s">
        <v>20</v>
      </c>
      <c r="D4445" s="1" t="s">
        <v>85</v>
      </c>
      <c r="E4445" s="1" t="s">
        <v>13824</v>
      </c>
      <c r="F4445" s="72">
        <v>41552</v>
      </c>
      <c r="G4445" s="1" t="s">
        <v>24511</v>
      </c>
      <c r="H4445" s="1" t="s">
        <v>13825</v>
      </c>
      <c r="I4445" s="1" t="s">
        <v>44</v>
      </c>
      <c r="J4445" s="4" t="s">
        <v>13826</v>
      </c>
      <c r="K4445" s="1" t="s">
        <v>88</v>
      </c>
      <c r="L4445" s="1" t="s">
        <v>13827</v>
      </c>
      <c r="M4445" s="1" t="s">
        <v>27</v>
      </c>
      <c r="N4445" s="1" t="s">
        <v>13828</v>
      </c>
      <c r="O4445" s="1" t="s">
        <v>4684</v>
      </c>
      <c r="P4445" s="1" t="s">
        <v>401</v>
      </c>
      <c r="Q4445" s="6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4445" s="1" t="s">
        <v>100</v>
      </c>
      <c r="S4445" s="13" t="s">
        <v>28</v>
      </c>
      <c r="AX4445" s="11"/>
      <c r="AY4445" s="11"/>
    </row>
    <row r="4446" spans="1:63" ht="12" customHeight="1" x14ac:dyDescent="0.15">
      <c r="A4446" s="1" t="s">
        <v>13829</v>
      </c>
      <c r="B4446" s="1">
        <v>25</v>
      </c>
      <c r="C4446" s="1" t="s">
        <v>20</v>
      </c>
      <c r="D4446" s="1" t="s">
        <v>85</v>
      </c>
      <c r="E4446" s="1" t="s">
        <v>13830</v>
      </c>
      <c r="F4446" s="72">
        <v>41552</v>
      </c>
      <c r="G4446" s="1" t="s">
        <v>13831</v>
      </c>
      <c r="H4446" s="1" t="s">
        <v>709</v>
      </c>
      <c r="I4446" s="1" t="s">
        <v>431</v>
      </c>
      <c r="J4446" s="4" t="s">
        <v>4744</v>
      </c>
      <c r="K4446" s="1" t="s">
        <v>709</v>
      </c>
      <c r="L4446" s="1" t="s">
        <v>4516</v>
      </c>
      <c r="M4446" s="1" t="s">
        <v>27</v>
      </c>
      <c r="N4446" s="1" t="s">
        <v>13832</v>
      </c>
      <c r="O4446" s="1" t="s">
        <v>1010</v>
      </c>
      <c r="P4446" s="1" t="s">
        <v>401</v>
      </c>
      <c r="Q4446" s="63" t="s">
        <v>13833</v>
      </c>
      <c r="R4446" s="1" t="s">
        <v>100</v>
      </c>
      <c r="S4446" s="13" t="s">
        <v>28</v>
      </c>
      <c r="AX4446" s="11"/>
      <c r="AY4446" s="11"/>
    </row>
    <row r="4447" spans="1:63" ht="12" customHeight="1" x14ac:dyDescent="0.15">
      <c r="A4447" s="1" t="s">
        <v>13839</v>
      </c>
      <c r="B4447" s="1">
        <v>39</v>
      </c>
      <c r="C4447" s="1" t="s">
        <v>20</v>
      </c>
      <c r="D4447" s="1" t="s">
        <v>37</v>
      </c>
      <c r="F4447" s="72">
        <v>41552</v>
      </c>
      <c r="G4447" s="1" t="s">
        <v>13840</v>
      </c>
      <c r="H4447" s="1" t="s">
        <v>13841</v>
      </c>
      <c r="I4447" s="1" t="s">
        <v>978</v>
      </c>
      <c r="J4447" s="4" t="s">
        <v>13842</v>
      </c>
      <c r="K4447" s="1" t="s">
        <v>2514</v>
      </c>
      <c r="L4447" s="1" t="s">
        <v>13843</v>
      </c>
      <c r="M4447" s="1" t="s">
        <v>27</v>
      </c>
      <c r="N4447" s="1" t="s">
        <v>13844</v>
      </c>
      <c r="O4447" s="1" t="s">
        <v>4684</v>
      </c>
      <c r="P4447" s="1" t="s">
        <v>401</v>
      </c>
      <c r="Q4447" s="63" t="s">
        <v>13845</v>
      </c>
      <c r="R4447" s="1" t="s">
        <v>100</v>
      </c>
      <c r="S4447" s="13" t="s">
        <v>28</v>
      </c>
      <c r="BC4447" s="11"/>
      <c r="BD4447" s="11"/>
      <c r="BE4447" s="11"/>
      <c r="BF4447" s="11"/>
      <c r="BG4447" s="11"/>
      <c r="BH4447" s="11"/>
      <c r="BI4447" s="11"/>
      <c r="BJ4447" s="11"/>
    </row>
    <row r="4448" spans="1:63" ht="12" customHeight="1" x14ac:dyDescent="0.15">
      <c r="A4448" s="1" t="s">
        <v>13850</v>
      </c>
      <c r="B4448" s="1">
        <v>24</v>
      </c>
      <c r="C4448" s="1" t="s">
        <v>20</v>
      </c>
      <c r="D4448" s="1" t="s">
        <v>37</v>
      </c>
      <c r="E4448" s="1" t="s">
        <v>13851</v>
      </c>
      <c r="F4448" s="72">
        <v>41552</v>
      </c>
      <c r="G4448" s="1" t="s">
        <v>13852</v>
      </c>
      <c r="H4448" s="1" t="s">
        <v>12574</v>
      </c>
      <c r="I4448" s="1" t="s">
        <v>303</v>
      </c>
      <c r="J4448" s="4" t="s">
        <v>13853</v>
      </c>
      <c r="K4448" s="1" t="s">
        <v>13854</v>
      </c>
      <c r="L4448" s="1" t="s">
        <v>12576</v>
      </c>
      <c r="M4448" s="1" t="s">
        <v>27</v>
      </c>
      <c r="N4448" s="1" t="s">
        <v>13855</v>
      </c>
      <c r="O4448" s="1" t="s">
        <v>550</v>
      </c>
      <c r="P4448" s="1" t="s">
        <v>401</v>
      </c>
      <c r="Q4448" s="63" t="s">
        <v>13856</v>
      </c>
      <c r="R4448" s="1" t="s">
        <v>100</v>
      </c>
      <c r="S4448" s="13" t="s">
        <v>28</v>
      </c>
      <c r="BC4448" s="11"/>
      <c r="BD4448" s="11"/>
      <c r="BE4448" s="11"/>
      <c r="BF4448" s="11"/>
      <c r="BG4448" s="11"/>
      <c r="BH4448" s="11"/>
      <c r="BI4448" s="11"/>
      <c r="BJ4448" s="11"/>
    </row>
    <row r="4449" spans="1:63" ht="12" customHeight="1" x14ac:dyDescent="0.15">
      <c r="A4449" s="1" t="s">
        <v>13834</v>
      </c>
      <c r="B4449" s="1">
        <v>24</v>
      </c>
      <c r="C4449" s="1" t="s">
        <v>20</v>
      </c>
      <c r="D4449" s="1" t="s">
        <v>37</v>
      </c>
      <c r="F4449" s="72">
        <v>41552</v>
      </c>
      <c r="G4449" s="1" t="s">
        <v>13835</v>
      </c>
      <c r="H4449" s="1" t="s">
        <v>8600</v>
      </c>
      <c r="I4449" s="1" t="s">
        <v>69</v>
      </c>
      <c r="J4449" s="4" t="s">
        <v>13836</v>
      </c>
      <c r="K4449" s="1" t="s">
        <v>4062</v>
      </c>
      <c r="L4449" s="1" t="s">
        <v>12812</v>
      </c>
      <c r="M4449" s="1" t="s">
        <v>13837</v>
      </c>
      <c r="P4449" s="1" t="s">
        <v>401</v>
      </c>
      <c r="Q4449" s="63" t="s">
        <v>13838</v>
      </c>
      <c r="R4449" s="1" t="s">
        <v>29</v>
      </c>
      <c r="S4449" s="13" t="s">
        <v>28</v>
      </c>
      <c r="AX4449" s="44"/>
      <c r="AY4449" s="44"/>
      <c r="AZ4449" s="44"/>
      <c r="BC4449" s="11"/>
      <c r="BD4449" s="11"/>
      <c r="BE4449" s="11"/>
      <c r="BF4449" s="11"/>
      <c r="BG4449" s="11"/>
      <c r="BH4449" s="11"/>
      <c r="BI4449" s="11"/>
      <c r="BJ4449" s="11"/>
    </row>
    <row r="4450" spans="1:63" ht="12" customHeight="1" x14ac:dyDescent="0.15">
      <c r="A4450" s="1" t="s">
        <v>13863</v>
      </c>
      <c r="B4450" s="1">
        <v>43</v>
      </c>
      <c r="C4450" s="1" t="s">
        <v>20</v>
      </c>
      <c r="D4450" s="1" t="s">
        <v>85</v>
      </c>
      <c r="F4450" s="72">
        <v>41551</v>
      </c>
      <c r="G4450" s="1" t="s">
        <v>13864</v>
      </c>
      <c r="H4450" s="1" t="s">
        <v>13803</v>
      </c>
      <c r="I4450" s="1" t="s">
        <v>173</v>
      </c>
      <c r="J4450" s="4" t="s">
        <v>13804</v>
      </c>
      <c r="K4450" s="1" t="s">
        <v>13805</v>
      </c>
      <c r="L4450" s="1" t="s">
        <v>13806</v>
      </c>
      <c r="M4450" s="1" t="s">
        <v>27</v>
      </c>
      <c r="N4450" s="1" t="s">
        <v>21030</v>
      </c>
      <c r="O4450" s="1" t="s">
        <v>550</v>
      </c>
      <c r="P4450" s="1" t="s">
        <v>401</v>
      </c>
      <c r="Q4450" s="63" t="s">
        <v>21031</v>
      </c>
      <c r="R4450" s="11" t="s">
        <v>964</v>
      </c>
      <c r="S4450" s="13" t="s">
        <v>35</v>
      </c>
      <c r="AX4450" s="11"/>
      <c r="AY4450" s="11"/>
      <c r="BK4450" s="11"/>
    </row>
    <row r="4451" spans="1:63" ht="12" customHeight="1" x14ac:dyDescent="0.15">
      <c r="A4451" s="1" t="s">
        <v>13857</v>
      </c>
      <c r="B4451" s="1">
        <v>29</v>
      </c>
      <c r="C4451" s="1" t="s">
        <v>20</v>
      </c>
      <c r="D4451" s="1" t="s">
        <v>85</v>
      </c>
      <c r="E4451" s="1" t="s">
        <v>13858</v>
      </c>
      <c r="F4451" s="72">
        <v>41551</v>
      </c>
      <c r="G4451" s="1" t="s">
        <v>13859</v>
      </c>
      <c r="H4451" s="1" t="s">
        <v>984</v>
      </c>
      <c r="I4451" s="1" t="s">
        <v>69</v>
      </c>
      <c r="J4451" s="4" t="s">
        <v>13860</v>
      </c>
      <c r="K4451" s="1" t="s">
        <v>105</v>
      </c>
      <c r="L4451" s="1" t="s">
        <v>3452</v>
      </c>
      <c r="M4451" s="1" t="s">
        <v>391</v>
      </c>
      <c r="N4451" s="1" t="s">
        <v>13861</v>
      </c>
      <c r="O4451" s="1" t="s">
        <v>4684</v>
      </c>
      <c r="P4451" s="1" t="s">
        <v>401</v>
      </c>
      <c r="Q4451" s="63" t="s">
        <v>13862</v>
      </c>
      <c r="R4451" s="1" t="s">
        <v>100</v>
      </c>
      <c r="S4451" s="13" t="s">
        <v>18</v>
      </c>
      <c r="AU4451" s="11"/>
      <c r="AV4451" s="11"/>
      <c r="AW4451" s="11"/>
      <c r="AX4451" s="44"/>
      <c r="AY4451" s="44"/>
    </row>
    <row r="4452" spans="1:63" ht="12" customHeight="1" x14ac:dyDescent="0.2">
      <c r="A4452" s="1" t="s">
        <v>13865</v>
      </c>
      <c r="B4452" s="1">
        <v>51</v>
      </c>
      <c r="C4452" s="1" t="s">
        <v>20</v>
      </c>
      <c r="D4452" s="1" t="s">
        <v>37</v>
      </c>
      <c r="E4452" s="1" t="s">
        <v>13866</v>
      </c>
      <c r="F4452" s="72">
        <v>41551</v>
      </c>
      <c r="G4452" s="1" t="s">
        <v>13867</v>
      </c>
      <c r="H4452" s="1" t="s">
        <v>754</v>
      </c>
      <c r="I4452" s="1" t="s">
        <v>423</v>
      </c>
      <c r="J4452" s="4" t="s">
        <v>13868</v>
      </c>
      <c r="K4452" s="1" t="s">
        <v>874</v>
      </c>
      <c r="L4452" s="1" t="s">
        <v>582</v>
      </c>
      <c r="M4452" s="1" t="s">
        <v>379</v>
      </c>
      <c r="N4452" s="1" t="s">
        <v>13869</v>
      </c>
      <c r="O4452" s="1" t="s">
        <v>29653</v>
      </c>
      <c r="P4452" s="1" t="s">
        <v>29653</v>
      </c>
      <c r="Q4452" s="63" t="s">
        <v>13870</v>
      </c>
      <c r="R4452" s="1" t="s">
        <v>100</v>
      </c>
      <c r="S4452" s="13" t="s">
        <v>18</v>
      </c>
      <c r="BC4452" s="11"/>
      <c r="BD4452" s="11"/>
      <c r="BE4452" s="11"/>
      <c r="BF4452" s="11"/>
      <c r="BG4452" s="11"/>
      <c r="BH4452" s="11"/>
      <c r="BI4452" s="11"/>
      <c r="BJ4452" s="11"/>
      <c r="BK4452" s="70"/>
    </row>
    <row r="4453" spans="1:63" ht="12" customHeight="1" x14ac:dyDescent="0.15">
      <c r="A4453" s="1" t="s">
        <v>13871</v>
      </c>
      <c r="B4453" s="1">
        <v>21</v>
      </c>
      <c r="C4453" s="1" t="s">
        <v>20</v>
      </c>
      <c r="D4453" s="1" t="s">
        <v>37</v>
      </c>
      <c r="F4453" s="72">
        <v>41551</v>
      </c>
      <c r="G4453" s="1" t="s">
        <v>13872</v>
      </c>
      <c r="H4453" s="1" t="s">
        <v>12331</v>
      </c>
      <c r="I4453" s="1" t="s">
        <v>438</v>
      </c>
      <c r="J4453" s="4" t="s">
        <v>13873</v>
      </c>
      <c r="K4453" s="1" t="s">
        <v>1104</v>
      </c>
      <c r="L4453" s="1" t="s">
        <v>13874</v>
      </c>
      <c r="M4453" s="1" t="s">
        <v>27</v>
      </c>
      <c r="N4453" s="1" t="s">
        <v>13875</v>
      </c>
      <c r="O4453" s="1" t="s">
        <v>550</v>
      </c>
      <c r="P4453" s="1" t="s">
        <v>401</v>
      </c>
      <c r="Q4453" s="63" t="s">
        <v>13876</v>
      </c>
      <c r="R4453" s="1" t="s">
        <v>555</v>
      </c>
      <c r="S4453" s="13" t="s">
        <v>28</v>
      </c>
      <c r="BA4453" s="44"/>
      <c r="BB4453" s="44"/>
      <c r="BC4453" s="11"/>
      <c r="BD4453" s="11"/>
      <c r="BE4453" s="11"/>
      <c r="BF4453" s="11"/>
      <c r="BG4453" s="11"/>
      <c r="BH4453" s="11"/>
      <c r="BI4453" s="11"/>
      <c r="BJ4453" s="11"/>
    </row>
    <row r="4454" spans="1:63" ht="12" customHeight="1" x14ac:dyDescent="0.2">
      <c r="A4454" s="1" t="s">
        <v>13884</v>
      </c>
      <c r="B4454" s="1">
        <v>49</v>
      </c>
      <c r="C4454" s="1" t="s">
        <v>20</v>
      </c>
      <c r="D4454" s="1" t="s">
        <v>30</v>
      </c>
      <c r="F4454" s="72">
        <v>41550</v>
      </c>
      <c r="G4454" s="1" t="s">
        <v>13885</v>
      </c>
      <c r="H4454" s="1" t="s">
        <v>12625</v>
      </c>
      <c r="I4454" s="1" t="s">
        <v>404</v>
      </c>
      <c r="J4454" s="4" t="s">
        <v>12626</v>
      </c>
      <c r="K4454" s="1" t="s">
        <v>1635</v>
      </c>
      <c r="L4454" s="1" t="s">
        <v>12627</v>
      </c>
      <c r="M4454" s="1" t="s">
        <v>379</v>
      </c>
      <c r="N4454" s="1" t="s">
        <v>13886</v>
      </c>
      <c r="O4454" s="1" t="s">
        <v>550</v>
      </c>
      <c r="P4454" s="1" t="s">
        <v>401</v>
      </c>
      <c r="Q4454" s="63" t="s">
        <v>13887</v>
      </c>
      <c r="R4454" s="11" t="s">
        <v>964</v>
      </c>
      <c r="S4454" s="13" t="s">
        <v>18</v>
      </c>
      <c r="BK4454" s="70"/>
    </row>
    <row r="4455" spans="1:63" ht="12" customHeight="1" x14ac:dyDescent="0.15">
      <c r="A4455" s="1" t="s">
        <v>13877</v>
      </c>
      <c r="B4455" s="1" t="s">
        <v>13878</v>
      </c>
      <c r="C4455" s="1" t="s">
        <v>114</v>
      </c>
      <c r="D4455" s="1" t="s">
        <v>85</v>
      </c>
      <c r="E4455" s="1" t="s">
        <v>13879</v>
      </c>
      <c r="F4455" s="72">
        <v>41550</v>
      </c>
      <c r="G4455" s="1" t="s">
        <v>13880</v>
      </c>
      <c r="H4455" s="1" t="s">
        <v>118</v>
      </c>
      <c r="I4455" s="1" t="s">
        <v>3664</v>
      </c>
      <c r="J4455" s="4" t="s">
        <v>13881</v>
      </c>
      <c r="K4455" s="1" t="s">
        <v>3666</v>
      </c>
      <c r="L4455" s="1" t="s">
        <v>19411</v>
      </c>
      <c r="M4455" s="1" t="s">
        <v>27</v>
      </c>
      <c r="N4455" s="1" t="s">
        <v>13882</v>
      </c>
      <c r="O4455" s="1" t="s">
        <v>29</v>
      </c>
      <c r="P4455" s="1" t="s">
        <v>401</v>
      </c>
      <c r="Q4455" s="63" t="s">
        <v>13883</v>
      </c>
      <c r="R4455" s="1" t="s">
        <v>100</v>
      </c>
      <c r="S4455" s="13" t="s">
        <v>379</v>
      </c>
      <c r="AX4455" s="11"/>
      <c r="AY4455" s="11"/>
    </row>
    <row r="4456" spans="1:63" ht="12" customHeight="1" x14ac:dyDescent="0.15">
      <c r="A4456" s="1" t="s">
        <v>13888</v>
      </c>
      <c r="B4456" s="1">
        <v>37</v>
      </c>
      <c r="C4456" s="1" t="s">
        <v>20</v>
      </c>
      <c r="D4456" s="1" t="s">
        <v>37</v>
      </c>
      <c r="E4456" s="1" t="s">
        <v>13889</v>
      </c>
      <c r="F4456" s="72">
        <v>41550</v>
      </c>
      <c r="G4456" s="1" t="s">
        <v>13890</v>
      </c>
      <c r="H4456" s="1" t="s">
        <v>13891</v>
      </c>
      <c r="I4456" s="1" t="s">
        <v>978</v>
      </c>
      <c r="J4456" s="4" t="s">
        <v>13892</v>
      </c>
      <c r="K4456" s="1" t="s">
        <v>4946</v>
      </c>
      <c r="L4456" s="1" t="s">
        <v>6483</v>
      </c>
      <c r="M4456" s="1" t="s">
        <v>27</v>
      </c>
      <c r="N4456" s="1" t="s">
        <v>13893</v>
      </c>
      <c r="O4456" s="1" t="s">
        <v>550</v>
      </c>
      <c r="P4456" s="1" t="s">
        <v>401</v>
      </c>
      <c r="Q4456" s="63" t="s">
        <v>13894</v>
      </c>
      <c r="R4456" s="1" t="s">
        <v>555</v>
      </c>
      <c r="S4456" s="13" t="s">
        <v>28</v>
      </c>
      <c r="BA4456" s="44"/>
      <c r="BB4456" s="44"/>
      <c r="BC4456" s="11"/>
      <c r="BD4456" s="11"/>
      <c r="BE4456" s="11"/>
      <c r="BF4456" s="11"/>
      <c r="BG4456" s="11"/>
      <c r="BH4456" s="11"/>
      <c r="BI4456" s="11"/>
      <c r="BJ4456" s="11"/>
    </row>
    <row r="4457" spans="1:63" ht="12" customHeight="1" x14ac:dyDescent="0.15">
      <c r="A4457" s="1" t="s">
        <v>13895</v>
      </c>
      <c r="B4457" s="1">
        <v>39</v>
      </c>
      <c r="C4457" s="1" t="s">
        <v>20</v>
      </c>
      <c r="D4457" s="1" t="s">
        <v>85</v>
      </c>
      <c r="E4457" s="1" t="s">
        <v>13896</v>
      </c>
      <c r="F4457" s="72">
        <v>41549</v>
      </c>
      <c r="G4457" s="1" t="s">
        <v>13897</v>
      </c>
      <c r="H4457" s="1" t="s">
        <v>13898</v>
      </c>
      <c r="I4457" s="1" t="s">
        <v>52</v>
      </c>
      <c r="J4457" s="4" t="s">
        <v>13899</v>
      </c>
      <c r="K4457" s="1" t="s">
        <v>2377</v>
      </c>
      <c r="L4457" s="1" t="s">
        <v>759</v>
      </c>
      <c r="M4457" s="1" t="s">
        <v>27</v>
      </c>
      <c r="N4457" s="1" t="s">
        <v>13900</v>
      </c>
      <c r="O4457" s="1" t="s">
        <v>1010</v>
      </c>
      <c r="P4457" s="1" t="s">
        <v>401</v>
      </c>
      <c r="Q4457" s="63" t="str">
        <f>HYPERLINK("http://pgpolice.blogspot.com/2013/10/pgpd-investigates-police-involved.html","http://pgpolice.blogspot.com/2013/10/pgpd-investigates-police-involved.html")</f>
        <v>http://pgpolice.blogspot.com/2013/10/pgpd-investigates-police-involved.html</v>
      </c>
      <c r="R4457" s="1" t="s">
        <v>100</v>
      </c>
      <c r="S4457" s="13" t="s">
        <v>18</v>
      </c>
      <c r="AX4457" s="11"/>
      <c r="AY4457" s="11"/>
      <c r="BC4457" s="44"/>
      <c r="BD4457" s="44"/>
      <c r="BE4457" s="44"/>
      <c r="BF4457" s="44"/>
      <c r="BG4457" s="44"/>
      <c r="BH4457" s="44"/>
      <c r="BI4457" s="44"/>
      <c r="BJ4457" s="44"/>
    </row>
    <row r="4458" spans="1:63" ht="12" customHeight="1" x14ac:dyDescent="0.15">
      <c r="A4458" s="1" t="s">
        <v>13901</v>
      </c>
      <c r="B4458" s="1">
        <v>20</v>
      </c>
      <c r="C4458" s="1" t="s">
        <v>20</v>
      </c>
      <c r="D4458" s="1" t="s">
        <v>37</v>
      </c>
      <c r="E4458" s="1" t="s">
        <v>13902</v>
      </c>
      <c r="F4458" s="72">
        <v>41549</v>
      </c>
      <c r="G4458" s="1" t="s">
        <v>13903</v>
      </c>
      <c r="H4458" s="1" t="s">
        <v>13904</v>
      </c>
      <c r="I4458" s="1" t="s">
        <v>404</v>
      </c>
      <c r="J4458" s="4" t="s">
        <v>13905</v>
      </c>
      <c r="K4458" s="1" t="s">
        <v>5515</v>
      </c>
      <c r="L4458" s="1" t="s">
        <v>9350</v>
      </c>
      <c r="M4458" s="1" t="s">
        <v>379</v>
      </c>
      <c r="N4458" s="1" t="s">
        <v>13906</v>
      </c>
      <c r="O4458" s="1" t="s">
        <v>1010</v>
      </c>
      <c r="P4458" s="1" t="s">
        <v>401</v>
      </c>
      <c r="Q4458" s="63" t="s">
        <v>13907</v>
      </c>
      <c r="R4458" s="1" t="s">
        <v>100</v>
      </c>
      <c r="S4458" s="13" t="s">
        <v>379</v>
      </c>
      <c r="BC4458" s="11"/>
      <c r="BD4458" s="11"/>
      <c r="BE4458" s="11"/>
      <c r="BF4458" s="11"/>
      <c r="BG4458" s="11"/>
      <c r="BH4458" s="11"/>
      <c r="BI4458" s="11"/>
      <c r="BJ4458" s="11"/>
    </row>
    <row r="4459" spans="1:63" ht="12" customHeight="1" x14ac:dyDescent="0.15">
      <c r="A4459" s="1" t="s">
        <v>3252</v>
      </c>
      <c r="B4459" s="1">
        <v>20</v>
      </c>
      <c r="C4459" s="1" t="s">
        <v>20</v>
      </c>
      <c r="D4459" s="1" t="s">
        <v>48</v>
      </c>
      <c r="F4459" s="72">
        <v>41548</v>
      </c>
      <c r="G4459" s="1" t="s">
        <v>13913</v>
      </c>
      <c r="H4459" s="1" t="s">
        <v>5036</v>
      </c>
      <c r="I4459" s="1" t="s">
        <v>73</v>
      </c>
      <c r="J4459" s="4" t="s">
        <v>5037</v>
      </c>
      <c r="K4459" s="1" t="s">
        <v>4929</v>
      </c>
      <c r="L4459" s="1" t="s">
        <v>5038</v>
      </c>
      <c r="M4459" s="1" t="s">
        <v>27</v>
      </c>
      <c r="N4459" s="1" t="s">
        <v>13914</v>
      </c>
      <c r="O4459" s="1" t="s">
        <v>4684</v>
      </c>
      <c r="P4459" s="1" t="s">
        <v>401</v>
      </c>
      <c r="Q4459" s="63" t="str">
        <f>HYPERLINK("http://abc13.com/archive/9270067/","http://abc13.com/archive/9270067/")</f>
        <v>http://abc13.com/archive/9270067/</v>
      </c>
      <c r="R4459" s="1" t="s">
        <v>100</v>
      </c>
      <c r="S4459" s="13" t="s">
        <v>28</v>
      </c>
    </row>
    <row r="4460" spans="1:63" ht="12" customHeight="1" x14ac:dyDescent="0.15">
      <c r="A4460" s="1" t="s">
        <v>13908</v>
      </c>
      <c r="B4460" s="1">
        <v>31</v>
      </c>
      <c r="C4460" s="1" t="s">
        <v>114</v>
      </c>
      <c r="D4460" s="1" t="s">
        <v>48</v>
      </c>
      <c r="F4460" s="72">
        <v>41548</v>
      </c>
      <c r="G4460" s="1" t="s">
        <v>24513</v>
      </c>
      <c r="H4460" s="1" t="s">
        <v>679</v>
      </c>
      <c r="I4460" s="1" t="s">
        <v>45</v>
      </c>
      <c r="J4460" s="4" t="s">
        <v>8095</v>
      </c>
      <c r="K4460" s="1" t="s">
        <v>680</v>
      </c>
      <c r="L4460" s="1" t="s">
        <v>681</v>
      </c>
      <c r="M4460" s="1" t="s">
        <v>27</v>
      </c>
      <c r="N4460" s="1" t="s">
        <v>13909</v>
      </c>
      <c r="O4460" s="1" t="s">
        <v>4684</v>
      </c>
      <c r="P4460" s="1" t="s">
        <v>401</v>
      </c>
      <c r="Q4460" s="63" t="s">
        <v>13910</v>
      </c>
      <c r="R4460" s="1" t="s">
        <v>555</v>
      </c>
      <c r="S4460" s="13" t="s">
        <v>28</v>
      </c>
      <c r="BA4460" s="11"/>
      <c r="BB4460" s="11"/>
    </row>
    <row r="4461" spans="1:63" ht="12" customHeight="1" x14ac:dyDescent="0.15">
      <c r="A4461" s="1" t="s">
        <v>13911</v>
      </c>
      <c r="B4461" s="1">
        <v>35</v>
      </c>
      <c r="C4461" s="1" t="s">
        <v>20</v>
      </c>
      <c r="D4461" s="1" t="s">
        <v>48</v>
      </c>
      <c r="F4461" s="72">
        <v>41548</v>
      </c>
      <c r="H4461" s="1" t="s">
        <v>5036</v>
      </c>
      <c r="I4461" s="1" t="s">
        <v>73</v>
      </c>
      <c r="K4461" s="1" t="s">
        <v>4929</v>
      </c>
      <c r="L4461" s="1" t="s">
        <v>5038</v>
      </c>
      <c r="M4461" s="1" t="s">
        <v>27</v>
      </c>
      <c r="P4461" s="1" t="s">
        <v>401</v>
      </c>
      <c r="Q4461" s="63" t="s">
        <v>13912</v>
      </c>
      <c r="R4461" s="1" t="s">
        <v>29</v>
      </c>
      <c r="S4461" s="13" t="s">
        <v>28</v>
      </c>
    </row>
    <row r="4462" spans="1:63" ht="12" customHeight="1" x14ac:dyDescent="0.15">
      <c r="A4462" s="1" t="s">
        <v>13915</v>
      </c>
      <c r="B4462" s="1">
        <v>45</v>
      </c>
      <c r="C4462" s="1" t="s">
        <v>114</v>
      </c>
      <c r="D4462" s="1" t="s">
        <v>37</v>
      </c>
      <c r="F4462" s="72">
        <v>41548</v>
      </c>
      <c r="G4462" s="1" t="s">
        <v>13916</v>
      </c>
      <c r="H4462" s="1" t="s">
        <v>6179</v>
      </c>
      <c r="I4462" s="1" t="s">
        <v>506</v>
      </c>
      <c r="L4462" s="1" t="s">
        <v>13917</v>
      </c>
      <c r="M4462" s="1" t="s">
        <v>27</v>
      </c>
      <c r="P4462" s="1" t="s">
        <v>401</v>
      </c>
      <c r="Q4462" s="63" t="s">
        <v>13918</v>
      </c>
      <c r="R4462" s="1" t="s">
        <v>29</v>
      </c>
      <c r="S4462" s="13" t="s">
        <v>28</v>
      </c>
      <c r="BC4462" s="11"/>
      <c r="BD4462" s="11"/>
      <c r="BE4462" s="11"/>
      <c r="BF4462" s="11"/>
      <c r="BG4462" s="11"/>
      <c r="BH4462" s="11"/>
      <c r="BI4462" s="11"/>
      <c r="BJ4462" s="11"/>
    </row>
    <row r="4463" spans="1:63" ht="12" customHeight="1" x14ac:dyDescent="0.15">
      <c r="A4463" s="1" t="s">
        <v>13919</v>
      </c>
      <c r="B4463" s="1">
        <v>19</v>
      </c>
      <c r="C4463" s="1" t="s">
        <v>20</v>
      </c>
      <c r="D4463" s="1" t="s">
        <v>85</v>
      </c>
      <c r="E4463" s="1" t="s">
        <v>13920</v>
      </c>
      <c r="F4463" s="72">
        <v>41546</v>
      </c>
      <c r="G4463" s="1" t="s">
        <v>13921</v>
      </c>
      <c r="H4463" s="1" t="s">
        <v>13922</v>
      </c>
      <c r="I4463" s="1" t="s">
        <v>366</v>
      </c>
      <c r="J4463" s="4" t="s">
        <v>13923</v>
      </c>
      <c r="K4463" s="1" t="s">
        <v>13784</v>
      </c>
      <c r="L4463" s="1" t="s">
        <v>13924</v>
      </c>
      <c r="M4463" s="1" t="s">
        <v>27</v>
      </c>
      <c r="N4463" s="1" t="s">
        <v>13925</v>
      </c>
      <c r="O4463" s="1" t="s">
        <v>550</v>
      </c>
      <c r="P4463" s="1" t="s">
        <v>401</v>
      </c>
      <c r="Q4463" s="63" t="s">
        <v>13926</v>
      </c>
      <c r="R4463" s="1" t="s">
        <v>100</v>
      </c>
      <c r="S4463" s="13" t="s">
        <v>18</v>
      </c>
      <c r="AX4463" s="11"/>
      <c r="AY4463" s="11"/>
      <c r="BC4463" s="44"/>
      <c r="BD4463" s="44"/>
      <c r="BE4463" s="44"/>
      <c r="BF4463" s="44"/>
      <c r="BG4463" s="44"/>
      <c r="BH4463" s="44"/>
      <c r="BI4463" s="44"/>
      <c r="BJ4463" s="44"/>
    </row>
    <row r="4464" spans="1:63" ht="12" customHeight="1" x14ac:dyDescent="0.15">
      <c r="A4464" s="1" t="s">
        <v>13934</v>
      </c>
      <c r="B4464" s="1">
        <v>32</v>
      </c>
      <c r="C4464" s="1" t="s">
        <v>20</v>
      </c>
      <c r="D4464" s="1" t="s">
        <v>37</v>
      </c>
      <c r="E4464" s="1" t="s">
        <v>13935</v>
      </c>
      <c r="F4464" s="72">
        <v>41546</v>
      </c>
      <c r="G4464" s="1" t="s">
        <v>13936</v>
      </c>
      <c r="H4464" s="1" t="s">
        <v>13937</v>
      </c>
      <c r="I4464" s="1" t="s">
        <v>32</v>
      </c>
      <c r="J4464" s="4" t="s">
        <v>13938</v>
      </c>
      <c r="K4464" s="1" t="s">
        <v>33</v>
      </c>
      <c r="L4464" s="1" t="s">
        <v>34</v>
      </c>
      <c r="M4464" s="1" t="s">
        <v>14359</v>
      </c>
      <c r="N4464" s="1" t="s">
        <v>13939</v>
      </c>
      <c r="O4464" s="1" t="s">
        <v>1010</v>
      </c>
      <c r="P4464" s="1" t="s">
        <v>401</v>
      </c>
      <c r="Q4464" s="63" t="s">
        <v>21032</v>
      </c>
      <c r="R4464" s="1" t="s">
        <v>100</v>
      </c>
      <c r="S4464" s="13" t="s">
        <v>18</v>
      </c>
      <c r="AX4464" s="44"/>
      <c r="AY4464" s="44"/>
      <c r="AZ4464" s="44"/>
      <c r="BC4464" s="11"/>
      <c r="BD4464" s="11"/>
      <c r="BE4464" s="11"/>
      <c r="BF4464" s="11"/>
      <c r="BG4464" s="11"/>
      <c r="BH4464" s="11"/>
      <c r="BI4464" s="11"/>
      <c r="BJ4464" s="11"/>
    </row>
    <row r="4465" spans="1:62" ht="12" customHeight="1" x14ac:dyDescent="0.15">
      <c r="A4465" s="1" t="s">
        <v>13927</v>
      </c>
      <c r="B4465" s="1">
        <v>37</v>
      </c>
      <c r="C4465" s="1" t="s">
        <v>20</v>
      </c>
      <c r="D4465" s="1" t="s">
        <v>37</v>
      </c>
      <c r="E4465" s="1" t="s">
        <v>13928</v>
      </c>
      <c r="F4465" s="72">
        <v>41546</v>
      </c>
      <c r="G4465" s="1" t="s">
        <v>13929</v>
      </c>
      <c r="H4465" s="1" t="s">
        <v>13930</v>
      </c>
      <c r="I4465" s="1" t="s">
        <v>240</v>
      </c>
      <c r="J4465" s="4" t="s">
        <v>13931</v>
      </c>
      <c r="K4465" s="1" t="s">
        <v>5257</v>
      </c>
      <c r="L4465" s="1" t="s">
        <v>13932</v>
      </c>
      <c r="M4465" s="1" t="s">
        <v>27</v>
      </c>
      <c r="N4465" s="1" t="s">
        <v>13933</v>
      </c>
      <c r="O4465" s="1" t="s">
        <v>550</v>
      </c>
      <c r="P4465" s="1" t="s">
        <v>401</v>
      </c>
      <c r="Q4465" s="63" t="s">
        <v>5260</v>
      </c>
      <c r="R4465" s="1" t="s">
        <v>555</v>
      </c>
      <c r="S4465" s="13" t="s">
        <v>28</v>
      </c>
      <c r="T4465" s="8"/>
      <c r="U4465" s="8"/>
      <c r="V4465" s="8"/>
      <c r="W4465" s="8"/>
      <c r="X4465" s="8"/>
      <c r="Y4465" s="8"/>
      <c r="Z4465" s="8"/>
      <c r="AA4465" s="8"/>
      <c r="AB4465" s="8"/>
      <c r="AC4465" s="8"/>
      <c r="AD4465" s="8"/>
      <c r="AE4465" s="8"/>
      <c r="BA4465" s="44"/>
      <c r="BB4465" s="44"/>
      <c r="BC4465" s="11"/>
      <c r="BD4465" s="11"/>
      <c r="BE4465" s="11"/>
      <c r="BF4465" s="11"/>
      <c r="BG4465" s="11"/>
      <c r="BH4465" s="11"/>
      <c r="BI4465" s="11"/>
      <c r="BJ4465" s="11"/>
    </row>
    <row r="4466" spans="1:62" ht="12" customHeight="1" x14ac:dyDescent="0.15">
      <c r="A4466" s="1" t="s">
        <v>13940</v>
      </c>
      <c r="B4466" s="1">
        <v>39</v>
      </c>
      <c r="C4466" s="1" t="s">
        <v>20</v>
      </c>
      <c r="D4466" s="1" t="s">
        <v>37</v>
      </c>
      <c r="E4466" s="1" t="s">
        <v>13941</v>
      </c>
      <c r="F4466" s="72">
        <v>41545</v>
      </c>
      <c r="G4466" s="1" t="s">
        <v>13942</v>
      </c>
      <c r="H4466" s="1" t="s">
        <v>834</v>
      </c>
      <c r="I4466" s="1" t="s">
        <v>366</v>
      </c>
      <c r="J4466" s="4" t="s">
        <v>4224</v>
      </c>
      <c r="K4466" s="1" t="s">
        <v>835</v>
      </c>
      <c r="L4466" s="1" t="s">
        <v>4225</v>
      </c>
      <c r="M4466" s="1" t="s">
        <v>379</v>
      </c>
      <c r="N4466" s="1" t="s">
        <v>13943</v>
      </c>
      <c r="O4466" s="1" t="s">
        <v>1010</v>
      </c>
      <c r="P4466" s="1" t="s">
        <v>401</v>
      </c>
      <c r="Q4466" s="63" t="s">
        <v>13944</v>
      </c>
      <c r="R4466" s="1" t="s">
        <v>100</v>
      </c>
      <c r="S4466" s="13" t="s">
        <v>379</v>
      </c>
      <c r="BC4466" s="11"/>
      <c r="BD4466" s="11"/>
      <c r="BE4466" s="11"/>
      <c r="BF4466" s="11"/>
      <c r="BG4466" s="11"/>
      <c r="BH4466" s="11"/>
      <c r="BI4466" s="11"/>
      <c r="BJ4466" s="11"/>
    </row>
    <row r="4467" spans="1:62" ht="12" customHeight="1" x14ac:dyDescent="0.15">
      <c r="A4467" s="1" t="s">
        <v>13945</v>
      </c>
      <c r="B4467" s="1">
        <v>35</v>
      </c>
      <c r="C4467" s="1" t="s">
        <v>20</v>
      </c>
      <c r="D4467" s="1" t="s">
        <v>37</v>
      </c>
      <c r="E4467" s="1" t="s">
        <v>13946</v>
      </c>
      <c r="F4467" s="72">
        <v>41545</v>
      </c>
      <c r="G4467" s="1" t="s">
        <v>24514</v>
      </c>
      <c r="H4467" s="1" t="s">
        <v>13947</v>
      </c>
      <c r="I4467" s="1" t="s">
        <v>52</v>
      </c>
      <c r="J4467" s="4" t="s">
        <v>13948</v>
      </c>
      <c r="K4467" s="1" t="s">
        <v>9724</v>
      </c>
      <c r="L4467" s="1" t="s">
        <v>13949</v>
      </c>
      <c r="M4467" s="1" t="s">
        <v>27</v>
      </c>
      <c r="N4467" s="1" t="s">
        <v>13950</v>
      </c>
      <c r="O4467" s="1" t="s">
        <v>400</v>
      </c>
      <c r="P4467" s="1" t="s">
        <v>401</v>
      </c>
      <c r="Q4467" s="63" t="s">
        <v>13951</v>
      </c>
      <c r="R4467" s="1" t="s">
        <v>29</v>
      </c>
      <c r="S4467" s="13" t="s">
        <v>28</v>
      </c>
      <c r="BC4467" s="11"/>
      <c r="BD4467" s="11"/>
      <c r="BE4467" s="11"/>
      <c r="BF4467" s="11"/>
      <c r="BG4467" s="11"/>
      <c r="BH4467" s="11"/>
      <c r="BI4467" s="11"/>
      <c r="BJ4467" s="11"/>
    </row>
    <row r="4468" spans="1:62" ht="12" customHeight="1" x14ac:dyDescent="0.15">
      <c r="A4468" s="1" t="s">
        <v>13952</v>
      </c>
      <c r="B4468" s="1">
        <v>19</v>
      </c>
      <c r="C4468" s="1" t="s">
        <v>20</v>
      </c>
      <c r="D4468" s="1" t="s">
        <v>37</v>
      </c>
      <c r="E4468" s="1" t="s">
        <v>13953</v>
      </c>
      <c r="F4468" s="72">
        <v>41544</v>
      </c>
      <c r="G4468" s="1" t="s">
        <v>13954</v>
      </c>
      <c r="H4468" s="1" t="s">
        <v>13955</v>
      </c>
      <c r="I4468" s="1" t="s">
        <v>73</v>
      </c>
      <c r="J4468" s="4" t="s">
        <v>13956</v>
      </c>
      <c r="K4468" s="1" t="s">
        <v>53</v>
      </c>
      <c r="L4468" s="1" t="s">
        <v>13957</v>
      </c>
      <c r="M4468" s="1" t="s">
        <v>27</v>
      </c>
      <c r="N4468" s="1" t="s">
        <v>13958</v>
      </c>
      <c r="O4468" s="1" t="s">
        <v>1010</v>
      </c>
      <c r="P4468" s="1" t="s">
        <v>401</v>
      </c>
      <c r="Q4468" s="63" t="s">
        <v>13959</v>
      </c>
      <c r="R4468" s="1" t="s">
        <v>100</v>
      </c>
      <c r="S4468" s="13" t="s">
        <v>28</v>
      </c>
      <c r="BC4468" s="11"/>
      <c r="BD4468" s="11"/>
      <c r="BE4468" s="11"/>
      <c r="BF4468" s="11"/>
      <c r="BG4468" s="11"/>
      <c r="BH4468" s="11"/>
      <c r="BI4468" s="11"/>
      <c r="BJ4468" s="11"/>
    </row>
    <row r="4469" spans="1:62" ht="12" customHeight="1" x14ac:dyDescent="0.15">
      <c r="A4469" s="1" t="s">
        <v>13974</v>
      </c>
      <c r="B4469" s="1">
        <v>39</v>
      </c>
      <c r="C4469" s="1" t="s">
        <v>20</v>
      </c>
      <c r="D4469" s="1" t="s">
        <v>37</v>
      </c>
      <c r="E4469" s="1" t="s">
        <v>13975</v>
      </c>
      <c r="F4469" s="72">
        <v>41543</v>
      </c>
      <c r="G4469" s="1" t="s">
        <v>13976</v>
      </c>
      <c r="H4469" s="1" t="s">
        <v>489</v>
      </c>
      <c r="I4469" s="1" t="s">
        <v>45</v>
      </c>
      <c r="J4469" s="4" t="s">
        <v>2075</v>
      </c>
      <c r="K4469" s="1" t="s">
        <v>98</v>
      </c>
      <c r="L4469" s="1" t="s">
        <v>490</v>
      </c>
      <c r="M4469" s="1" t="s">
        <v>27</v>
      </c>
      <c r="N4469" s="1" t="s">
        <v>13977</v>
      </c>
      <c r="O4469" s="1" t="s">
        <v>1010</v>
      </c>
      <c r="P4469" s="1" t="s">
        <v>401</v>
      </c>
      <c r="Q4469" s="6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4469" s="1" t="s">
        <v>100</v>
      </c>
      <c r="S4469" s="13" t="s">
        <v>28</v>
      </c>
      <c r="BC4469" s="11"/>
      <c r="BD4469" s="11"/>
      <c r="BE4469" s="11"/>
      <c r="BF4469" s="11"/>
      <c r="BG4469" s="11"/>
      <c r="BH4469" s="11"/>
      <c r="BI4469" s="11"/>
      <c r="BJ4469" s="11"/>
    </row>
    <row r="4470" spans="1:62" ht="12" customHeight="1" x14ac:dyDescent="0.15">
      <c r="A4470" s="1" t="s">
        <v>13968</v>
      </c>
      <c r="B4470" s="1">
        <v>57</v>
      </c>
      <c r="C4470" s="1" t="s">
        <v>20</v>
      </c>
      <c r="D4470" s="1" t="s">
        <v>37</v>
      </c>
      <c r="E4470" s="1" t="s">
        <v>13969</v>
      </c>
      <c r="F4470" s="72">
        <v>41543</v>
      </c>
      <c r="G4470" s="1" t="s">
        <v>13970</v>
      </c>
      <c r="H4470" s="1" t="s">
        <v>285</v>
      </c>
      <c r="I4470" s="1" t="s">
        <v>73</v>
      </c>
      <c r="J4470" s="4" t="s">
        <v>13971</v>
      </c>
      <c r="K4470" s="1" t="s">
        <v>285</v>
      </c>
      <c r="L4470" s="1" t="s">
        <v>286</v>
      </c>
      <c r="M4470" s="1" t="s">
        <v>27</v>
      </c>
      <c r="N4470" s="1" t="s">
        <v>13972</v>
      </c>
      <c r="O4470" s="1" t="s">
        <v>1010</v>
      </c>
      <c r="P4470" s="1" t="s">
        <v>401</v>
      </c>
      <c r="Q4470" s="63" t="s">
        <v>13973</v>
      </c>
      <c r="R4470" s="1" t="s">
        <v>100</v>
      </c>
      <c r="S4470" s="13" t="s">
        <v>28</v>
      </c>
      <c r="BC4470" s="11"/>
      <c r="BD4470" s="11"/>
      <c r="BE4470" s="11"/>
      <c r="BF4470" s="11"/>
      <c r="BG4470" s="11"/>
      <c r="BH4470" s="11"/>
      <c r="BI4470" s="11"/>
      <c r="BJ4470" s="11"/>
    </row>
    <row r="4471" spans="1:62" ht="12" customHeight="1" x14ac:dyDescent="0.15">
      <c r="A4471" s="1" t="s">
        <v>13960</v>
      </c>
      <c r="B4471" s="1">
        <v>34</v>
      </c>
      <c r="C4471" s="1" t="s">
        <v>20</v>
      </c>
      <c r="D4471" s="1" t="s">
        <v>85</v>
      </c>
      <c r="F4471" s="72">
        <v>41543</v>
      </c>
      <c r="G4471" s="1" t="s">
        <v>13961</v>
      </c>
      <c r="H4471" s="1" t="s">
        <v>13962</v>
      </c>
      <c r="I4471" s="1" t="s">
        <v>94</v>
      </c>
      <c r="J4471" s="4" t="s">
        <v>13963</v>
      </c>
      <c r="K4471" s="1" t="s">
        <v>13964</v>
      </c>
      <c r="L4471" s="1" t="s">
        <v>13965</v>
      </c>
      <c r="M4471" s="1" t="s">
        <v>27</v>
      </c>
      <c r="N4471" s="1" t="s">
        <v>13966</v>
      </c>
      <c r="O4471" s="1" t="s">
        <v>1010</v>
      </c>
      <c r="P4471" s="1" t="s">
        <v>401</v>
      </c>
      <c r="Q4471" s="63" t="s">
        <v>13967</v>
      </c>
      <c r="R4471" s="1" t="s">
        <v>29</v>
      </c>
      <c r="S4471" s="13" t="s">
        <v>28</v>
      </c>
      <c r="AX4471" s="11"/>
      <c r="AY4471" s="11"/>
      <c r="BC4471" s="44"/>
      <c r="BD4471" s="44"/>
      <c r="BE4471" s="44"/>
      <c r="BF4471" s="44"/>
      <c r="BG4471" s="44"/>
      <c r="BH4471" s="44"/>
      <c r="BI4471" s="44"/>
      <c r="BJ4471" s="44"/>
    </row>
    <row r="4472" spans="1:62" ht="12" customHeight="1" x14ac:dyDescent="0.15">
      <c r="A4472" s="1" t="s">
        <v>13990</v>
      </c>
      <c r="B4472" s="1">
        <v>32</v>
      </c>
      <c r="C4472" s="1" t="s">
        <v>20</v>
      </c>
      <c r="D4472" s="1" t="s">
        <v>48</v>
      </c>
      <c r="E4472" s="1" t="s">
        <v>13991</v>
      </c>
      <c r="F4472" s="72">
        <v>41542</v>
      </c>
      <c r="G4472" s="1" t="s">
        <v>13992</v>
      </c>
      <c r="H4472" s="1" t="s">
        <v>5712</v>
      </c>
      <c r="I4472" s="1" t="s">
        <v>45</v>
      </c>
      <c r="J4472" s="4" t="s">
        <v>13993</v>
      </c>
      <c r="K4472" s="1" t="s">
        <v>98</v>
      </c>
      <c r="L4472" s="1" t="s">
        <v>99</v>
      </c>
      <c r="M4472" s="1" t="s">
        <v>27</v>
      </c>
      <c r="N4472" s="1" t="s">
        <v>13994</v>
      </c>
      <c r="O4472" s="1" t="s">
        <v>1010</v>
      </c>
      <c r="P4472" s="1" t="s">
        <v>401</v>
      </c>
      <c r="Q4472" s="63" t="s">
        <v>13995</v>
      </c>
      <c r="R4472" s="1" t="s">
        <v>100</v>
      </c>
      <c r="S4472" s="13" t="s">
        <v>28</v>
      </c>
    </row>
    <row r="4473" spans="1:62" ht="12" customHeight="1" x14ac:dyDescent="0.15">
      <c r="A4473" s="1" t="s">
        <v>13982</v>
      </c>
      <c r="B4473" s="1">
        <v>21</v>
      </c>
      <c r="C4473" s="1" t="s">
        <v>20</v>
      </c>
      <c r="D4473" s="1" t="s">
        <v>48</v>
      </c>
      <c r="F4473" s="72">
        <v>41542</v>
      </c>
      <c r="G4473" s="1" t="s">
        <v>13983</v>
      </c>
      <c r="H4473" s="1" t="s">
        <v>13984</v>
      </c>
      <c r="I4473" s="1" t="s">
        <v>73</v>
      </c>
      <c r="J4473" s="4" t="s">
        <v>13985</v>
      </c>
      <c r="K4473" s="1" t="s">
        <v>13986</v>
      </c>
      <c r="L4473" s="1" t="s">
        <v>13987</v>
      </c>
      <c r="M4473" s="1" t="s">
        <v>27</v>
      </c>
      <c r="N4473" s="1" t="s">
        <v>13988</v>
      </c>
      <c r="O4473" s="1" t="s">
        <v>4684</v>
      </c>
      <c r="P4473" s="1" t="s">
        <v>401</v>
      </c>
      <c r="Q4473" s="63" t="s">
        <v>13989</v>
      </c>
      <c r="R4473" s="1" t="s">
        <v>100</v>
      </c>
      <c r="S4473" s="13" t="s">
        <v>28</v>
      </c>
    </row>
    <row r="4474" spans="1:62" ht="12" customHeight="1" x14ac:dyDescent="0.15">
      <c r="A4474" s="1" t="s">
        <v>3252</v>
      </c>
      <c r="B4474" s="1">
        <v>45</v>
      </c>
      <c r="C4474" s="1" t="s">
        <v>20</v>
      </c>
      <c r="D4474" s="1" t="s">
        <v>48</v>
      </c>
      <c r="F4474" s="72">
        <v>41542</v>
      </c>
      <c r="G4474" s="1" t="s">
        <v>13978</v>
      </c>
      <c r="H4474" s="1" t="s">
        <v>723</v>
      </c>
      <c r="I4474" s="1" t="s">
        <v>73</v>
      </c>
      <c r="J4474" s="4" t="s">
        <v>13979</v>
      </c>
      <c r="K4474" s="1" t="s">
        <v>558</v>
      </c>
      <c r="L4474" s="1" t="s">
        <v>724</v>
      </c>
      <c r="M4474" s="1" t="s">
        <v>27</v>
      </c>
      <c r="N4474" s="1" t="s">
        <v>13980</v>
      </c>
      <c r="O4474" s="1" t="s">
        <v>1010</v>
      </c>
      <c r="P4474" s="1" t="s">
        <v>401</v>
      </c>
      <c r="Q4474" s="63" t="s">
        <v>13981</v>
      </c>
      <c r="R4474" s="1" t="s">
        <v>100</v>
      </c>
      <c r="S4474" s="13" t="s">
        <v>28</v>
      </c>
    </row>
    <row r="4475" spans="1:62" ht="12" customHeight="1" x14ac:dyDescent="0.15">
      <c r="A4475" s="1" t="s">
        <v>13996</v>
      </c>
      <c r="B4475" s="1">
        <v>22</v>
      </c>
      <c r="C4475" s="1" t="s">
        <v>20</v>
      </c>
      <c r="D4475" s="1" t="s">
        <v>37</v>
      </c>
      <c r="E4475" s="1" t="s">
        <v>13997</v>
      </c>
      <c r="F4475" s="72">
        <v>41542</v>
      </c>
      <c r="G4475" s="1" t="s">
        <v>13998</v>
      </c>
      <c r="H4475" s="1" t="s">
        <v>5377</v>
      </c>
      <c r="I4475" s="1" t="s">
        <v>62</v>
      </c>
      <c r="J4475" s="4" t="s">
        <v>5378</v>
      </c>
      <c r="K4475" s="1" t="s">
        <v>3891</v>
      </c>
      <c r="L4475" s="1" t="s">
        <v>5379</v>
      </c>
      <c r="M4475" s="1" t="s">
        <v>27</v>
      </c>
      <c r="N4475" s="1" t="s">
        <v>13999</v>
      </c>
      <c r="O4475" s="1" t="s">
        <v>550</v>
      </c>
      <c r="P4475" s="1" t="s">
        <v>401</v>
      </c>
      <c r="Q4475" s="63" t="s">
        <v>14000</v>
      </c>
      <c r="R4475" s="1" t="s">
        <v>100</v>
      </c>
      <c r="S4475" s="13" t="s">
        <v>28</v>
      </c>
      <c r="BC4475" s="11"/>
      <c r="BD4475" s="11"/>
      <c r="BE4475" s="11"/>
      <c r="BF4475" s="11"/>
      <c r="BG4475" s="11"/>
      <c r="BH4475" s="11"/>
      <c r="BI4475" s="11"/>
      <c r="BJ4475" s="11"/>
    </row>
    <row r="4476" spans="1:62" ht="12" customHeight="1" x14ac:dyDescent="0.15">
      <c r="A4476" s="1" t="s">
        <v>14021</v>
      </c>
      <c r="B4476" s="1">
        <v>27</v>
      </c>
      <c r="C4476" s="1" t="s">
        <v>20</v>
      </c>
      <c r="D4476" s="1" t="s">
        <v>37</v>
      </c>
      <c r="E4476" s="1" t="s">
        <v>14022</v>
      </c>
      <c r="F4476" s="72">
        <v>41541</v>
      </c>
      <c r="G4476" s="1" t="s">
        <v>14023</v>
      </c>
      <c r="H4476" s="1" t="s">
        <v>14024</v>
      </c>
      <c r="I4476" s="1" t="s">
        <v>217</v>
      </c>
      <c r="J4476" s="4" t="s">
        <v>14025</v>
      </c>
      <c r="K4476" s="1" t="s">
        <v>14026</v>
      </c>
      <c r="L4476" s="1" t="s">
        <v>14027</v>
      </c>
      <c r="M4476" s="1" t="s">
        <v>27</v>
      </c>
      <c r="N4476" s="1" t="s">
        <v>14028</v>
      </c>
      <c r="O4476" s="1" t="s">
        <v>1010</v>
      </c>
      <c r="P4476" s="1" t="s">
        <v>401</v>
      </c>
      <c r="Q4476" s="63" t="s">
        <v>14029</v>
      </c>
      <c r="R4476" s="1" t="s">
        <v>100</v>
      </c>
      <c r="S4476" s="13" t="s">
        <v>28</v>
      </c>
      <c r="BC4476" s="11"/>
      <c r="BD4476" s="11"/>
      <c r="BE4476" s="11"/>
      <c r="BF4476" s="11"/>
      <c r="BG4476" s="11"/>
      <c r="BH4476" s="11"/>
      <c r="BI4476" s="11"/>
      <c r="BJ4476" s="11"/>
    </row>
    <row r="4477" spans="1:62" ht="12" customHeight="1" x14ac:dyDescent="0.15">
      <c r="A4477" s="1" t="s">
        <v>14001</v>
      </c>
      <c r="B4477" s="1">
        <v>26</v>
      </c>
      <c r="C4477" s="1" t="s">
        <v>20</v>
      </c>
      <c r="D4477" s="1" t="s">
        <v>85</v>
      </c>
      <c r="F4477" s="72">
        <v>41541</v>
      </c>
      <c r="G4477" s="1" t="s">
        <v>14002</v>
      </c>
      <c r="H4477" s="1" t="s">
        <v>1592</v>
      </c>
      <c r="I4477" s="1" t="s">
        <v>52</v>
      </c>
      <c r="J4477" s="4" t="s">
        <v>14003</v>
      </c>
      <c r="K4477" s="1" t="s">
        <v>4697</v>
      </c>
      <c r="L4477" s="1" t="s">
        <v>2770</v>
      </c>
      <c r="M4477" s="1" t="s">
        <v>379</v>
      </c>
      <c r="N4477" s="1" t="s">
        <v>21178</v>
      </c>
      <c r="O4477" s="1" t="s">
        <v>1010</v>
      </c>
      <c r="P4477" s="1" t="s">
        <v>401</v>
      </c>
      <c r="Q4477" s="63" t="s">
        <v>14005</v>
      </c>
      <c r="R4477" s="1" t="s">
        <v>100</v>
      </c>
      <c r="S4477" s="66" t="s">
        <v>379</v>
      </c>
      <c r="T4477" s="66" t="s">
        <v>30738</v>
      </c>
      <c r="BC4477" s="44"/>
      <c r="BD4477" s="44"/>
      <c r="BE4477" s="44"/>
      <c r="BF4477" s="44"/>
      <c r="BG4477" s="44"/>
      <c r="BH4477" s="44"/>
      <c r="BI4477" s="44"/>
      <c r="BJ4477" s="44"/>
    </row>
    <row r="4478" spans="1:62" ht="12" customHeight="1" x14ac:dyDescent="0.15">
      <c r="A4478" s="1" t="s">
        <v>14006</v>
      </c>
      <c r="B4478" s="1">
        <v>30</v>
      </c>
      <c r="C4478" s="1" t="s">
        <v>20</v>
      </c>
      <c r="D4478" s="1" t="s">
        <v>85</v>
      </c>
      <c r="F4478" s="72">
        <v>41541</v>
      </c>
      <c r="G4478" s="1" t="s">
        <v>14002</v>
      </c>
      <c r="H4478" s="1" t="s">
        <v>1592</v>
      </c>
      <c r="I4478" s="1" t="s">
        <v>52</v>
      </c>
      <c r="J4478" s="4" t="s">
        <v>14003</v>
      </c>
      <c r="K4478" s="1" t="s">
        <v>4697</v>
      </c>
      <c r="L4478" s="1" t="s">
        <v>2770</v>
      </c>
      <c r="M4478" s="1" t="s">
        <v>379</v>
      </c>
      <c r="N4478" s="1" t="s">
        <v>14004</v>
      </c>
      <c r="O4478" s="1" t="s">
        <v>1010</v>
      </c>
      <c r="P4478" s="1" t="s">
        <v>401</v>
      </c>
      <c r="Q4478" s="63" t="s">
        <v>14005</v>
      </c>
      <c r="R4478" s="1" t="s">
        <v>100</v>
      </c>
      <c r="S4478" s="13" t="s">
        <v>379</v>
      </c>
      <c r="BC4478" s="44"/>
      <c r="BD4478" s="44"/>
      <c r="BE4478" s="44"/>
      <c r="BF4478" s="44"/>
      <c r="BG4478" s="44"/>
      <c r="BH4478" s="44"/>
      <c r="BI4478" s="44"/>
      <c r="BJ4478" s="44"/>
    </row>
    <row r="4479" spans="1:62" ht="12" customHeight="1" x14ac:dyDescent="0.15">
      <c r="A4479" s="1" t="s">
        <v>14007</v>
      </c>
      <c r="B4479" s="1">
        <v>22</v>
      </c>
      <c r="C4479" s="1" t="s">
        <v>20</v>
      </c>
      <c r="D4479" s="1" t="s">
        <v>85</v>
      </c>
      <c r="E4479" s="1" t="s">
        <v>14008</v>
      </c>
      <c r="F4479" s="72">
        <v>41541</v>
      </c>
      <c r="G4479" s="1" t="s">
        <v>14009</v>
      </c>
      <c r="H4479" s="1" t="s">
        <v>493</v>
      </c>
      <c r="I4479" s="1" t="s">
        <v>366</v>
      </c>
      <c r="J4479" s="4" t="s">
        <v>14010</v>
      </c>
      <c r="K4479" s="1" t="s">
        <v>493</v>
      </c>
      <c r="L4479" s="1" t="s">
        <v>14011</v>
      </c>
      <c r="M4479" s="1" t="s">
        <v>27</v>
      </c>
      <c r="N4479" s="1" t="s">
        <v>14012</v>
      </c>
      <c r="O4479" s="1" t="s">
        <v>1010</v>
      </c>
      <c r="P4479" s="1" t="s">
        <v>401</v>
      </c>
      <c r="Q4479" s="63" t="s">
        <v>14013</v>
      </c>
      <c r="R4479" s="1" t="s">
        <v>29</v>
      </c>
      <c r="S4479" s="13" t="s">
        <v>28</v>
      </c>
      <c r="AX4479" s="44"/>
      <c r="AY4479" s="44"/>
      <c r="BC4479" s="44"/>
      <c r="BD4479" s="44"/>
      <c r="BE4479" s="44"/>
      <c r="BF4479" s="44"/>
      <c r="BG4479" s="44"/>
      <c r="BH4479" s="44"/>
      <c r="BI4479" s="44"/>
      <c r="BJ4479" s="44"/>
    </row>
    <row r="4480" spans="1:62" ht="12" customHeight="1" x14ac:dyDescent="0.15">
      <c r="A4480" s="1" t="s">
        <v>14014</v>
      </c>
      <c r="B4480" s="1">
        <v>21</v>
      </c>
      <c r="C4480" s="1" t="s">
        <v>20</v>
      </c>
      <c r="D4480" s="1" t="s">
        <v>37</v>
      </c>
      <c r="E4480" s="1" t="s">
        <v>14015</v>
      </c>
      <c r="F4480" s="72">
        <v>41541</v>
      </c>
      <c r="G4480" s="1" t="s">
        <v>14016</v>
      </c>
      <c r="H4480" s="1" t="s">
        <v>14017</v>
      </c>
      <c r="I4480" s="1" t="s">
        <v>45</v>
      </c>
      <c r="J4480" s="4" t="s">
        <v>14018</v>
      </c>
      <c r="K4480" s="1" t="s">
        <v>1061</v>
      </c>
      <c r="L4480" s="1" t="s">
        <v>2370</v>
      </c>
      <c r="M4480" s="1" t="s">
        <v>27</v>
      </c>
      <c r="N4480" s="1" t="s">
        <v>14019</v>
      </c>
      <c r="P4480" s="1" t="s">
        <v>401</v>
      </c>
      <c r="Q4480" s="63" t="s">
        <v>14020</v>
      </c>
      <c r="R4480" s="1" t="s">
        <v>29</v>
      </c>
      <c r="S4480" s="13" t="s">
        <v>28</v>
      </c>
      <c r="BC4480" s="11"/>
      <c r="BD4480" s="11"/>
      <c r="BE4480" s="11"/>
      <c r="BF4480" s="11"/>
      <c r="BG4480" s="11"/>
      <c r="BH4480" s="11"/>
      <c r="BI4480" s="11"/>
      <c r="BJ4480" s="11"/>
    </row>
    <row r="4481" spans="1:63" ht="12" customHeight="1" x14ac:dyDescent="0.15">
      <c r="A4481" s="1" t="s">
        <v>14030</v>
      </c>
      <c r="B4481" s="1">
        <v>18</v>
      </c>
      <c r="C4481" s="1" t="s">
        <v>20</v>
      </c>
      <c r="D4481" s="1" t="s">
        <v>85</v>
      </c>
      <c r="E4481" s="1" t="s">
        <v>14031</v>
      </c>
      <c r="F4481" s="72">
        <v>41540</v>
      </c>
      <c r="G4481" s="1" t="s">
        <v>14032</v>
      </c>
      <c r="H4481" s="1" t="s">
        <v>709</v>
      </c>
      <c r="I4481" s="1" t="s">
        <v>431</v>
      </c>
      <c r="J4481" s="4" t="s">
        <v>6787</v>
      </c>
      <c r="K4481" s="1" t="s">
        <v>709</v>
      </c>
      <c r="L4481" s="1" t="s">
        <v>14033</v>
      </c>
      <c r="M4481" s="1" t="s">
        <v>27</v>
      </c>
      <c r="N4481" s="1" t="s">
        <v>14034</v>
      </c>
      <c r="O4481" s="1" t="s">
        <v>1010</v>
      </c>
      <c r="P4481" s="1" t="s">
        <v>401</v>
      </c>
      <c r="Q4481" s="63" t="s">
        <v>14035</v>
      </c>
      <c r="R4481" s="1" t="s">
        <v>100</v>
      </c>
      <c r="S4481" s="13" t="s">
        <v>28</v>
      </c>
      <c r="AX4481" s="11"/>
      <c r="AY4481" s="11"/>
      <c r="BC4481" s="44"/>
      <c r="BD4481" s="44"/>
      <c r="BE4481" s="44"/>
      <c r="BF4481" s="44"/>
      <c r="BG4481" s="44"/>
      <c r="BH4481" s="44"/>
      <c r="BI4481" s="44"/>
      <c r="BJ4481" s="44"/>
    </row>
    <row r="4482" spans="1:63" ht="12" customHeight="1" x14ac:dyDescent="0.15">
      <c r="A4482" s="1" t="s">
        <v>14036</v>
      </c>
      <c r="B4482" s="1">
        <v>47</v>
      </c>
      <c r="C4482" s="1" t="s">
        <v>20</v>
      </c>
      <c r="D4482" s="1" t="s">
        <v>37</v>
      </c>
      <c r="E4482" s="1" t="s">
        <v>14037</v>
      </c>
      <c r="F4482" s="72">
        <v>41540</v>
      </c>
      <c r="G4482" s="1" t="s">
        <v>14038</v>
      </c>
      <c r="H4482" s="1" t="s">
        <v>14039</v>
      </c>
      <c r="I4482" s="1" t="s">
        <v>46</v>
      </c>
      <c r="J4482" s="4" t="s">
        <v>14040</v>
      </c>
      <c r="K4482" s="1" t="s">
        <v>5173</v>
      </c>
      <c r="L4482" s="1" t="s">
        <v>27611</v>
      </c>
      <c r="M4482" s="1" t="s">
        <v>27</v>
      </c>
      <c r="N4482" s="1" t="s">
        <v>14041</v>
      </c>
      <c r="O4482" s="1" t="s">
        <v>550</v>
      </c>
      <c r="P4482" s="1" t="s">
        <v>401</v>
      </c>
      <c r="Q4482" s="63" t="s">
        <v>14042</v>
      </c>
      <c r="R4482" s="1" t="s">
        <v>100</v>
      </c>
      <c r="S4482" s="13" t="s">
        <v>28</v>
      </c>
      <c r="BC4482" s="11"/>
      <c r="BD4482" s="11"/>
      <c r="BE4482" s="11"/>
      <c r="BF4482" s="11"/>
      <c r="BG4482" s="11"/>
      <c r="BH4482" s="11"/>
      <c r="BI4482" s="11"/>
      <c r="BJ4482" s="11"/>
    </row>
    <row r="4483" spans="1:63" ht="12" customHeight="1" x14ac:dyDescent="0.15">
      <c r="A4483" s="1" t="s">
        <v>14043</v>
      </c>
      <c r="B4483" s="1">
        <v>27</v>
      </c>
      <c r="C4483" s="1" t="s">
        <v>20</v>
      </c>
      <c r="D4483" s="1" t="s">
        <v>37</v>
      </c>
      <c r="E4483" s="1" t="s">
        <v>14044</v>
      </c>
      <c r="F4483" s="72">
        <v>41540</v>
      </c>
      <c r="G4483" s="1" t="s">
        <v>14045</v>
      </c>
      <c r="H4483" s="1" t="s">
        <v>13437</v>
      </c>
      <c r="I4483" s="1" t="s">
        <v>62</v>
      </c>
      <c r="J4483" s="4" t="s">
        <v>14046</v>
      </c>
      <c r="K4483" s="1" t="s">
        <v>2309</v>
      </c>
      <c r="L4483" s="1" t="s">
        <v>14047</v>
      </c>
      <c r="M4483" s="1" t="s">
        <v>27</v>
      </c>
      <c r="N4483" s="1" t="s">
        <v>14048</v>
      </c>
      <c r="O4483" s="1" t="s">
        <v>1010</v>
      </c>
      <c r="P4483" s="1" t="s">
        <v>401</v>
      </c>
      <c r="Q4483" s="63" t="s">
        <v>14049</v>
      </c>
      <c r="R4483" s="1" t="s">
        <v>555</v>
      </c>
      <c r="S4483" s="13" t="s">
        <v>28</v>
      </c>
      <c r="BA4483" s="44"/>
      <c r="BB4483" s="44"/>
      <c r="BC4483" s="11"/>
      <c r="BD4483" s="11"/>
      <c r="BE4483" s="11"/>
      <c r="BF4483" s="11"/>
      <c r="BG4483" s="11"/>
      <c r="BH4483" s="11"/>
      <c r="BI4483" s="11"/>
      <c r="BJ4483" s="11"/>
    </row>
    <row r="4484" spans="1:63" ht="12" customHeight="1" x14ac:dyDescent="0.15">
      <c r="A4484" s="1" t="s">
        <v>14066</v>
      </c>
      <c r="B4484" s="1">
        <v>39</v>
      </c>
      <c r="C4484" s="1" t="s">
        <v>20</v>
      </c>
      <c r="D4484" s="1" t="s">
        <v>37</v>
      </c>
      <c r="E4484" s="1" t="s">
        <v>14067</v>
      </c>
      <c r="F4484" s="72">
        <v>41539</v>
      </c>
      <c r="G4484" s="1" t="s">
        <v>14068</v>
      </c>
      <c r="H4484" s="1" t="s">
        <v>14069</v>
      </c>
      <c r="I4484" s="1" t="s">
        <v>370</v>
      </c>
      <c r="J4484" s="4" t="s">
        <v>14070</v>
      </c>
      <c r="K4484" s="1" t="s">
        <v>4030</v>
      </c>
      <c r="L4484" s="1" t="s">
        <v>14071</v>
      </c>
      <c r="M4484" s="1" t="s">
        <v>14359</v>
      </c>
      <c r="N4484" s="1" t="s">
        <v>14072</v>
      </c>
      <c r="O4484" s="1" t="s">
        <v>550</v>
      </c>
      <c r="P4484" s="1" t="s">
        <v>401</v>
      </c>
      <c r="Q4484" s="63" t="str">
        <f>HYPERLINK("http://www.dps.state.ia.us/commis/pib/Releases/2013/12-14-2013_Northwood_Results.htm","http://www.dps.state.ia.us/commis/pib/Releases/2013/12-14-2013_Northwood_Results.htm")</f>
        <v>http://www.dps.state.ia.us/commis/pib/Releases/2013/12-14-2013_Northwood_Results.htm</v>
      </c>
      <c r="R4484" s="11" t="s">
        <v>964</v>
      </c>
      <c r="S4484" s="13" t="s">
        <v>28</v>
      </c>
      <c r="AX4484" s="44"/>
      <c r="AY4484" s="44"/>
      <c r="AZ4484" s="44"/>
      <c r="BC4484" s="44"/>
      <c r="BD4484" s="44"/>
      <c r="BE4484" s="44"/>
      <c r="BF4484" s="44"/>
      <c r="BG4484" s="44"/>
      <c r="BH4484" s="44"/>
      <c r="BI4484" s="44"/>
      <c r="BJ4484" s="44"/>
    </row>
    <row r="4485" spans="1:63" ht="12" customHeight="1" x14ac:dyDescent="0.15">
      <c r="A4485" s="1" t="s">
        <v>14050</v>
      </c>
      <c r="B4485" s="1">
        <v>19</v>
      </c>
      <c r="C4485" s="1" t="s">
        <v>114</v>
      </c>
      <c r="D4485" s="1" t="s">
        <v>37</v>
      </c>
      <c r="E4485" s="1" t="s">
        <v>14051</v>
      </c>
      <c r="F4485" s="72">
        <v>41539</v>
      </c>
      <c r="G4485" s="1" t="s">
        <v>14052</v>
      </c>
      <c r="H4485" s="1" t="s">
        <v>14053</v>
      </c>
      <c r="I4485" s="1" t="s">
        <v>45</v>
      </c>
      <c r="J4485" s="4">
        <v>95928</v>
      </c>
      <c r="K4485" s="1" t="s">
        <v>5235</v>
      </c>
      <c r="L4485" s="1" t="s">
        <v>14054</v>
      </c>
      <c r="M4485" s="1" t="s">
        <v>27</v>
      </c>
      <c r="N4485" s="1" t="s">
        <v>14055</v>
      </c>
      <c r="O4485" s="1" t="s">
        <v>550</v>
      </c>
      <c r="P4485" s="1" t="s">
        <v>401</v>
      </c>
      <c r="Q4485" s="63" t="s">
        <v>14056</v>
      </c>
      <c r="R4485" s="11" t="s">
        <v>964</v>
      </c>
      <c r="S4485" s="13" t="s">
        <v>379</v>
      </c>
      <c r="BC4485" s="44"/>
      <c r="BD4485" s="44"/>
      <c r="BE4485" s="44"/>
      <c r="BF4485" s="44"/>
      <c r="BG4485" s="44"/>
      <c r="BH4485" s="44"/>
      <c r="BI4485" s="44"/>
      <c r="BJ4485" s="44"/>
    </row>
    <row r="4486" spans="1:63" ht="12" customHeight="1" x14ac:dyDescent="0.15">
      <c r="A4486" s="1" t="s">
        <v>14057</v>
      </c>
      <c r="B4486" s="1">
        <v>23</v>
      </c>
      <c r="C4486" s="1" t="s">
        <v>114</v>
      </c>
      <c r="D4486" s="1" t="s">
        <v>37</v>
      </c>
      <c r="E4486" s="1" t="s">
        <v>14058</v>
      </c>
      <c r="F4486" s="72">
        <v>41539</v>
      </c>
      <c r="G4486" s="1" t="s">
        <v>14059</v>
      </c>
      <c r="H4486" s="1" t="s">
        <v>1071</v>
      </c>
      <c r="I4486" s="1" t="s">
        <v>46</v>
      </c>
      <c r="J4486" s="4" t="s">
        <v>14060</v>
      </c>
      <c r="K4486" s="1" t="s">
        <v>1071</v>
      </c>
      <c r="L4486" s="1" t="s">
        <v>16424</v>
      </c>
      <c r="M4486" s="1" t="s">
        <v>379</v>
      </c>
      <c r="N4486" s="1" t="s">
        <v>14061</v>
      </c>
      <c r="O4486" s="1" t="s">
        <v>29654</v>
      </c>
      <c r="P4486" s="1" t="s">
        <v>29655</v>
      </c>
      <c r="Q4486" s="63" t="s">
        <v>14062</v>
      </c>
      <c r="R4486" s="1" t="s">
        <v>100</v>
      </c>
      <c r="S4486" s="66" t="s">
        <v>379</v>
      </c>
      <c r="T4486" s="66" t="s">
        <v>30738</v>
      </c>
    </row>
    <row r="4487" spans="1:63" ht="12" customHeight="1" x14ac:dyDescent="0.15">
      <c r="A4487" s="1" t="s">
        <v>14063</v>
      </c>
      <c r="B4487" s="1">
        <v>64</v>
      </c>
      <c r="C4487" s="1" t="s">
        <v>114</v>
      </c>
      <c r="D4487" s="1" t="s">
        <v>37</v>
      </c>
      <c r="E4487" s="1" t="s">
        <v>14058</v>
      </c>
      <c r="F4487" s="72">
        <v>41539</v>
      </c>
      <c r="G4487" s="1" t="s">
        <v>14064</v>
      </c>
      <c r="H4487" s="1" t="s">
        <v>1071</v>
      </c>
      <c r="I4487" s="1" t="s">
        <v>46</v>
      </c>
      <c r="J4487" s="4" t="s">
        <v>14060</v>
      </c>
      <c r="K4487" s="1" t="s">
        <v>1071</v>
      </c>
      <c r="L4487" s="1" t="s">
        <v>16424</v>
      </c>
      <c r="M4487" s="1" t="s">
        <v>379</v>
      </c>
      <c r="N4487" s="1" t="s">
        <v>14065</v>
      </c>
      <c r="O4487" s="1" t="s">
        <v>29654</v>
      </c>
      <c r="P4487" s="1" t="s">
        <v>29655</v>
      </c>
      <c r="Q4487" s="63" t="s">
        <v>14062</v>
      </c>
      <c r="R4487" s="1" t="s">
        <v>100</v>
      </c>
      <c r="S4487" s="66" t="s">
        <v>379</v>
      </c>
      <c r="T4487" s="66" t="s">
        <v>30738</v>
      </c>
      <c r="BC4487" s="44"/>
      <c r="BD4487" s="44"/>
      <c r="BE4487" s="44"/>
      <c r="BF4487" s="44"/>
      <c r="BG4487" s="44"/>
      <c r="BH4487" s="44"/>
      <c r="BI4487" s="44"/>
      <c r="BJ4487" s="44"/>
    </row>
    <row r="4488" spans="1:63" ht="12" customHeight="1" x14ac:dyDescent="0.15">
      <c r="A4488" s="1" t="s">
        <v>14083</v>
      </c>
      <c r="B4488" s="1">
        <v>33</v>
      </c>
      <c r="C4488" s="1" t="s">
        <v>20</v>
      </c>
      <c r="D4488" s="1" t="s">
        <v>37</v>
      </c>
      <c r="E4488" s="1" t="s">
        <v>14084</v>
      </c>
      <c r="F4488" s="72">
        <v>41538</v>
      </c>
      <c r="G4488" s="1" t="s">
        <v>14085</v>
      </c>
      <c r="H4488" s="1" t="s">
        <v>2487</v>
      </c>
      <c r="I4488" s="1" t="s">
        <v>395</v>
      </c>
      <c r="J4488" s="4" t="s">
        <v>14086</v>
      </c>
      <c r="K4488" s="1" t="s">
        <v>2487</v>
      </c>
      <c r="L4488" s="1" t="s">
        <v>2045</v>
      </c>
      <c r="M4488" s="1" t="s">
        <v>27</v>
      </c>
      <c r="N4488" s="1" t="s">
        <v>14087</v>
      </c>
      <c r="O4488" s="1" t="s">
        <v>550</v>
      </c>
      <c r="P4488" s="1" t="s">
        <v>401</v>
      </c>
      <c r="Q4488" s="63" t="s">
        <v>14088</v>
      </c>
      <c r="R4488" s="1" t="s">
        <v>100</v>
      </c>
      <c r="S4488" s="13" t="s">
        <v>18</v>
      </c>
      <c r="BC4488" s="44"/>
      <c r="BD4488" s="44"/>
      <c r="BE4488" s="44"/>
      <c r="BF4488" s="44"/>
      <c r="BG4488" s="44"/>
      <c r="BH4488" s="44"/>
      <c r="BI4488" s="44"/>
      <c r="BJ4488" s="44"/>
    </row>
    <row r="4489" spans="1:63" ht="12" customHeight="1" x14ac:dyDescent="0.2">
      <c r="A4489" s="66" t="s">
        <v>30709</v>
      </c>
      <c r="B4489" s="66" t="s">
        <v>13478</v>
      </c>
      <c r="C4489" s="66" t="s">
        <v>20</v>
      </c>
      <c r="D4489" s="66" t="s">
        <v>37</v>
      </c>
      <c r="E4489" s="66"/>
      <c r="F4489" s="69">
        <v>41538</v>
      </c>
      <c r="G4489" s="66" t="s">
        <v>12775</v>
      </c>
      <c r="H4489" s="66" t="s">
        <v>5121</v>
      </c>
      <c r="I4489" s="66" t="s">
        <v>395</v>
      </c>
      <c r="J4489" s="66" t="s">
        <v>5122</v>
      </c>
      <c r="K4489" s="66" t="s">
        <v>990</v>
      </c>
      <c r="L4489" s="66" t="s">
        <v>30710</v>
      </c>
      <c r="M4489" s="66" t="s">
        <v>379</v>
      </c>
      <c r="N4489" s="66" t="s">
        <v>30711</v>
      </c>
      <c r="O4489" s="66" t="s">
        <v>27081</v>
      </c>
      <c r="P4489" s="66" t="s">
        <v>30375</v>
      </c>
      <c r="Q4489" s="76" t="s">
        <v>30712</v>
      </c>
      <c r="R4489" s="66" t="s">
        <v>100</v>
      </c>
      <c r="S4489" s="66" t="s">
        <v>18</v>
      </c>
      <c r="T4489" s="77"/>
      <c r="U4489" s="77"/>
      <c r="V4489" s="77"/>
      <c r="W4489" s="77"/>
      <c r="X4489" s="77"/>
      <c r="Y4489" s="66"/>
      <c r="Z4489" s="66"/>
      <c r="AA4489" s="66"/>
      <c r="AB4489" s="66"/>
      <c r="AC4489" s="66"/>
      <c r="AD4489" s="66"/>
      <c r="AE4489" s="66"/>
      <c r="AF4489" s="66"/>
      <c r="AG4489" s="66"/>
      <c r="AH4489" s="66"/>
      <c r="AI4489" s="66"/>
      <c r="AJ4489" s="66"/>
      <c r="AK4489" s="66"/>
      <c r="AL4489" s="66"/>
      <c r="AM4489" s="66"/>
      <c r="AN4489" s="66"/>
      <c r="AO4489" s="66"/>
      <c r="AP4489" s="66"/>
      <c r="AQ4489" s="66"/>
      <c r="AR4489" s="66"/>
      <c r="AS4489" s="66"/>
      <c r="AT4489" s="66"/>
      <c r="AU4489" s="66"/>
      <c r="AV4489" s="78"/>
      <c r="AW4489" s="78"/>
      <c r="AX4489" s="78"/>
      <c r="AY4489" s="78"/>
      <c r="AZ4489" s="78"/>
      <c r="BA4489" s="78"/>
      <c r="BB4489" s="78"/>
      <c r="BC4489" s="78"/>
      <c r="BD4489" s="78"/>
      <c r="BE4489" s="78"/>
      <c r="BF4489" s="78"/>
      <c r="BG4489" s="78"/>
      <c r="BH4489" s="78"/>
      <c r="BI4489" s="78"/>
      <c r="BJ4489" s="78"/>
      <c r="BK4489" s="70"/>
    </row>
    <row r="4490" spans="1:63" ht="12" customHeight="1" x14ac:dyDescent="0.15">
      <c r="A4490" s="1" t="s">
        <v>14073</v>
      </c>
      <c r="B4490" s="1">
        <v>58</v>
      </c>
      <c r="C4490" s="1" t="s">
        <v>20</v>
      </c>
      <c r="D4490" s="1" t="s">
        <v>30</v>
      </c>
      <c r="F4490" s="72">
        <v>41538</v>
      </c>
      <c r="G4490" s="1" t="s">
        <v>14074</v>
      </c>
      <c r="H4490" s="1" t="s">
        <v>1298</v>
      </c>
      <c r="I4490" s="1" t="s">
        <v>209</v>
      </c>
      <c r="J4490" s="4" t="s">
        <v>14075</v>
      </c>
      <c r="K4490" s="1" t="s">
        <v>1298</v>
      </c>
      <c r="L4490" s="1" t="s">
        <v>1299</v>
      </c>
      <c r="M4490" s="1" t="s">
        <v>27</v>
      </c>
      <c r="N4490" s="1" t="s">
        <v>14076</v>
      </c>
      <c r="O4490" s="1" t="s">
        <v>4684</v>
      </c>
      <c r="P4490" s="1" t="s">
        <v>401</v>
      </c>
      <c r="Q4490" s="6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4490" s="1" t="s">
        <v>100</v>
      </c>
      <c r="S4490" s="13" t="s">
        <v>35</v>
      </c>
      <c r="BK4490" s="11"/>
    </row>
    <row r="4491" spans="1:63" ht="12" customHeight="1" x14ac:dyDescent="0.15">
      <c r="A4491" s="1" t="s">
        <v>14077</v>
      </c>
      <c r="B4491" s="1">
        <v>66</v>
      </c>
      <c r="C4491" s="1" t="s">
        <v>20</v>
      </c>
      <c r="D4491" s="1" t="s">
        <v>37</v>
      </c>
      <c r="F4491" s="72">
        <v>41538</v>
      </c>
      <c r="G4491" s="1" t="s">
        <v>14078</v>
      </c>
      <c r="H4491" s="1" t="s">
        <v>14079</v>
      </c>
      <c r="I4491" s="1" t="s">
        <v>45</v>
      </c>
      <c r="J4491" s="4" t="s">
        <v>14080</v>
      </c>
      <c r="K4491" s="1" t="s">
        <v>98</v>
      </c>
      <c r="L4491" s="1" t="s">
        <v>14081</v>
      </c>
      <c r="M4491" s="1" t="s">
        <v>27</v>
      </c>
      <c r="N4491" s="1" t="s">
        <v>14082</v>
      </c>
      <c r="O4491" s="1" t="s">
        <v>1010</v>
      </c>
      <c r="P4491" s="1" t="s">
        <v>401</v>
      </c>
      <c r="Q4491" s="63" t="str">
        <f>HYPERLINK("http://www.culvercityobserver.com/story/2013/10/10/news/man-shot-at-ccpd-hq-identified/3089.html","http://www.culvercityobserver.com/story/2013/10/10/news/man-shot-at-ccpd-hq-identified/3089.html")</f>
        <v>http://www.culvercityobserver.com/story/2013/10/10/news/man-shot-at-ccpd-hq-identified/3089.html</v>
      </c>
      <c r="R4491" s="1" t="s">
        <v>29</v>
      </c>
      <c r="S4491" s="13" t="s">
        <v>28</v>
      </c>
      <c r="BC4491" s="44"/>
      <c r="BD4491" s="44"/>
      <c r="BE4491" s="44"/>
      <c r="BF4491" s="44"/>
      <c r="BG4491" s="44"/>
      <c r="BH4491" s="44"/>
      <c r="BI4491" s="44"/>
      <c r="BJ4491" s="44"/>
    </row>
    <row r="4492" spans="1:63" ht="12" customHeight="1" x14ac:dyDescent="0.15">
      <c r="A4492" s="1" t="s">
        <v>14089</v>
      </c>
      <c r="B4492" s="1">
        <v>24</v>
      </c>
      <c r="C4492" s="1" t="s">
        <v>20</v>
      </c>
      <c r="D4492" s="1" t="s">
        <v>85</v>
      </c>
      <c r="E4492" s="1" t="s">
        <v>14090</v>
      </c>
      <c r="F4492" s="72">
        <v>41537</v>
      </c>
      <c r="G4492" s="1" t="s">
        <v>14091</v>
      </c>
      <c r="H4492" s="1" t="s">
        <v>216</v>
      </c>
      <c r="I4492" s="1" t="s">
        <v>217</v>
      </c>
      <c r="J4492" s="4" t="s">
        <v>419</v>
      </c>
      <c r="K4492" s="1" t="s">
        <v>420</v>
      </c>
      <c r="L4492" s="1" t="s">
        <v>218</v>
      </c>
      <c r="M4492" s="1" t="s">
        <v>27</v>
      </c>
      <c r="N4492" s="1" t="s">
        <v>14092</v>
      </c>
      <c r="O4492" s="1" t="s">
        <v>1010</v>
      </c>
      <c r="P4492" s="1" t="s">
        <v>401</v>
      </c>
      <c r="Q4492" s="63" t="s">
        <v>14093</v>
      </c>
      <c r="R4492" s="1" t="s">
        <v>100</v>
      </c>
      <c r="S4492" s="13" t="s">
        <v>28</v>
      </c>
      <c r="AX4492" s="11"/>
      <c r="AY4492" s="11"/>
      <c r="BC4492" s="44"/>
      <c r="BD4492" s="44"/>
      <c r="BE4492" s="44"/>
      <c r="BF4492" s="44"/>
      <c r="BG4492" s="44"/>
      <c r="BH4492" s="44"/>
      <c r="BI4492" s="44"/>
      <c r="BJ4492" s="44"/>
    </row>
    <row r="4493" spans="1:63" ht="12" customHeight="1" x14ac:dyDescent="0.15">
      <c r="A4493" s="1" t="s">
        <v>14094</v>
      </c>
      <c r="B4493" s="1">
        <v>20</v>
      </c>
      <c r="C4493" s="1" t="s">
        <v>20</v>
      </c>
      <c r="D4493" s="1" t="s">
        <v>48</v>
      </c>
      <c r="F4493" s="72">
        <v>41537</v>
      </c>
      <c r="G4493" s="1" t="s">
        <v>14095</v>
      </c>
      <c r="H4493" s="1" t="s">
        <v>14096</v>
      </c>
      <c r="I4493" s="1" t="s">
        <v>45</v>
      </c>
      <c r="J4493" s="4" t="s">
        <v>14097</v>
      </c>
      <c r="K4493" s="1" t="s">
        <v>1163</v>
      </c>
      <c r="L4493" s="1" t="s">
        <v>14098</v>
      </c>
      <c r="M4493" s="1" t="s">
        <v>27</v>
      </c>
      <c r="N4493" s="1" t="s">
        <v>14099</v>
      </c>
      <c r="O4493" s="1" t="s">
        <v>1010</v>
      </c>
      <c r="P4493" s="1" t="s">
        <v>401</v>
      </c>
      <c r="Q4493" s="63" t="s">
        <v>14100</v>
      </c>
      <c r="R4493" s="1" t="s">
        <v>100</v>
      </c>
      <c r="S4493" s="13" t="s">
        <v>28</v>
      </c>
    </row>
    <row r="4494" spans="1:63" ht="12" customHeight="1" x14ac:dyDescent="0.15">
      <c r="A4494" s="1" t="s">
        <v>3252</v>
      </c>
      <c r="B4494" s="1" t="s">
        <v>29</v>
      </c>
      <c r="C4494" s="1" t="s">
        <v>20</v>
      </c>
      <c r="D4494" s="1" t="s">
        <v>48</v>
      </c>
      <c r="F4494" s="72">
        <v>41535</v>
      </c>
      <c r="G4494" s="1" t="s">
        <v>14106</v>
      </c>
      <c r="H4494" s="1" t="s">
        <v>98</v>
      </c>
      <c r="I4494" s="1" t="s">
        <v>45</v>
      </c>
      <c r="J4494" s="4" t="s">
        <v>8330</v>
      </c>
      <c r="K4494" s="1" t="s">
        <v>98</v>
      </c>
      <c r="L4494" s="1" t="s">
        <v>99</v>
      </c>
      <c r="M4494" s="1" t="s">
        <v>27</v>
      </c>
      <c r="N4494" s="1" t="s">
        <v>14107</v>
      </c>
      <c r="O4494" s="1" t="s">
        <v>1010</v>
      </c>
      <c r="P4494" s="1" t="s">
        <v>401</v>
      </c>
      <c r="Q4494" s="63" t="s">
        <v>14108</v>
      </c>
      <c r="R4494" s="1" t="s">
        <v>100</v>
      </c>
      <c r="S4494" s="13" t="s">
        <v>28</v>
      </c>
    </row>
    <row r="4495" spans="1:63" ht="12" customHeight="1" x14ac:dyDescent="0.15">
      <c r="A4495" s="1" t="s">
        <v>14101</v>
      </c>
      <c r="B4495" s="1">
        <v>20</v>
      </c>
      <c r="C4495" s="1" t="s">
        <v>20</v>
      </c>
      <c r="D4495" s="1" t="s">
        <v>48</v>
      </c>
      <c r="F4495" s="72">
        <v>41535</v>
      </c>
      <c r="G4495" s="1" t="s">
        <v>14102</v>
      </c>
      <c r="H4495" s="1" t="s">
        <v>723</v>
      </c>
      <c r="I4495" s="1" t="s">
        <v>73</v>
      </c>
      <c r="J4495" s="4" t="s">
        <v>14103</v>
      </c>
      <c r="K4495" s="1" t="s">
        <v>558</v>
      </c>
      <c r="L4495" s="1" t="s">
        <v>559</v>
      </c>
      <c r="M4495" s="1" t="s">
        <v>27</v>
      </c>
      <c r="N4495" s="1" t="s">
        <v>14104</v>
      </c>
      <c r="O4495" s="1" t="s">
        <v>4684</v>
      </c>
      <c r="P4495" s="1" t="s">
        <v>401</v>
      </c>
      <c r="Q4495" s="63" t="s">
        <v>14105</v>
      </c>
      <c r="R4495" s="1" t="s">
        <v>100</v>
      </c>
      <c r="S4495" s="13" t="s">
        <v>28</v>
      </c>
    </row>
    <row r="4496" spans="1:63" ht="12" customHeight="1" x14ac:dyDescent="0.15">
      <c r="A4496" s="1" t="s">
        <v>14113</v>
      </c>
      <c r="B4496" s="1">
        <v>53</v>
      </c>
      <c r="C4496" s="1" t="s">
        <v>20</v>
      </c>
      <c r="D4496" s="1" t="s">
        <v>30</v>
      </c>
      <c r="F4496" s="72">
        <v>41535</v>
      </c>
      <c r="G4496" s="1" t="s">
        <v>14114</v>
      </c>
      <c r="H4496" s="1" t="s">
        <v>14115</v>
      </c>
      <c r="I4496" s="1" t="s">
        <v>62</v>
      </c>
      <c r="J4496" s="4" t="s">
        <v>14116</v>
      </c>
      <c r="K4496" s="1" t="s">
        <v>1061</v>
      </c>
      <c r="L4496" s="1" t="s">
        <v>14117</v>
      </c>
      <c r="M4496" s="1" t="s">
        <v>27</v>
      </c>
      <c r="N4496" s="1" t="s">
        <v>14118</v>
      </c>
      <c r="O4496" s="1" t="s">
        <v>1010</v>
      </c>
      <c r="P4496" s="1" t="s">
        <v>401</v>
      </c>
      <c r="Q4496" s="6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4496" s="1" t="s">
        <v>100</v>
      </c>
      <c r="S4496" s="13" t="s">
        <v>18</v>
      </c>
    </row>
    <row r="4497" spans="1:63" ht="12" customHeight="1" x14ac:dyDescent="0.15">
      <c r="A4497" s="1" t="s">
        <v>14109</v>
      </c>
      <c r="B4497" s="1">
        <v>59</v>
      </c>
      <c r="C4497" s="1" t="s">
        <v>20</v>
      </c>
      <c r="D4497" s="1" t="s">
        <v>48</v>
      </c>
      <c r="F4497" s="72">
        <v>41535</v>
      </c>
      <c r="G4497" s="1" t="s">
        <v>14110</v>
      </c>
      <c r="H4497" s="1" t="s">
        <v>98</v>
      </c>
      <c r="I4497" s="1" t="s">
        <v>45</v>
      </c>
      <c r="J4497" s="4" t="s">
        <v>8330</v>
      </c>
      <c r="K4497" s="1" t="s">
        <v>98</v>
      </c>
      <c r="L4497" s="1" t="s">
        <v>14111</v>
      </c>
      <c r="M4497" s="1" t="s">
        <v>27</v>
      </c>
      <c r="N4497" s="1" t="s">
        <v>14112</v>
      </c>
      <c r="O4497" s="1" t="s">
        <v>1010</v>
      </c>
      <c r="P4497" s="1" t="s">
        <v>401</v>
      </c>
      <c r="Q4497" s="63" t="str">
        <f>HYPERLINK("http://homicide.latimes.com/post/ruben-ramos-escobedo/","http://homicide.latimes.com/post/ruben-ramos-escobedo/")</f>
        <v>http://homicide.latimes.com/post/ruben-ramos-escobedo/</v>
      </c>
      <c r="R4497" s="1" t="s">
        <v>29</v>
      </c>
      <c r="S4497" s="13" t="s">
        <v>35</v>
      </c>
      <c r="BK4497" s="11"/>
    </row>
    <row r="4498" spans="1:63" ht="12" customHeight="1" x14ac:dyDescent="0.15">
      <c r="A4498" s="1" t="s">
        <v>14129</v>
      </c>
      <c r="B4498" s="1">
        <v>40</v>
      </c>
      <c r="C4498" s="1" t="s">
        <v>20</v>
      </c>
      <c r="D4498" s="1" t="s">
        <v>37</v>
      </c>
      <c r="E4498" s="1" t="s">
        <v>14130</v>
      </c>
      <c r="F4498" s="72">
        <v>41534</v>
      </c>
      <c r="G4498" s="1" t="s">
        <v>14131</v>
      </c>
      <c r="H4498" s="1" t="s">
        <v>14132</v>
      </c>
      <c r="I4498" s="1" t="s">
        <v>978</v>
      </c>
      <c r="J4498" s="4" t="s">
        <v>14133</v>
      </c>
      <c r="K4498" s="1" t="s">
        <v>37</v>
      </c>
      <c r="L4498" s="1" t="s">
        <v>6483</v>
      </c>
      <c r="M4498" s="1" t="s">
        <v>27</v>
      </c>
      <c r="N4498" s="1" t="s">
        <v>14134</v>
      </c>
      <c r="O4498" s="1" t="s">
        <v>1010</v>
      </c>
      <c r="P4498" s="1" t="s">
        <v>401</v>
      </c>
      <c r="Q4498" s="63" t="s">
        <v>14135</v>
      </c>
      <c r="R4498" s="1" t="s">
        <v>100</v>
      </c>
      <c r="S4498" s="13" t="s">
        <v>28</v>
      </c>
      <c r="BC4498" s="44"/>
      <c r="BD4498" s="44"/>
      <c r="BE4498" s="44"/>
      <c r="BF4498" s="44"/>
      <c r="BG4498" s="44"/>
      <c r="BH4498" s="44"/>
      <c r="BI4498" s="44"/>
      <c r="BJ4498" s="44"/>
    </row>
    <row r="4499" spans="1:63" ht="12" customHeight="1" x14ac:dyDescent="0.15">
      <c r="A4499" s="1" t="s">
        <v>14124</v>
      </c>
      <c r="B4499" s="1">
        <v>25</v>
      </c>
      <c r="C4499" s="1" t="s">
        <v>20</v>
      </c>
      <c r="D4499" s="1" t="s">
        <v>85</v>
      </c>
      <c r="F4499" s="72">
        <v>41534</v>
      </c>
      <c r="G4499" s="1" t="s">
        <v>14125</v>
      </c>
      <c r="H4499" s="1" t="s">
        <v>754</v>
      </c>
      <c r="I4499" s="1" t="s">
        <v>423</v>
      </c>
      <c r="J4499" s="4" t="s">
        <v>14126</v>
      </c>
      <c r="K4499" s="1" t="s">
        <v>1844</v>
      </c>
      <c r="L4499" s="1" t="s">
        <v>582</v>
      </c>
      <c r="M4499" s="1" t="s">
        <v>14359</v>
      </c>
      <c r="N4499" s="1" t="s">
        <v>14127</v>
      </c>
      <c r="O4499" s="1" t="s">
        <v>1010</v>
      </c>
      <c r="P4499" s="1" t="s">
        <v>401</v>
      </c>
      <c r="Q4499" s="63" t="s">
        <v>14128</v>
      </c>
      <c r="R4499" s="1" t="s">
        <v>100</v>
      </c>
      <c r="S4499" s="13" t="s">
        <v>18</v>
      </c>
      <c r="AX4499" s="44"/>
      <c r="AY4499" s="44"/>
      <c r="BC4499" s="44"/>
      <c r="BD4499" s="44"/>
      <c r="BE4499" s="44"/>
      <c r="BF4499" s="44"/>
      <c r="BG4499" s="44"/>
      <c r="BH4499" s="44"/>
      <c r="BI4499" s="44"/>
      <c r="BJ4499" s="44"/>
    </row>
    <row r="4500" spans="1:63" s="70" customFormat="1" ht="12" customHeight="1" x14ac:dyDescent="0.2">
      <c r="A4500" s="1" t="s">
        <v>14119</v>
      </c>
      <c r="B4500" s="1">
        <v>26</v>
      </c>
      <c r="C4500" s="1" t="s">
        <v>20</v>
      </c>
      <c r="D4500" s="1" t="s">
        <v>85</v>
      </c>
      <c r="E4500" s="1" t="s">
        <v>14120</v>
      </c>
      <c r="F4500" s="72">
        <v>41534</v>
      </c>
      <c r="G4500" s="1" t="s">
        <v>14121</v>
      </c>
      <c r="H4500" s="1" t="s">
        <v>493</v>
      </c>
      <c r="I4500" s="1" t="s">
        <v>366</v>
      </c>
      <c r="J4500" s="4" t="s">
        <v>12963</v>
      </c>
      <c r="K4500" s="1" t="s">
        <v>493</v>
      </c>
      <c r="L4500" s="1" t="s">
        <v>495</v>
      </c>
      <c r="M4500" s="1" t="s">
        <v>27</v>
      </c>
      <c r="N4500" s="1" t="s">
        <v>14122</v>
      </c>
      <c r="O4500" s="1" t="s">
        <v>550</v>
      </c>
      <c r="P4500" s="1" t="s">
        <v>401</v>
      </c>
      <c r="Q4500" s="63" t="s">
        <v>14123</v>
      </c>
      <c r="R4500" s="1" t="s">
        <v>555</v>
      </c>
      <c r="S4500" s="13" t="s">
        <v>28</v>
      </c>
      <c r="T4500" s="1"/>
      <c r="U4500" s="1"/>
      <c r="V4500" s="1"/>
      <c r="W4500" s="1"/>
      <c r="X4500" s="1"/>
      <c r="Y4500" s="1"/>
      <c r="Z4500" s="1"/>
      <c r="AA4500" s="1"/>
      <c r="AB4500" s="1"/>
      <c r="AC4500" s="1"/>
      <c r="AD4500" s="1"/>
      <c r="AE4500" s="1"/>
      <c r="AF4500" s="1"/>
      <c r="AG4500" s="1"/>
      <c r="AH4500" s="1"/>
      <c r="AI4500" s="1"/>
      <c r="AJ4500" s="1"/>
      <c r="AK4500" s="1"/>
      <c r="AL4500" s="1"/>
      <c r="AM4500" s="1"/>
      <c r="AN4500" s="1"/>
      <c r="AO4500" s="1"/>
      <c r="AP4500" s="1"/>
      <c r="AQ4500" s="1"/>
      <c r="AR4500" s="1"/>
      <c r="AS4500" s="1"/>
      <c r="AT4500" s="1"/>
      <c r="AU4500" s="1"/>
      <c r="AV4500" s="1"/>
      <c r="AW4500" s="1"/>
      <c r="AX4500" s="11"/>
      <c r="AY4500" s="11"/>
      <c r="AZ4500" s="1"/>
      <c r="BA4500" s="1"/>
      <c r="BB4500" s="1"/>
      <c r="BC4500" s="44"/>
      <c r="BD4500" s="44"/>
      <c r="BE4500" s="44"/>
      <c r="BF4500" s="44"/>
      <c r="BG4500" s="44"/>
      <c r="BH4500" s="44"/>
      <c r="BI4500" s="44"/>
      <c r="BJ4500" s="44"/>
      <c r="BK4500" s="1"/>
    </row>
    <row r="4501" spans="1:63" s="70" customFormat="1" ht="12" customHeight="1" x14ac:dyDescent="0.2">
      <c r="A4501" s="1" t="s">
        <v>14136</v>
      </c>
      <c r="B4501" s="1">
        <v>34</v>
      </c>
      <c r="C4501" s="1" t="s">
        <v>20</v>
      </c>
      <c r="D4501" s="1" t="s">
        <v>85</v>
      </c>
      <c r="E4501" s="1" t="s">
        <v>14137</v>
      </c>
      <c r="F4501" s="72">
        <v>41533</v>
      </c>
      <c r="G4501" s="1" t="s">
        <v>14138</v>
      </c>
      <c r="H4501" s="1" t="s">
        <v>118</v>
      </c>
      <c r="I4501" s="1" t="s">
        <v>3664</v>
      </c>
      <c r="J4501" s="4" t="s">
        <v>14139</v>
      </c>
      <c r="K4501" s="1" t="s">
        <v>3666</v>
      </c>
      <c r="L4501" s="1" t="s">
        <v>19405</v>
      </c>
      <c r="M4501" s="1" t="s">
        <v>27</v>
      </c>
      <c r="N4501" s="1" t="s">
        <v>14140</v>
      </c>
      <c r="O4501" s="1" t="s">
        <v>550</v>
      </c>
      <c r="P4501" s="1" t="s">
        <v>401</v>
      </c>
      <c r="Q4501" s="63" t="s">
        <v>14141</v>
      </c>
      <c r="R4501" s="1" t="s">
        <v>100</v>
      </c>
      <c r="S4501" s="13" t="s">
        <v>28</v>
      </c>
      <c r="T4501" s="1"/>
      <c r="U4501" s="1"/>
      <c r="V4501" s="1"/>
      <c r="W4501" s="1"/>
      <c r="X4501" s="1"/>
      <c r="Y4501" s="1"/>
      <c r="Z4501" s="1"/>
      <c r="AA4501" s="1"/>
      <c r="AB4501" s="1"/>
      <c r="AC4501" s="1"/>
      <c r="AD4501" s="1"/>
      <c r="AE4501" s="1"/>
      <c r="AF4501" s="1"/>
      <c r="AG4501" s="1"/>
      <c r="AH4501" s="1"/>
      <c r="AI4501" s="1"/>
      <c r="AJ4501" s="1"/>
      <c r="AK4501" s="1"/>
      <c r="AL4501" s="1"/>
      <c r="AM4501" s="1"/>
      <c r="AN4501" s="1"/>
      <c r="AO4501" s="1"/>
      <c r="AP4501" s="1"/>
      <c r="AQ4501" s="1"/>
      <c r="AR4501" s="1"/>
      <c r="AS4501" s="1"/>
      <c r="AT4501" s="1"/>
      <c r="AU4501" s="1"/>
      <c r="AV4501" s="1"/>
      <c r="AW4501" s="1"/>
      <c r="AX4501" s="11"/>
      <c r="AY4501" s="11"/>
      <c r="AZ4501" s="1"/>
      <c r="BA4501" s="1"/>
      <c r="BB4501" s="1"/>
      <c r="BC4501" s="44"/>
      <c r="BD4501" s="44"/>
      <c r="BE4501" s="44"/>
      <c r="BF4501" s="44"/>
      <c r="BG4501" s="44"/>
      <c r="BH4501" s="44"/>
      <c r="BI4501" s="44"/>
      <c r="BJ4501" s="44"/>
      <c r="BK4501" s="1"/>
    </row>
    <row r="4502" spans="1:63" s="70" customFormat="1" ht="12" customHeight="1" x14ac:dyDescent="0.2">
      <c r="A4502" s="1" t="s">
        <v>14142</v>
      </c>
      <c r="B4502" s="1">
        <v>39</v>
      </c>
      <c r="C4502" s="1" t="s">
        <v>20</v>
      </c>
      <c r="D4502" s="1" t="s">
        <v>85</v>
      </c>
      <c r="E4502" s="1" t="s">
        <v>14143</v>
      </c>
      <c r="F4502" s="72">
        <v>41533</v>
      </c>
      <c r="G4502" s="1" t="s">
        <v>14144</v>
      </c>
      <c r="H4502" s="1" t="s">
        <v>51</v>
      </c>
      <c r="I4502" s="1" t="s">
        <v>32</v>
      </c>
      <c r="J4502" s="4" t="s">
        <v>13600</v>
      </c>
      <c r="K4502" s="1" t="s">
        <v>2589</v>
      </c>
      <c r="L4502" s="1" t="s">
        <v>14145</v>
      </c>
      <c r="M4502" s="1" t="s">
        <v>27</v>
      </c>
      <c r="N4502" s="1" t="s">
        <v>14146</v>
      </c>
      <c r="O4502" s="1" t="s">
        <v>1010</v>
      </c>
      <c r="P4502" s="1" t="s">
        <v>401</v>
      </c>
      <c r="Q4502" s="63" t="s">
        <v>14147</v>
      </c>
      <c r="R4502" s="1" t="s">
        <v>100</v>
      </c>
      <c r="S4502" s="13" t="s">
        <v>28</v>
      </c>
      <c r="T4502" s="1"/>
      <c r="U4502" s="1"/>
      <c r="V4502" s="1"/>
      <c r="W4502" s="1"/>
      <c r="X4502" s="1"/>
      <c r="Y4502" s="1"/>
      <c r="Z4502" s="1"/>
      <c r="AA4502" s="1"/>
      <c r="AB4502" s="1"/>
      <c r="AC4502" s="1"/>
      <c r="AD4502" s="1"/>
      <c r="AE4502" s="1"/>
      <c r="AF4502" s="1"/>
      <c r="AG4502" s="1"/>
      <c r="AH4502" s="1"/>
      <c r="AI4502" s="1"/>
      <c r="AJ4502" s="1"/>
      <c r="AK4502" s="1"/>
      <c r="AL4502" s="1"/>
      <c r="AM4502" s="1"/>
      <c r="AN4502" s="1"/>
      <c r="AO4502" s="1"/>
      <c r="AP4502" s="1"/>
      <c r="AQ4502" s="1"/>
      <c r="AR4502" s="1"/>
      <c r="AS4502" s="1"/>
      <c r="AT4502" s="1"/>
      <c r="AU4502" s="1"/>
      <c r="AV4502" s="1"/>
      <c r="AW4502" s="1"/>
      <c r="AX4502" s="11"/>
      <c r="AY4502" s="11"/>
      <c r="AZ4502" s="1"/>
      <c r="BA4502" s="1"/>
      <c r="BB4502" s="1"/>
      <c r="BC4502" s="44"/>
      <c r="BD4502" s="44"/>
      <c r="BE4502" s="44"/>
      <c r="BF4502" s="44"/>
      <c r="BG4502" s="44"/>
      <c r="BH4502" s="44"/>
      <c r="BI4502" s="44"/>
      <c r="BJ4502" s="44"/>
      <c r="BK4502" s="1"/>
    </row>
    <row r="4503" spans="1:63" s="70" customFormat="1" ht="12" customHeight="1" x14ac:dyDescent="0.2">
      <c r="A4503" s="1" t="s">
        <v>14154</v>
      </c>
      <c r="B4503" s="1">
        <v>32</v>
      </c>
      <c r="C4503" s="1" t="s">
        <v>20</v>
      </c>
      <c r="D4503" s="1" t="s">
        <v>37</v>
      </c>
      <c r="E4503" s="1" t="s">
        <v>14155</v>
      </c>
      <c r="F4503" s="72">
        <v>41533</v>
      </c>
      <c r="G4503" s="1" t="s">
        <v>14150</v>
      </c>
      <c r="H4503" s="1" t="s">
        <v>679</v>
      </c>
      <c r="I4503" s="1" t="s">
        <v>45</v>
      </c>
      <c r="J4503" s="4" t="s">
        <v>14151</v>
      </c>
      <c r="K4503" s="1" t="s">
        <v>680</v>
      </c>
      <c r="L4503" s="1" t="s">
        <v>681</v>
      </c>
      <c r="M4503" s="1" t="s">
        <v>27</v>
      </c>
      <c r="N4503" s="1" t="s">
        <v>14156</v>
      </c>
      <c r="O4503" s="1" t="s">
        <v>550</v>
      </c>
      <c r="P4503" s="1" t="s">
        <v>401</v>
      </c>
      <c r="Q4503" s="63" t="s">
        <v>14157</v>
      </c>
      <c r="R4503" s="1" t="s">
        <v>100</v>
      </c>
      <c r="S4503" s="13" t="s">
        <v>28</v>
      </c>
      <c r="T4503" s="1"/>
      <c r="U4503" s="1"/>
      <c r="V4503" s="1"/>
      <c r="W4503" s="1"/>
      <c r="X4503" s="1"/>
      <c r="Y4503" s="1"/>
      <c r="Z4503" s="1"/>
      <c r="AA4503" s="1"/>
      <c r="AB4503" s="1"/>
      <c r="AC4503" s="1"/>
      <c r="AD4503" s="1"/>
      <c r="AE4503" s="1"/>
      <c r="AF4503" s="1"/>
      <c r="AG4503" s="1"/>
      <c r="AH4503" s="1"/>
      <c r="AI4503" s="1"/>
      <c r="AJ4503" s="1"/>
      <c r="AK4503" s="1"/>
      <c r="AL4503" s="1"/>
      <c r="AM4503" s="1"/>
      <c r="AN4503" s="1"/>
      <c r="AO4503" s="1"/>
      <c r="AP4503" s="1"/>
      <c r="AQ4503" s="1"/>
      <c r="AR4503" s="1"/>
      <c r="AS4503" s="1"/>
      <c r="AT4503" s="1"/>
      <c r="AU4503" s="1"/>
      <c r="AV4503" s="1"/>
      <c r="AW4503" s="1"/>
      <c r="AX4503" s="1"/>
      <c r="AY4503" s="1"/>
      <c r="AZ4503" s="1"/>
      <c r="BA4503" s="1"/>
      <c r="BB4503" s="1"/>
      <c r="BC4503" s="44"/>
      <c r="BD4503" s="44"/>
      <c r="BE4503" s="44"/>
      <c r="BF4503" s="44"/>
      <c r="BG4503" s="44"/>
      <c r="BH4503" s="44"/>
      <c r="BI4503" s="44"/>
      <c r="BJ4503" s="44"/>
      <c r="BK4503" s="1"/>
    </row>
    <row r="4504" spans="1:63" s="70" customFormat="1" ht="12" customHeight="1" x14ac:dyDescent="0.2">
      <c r="A4504" s="1" t="s">
        <v>14148</v>
      </c>
      <c r="B4504" s="1">
        <v>34</v>
      </c>
      <c r="C4504" s="1" t="s">
        <v>20</v>
      </c>
      <c r="D4504" s="1" t="s">
        <v>48</v>
      </c>
      <c r="E4504" s="1" t="s">
        <v>14149</v>
      </c>
      <c r="F4504" s="72">
        <v>41533</v>
      </c>
      <c r="G4504" s="1" t="s">
        <v>14150</v>
      </c>
      <c r="H4504" s="1" t="s">
        <v>679</v>
      </c>
      <c r="I4504" s="1" t="s">
        <v>45</v>
      </c>
      <c r="J4504" s="4" t="s">
        <v>14151</v>
      </c>
      <c r="K4504" s="1" t="s">
        <v>680</v>
      </c>
      <c r="L4504" s="1" t="s">
        <v>681</v>
      </c>
      <c r="M4504" s="1" t="s">
        <v>27</v>
      </c>
      <c r="N4504" s="1" t="s">
        <v>14152</v>
      </c>
      <c r="O4504" s="1" t="s">
        <v>550</v>
      </c>
      <c r="P4504" s="1" t="s">
        <v>401</v>
      </c>
      <c r="Q4504" s="63" t="s">
        <v>14153</v>
      </c>
      <c r="R4504" s="1" t="s">
        <v>100</v>
      </c>
      <c r="S4504" s="13" t="s">
        <v>18</v>
      </c>
      <c r="T4504" s="1"/>
      <c r="U4504" s="1"/>
      <c r="V4504" s="1"/>
      <c r="W4504" s="1"/>
      <c r="X4504" s="1"/>
      <c r="Y4504" s="1"/>
      <c r="Z4504" s="1"/>
      <c r="AA4504" s="1"/>
      <c r="AB4504" s="1"/>
      <c r="AC4504" s="1"/>
      <c r="AD4504" s="1"/>
      <c r="AE4504" s="1"/>
      <c r="AF4504" s="1"/>
      <c r="AG4504" s="1"/>
      <c r="AH4504" s="1"/>
      <c r="AI4504" s="1"/>
      <c r="AJ4504" s="1"/>
      <c r="AK4504" s="1"/>
      <c r="AL4504" s="1"/>
      <c r="AM4504" s="1"/>
      <c r="AN4504" s="1"/>
      <c r="AO4504" s="1"/>
      <c r="AP4504" s="1"/>
      <c r="AQ4504" s="1"/>
      <c r="AR4504" s="1"/>
      <c r="AS4504" s="1"/>
      <c r="AT4504" s="1"/>
      <c r="AU4504" s="1"/>
      <c r="AV4504" s="1"/>
      <c r="AW4504" s="1"/>
      <c r="AX4504" s="1"/>
      <c r="AY4504" s="1"/>
      <c r="AZ4504" s="1"/>
      <c r="BA4504" s="1"/>
      <c r="BB4504" s="1"/>
      <c r="BC4504" s="1"/>
      <c r="BD4504" s="1"/>
      <c r="BE4504" s="1"/>
      <c r="BF4504" s="1"/>
      <c r="BG4504" s="1"/>
      <c r="BH4504" s="1"/>
      <c r="BI4504" s="1"/>
      <c r="BJ4504" s="1"/>
      <c r="BK4504" s="1"/>
    </row>
    <row r="4505" spans="1:63" s="70" customFormat="1" ht="12" customHeight="1" x14ac:dyDescent="0.2">
      <c r="A4505" s="1" t="s">
        <v>14158</v>
      </c>
      <c r="B4505" s="1">
        <v>27</v>
      </c>
      <c r="C4505" s="1" t="s">
        <v>20</v>
      </c>
      <c r="D4505" s="1" t="s">
        <v>85</v>
      </c>
      <c r="E4505" s="1" t="s">
        <v>14159</v>
      </c>
      <c r="F4505" s="72">
        <v>41531</v>
      </c>
      <c r="G4505" s="1" t="s">
        <v>14160</v>
      </c>
      <c r="H4505" s="1" t="s">
        <v>6557</v>
      </c>
      <c r="I4505" s="1" t="s">
        <v>123</v>
      </c>
      <c r="J4505" s="4" t="s">
        <v>6558</v>
      </c>
      <c r="K4505" s="1" t="s">
        <v>633</v>
      </c>
      <c r="L4505" s="1" t="s">
        <v>6559</v>
      </c>
      <c r="M4505" s="1" t="s">
        <v>27</v>
      </c>
      <c r="N4505" s="1" t="s">
        <v>14161</v>
      </c>
      <c r="O4505" s="1" t="s">
        <v>4684</v>
      </c>
      <c r="P4505" s="1" t="s">
        <v>401</v>
      </c>
      <c r="Q4505" s="63" t="s">
        <v>14162</v>
      </c>
      <c r="R4505" s="1" t="s">
        <v>100</v>
      </c>
      <c r="S4505" s="13" t="s">
        <v>28</v>
      </c>
      <c r="T4505" s="1"/>
      <c r="U4505" s="1"/>
      <c r="V4505" s="1"/>
      <c r="W4505" s="1"/>
      <c r="X4505" s="1"/>
      <c r="Y4505" s="1"/>
      <c r="Z4505" s="1"/>
      <c r="AA4505" s="1"/>
      <c r="AB4505" s="1"/>
      <c r="AC4505" s="1"/>
      <c r="AD4505" s="1"/>
      <c r="AE4505" s="1"/>
      <c r="AF4505" s="1"/>
      <c r="AG4505" s="1"/>
      <c r="AH4505" s="1"/>
      <c r="AI4505" s="1"/>
      <c r="AJ4505" s="1"/>
      <c r="AK4505" s="1"/>
      <c r="AL4505" s="1"/>
      <c r="AM4505" s="1"/>
      <c r="AN4505" s="1"/>
      <c r="AO4505" s="1"/>
      <c r="AP4505" s="1"/>
      <c r="AQ4505" s="1"/>
      <c r="AR4505" s="1"/>
      <c r="AS4505" s="1"/>
      <c r="AT4505" s="1"/>
      <c r="AU4505" s="1"/>
      <c r="AV4505" s="1"/>
      <c r="AW4505" s="1"/>
      <c r="AX4505" s="11"/>
      <c r="AY4505" s="11"/>
      <c r="AZ4505" s="1"/>
      <c r="BA4505" s="1"/>
      <c r="BB4505" s="1"/>
      <c r="BC4505" s="44"/>
      <c r="BD4505" s="44"/>
      <c r="BE4505" s="44"/>
      <c r="BF4505" s="44"/>
      <c r="BG4505" s="44"/>
      <c r="BH4505" s="44"/>
      <c r="BI4505" s="44"/>
      <c r="BJ4505" s="44"/>
      <c r="BK4505" s="1"/>
    </row>
    <row r="4506" spans="1:63" s="70" customFormat="1" ht="12" customHeight="1" x14ac:dyDescent="0.2">
      <c r="A4506" s="1" t="s">
        <v>14173</v>
      </c>
      <c r="B4506" s="1">
        <v>56</v>
      </c>
      <c r="C4506" s="1" t="s">
        <v>20</v>
      </c>
      <c r="D4506" s="1" t="s">
        <v>30</v>
      </c>
      <c r="E4506" s="1"/>
      <c r="F4506" s="72">
        <v>41531</v>
      </c>
      <c r="G4506" s="1" t="s">
        <v>14174</v>
      </c>
      <c r="H4506" s="1" t="s">
        <v>5158</v>
      </c>
      <c r="I4506" s="1" t="s">
        <v>173</v>
      </c>
      <c r="J4506" s="4" t="s">
        <v>14175</v>
      </c>
      <c r="K4506" s="1" t="s">
        <v>3736</v>
      </c>
      <c r="L4506" s="1" t="s">
        <v>14176</v>
      </c>
      <c r="M4506" s="1" t="s">
        <v>27</v>
      </c>
      <c r="N4506" s="1" t="s">
        <v>14177</v>
      </c>
      <c r="O4506" s="1" t="s">
        <v>400</v>
      </c>
      <c r="P4506" s="1" t="s">
        <v>401</v>
      </c>
      <c r="Q4506" s="63" t="s">
        <v>14178</v>
      </c>
      <c r="R4506" s="1" t="s">
        <v>100</v>
      </c>
      <c r="S4506" s="13" t="s">
        <v>28</v>
      </c>
      <c r="T4506" s="1"/>
      <c r="U4506" s="1"/>
      <c r="V4506" s="1"/>
      <c r="W4506" s="1"/>
      <c r="X4506" s="1"/>
      <c r="Y4506" s="1"/>
      <c r="Z4506" s="1"/>
      <c r="AA4506" s="1"/>
      <c r="AB4506" s="1"/>
      <c r="AC4506" s="1"/>
      <c r="AD4506" s="1"/>
      <c r="AE4506" s="1"/>
      <c r="AF4506" s="1"/>
      <c r="AG4506" s="1"/>
      <c r="AH4506" s="1"/>
      <c r="AI4506" s="1"/>
      <c r="AJ4506" s="1"/>
      <c r="AK4506" s="1"/>
      <c r="AL4506" s="1"/>
      <c r="AM4506" s="1"/>
      <c r="AN4506" s="1"/>
      <c r="AO4506" s="1"/>
      <c r="AP4506" s="1"/>
      <c r="AQ4506" s="1"/>
      <c r="AR4506" s="1"/>
      <c r="AS4506" s="1"/>
      <c r="AT4506" s="1"/>
      <c r="AU4506" s="1"/>
      <c r="AV4506" s="1"/>
      <c r="AW4506" s="1"/>
      <c r="AX4506" s="1"/>
      <c r="AY4506" s="1"/>
      <c r="AZ4506" s="1"/>
      <c r="BA4506" s="1"/>
      <c r="BB4506" s="1"/>
      <c r="BC4506" s="1"/>
      <c r="BD4506" s="1"/>
      <c r="BE4506" s="1"/>
      <c r="BF4506" s="1"/>
      <c r="BG4506" s="1"/>
      <c r="BH4506" s="1"/>
      <c r="BI4506" s="1"/>
      <c r="BJ4506" s="1"/>
      <c r="BK4506" s="1"/>
    </row>
    <row r="4507" spans="1:63" s="70" customFormat="1" ht="12" customHeight="1" x14ac:dyDescent="0.2">
      <c r="A4507" s="1" t="s">
        <v>14168</v>
      </c>
      <c r="B4507" s="1">
        <v>30</v>
      </c>
      <c r="C4507" s="1" t="s">
        <v>20</v>
      </c>
      <c r="D4507" s="1" t="s">
        <v>30</v>
      </c>
      <c r="E4507" s="1"/>
      <c r="F4507" s="72">
        <v>41531</v>
      </c>
      <c r="G4507" s="1" t="s">
        <v>14169</v>
      </c>
      <c r="H4507" s="1" t="s">
        <v>477</v>
      </c>
      <c r="I4507" s="1" t="s">
        <v>244</v>
      </c>
      <c r="J4507" s="4" t="s">
        <v>14170</v>
      </c>
      <c r="K4507" s="1" t="s">
        <v>13279</v>
      </c>
      <c r="L4507" s="1" t="s">
        <v>2701</v>
      </c>
      <c r="M4507" s="1" t="s">
        <v>27</v>
      </c>
      <c r="N4507" s="1" t="s">
        <v>14171</v>
      </c>
      <c r="O4507" s="1" t="s">
        <v>550</v>
      </c>
      <c r="P4507" s="1" t="s">
        <v>401</v>
      </c>
      <c r="Q4507" s="63" t="s">
        <v>14172</v>
      </c>
      <c r="R4507" s="1" t="s">
        <v>100</v>
      </c>
      <c r="S4507" s="13" t="s">
        <v>28</v>
      </c>
      <c r="T4507" s="1"/>
      <c r="U4507" s="1"/>
      <c r="V4507" s="1"/>
      <c r="W4507" s="1"/>
      <c r="X4507" s="1"/>
      <c r="Y4507" s="1"/>
      <c r="Z4507" s="1"/>
      <c r="AA4507" s="1"/>
      <c r="AB4507" s="1"/>
      <c r="AC4507" s="1"/>
      <c r="AD4507" s="1"/>
      <c r="AE4507" s="1"/>
      <c r="AF4507" s="1"/>
      <c r="AG4507" s="1"/>
      <c r="AH4507" s="1"/>
      <c r="AI4507" s="1"/>
      <c r="AJ4507" s="1"/>
      <c r="AK4507" s="1"/>
      <c r="AL4507" s="1"/>
      <c r="AM4507" s="1"/>
      <c r="AN4507" s="1"/>
      <c r="AO4507" s="1"/>
      <c r="AP4507" s="1"/>
      <c r="AQ4507" s="1"/>
      <c r="AR4507" s="1"/>
      <c r="AS4507" s="1"/>
      <c r="AT4507" s="1"/>
      <c r="AU4507" s="1"/>
      <c r="AV4507" s="1"/>
      <c r="AW4507" s="1"/>
      <c r="AX4507" s="1"/>
      <c r="AY4507" s="1"/>
      <c r="AZ4507" s="1"/>
      <c r="BA4507" s="1"/>
      <c r="BB4507" s="1"/>
      <c r="BC4507" s="1"/>
      <c r="BD4507" s="1"/>
      <c r="BE4507" s="1"/>
      <c r="BF4507" s="1"/>
      <c r="BG4507" s="1"/>
      <c r="BH4507" s="1"/>
      <c r="BI4507" s="1"/>
      <c r="BJ4507" s="1"/>
      <c r="BK4507" s="1"/>
    </row>
    <row r="4508" spans="1:63" s="70" customFormat="1" ht="12" customHeight="1" x14ac:dyDescent="0.2">
      <c r="A4508" s="1" t="s">
        <v>14179</v>
      </c>
      <c r="B4508" s="1">
        <v>30</v>
      </c>
      <c r="C4508" s="1" t="s">
        <v>20</v>
      </c>
      <c r="D4508" s="1" t="s">
        <v>37</v>
      </c>
      <c r="E4508" s="1" t="s">
        <v>14180</v>
      </c>
      <c r="F4508" s="72">
        <v>41531</v>
      </c>
      <c r="G4508" s="1" t="s">
        <v>14181</v>
      </c>
      <c r="H4508" s="1" t="s">
        <v>632</v>
      </c>
      <c r="I4508" s="1" t="s">
        <v>123</v>
      </c>
      <c r="J4508" s="4" t="s">
        <v>14182</v>
      </c>
      <c r="K4508" s="1" t="s">
        <v>633</v>
      </c>
      <c r="L4508" s="1" t="s">
        <v>634</v>
      </c>
      <c r="M4508" s="1" t="s">
        <v>27</v>
      </c>
      <c r="N4508" s="1" t="s">
        <v>14183</v>
      </c>
      <c r="O4508" s="1" t="s">
        <v>4684</v>
      </c>
      <c r="P4508" s="1" t="s">
        <v>401</v>
      </c>
      <c r="Q4508" s="63" t="s">
        <v>14184</v>
      </c>
      <c r="R4508" s="1" t="s">
        <v>100</v>
      </c>
      <c r="S4508" s="13" t="s">
        <v>28</v>
      </c>
      <c r="T4508" s="8"/>
      <c r="U4508" s="8"/>
      <c r="V4508" s="8"/>
      <c r="W4508" s="8"/>
      <c r="X4508" s="8"/>
      <c r="Y4508" s="1"/>
      <c r="Z4508" s="1"/>
      <c r="AA4508" s="1"/>
      <c r="AB4508" s="1"/>
      <c r="AC4508" s="1"/>
      <c r="AD4508" s="1"/>
      <c r="AE4508" s="1"/>
      <c r="AF4508" s="1"/>
      <c r="AG4508" s="1"/>
      <c r="AH4508" s="1"/>
      <c r="AI4508" s="1"/>
      <c r="AJ4508" s="1"/>
      <c r="AK4508" s="1"/>
      <c r="AL4508" s="1"/>
      <c r="AM4508" s="1"/>
      <c r="AN4508" s="1"/>
      <c r="AO4508" s="1"/>
      <c r="AP4508" s="1"/>
      <c r="AQ4508" s="1"/>
      <c r="AR4508" s="1"/>
      <c r="AS4508" s="1"/>
      <c r="AT4508" s="1"/>
      <c r="AU4508" s="1"/>
      <c r="AV4508" s="1"/>
      <c r="AW4508" s="1"/>
      <c r="AX4508" s="1"/>
      <c r="AY4508" s="1"/>
      <c r="AZ4508" s="1"/>
      <c r="BA4508" s="1"/>
      <c r="BB4508" s="1"/>
      <c r="BC4508" s="44"/>
      <c r="BD4508" s="44"/>
      <c r="BE4508" s="44"/>
      <c r="BF4508" s="44"/>
      <c r="BG4508" s="44"/>
      <c r="BH4508" s="44"/>
      <c r="BI4508" s="44"/>
      <c r="BJ4508" s="44"/>
      <c r="BK4508" s="1"/>
    </row>
    <row r="4509" spans="1:63" s="70" customFormat="1" ht="12" customHeight="1" x14ac:dyDescent="0.2">
      <c r="A4509" s="1" t="s">
        <v>14163</v>
      </c>
      <c r="B4509" s="1">
        <v>24</v>
      </c>
      <c r="C4509" s="1" t="s">
        <v>20</v>
      </c>
      <c r="D4509" s="1" t="s">
        <v>85</v>
      </c>
      <c r="E4509" s="1" t="s">
        <v>14164</v>
      </c>
      <c r="F4509" s="72">
        <v>41531</v>
      </c>
      <c r="G4509" s="1" t="s">
        <v>14165</v>
      </c>
      <c r="H4509" s="1" t="s">
        <v>4191</v>
      </c>
      <c r="I4509" s="1" t="s">
        <v>366</v>
      </c>
      <c r="J4509" s="4">
        <v>28215</v>
      </c>
      <c r="K4509" s="1" t="s">
        <v>4193</v>
      </c>
      <c r="L4509" s="1" t="s">
        <v>4194</v>
      </c>
      <c r="M4509" s="1" t="s">
        <v>27</v>
      </c>
      <c r="N4509" s="1" t="s">
        <v>14166</v>
      </c>
      <c r="O4509" s="1" t="s">
        <v>29627</v>
      </c>
      <c r="P4509" s="1" t="s">
        <v>29633</v>
      </c>
      <c r="Q4509" s="63" t="s">
        <v>14167</v>
      </c>
      <c r="R4509" s="1" t="s">
        <v>100</v>
      </c>
      <c r="S4509" s="13" t="s">
        <v>18</v>
      </c>
      <c r="T4509" s="1"/>
      <c r="U4509" s="1"/>
      <c r="V4509" s="1"/>
      <c r="W4509" s="1"/>
      <c r="X4509" s="1"/>
      <c r="Y4509" s="1"/>
      <c r="Z4509" s="1"/>
      <c r="AA4509" s="1"/>
      <c r="AB4509" s="1"/>
      <c r="AC4509" s="1"/>
      <c r="AD4509" s="1"/>
      <c r="AE4509" s="1"/>
      <c r="AF4509" s="1"/>
      <c r="AG4509" s="1"/>
      <c r="AH4509" s="1"/>
      <c r="AI4509" s="1"/>
      <c r="AJ4509" s="1"/>
      <c r="AK4509" s="1"/>
      <c r="AL4509" s="1"/>
      <c r="AM4509" s="1"/>
      <c r="AN4509" s="1"/>
      <c r="AO4509" s="1"/>
      <c r="AP4509" s="1"/>
      <c r="AQ4509" s="1"/>
      <c r="AR4509" s="1"/>
      <c r="AS4509" s="1"/>
      <c r="AT4509" s="1"/>
      <c r="AU4509" s="1"/>
      <c r="AV4509" s="1"/>
      <c r="AW4509" s="1"/>
      <c r="AX4509" s="11"/>
      <c r="AY4509" s="11"/>
      <c r="AZ4509" s="1"/>
      <c r="BA4509" s="1"/>
      <c r="BB4509" s="1"/>
      <c r="BC4509" s="44"/>
      <c r="BD4509" s="44"/>
      <c r="BE4509" s="44"/>
      <c r="BF4509" s="44"/>
      <c r="BG4509" s="44"/>
      <c r="BH4509" s="44"/>
      <c r="BI4509" s="44"/>
      <c r="BJ4509" s="44"/>
      <c r="BK4509" s="1"/>
    </row>
    <row r="4510" spans="1:63" s="70" customFormat="1" ht="12" customHeight="1" x14ac:dyDescent="0.2">
      <c r="A4510" s="1" t="s">
        <v>14185</v>
      </c>
      <c r="B4510" s="1">
        <v>55</v>
      </c>
      <c r="C4510" s="1" t="s">
        <v>20</v>
      </c>
      <c r="D4510" s="1" t="s">
        <v>37</v>
      </c>
      <c r="E4510" s="1" t="s">
        <v>14186</v>
      </c>
      <c r="F4510" s="72">
        <v>41531</v>
      </c>
      <c r="G4510" s="1" t="s">
        <v>14187</v>
      </c>
      <c r="H4510" s="1" t="s">
        <v>1100</v>
      </c>
      <c r="I4510" s="1" t="s">
        <v>404</v>
      </c>
      <c r="J4510" s="4" t="s">
        <v>14188</v>
      </c>
      <c r="K4510" s="1" t="s">
        <v>1100</v>
      </c>
      <c r="L4510" s="1" t="s">
        <v>1101</v>
      </c>
      <c r="M4510" s="1" t="s">
        <v>379</v>
      </c>
      <c r="N4510" s="1" t="s">
        <v>14189</v>
      </c>
      <c r="O4510" s="1" t="s">
        <v>29656</v>
      </c>
      <c r="P4510" s="1" t="s">
        <v>29656</v>
      </c>
      <c r="Q4510" s="63" t="s">
        <v>14190</v>
      </c>
      <c r="R4510" s="1" t="s">
        <v>100</v>
      </c>
      <c r="S4510" s="66" t="s">
        <v>379</v>
      </c>
      <c r="T4510" s="66" t="s">
        <v>30738</v>
      </c>
      <c r="U4510" s="1"/>
      <c r="V4510" s="1"/>
      <c r="W4510" s="1"/>
      <c r="X4510" s="1"/>
      <c r="Y4510" s="1"/>
      <c r="Z4510" s="1"/>
      <c r="AA4510" s="1"/>
      <c r="AB4510" s="1"/>
      <c r="AC4510" s="1"/>
      <c r="AD4510" s="1"/>
      <c r="AE4510" s="1"/>
      <c r="AF4510" s="1"/>
      <c r="AG4510" s="1"/>
      <c r="AH4510" s="1"/>
      <c r="AI4510" s="1"/>
      <c r="AJ4510" s="1"/>
      <c r="AK4510" s="1"/>
      <c r="AL4510" s="1"/>
      <c r="AM4510" s="1"/>
      <c r="AN4510" s="1"/>
      <c r="AO4510" s="1"/>
      <c r="AP4510" s="1"/>
      <c r="AQ4510" s="1"/>
      <c r="AR4510" s="1"/>
      <c r="AS4510" s="1"/>
      <c r="AT4510" s="1"/>
      <c r="AU4510" s="1"/>
      <c r="AV4510" s="1"/>
      <c r="AW4510" s="1"/>
      <c r="AX4510" s="1"/>
      <c r="AY4510" s="1"/>
      <c r="AZ4510" s="1"/>
      <c r="BA4510" s="1"/>
      <c r="BB4510" s="1"/>
      <c r="BC4510" s="44"/>
      <c r="BD4510" s="44"/>
      <c r="BE4510" s="44"/>
      <c r="BF4510" s="44"/>
      <c r="BG4510" s="44"/>
      <c r="BH4510" s="44"/>
      <c r="BI4510" s="44"/>
      <c r="BJ4510" s="44"/>
      <c r="BK4510" s="1"/>
    </row>
    <row r="4511" spans="1:63" s="70" customFormat="1" ht="12" customHeight="1" x14ac:dyDescent="0.2">
      <c r="A4511" s="1" t="s">
        <v>14191</v>
      </c>
      <c r="B4511" s="1" t="s">
        <v>10109</v>
      </c>
      <c r="C4511" s="1" t="s">
        <v>20</v>
      </c>
      <c r="D4511" s="1" t="s">
        <v>48</v>
      </c>
      <c r="E4511" s="1" t="s">
        <v>14192</v>
      </c>
      <c r="F4511" s="72">
        <v>41530</v>
      </c>
      <c r="G4511" s="1" t="s">
        <v>24515</v>
      </c>
      <c r="H4511" s="1" t="s">
        <v>783</v>
      </c>
      <c r="I4511" s="1" t="s">
        <v>45</v>
      </c>
      <c r="J4511" s="4" t="s">
        <v>12900</v>
      </c>
      <c r="K4511" s="1" t="s">
        <v>783</v>
      </c>
      <c r="L4511" s="1" t="s">
        <v>5936</v>
      </c>
      <c r="M4511" s="1" t="s">
        <v>27</v>
      </c>
      <c r="N4511" s="1" t="s">
        <v>14193</v>
      </c>
      <c r="O4511" s="1" t="s">
        <v>29</v>
      </c>
      <c r="P4511" s="1" t="s">
        <v>401</v>
      </c>
      <c r="Q4511" s="63" t="s">
        <v>14194</v>
      </c>
      <c r="R4511" s="1" t="s">
        <v>555</v>
      </c>
      <c r="S4511" s="13" t="s">
        <v>28</v>
      </c>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c r="AR4511" s="1"/>
      <c r="AS4511" s="1"/>
      <c r="AT4511" s="1"/>
      <c r="AU4511" s="1"/>
      <c r="AV4511" s="1"/>
      <c r="AW4511" s="1"/>
      <c r="AX4511" s="1"/>
      <c r="AY4511" s="1"/>
      <c r="AZ4511" s="1"/>
      <c r="BA4511" s="11"/>
      <c r="BB4511" s="11"/>
      <c r="BC4511" s="1"/>
      <c r="BD4511" s="1"/>
      <c r="BE4511" s="1"/>
      <c r="BF4511" s="1"/>
      <c r="BG4511" s="1"/>
      <c r="BH4511" s="1"/>
      <c r="BI4511" s="1"/>
      <c r="BJ4511" s="1"/>
      <c r="BK4511" s="1"/>
    </row>
    <row r="4512" spans="1:63" s="70" customFormat="1" ht="12" customHeight="1" x14ac:dyDescent="0.2">
      <c r="A4512" s="1" t="s">
        <v>14195</v>
      </c>
      <c r="B4512" s="1">
        <v>36</v>
      </c>
      <c r="C4512" s="1" t="s">
        <v>20</v>
      </c>
      <c r="D4512" s="1" t="s">
        <v>48</v>
      </c>
      <c r="E4512" s="1" t="s">
        <v>14196</v>
      </c>
      <c r="F4512" s="72">
        <v>41529</v>
      </c>
      <c r="G4512" s="1" t="s">
        <v>14197</v>
      </c>
      <c r="H4512" s="1" t="s">
        <v>3905</v>
      </c>
      <c r="I4512" s="1" t="s">
        <v>123</v>
      </c>
      <c r="J4512" s="4" t="s">
        <v>3906</v>
      </c>
      <c r="K4512" s="1" t="s">
        <v>633</v>
      </c>
      <c r="L4512" s="1" t="s">
        <v>3907</v>
      </c>
      <c r="M4512" s="1" t="s">
        <v>27</v>
      </c>
      <c r="N4512" s="1" t="s">
        <v>14198</v>
      </c>
      <c r="O4512" s="1" t="s">
        <v>550</v>
      </c>
      <c r="P4512" s="1" t="s">
        <v>401</v>
      </c>
      <c r="Q4512" s="63" t="s">
        <v>14199</v>
      </c>
      <c r="R4512" s="1" t="s">
        <v>29</v>
      </c>
      <c r="S4512" s="13" t="s">
        <v>28</v>
      </c>
      <c r="T4512" s="1"/>
      <c r="U4512" s="1"/>
      <c r="V4512" s="1"/>
      <c r="W4512" s="1"/>
      <c r="X4512" s="1"/>
      <c r="Y4512" s="1"/>
      <c r="Z4512" s="1"/>
      <c r="AA4512" s="1"/>
      <c r="AB4512" s="1"/>
      <c r="AC4512" s="1"/>
      <c r="AD4512" s="1"/>
      <c r="AE4512" s="1"/>
      <c r="AF4512" s="1"/>
      <c r="AG4512" s="1"/>
      <c r="AH4512" s="1"/>
      <c r="AI4512" s="1"/>
      <c r="AJ4512" s="1"/>
      <c r="AK4512" s="1"/>
      <c r="AL4512" s="1"/>
      <c r="AM4512" s="1"/>
      <c r="AN4512" s="1"/>
      <c r="AO4512" s="1"/>
      <c r="AP4512" s="1"/>
      <c r="AQ4512" s="1"/>
      <c r="AR4512" s="1"/>
      <c r="AS4512" s="1"/>
      <c r="AT4512" s="1"/>
      <c r="AU4512" s="1"/>
      <c r="AV4512" s="1"/>
      <c r="AW4512" s="1"/>
      <c r="AX4512" s="1"/>
      <c r="AY4512" s="1"/>
      <c r="AZ4512" s="1"/>
      <c r="BA4512" s="1"/>
      <c r="BB4512" s="1"/>
      <c r="BC4512" s="1"/>
      <c r="BD4512" s="1"/>
      <c r="BE4512" s="1"/>
      <c r="BF4512" s="1"/>
      <c r="BG4512" s="1"/>
      <c r="BH4512" s="1"/>
      <c r="BI4512" s="1"/>
      <c r="BJ4512" s="1"/>
      <c r="BK4512" s="1"/>
    </row>
    <row r="4513" spans="1:63" s="70" customFormat="1" ht="12" customHeight="1" x14ac:dyDescent="0.2">
      <c r="A4513" s="1" t="s">
        <v>14200</v>
      </c>
      <c r="B4513" s="1">
        <v>66</v>
      </c>
      <c r="C4513" s="1" t="s">
        <v>20</v>
      </c>
      <c r="D4513" s="1" t="s">
        <v>37</v>
      </c>
      <c r="E4513" s="1"/>
      <c r="F4513" s="72">
        <v>41529</v>
      </c>
      <c r="G4513" s="1" t="s">
        <v>14201</v>
      </c>
      <c r="H4513" s="1" t="s">
        <v>14202</v>
      </c>
      <c r="I4513" s="1" t="s">
        <v>45</v>
      </c>
      <c r="J4513" s="4" t="s">
        <v>10317</v>
      </c>
      <c r="K4513" s="1" t="s">
        <v>783</v>
      </c>
      <c r="L4513" s="1" t="s">
        <v>14203</v>
      </c>
      <c r="M4513" s="1" t="s">
        <v>27</v>
      </c>
      <c r="N4513" s="1" t="s">
        <v>14204</v>
      </c>
      <c r="O4513" s="1" t="s">
        <v>1010</v>
      </c>
      <c r="P4513" s="1" t="s">
        <v>401</v>
      </c>
      <c r="Q4513" s="63" t="s">
        <v>14205</v>
      </c>
      <c r="R4513" s="1" t="s">
        <v>29</v>
      </c>
      <c r="S4513" s="13" t="s">
        <v>28</v>
      </c>
      <c r="T4513" s="1"/>
      <c r="U4513" s="1"/>
      <c r="V4513" s="1"/>
      <c r="W4513" s="1"/>
      <c r="X4513" s="1"/>
      <c r="Y4513" s="1"/>
      <c r="Z4513" s="1"/>
      <c r="AA4513" s="1"/>
      <c r="AB4513" s="1"/>
      <c r="AC4513" s="1"/>
      <c r="AD4513" s="1"/>
      <c r="AE4513" s="1"/>
      <c r="AF4513" s="1"/>
      <c r="AG4513" s="1"/>
      <c r="AH4513" s="1"/>
      <c r="AI4513" s="1"/>
      <c r="AJ4513" s="1"/>
      <c r="AK4513" s="1"/>
      <c r="AL4513" s="1"/>
      <c r="AM4513" s="1"/>
      <c r="AN4513" s="1"/>
      <c r="AO4513" s="1"/>
      <c r="AP4513" s="1"/>
      <c r="AQ4513" s="1"/>
      <c r="AR4513" s="1"/>
      <c r="AS4513" s="1"/>
      <c r="AT4513" s="1"/>
      <c r="AU4513" s="1"/>
      <c r="AV4513" s="1"/>
      <c r="AW4513" s="1"/>
      <c r="AX4513" s="1"/>
      <c r="AY4513" s="1"/>
      <c r="AZ4513" s="1"/>
      <c r="BA4513" s="1"/>
      <c r="BB4513" s="1"/>
      <c r="BC4513" s="44"/>
      <c r="BD4513" s="44"/>
      <c r="BE4513" s="44"/>
      <c r="BF4513" s="44"/>
      <c r="BG4513" s="44"/>
      <c r="BH4513" s="44"/>
      <c r="BI4513" s="44"/>
      <c r="BJ4513" s="44"/>
      <c r="BK4513" s="1"/>
    </row>
    <row r="4514" spans="1:63" s="70" customFormat="1" ht="12" customHeight="1" x14ac:dyDescent="0.2">
      <c r="A4514" s="1" t="s">
        <v>14206</v>
      </c>
      <c r="B4514" s="1">
        <v>31</v>
      </c>
      <c r="C4514" s="1" t="s">
        <v>20</v>
      </c>
      <c r="D4514" s="1" t="s">
        <v>85</v>
      </c>
      <c r="E4514" s="1" t="s">
        <v>14207</v>
      </c>
      <c r="F4514" s="72">
        <v>41527</v>
      </c>
      <c r="G4514" s="1" t="s">
        <v>14208</v>
      </c>
      <c r="H4514" s="1" t="s">
        <v>14209</v>
      </c>
      <c r="I4514" s="1" t="s">
        <v>52</v>
      </c>
      <c r="J4514" s="4" t="s">
        <v>14210</v>
      </c>
      <c r="K4514" s="1" t="s">
        <v>3182</v>
      </c>
      <c r="L4514" s="1" t="s">
        <v>14211</v>
      </c>
      <c r="M4514" s="1" t="s">
        <v>27</v>
      </c>
      <c r="N4514" s="1" t="s">
        <v>14212</v>
      </c>
      <c r="O4514" s="1"/>
      <c r="P4514" s="1" t="s">
        <v>401</v>
      </c>
      <c r="Q4514" s="63" t="s">
        <v>14213</v>
      </c>
      <c r="R4514" s="1" t="s">
        <v>100</v>
      </c>
      <c r="S4514" s="13" t="s">
        <v>28</v>
      </c>
      <c r="T4514" s="1"/>
      <c r="U4514" s="1"/>
      <c r="V4514" s="1"/>
      <c r="W4514" s="1"/>
      <c r="X4514" s="1"/>
      <c r="Y4514" s="1"/>
      <c r="Z4514" s="1"/>
      <c r="AA4514" s="1"/>
      <c r="AB4514" s="1"/>
      <c r="AC4514" s="1"/>
      <c r="AD4514" s="1"/>
      <c r="AE4514" s="1"/>
      <c r="AF4514" s="1"/>
      <c r="AG4514" s="1"/>
      <c r="AH4514" s="1"/>
      <c r="AI4514" s="1"/>
      <c r="AJ4514" s="1"/>
      <c r="AK4514" s="1"/>
      <c r="AL4514" s="1"/>
      <c r="AM4514" s="1"/>
      <c r="AN4514" s="1"/>
      <c r="AO4514" s="1"/>
      <c r="AP4514" s="1"/>
      <c r="AQ4514" s="1"/>
      <c r="AR4514" s="1"/>
      <c r="AS4514" s="1"/>
      <c r="AT4514" s="1"/>
      <c r="AU4514" s="1"/>
      <c r="AV4514" s="1"/>
      <c r="AW4514" s="1"/>
      <c r="AX4514" s="11"/>
      <c r="AY4514" s="11"/>
      <c r="AZ4514" s="1"/>
      <c r="BA4514" s="1"/>
      <c r="BB4514" s="1"/>
      <c r="BC4514" s="44"/>
      <c r="BD4514" s="44"/>
      <c r="BE4514" s="44"/>
      <c r="BF4514" s="44"/>
      <c r="BG4514" s="44"/>
      <c r="BH4514" s="44"/>
      <c r="BI4514" s="44"/>
      <c r="BJ4514" s="44"/>
      <c r="BK4514" s="1"/>
    </row>
    <row r="4515" spans="1:63" s="70" customFormat="1" ht="12" customHeight="1" x14ac:dyDescent="0.2">
      <c r="A4515" s="1" t="s">
        <v>14214</v>
      </c>
      <c r="B4515" s="1">
        <v>23</v>
      </c>
      <c r="C4515" s="1" t="s">
        <v>20</v>
      </c>
      <c r="D4515" s="1" t="s">
        <v>48</v>
      </c>
      <c r="E4515" s="1" t="s">
        <v>14215</v>
      </c>
      <c r="F4515" s="72">
        <v>41527</v>
      </c>
      <c r="G4515" s="1" t="s">
        <v>14216</v>
      </c>
      <c r="H4515" s="1" t="s">
        <v>98</v>
      </c>
      <c r="I4515" s="1" t="s">
        <v>45</v>
      </c>
      <c r="J4515" s="4" t="s">
        <v>10162</v>
      </c>
      <c r="K4515" s="1" t="s">
        <v>98</v>
      </c>
      <c r="L4515" s="11" t="s">
        <v>414</v>
      </c>
      <c r="M4515" s="1" t="s">
        <v>27</v>
      </c>
      <c r="N4515" s="1" t="s">
        <v>14217</v>
      </c>
      <c r="O4515" s="1" t="s">
        <v>4684</v>
      </c>
      <c r="P4515" s="1" t="s">
        <v>401</v>
      </c>
      <c r="Q4515" s="63" t="s">
        <v>14218</v>
      </c>
      <c r="R4515" s="1" t="s">
        <v>100</v>
      </c>
      <c r="S4515" s="13" t="s">
        <v>28</v>
      </c>
      <c r="T4515" s="1"/>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c r="AQ4515" s="1"/>
      <c r="AR4515" s="1"/>
      <c r="AS4515" s="1"/>
      <c r="AT4515" s="1"/>
      <c r="AU4515" s="1"/>
      <c r="AV4515" s="1"/>
      <c r="AW4515" s="1"/>
      <c r="AX4515" s="1"/>
      <c r="AY4515" s="1"/>
      <c r="AZ4515" s="1"/>
      <c r="BA4515" s="1"/>
      <c r="BB4515" s="1"/>
      <c r="BC4515" s="1"/>
      <c r="BD4515" s="1"/>
      <c r="BE4515" s="1"/>
      <c r="BF4515" s="1"/>
      <c r="BG4515" s="1"/>
      <c r="BH4515" s="1"/>
      <c r="BI4515" s="1"/>
      <c r="BJ4515" s="1"/>
      <c r="BK4515" s="1"/>
    </row>
    <row r="4516" spans="1:63" s="70" customFormat="1" ht="12" customHeight="1" x14ac:dyDescent="0.2">
      <c r="A4516" s="1" t="s">
        <v>14219</v>
      </c>
      <c r="B4516" s="1">
        <v>33</v>
      </c>
      <c r="C4516" s="1" t="s">
        <v>20</v>
      </c>
      <c r="D4516" s="1" t="s">
        <v>48</v>
      </c>
      <c r="E4516" s="1" t="s">
        <v>14220</v>
      </c>
      <c r="F4516" s="72">
        <v>41526</v>
      </c>
      <c r="G4516" s="1" t="s">
        <v>14222</v>
      </c>
      <c r="H4516" s="1" t="s">
        <v>4844</v>
      </c>
      <c r="I4516" s="1" t="s">
        <v>73</v>
      </c>
      <c r="J4516" s="4" t="s">
        <v>14223</v>
      </c>
      <c r="K4516" s="1" t="s">
        <v>1277</v>
      </c>
      <c r="L4516" s="1" t="s">
        <v>1278</v>
      </c>
      <c r="M4516" s="1" t="s">
        <v>27</v>
      </c>
      <c r="N4516" s="1" t="s">
        <v>14224</v>
      </c>
      <c r="O4516" s="1" t="s">
        <v>1010</v>
      </c>
      <c r="P4516" s="1" t="s">
        <v>401</v>
      </c>
      <c r="Q4516" s="63" t="s">
        <v>14221</v>
      </c>
      <c r="R4516" s="1" t="s">
        <v>100</v>
      </c>
      <c r="S4516" s="13" t="s">
        <v>28</v>
      </c>
      <c r="T4516" s="1"/>
      <c r="U4516" s="1"/>
      <c r="V4516" s="1"/>
      <c r="W4516" s="1"/>
      <c r="X4516" s="1"/>
      <c r="Y4516" s="1"/>
      <c r="Z4516" s="1"/>
      <c r="AA4516" s="1"/>
      <c r="AB4516" s="1"/>
      <c r="AC4516" s="1"/>
      <c r="AD4516" s="1"/>
      <c r="AE4516" s="1"/>
      <c r="AF4516" s="1"/>
      <c r="AG4516" s="1"/>
      <c r="AH4516" s="1"/>
      <c r="AI4516" s="1"/>
      <c r="AJ4516" s="1"/>
      <c r="AK4516" s="1"/>
      <c r="AL4516" s="1"/>
      <c r="AM4516" s="1"/>
      <c r="AN4516" s="1"/>
      <c r="AO4516" s="1"/>
      <c r="AP4516" s="1"/>
      <c r="AQ4516" s="1"/>
      <c r="AR4516" s="1"/>
      <c r="AS4516" s="1"/>
      <c r="AT4516" s="1"/>
      <c r="AU4516" s="1"/>
      <c r="AV4516" s="1"/>
      <c r="AW4516" s="1"/>
      <c r="AX4516" s="1"/>
      <c r="AY4516" s="1"/>
      <c r="AZ4516" s="1"/>
      <c r="BA4516" s="1"/>
      <c r="BB4516" s="1"/>
      <c r="BC4516" s="1"/>
      <c r="BD4516" s="1"/>
      <c r="BE4516" s="1"/>
      <c r="BF4516" s="1"/>
      <c r="BG4516" s="1"/>
      <c r="BH4516" s="1"/>
      <c r="BI4516" s="1"/>
      <c r="BJ4516" s="1"/>
      <c r="BK4516" s="1"/>
    </row>
    <row r="4517" spans="1:63" s="70" customFormat="1" ht="12" customHeight="1" x14ac:dyDescent="0.2">
      <c r="A4517" s="1" t="s">
        <v>3252</v>
      </c>
      <c r="B4517" s="1"/>
      <c r="C4517" s="1" t="s">
        <v>20</v>
      </c>
      <c r="D4517" s="1" t="s">
        <v>37</v>
      </c>
      <c r="E4517" s="1"/>
      <c r="F4517" s="72">
        <v>41526</v>
      </c>
      <c r="G4517" s="1" t="s">
        <v>14225</v>
      </c>
      <c r="H4517" s="1" t="s">
        <v>723</v>
      </c>
      <c r="I4517" s="1" t="s">
        <v>73</v>
      </c>
      <c r="J4517" s="4" t="s">
        <v>14226</v>
      </c>
      <c r="K4517" s="1" t="s">
        <v>558</v>
      </c>
      <c r="L4517" s="1" t="s">
        <v>724</v>
      </c>
      <c r="M4517" s="1" t="s">
        <v>27</v>
      </c>
      <c r="N4517" s="1" t="s">
        <v>14227</v>
      </c>
      <c r="O4517" s="1" t="s">
        <v>4684</v>
      </c>
      <c r="P4517" s="1" t="s">
        <v>401</v>
      </c>
      <c r="Q4517" s="63" t="s">
        <v>14228</v>
      </c>
      <c r="R4517" s="1" t="s">
        <v>100</v>
      </c>
      <c r="S4517" s="13" t="s">
        <v>28</v>
      </c>
      <c r="T4517" s="1"/>
      <c r="U4517" s="1"/>
      <c r="V4517" s="1"/>
      <c r="W4517" s="1"/>
      <c r="X4517" s="1"/>
      <c r="Y4517" s="1"/>
      <c r="Z4517" s="1"/>
      <c r="AA4517" s="1"/>
      <c r="AB4517" s="1"/>
      <c r="AC4517" s="1"/>
      <c r="AD4517" s="1"/>
      <c r="AE4517" s="1"/>
      <c r="AF4517" s="1"/>
      <c r="AG4517" s="1"/>
      <c r="AH4517" s="1"/>
      <c r="AI4517" s="1"/>
      <c r="AJ4517" s="1"/>
      <c r="AK4517" s="1"/>
      <c r="AL4517" s="1"/>
      <c r="AM4517" s="1"/>
      <c r="AN4517" s="1"/>
      <c r="AO4517" s="1"/>
      <c r="AP4517" s="1"/>
      <c r="AQ4517" s="1"/>
      <c r="AR4517" s="1"/>
      <c r="AS4517" s="1"/>
      <c r="AT4517" s="1"/>
      <c r="AU4517" s="1"/>
      <c r="AV4517" s="1"/>
      <c r="AW4517" s="1"/>
      <c r="AX4517" s="1"/>
      <c r="AY4517" s="1"/>
      <c r="AZ4517" s="1"/>
      <c r="BA4517" s="1"/>
      <c r="BB4517" s="1"/>
      <c r="BC4517" s="44"/>
      <c r="BD4517" s="44"/>
      <c r="BE4517" s="44"/>
      <c r="BF4517" s="44"/>
      <c r="BG4517" s="44"/>
      <c r="BH4517" s="44"/>
      <c r="BI4517" s="44"/>
      <c r="BJ4517" s="44"/>
      <c r="BK4517" s="1"/>
    </row>
    <row r="4518" spans="1:63" s="70" customFormat="1" ht="12" customHeight="1" x14ac:dyDescent="0.2">
      <c r="A4518" s="1" t="s">
        <v>14229</v>
      </c>
      <c r="B4518" s="1">
        <v>56</v>
      </c>
      <c r="C4518" s="1" t="s">
        <v>20</v>
      </c>
      <c r="D4518" s="1" t="s">
        <v>37</v>
      </c>
      <c r="E4518" s="1"/>
      <c r="F4518" s="72">
        <v>41525</v>
      </c>
      <c r="G4518" s="1" t="s">
        <v>14230</v>
      </c>
      <c r="H4518" s="1" t="s">
        <v>14231</v>
      </c>
      <c r="I4518" s="1" t="s">
        <v>404</v>
      </c>
      <c r="J4518" s="4"/>
      <c r="K4518" s="1" t="s">
        <v>1635</v>
      </c>
      <c r="L4518" s="1" t="s">
        <v>1636</v>
      </c>
      <c r="M4518" s="1" t="s">
        <v>27</v>
      </c>
      <c r="N4518" s="1" t="s">
        <v>29657</v>
      </c>
      <c r="O4518" s="1" t="s">
        <v>20489</v>
      </c>
      <c r="P4518" s="1" t="s">
        <v>20489</v>
      </c>
      <c r="Q4518" s="63" t="str">
        <f>HYPERLINK("http://triblive.com/news/allegheny/4669466-74/officer-police-victim#axzz2eJeAaiTJ","http://triblive.com/news/allegheny/4669466-74/officer-police-victim#axzz2eJeAaiTJ")</f>
        <v>http://triblive.com/news/allegheny/4669466-74/officer-police-victim#axzz2eJeAaiTJ</v>
      </c>
      <c r="R4518" s="1" t="s">
        <v>29</v>
      </c>
      <c r="S4518" s="13" t="s">
        <v>28</v>
      </c>
      <c r="T4518" s="1"/>
      <c r="U4518" s="1"/>
      <c r="V4518" s="1"/>
      <c r="W4518" s="1"/>
      <c r="X4518" s="1"/>
      <c r="Y4518" s="1"/>
      <c r="Z4518" s="1"/>
      <c r="AA4518" s="1"/>
      <c r="AB4518" s="1"/>
      <c r="AC4518" s="1"/>
      <c r="AD4518" s="1"/>
      <c r="AE4518" s="1"/>
      <c r="AF4518" s="1"/>
      <c r="AG4518" s="1"/>
      <c r="AH4518" s="1"/>
      <c r="AI4518" s="1"/>
      <c r="AJ4518" s="1"/>
      <c r="AK4518" s="1"/>
      <c r="AL4518" s="1"/>
      <c r="AM4518" s="1"/>
      <c r="AN4518" s="1"/>
      <c r="AO4518" s="1"/>
      <c r="AP4518" s="1"/>
      <c r="AQ4518" s="1"/>
      <c r="AR4518" s="1"/>
      <c r="AS4518" s="1"/>
      <c r="AT4518" s="1"/>
      <c r="AU4518" s="1"/>
      <c r="AV4518" s="1"/>
      <c r="AW4518" s="1"/>
      <c r="AX4518" s="1"/>
      <c r="AY4518" s="1"/>
      <c r="AZ4518" s="1"/>
      <c r="BA4518" s="1"/>
      <c r="BB4518" s="1"/>
      <c r="BC4518" s="44"/>
      <c r="BD4518" s="44"/>
      <c r="BE4518" s="44"/>
      <c r="BF4518" s="44"/>
      <c r="BG4518" s="44"/>
      <c r="BH4518" s="44"/>
      <c r="BI4518" s="44"/>
      <c r="BJ4518" s="44"/>
      <c r="BK4518" s="1"/>
    </row>
    <row r="4519" spans="1:63" s="70" customFormat="1" ht="12" customHeight="1" x14ac:dyDescent="0.2">
      <c r="A4519" s="1" t="s">
        <v>14232</v>
      </c>
      <c r="B4519" s="1" t="s">
        <v>14233</v>
      </c>
      <c r="C4519" s="1" t="s">
        <v>20</v>
      </c>
      <c r="D4519" s="1" t="s">
        <v>85</v>
      </c>
      <c r="E4519" s="1" t="s">
        <v>14234</v>
      </c>
      <c r="F4519" s="72">
        <v>41524</v>
      </c>
      <c r="G4519" s="1" t="s">
        <v>14235</v>
      </c>
      <c r="H4519" s="1" t="s">
        <v>14236</v>
      </c>
      <c r="I4519" s="1" t="s">
        <v>978</v>
      </c>
      <c r="J4519" s="4" t="s">
        <v>14237</v>
      </c>
      <c r="K4519" s="1" t="s">
        <v>1778</v>
      </c>
      <c r="L4519" s="1" t="s">
        <v>14238</v>
      </c>
      <c r="M4519" s="1" t="s">
        <v>27</v>
      </c>
      <c r="N4519" s="1" t="s">
        <v>14239</v>
      </c>
      <c r="O4519" s="1" t="s">
        <v>550</v>
      </c>
      <c r="P4519" s="1" t="s">
        <v>401</v>
      </c>
      <c r="Q4519" s="63" t="s">
        <v>14240</v>
      </c>
      <c r="R4519" s="1" t="s">
        <v>100</v>
      </c>
      <c r="S4519" s="13" t="s">
        <v>28</v>
      </c>
      <c r="T4519" s="1"/>
      <c r="U4519" s="1"/>
      <c r="V4519" s="1"/>
      <c r="W4519" s="1"/>
      <c r="X4519" s="1"/>
      <c r="Y4519" s="1"/>
      <c r="Z4519" s="1"/>
      <c r="AA4519" s="1"/>
      <c r="AB4519" s="1"/>
      <c r="AC4519" s="1"/>
      <c r="AD4519" s="1"/>
      <c r="AE4519" s="1"/>
      <c r="AF4519" s="1"/>
      <c r="AG4519" s="1"/>
      <c r="AH4519" s="1"/>
      <c r="AI4519" s="44"/>
      <c r="AJ4519" s="44"/>
      <c r="AK4519" s="44"/>
      <c r="AL4519" s="44"/>
      <c r="AM4519" s="1"/>
      <c r="AN4519" s="1"/>
      <c r="AO4519" s="1"/>
      <c r="AP4519" s="1"/>
      <c r="AQ4519" s="1"/>
      <c r="AR4519" s="1"/>
      <c r="AS4519" s="1"/>
      <c r="AT4519" s="1"/>
      <c r="AU4519" s="1"/>
      <c r="AV4519" s="1"/>
      <c r="AW4519" s="1"/>
      <c r="AX4519" s="11"/>
      <c r="AY4519" s="11"/>
      <c r="AZ4519" s="1"/>
      <c r="BA4519" s="1"/>
      <c r="BB4519" s="1"/>
      <c r="BC4519" s="44"/>
      <c r="BD4519" s="44"/>
      <c r="BE4519" s="44"/>
      <c r="BF4519" s="44"/>
      <c r="BG4519" s="44"/>
      <c r="BH4519" s="44"/>
      <c r="BI4519" s="44"/>
      <c r="BJ4519" s="44"/>
      <c r="BK4519" s="1"/>
    </row>
    <row r="4520" spans="1:63" s="70" customFormat="1" ht="12" customHeight="1" x14ac:dyDescent="0.2">
      <c r="A4520" s="1" t="s">
        <v>14255</v>
      </c>
      <c r="B4520" s="1">
        <v>25</v>
      </c>
      <c r="C4520" s="1" t="s">
        <v>20</v>
      </c>
      <c r="D4520" s="1" t="s">
        <v>30</v>
      </c>
      <c r="E4520" s="1"/>
      <c r="F4520" s="72">
        <v>41524</v>
      </c>
      <c r="G4520" s="1" t="s">
        <v>14256</v>
      </c>
      <c r="H4520" s="1" t="s">
        <v>632</v>
      </c>
      <c r="I4520" s="1" t="s">
        <v>123</v>
      </c>
      <c r="J4520" s="4" t="s">
        <v>2804</v>
      </c>
      <c r="K4520" s="1" t="s">
        <v>633</v>
      </c>
      <c r="L4520" s="1" t="s">
        <v>634</v>
      </c>
      <c r="M4520" s="1" t="s">
        <v>27</v>
      </c>
      <c r="N4520" s="1" t="s">
        <v>14257</v>
      </c>
      <c r="O4520" s="1" t="s">
        <v>1010</v>
      </c>
      <c r="P4520" s="1" t="s">
        <v>401</v>
      </c>
      <c r="Q4520" s="63" t="s">
        <v>14258</v>
      </c>
      <c r="R4520" s="1" t="s">
        <v>100</v>
      </c>
      <c r="S4520" s="13" t="s">
        <v>28</v>
      </c>
      <c r="T4520" s="8"/>
      <c r="U4520" s="8"/>
      <c r="V4520" s="8"/>
      <c r="W4520" s="8"/>
      <c r="X4520" s="8"/>
      <c r="Y4520" s="1"/>
      <c r="Z4520" s="1"/>
      <c r="AA4520" s="1"/>
      <c r="AB4520" s="1"/>
      <c r="AC4520" s="1"/>
      <c r="AD4520" s="1"/>
      <c r="AE4520" s="1"/>
      <c r="AF4520" s="1"/>
      <c r="AG4520" s="1"/>
      <c r="AH4520" s="1"/>
      <c r="AI4520" s="1"/>
      <c r="AJ4520" s="1"/>
      <c r="AK4520" s="1"/>
      <c r="AL4520" s="1"/>
      <c r="AM4520" s="1"/>
      <c r="AN4520" s="1"/>
      <c r="AO4520" s="1"/>
      <c r="AP4520" s="1"/>
      <c r="AQ4520" s="1"/>
      <c r="AR4520" s="1"/>
      <c r="AS4520" s="1"/>
      <c r="AT4520" s="1"/>
      <c r="AU4520" s="1"/>
      <c r="AV4520" s="1"/>
      <c r="AW4520" s="1"/>
      <c r="AX4520" s="1"/>
      <c r="AY4520" s="1"/>
      <c r="AZ4520" s="1"/>
      <c r="BA4520" s="1"/>
      <c r="BB4520" s="1"/>
      <c r="BC4520" s="1"/>
      <c r="BD4520" s="1"/>
      <c r="BE4520" s="1"/>
      <c r="BF4520" s="1"/>
      <c r="BG4520" s="1"/>
      <c r="BH4520" s="1"/>
      <c r="BI4520" s="1"/>
      <c r="BJ4520" s="1"/>
      <c r="BK4520" s="1"/>
    </row>
    <row r="4521" spans="1:63" s="70" customFormat="1" ht="12" customHeight="1" x14ac:dyDescent="0.2">
      <c r="A4521" s="1" t="s">
        <v>14266</v>
      </c>
      <c r="B4521" s="1">
        <v>46</v>
      </c>
      <c r="C4521" s="1" t="s">
        <v>20</v>
      </c>
      <c r="D4521" s="1" t="s">
        <v>37</v>
      </c>
      <c r="E4521" s="1" t="s">
        <v>14267</v>
      </c>
      <c r="F4521" s="72">
        <v>41524</v>
      </c>
      <c r="G4521" s="1" t="s">
        <v>14268</v>
      </c>
      <c r="H4521" s="1" t="s">
        <v>2307</v>
      </c>
      <c r="I4521" s="1" t="s">
        <v>62</v>
      </c>
      <c r="J4521" s="4" t="s">
        <v>14269</v>
      </c>
      <c r="K4521" s="1" t="s">
        <v>2309</v>
      </c>
      <c r="L4521" s="1" t="s">
        <v>14047</v>
      </c>
      <c r="M4521" s="1" t="s">
        <v>27</v>
      </c>
      <c r="N4521" s="1" t="s">
        <v>14270</v>
      </c>
      <c r="O4521" s="1" t="s">
        <v>550</v>
      </c>
      <c r="P4521" s="1" t="s">
        <v>401</v>
      </c>
      <c r="Q4521" s="63" t="s">
        <v>14271</v>
      </c>
      <c r="R4521" s="1" t="s">
        <v>100</v>
      </c>
      <c r="S4521" s="13" t="s">
        <v>28</v>
      </c>
      <c r="T4521" s="1"/>
      <c r="U4521" s="1"/>
      <c r="V4521" s="1"/>
      <c r="W4521" s="1"/>
      <c r="X4521" s="1"/>
      <c r="Y4521" s="1"/>
      <c r="Z4521" s="1"/>
      <c r="AA4521" s="1"/>
      <c r="AB4521" s="1"/>
      <c r="AC4521" s="1"/>
      <c r="AD4521" s="1"/>
      <c r="AE4521" s="1"/>
      <c r="AF4521" s="1"/>
      <c r="AG4521" s="1"/>
      <c r="AH4521" s="1"/>
      <c r="AI4521" s="1"/>
      <c r="AJ4521" s="1"/>
      <c r="AK4521" s="1"/>
      <c r="AL4521" s="1"/>
      <c r="AM4521" s="1"/>
      <c r="AN4521" s="1"/>
      <c r="AO4521" s="1"/>
      <c r="AP4521" s="1"/>
      <c r="AQ4521" s="1"/>
      <c r="AR4521" s="1"/>
      <c r="AS4521" s="1"/>
      <c r="AT4521" s="1"/>
      <c r="AU4521" s="1"/>
      <c r="AV4521" s="1"/>
      <c r="AW4521" s="1"/>
      <c r="AX4521" s="1"/>
      <c r="AY4521" s="1"/>
      <c r="AZ4521" s="1"/>
      <c r="BA4521" s="1"/>
      <c r="BB4521" s="1"/>
      <c r="BC4521" s="44"/>
      <c r="BD4521" s="44"/>
      <c r="BE4521" s="44"/>
      <c r="BF4521" s="44"/>
      <c r="BG4521" s="44"/>
      <c r="BH4521" s="44"/>
      <c r="BI4521" s="44"/>
      <c r="BJ4521" s="44"/>
      <c r="BK4521" s="1"/>
    </row>
    <row r="4522" spans="1:63" s="70" customFormat="1" ht="12" customHeight="1" x14ac:dyDescent="0.2">
      <c r="A4522" s="1" t="s">
        <v>14259</v>
      </c>
      <c r="B4522" s="1">
        <v>29</v>
      </c>
      <c r="C4522" s="1" t="s">
        <v>20</v>
      </c>
      <c r="D4522" s="1" t="s">
        <v>37</v>
      </c>
      <c r="E4522" s="1" t="s">
        <v>14260</v>
      </c>
      <c r="F4522" s="72">
        <v>41524</v>
      </c>
      <c r="G4522" s="1" t="s">
        <v>14261</v>
      </c>
      <c r="H4522" s="1" t="s">
        <v>5099</v>
      </c>
      <c r="I4522" s="1" t="s">
        <v>319</v>
      </c>
      <c r="J4522" s="4" t="s">
        <v>14262</v>
      </c>
      <c r="K4522" s="1" t="s">
        <v>420</v>
      </c>
      <c r="L4522" s="1" t="s">
        <v>14263</v>
      </c>
      <c r="M4522" s="1" t="s">
        <v>27</v>
      </c>
      <c r="N4522" s="1" t="s">
        <v>14264</v>
      </c>
      <c r="O4522" s="1" t="s">
        <v>4684</v>
      </c>
      <c r="P4522" s="1" t="s">
        <v>401</v>
      </c>
      <c r="Q4522" s="63" t="s">
        <v>14265</v>
      </c>
      <c r="R4522" s="1" t="s">
        <v>100</v>
      </c>
      <c r="S4522" s="13" t="s">
        <v>28</v>
      </c>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c r="AQ4522" s="1"/>
      <c r="AR4522" s="1"/>
      <c r="AS4522" s="1"/>
      <c r="AT4522" s="1"/>
      <c r="AU4522" s="1"/>
      <c r="AV4522" s="1"/>
      <c r="AW4522" s="1"/>
      <c r="AX4522" s="1"/>
      <c r="AY4522" s="1"/>
      <c r="AZ4522" s="1"/>
      <c r="BA4522" s="1"/>
      <c r="BB4522" s="1"/>
      <c r="BC4522" s="44"/>
      <c r="BD4522" s="44"/>
      <c r="BE4522" s="44"/>
      <c r="BF4522" s="44"/>
      <c r="BG4522" s="44"/>
      <c r="BH4522" s="44"/>
      <c r="BI4522" s="44"/>
      <c r="BJ4522" s="44"/>
      <c r="BK4522" s="1"/>
    </row>
    <row r="4523" spans="1:63" s="70" customFormat="1" ht="12" customHeight="1" x14ac:dyDescent="0.2">
      <c r="A4523" s="1" t="s">
        <v>14245</v>
      </c>
      <c r="B4523" s="1">
        <v>26</v>
      </c>
      <c r="C4523" s="1" t="s">
        <v>20</v>
      </c>
      <c r="D4523" s="1" t="s">
        <v>48</v>
      </c>
      <c r="E4523" s="1" t="s">
        <v>14246</v>
      </c>
      <c r="F4523" s="72">
        <v>41524</v>
      </c>
      <c r="G4523" s="1" t="s">
        <v>14247</v>
      </c>
      <c r="H4523" s="1" t="s">
        <v>98</v>
      </c>
      <c r="I4523" s="1" t="s">
        <v>45</v>
      </c>
      <c r="J4523" s="4" t="s">
        <v>14248</v>
      </c>
      <c r="K4523" s="1" t="s">
        <v>98</v>
      </c>
      <c r="L4523" s="1" t="s">
        <v>99</v>
      </c>
      <c r="M4523" s="1" t="s">
        <v>14359</v>
      </c>
      <c r="N4523" s="1" t="s">
        <v>14249</v>
      </c>
      <c r="O4523" s="1" t="s">
        <v>400</v>
      </c>
      <c r="P4523" s="1" t="s">
        <v>401</v>
      </c>
      <c r="Q4523" s="63" t="s">
        <v>14250</v>
      </c>
      <c r="R4523" s="1" t="s">
        <v>100</v>
      </c>
      <c r="S4523" s="13" t="s">
        <v>18</v>
      </c>
      <c r="T4523" s="1"/>
      <c r="U4523" s="1"/>
      <c r="V4523" s="1"/>
      <c r="W4523" s="1"/>
      <c r="X4523" s="1"/>
      <c r="Y4523" s="1"/>
      <c r="Z4523" s="1"/>
      <c r="AA4523" s="1"/>
      <c r="AB4523" s="1"/>
      <c r="AC4523" s="1"/>
      <c r="AD4523" s="1"/>
      <c r="AE4523" s="1"/>
      <c r="AF4523" s="1"/>
      <c r="AG4523" s="1"/>
      <c r="AH4523" s="1"/>
      <c r="AI4523" s="1"/>
      <c r="AJ4523" s="1"/>
      <c r="AK4523" s="1"/>
      <c r="AL4523" s="1"/>
      <c r="AM4523" s="1"/>
      <c r="AN4523" s="1"/>
      <c r="AO4523" s="1"/>
      <c r="AP4523" s="1"/>
      <c r="AQ4523" s="1"/>
      <c r="AR4523" s="1"/>
      <c r="AS4523" s="1"/>
      <c r="AT4523" s="1"/>
      <c r="AU4523" s="1"/>
      <c r="AV4523" s="1"/>
      <c r="AW4523" s="1"/>
      <c r="AX4523" s="1"/>
      <c r="AY4523" s="1"/>
      <c r="AZ4523" s="1"/>
      <c r="BA4523" s="1"/>
      <c r="BB4523" s="1"/>
      <c r="BC4523" s="1"/>
      <c r="BD4523" s="1"/>
      <c r="BE4523" s="1"/>
      <c r="BF4523" s="1"/>
      <c r="BG4523" s="1"/>
      <c r="BH4523" s="1"/>
      <c r="BI4523" s="1"/>
      <c r="BJ4523" s="1"/>
      <c r="BK4523" s="1"/>
    </row>
    <row r="4524" spans="1:63" s="70" customFormat="1" ht="12" customHeight="1" x14ac:dyDescent="0.2">
      <c r="A4524" s="1" t="s">
        <v>14272</v>
      </c>
      <c r="B4524" s="1">
        <v>21</v>
      </c>
      <c r="C4524" s="1" t="s">
        <v>20</v>
      </c>
      <c r="D4524" s="1" t="s">
        <v>37</v>
      </c>
      <c r="E4524" s="1"/>
      <c r="F4524" s="72">
        <v>41524</v>
      </c>
      <c r="G4524" s="1" t="s">
        <v>14273</v>
      </c>
      <c r="H4524" s="1" t="s">
        <v>3235</v>
      </c>
      <c r="I4524" s="1" t="s">
        <v>45</v>
      </c>
      <c r="J4524" s="4" t="s">
        <v>14274</v>
      </c>
      <c r="K4524" s="1" t="s">
        <v>3235</v>
      </c>
      <c r="L4524" s="1" t="s">
        <v>14275</v>
      </c>
      <c r="M4524" s="1" t="s">
        <v>27</v>
      </c>
      <c r="N4524" s="1" t="s">
        <v>14276</v>
      </c>
      <c r="O4524" s="1" t="s">
        <v>1010</v>
      </c>
      <c r="P4524" s="1" t="s">
        <v>401</v>
      </c>
      <c r="Q4524" s="63" t="s">
        <v>14277</v>
      </c>
      <c r="R4524" s="1" t="s">
        <v>100</v>
      </c>
      <c r="S4524" s="13" t="s">
        <v>18</v>
      </c>
      <c r="T4524" s="1"/>
      <c r="U4524" s="1"/>
      <c r="V4524" s="1"/>
      <c r="W4524" s="1"/>
      <c r="X4524" s="1"/>
      <c r="Y4524" s="1"/>
      <c r="Z4524" s="1"/>
      <c r="AA4524" s="1"/>
      <c r="AB4524" s="1"/>
      <c r="AC4524" s="1"/>
      <c r="AD4524" s="1"/>
      <c r="AE4524" s="1"/>
      <c r="AF4524" s="1"/>
      <c r="AG4524" s="1"/>
      <c r="AH4524" s="1"/>
      <c r="AI4524" s="1"/>
      <c r="AJ4524" s="1"/>
      <c r="AK4524" s="1"/>
      <c r="AL4524" s="1"/>
      <c r="AM4524" s="1"/>
      <c r="AN4524" s="1"/>
      <c r="AO4524" s="1"/>
      <c r="AP4524" s="1"/>
      <c r="AQ4524" s="1"/>
      <c r="AR4524" s="1"/>
      <c r="AS4524" s="1"/>
      <c r="AT4524" s="1"/>
      <c r="AU4524" s="1"/>
      <c r="AV4524" s="1"/>
      <c r="AW4524" s="1"/>
      <c r="AX4524" s="1"/>
      <c r="AY4524" s="1"/>
      <c r="AZ4524" s="1"/>
      <c r="BA4524" s="1"/>
      <c r="BB4524" s="1"/>
      <c r="BC4524" s="44"/>
      <c r="BD4524" s="44"/>
      <c r="BE4524" s="44"/>
      <c r="BF4524" s="44"/>
      <c r="BG4524" s="44"/>
      <c r="BH4524" s="44"/>
      <c r="BI4524" s="44"/>
      <c r="BJ4524" s="44"/>
      <c r="BK4524" s="1"/>
    </row>
    <row r="4525" spans="1:63" s="70" customFormat="1" ht="12" customHeight="1" x14ac:dyDescent="0.2">
      <c r="A4525" s="1" t="s">
        <v>14241</v>
      </c>
      <c r="B4525" s="1">
        <v>28</v>
      </c>
      <c r="C4525" s="1" t="s">
        <v>20</v>
      </c>
      <c r="D4525" s="1" t="s">
        <v>85</v>
      </c>
      <c r="E4525" s="1" t="s">
        <v>14242</v>
      </c>
      <c r="F4525" s="72">
        <v>41524</v>
      </c>
      <c r="G4525" s="1" t="s">
        <v>24516</v>
      </c>
      <c r="H4525" s="1" t="s">
        <v>87</v>
      </c>
      <c r="I4525" s="1" t="s">
        <v>44</v>
      </c>
      <c r="J4525" s="4" t="s">
        <v>7597</v>
      </c>
      <c r="K4525" s="1" t="s">
        <v>88</v>
      </c>
      <c r="L4525" s="1" t="s">
        <v>89</v>
      </c>
      <c r="M4525" s="1" t="s">
        <v>27</v>
      </c>
      <c r="N4525" s="1" t="s">
        <v>14243</v>
      </c>
      <c r="O4525" s="1" t="s">
        <v>400</v>
      </c>
      <c r="P4525" s="1" t="s">
        <v>401</v>
      </c>
      <c r="Q4525" s="63" t="s">
        <v>14244</v>
      </c>
      <c r="R4525" s="1" t="s">
        <v>29</v>
      </c>
      <c r="S4525" s="13" t="s">
        <v>18</v>
      </c>
      <c r="T4525" s="1"/>
      <c r="U4525" s="1"/>
      <c r="V4525" s="1"/>
      <c r="W4525" s="1"/>
      <c r="X4525" s="1"/>
      <c r="Y4525" s="1"/>
      <c r="Z4525" s="1"/>
      <c r="AA4525" s="1"/>
      <c r="AB4525" s="1"/>
      <c r="AC4525" s="1"/>
      <c r="AD4525" s="1"/>
      <c r="AE4525" s="1"/>
      <c r="AF4525" s="1"/>
      <c r="AG4525" s="1"/>
      <c r="AH4525" s="1"/>
      <c r="AI4525" s="1"/>
      <c r="AJ4525" s="1"/>
      <c r="AK4525" s="1"/>
      <c r="AL4525" s="1"/>
      <c r="AM4525" s="1"/>
      <c r="AN4525" s="1"/>
      <c r="AO4525" s="1"/>
      <c r="AP4525" s="1"/>
      <c r="AQ4525" s="1"/>
      <c r="AR4525" s="1"/>
      <c r="AS4525" s="1"/>
      <c r="AT4525" s="1"/>
      <c r="AU4525" s="1"/>
      <c r="AV4525" s="1"/>
      <c r="AW4525" s="1"/>
      <c r="AX4525" s="11"/>
      <c r="AY4525" s="11"/>
      <c r="AZ4525" s="1"/>
      <c r="BA4525" s="1"/>
      <c r="BB4525" s="1"/>
      <c r="BC4525" s="44"/>
      <c r="BD4525" s="44"/>
      <c r="BE4525" s="44"/>
      <c r="BF4525" s="44"/>
      <c r="BG4525" s="44"/>
      <c r="BH4525" s="44"/>
      <c r="BI4525" s="44"/>
      <c r="BJ4525" s="44"/>
      <c r="BK4525" s="1"/>
    </row>
    <row r="4526" spans="1:63" s="70" customFormat="1" ht="12" customHeight="1" x14ac:dyDescent="0.2">
      <c r="A4526" s="1" t="s">
        <v>14251</v>
      </c>
      <c r="B4526" s="1">
        <v>35</v>
      </c>
      <c r="C4526" s="1" t="s">
        <v>20</v>
      </c>
      <c r="D4526" s="1" t="s">
        <v>30</v>
      </c>
      <c r="E4526" s="1"/>
      <c r="F4526" s="72">
        <v>41524</v>
      </c>
      <c r="G4526" s="1" t="s">
        <v>14252</v>
      </c>
      <c r="H4526" s="1" t="s">
        <v>1071</v>
      </c>
      <c r="I4526" s="1" t="s">
        <v>45</v>
      </c>
      <c r="J4526" s="4"/>
      <c r="K4526" s="1" t="s">
        <v>14253</v>
      </c>
      <c r="L4526" s="1" t="s">
        <v>733</v>
      </c>
      <c r="M4526" s="1" t="s">
        <v>5628</v>
      </c>
      <c r="N4526" s="1"/>
      <c r="O4526" s="1"/>
      <c r="P4526" s="1" t="s">
        <v>401</v>
      </c>
      <c r="Q4526" s="63" t="s">
        <v>14254</v>
      </c>
      <c r="R4526" s="1" t="s">
        <v>29</v>
      </c>
      <c r="S4526" s="13" t="s">
        <v>28</v>
      </c>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c r="AQ4526" s="1"/>
      <c r="AR4526" s="1"/>
      <c r="AS4526" s="1"/>
      <c r="AT4526" s="1"/>
      <c r="AU4526" s="1"/>
      <c r="AV4526" s="1"/>
      <c r="AW4526" s="1"/>
      <c r="AX4526" s="1"/>
      <c r="AY4526" s="1"/>
      <c r="AZ4526" s="1"/>
      <c r="BA4526" s="1"/>
      <c r="BB4526" s="1"/>
      <c r="BC4526" s="1"/>
      <c r="BD4526" s="1"/>
      <c r="BE4526" s="1"/>
      <c r="BF4526" s="1"/>
      <c r="BG4526" s="1"/>
      <c r="BH4526" s="1"/>
      <c r="BI4526" s="1"/>
      <c r="BJ4526" s="1"/>
      <c r="BK4526" s="1"/>
    </row>
    <row r="4527" spans="1:63" s="70" customFormat="1" ht="12" customHeight="1" x14ac:dyDescent="0.2">
      <c r="A4527" s="1" t="s">
        <v>14284</v>
      </c>
      <c r="B4527" s="1">
        <v>37</v>
      </c>
      <c r="C4527" s="1" t="s">
        <v>20</v>
      </c>
      <c r="D4527" s="1" t="s">
        <v>85</v>
      </c>
      <c r="E4527" s="1" t="s">
        <v>14285</v>
      </c>
      <c r="F4527" s="72">
        <v>41523</v>
      </c>
      <c r="G4527" s="1" t="s">
        <v>14286</v>
      </c>
      <c r="H4527" s="1" t="s">
        <v>13964</v>
      </c>
      <c r="I4527" s="1" t="s">
        <v>94</v>
      </c>
      <c r="J4527" s="4" t="s">
        <v>14287</v>
      </c>
      <c r="K4527" s="1" t="s">
        <v>13964</v>
      </c>
      <c r="L4527" s="1" t="s">
        <v>14288</v>
      </c>
      <c r="M4527" s="1" t="s">
        <v>27</v>
      </c>
      <c r="N4527" s="1" t="s">
        <v>14289</v>
      </c>
      <c r="O4527" s="1" t="s">
        <v>1010</v>
      </c>
      <c r="P4527" s="1" t="s">
        <v>401</v>
      </c>
      <c r="Q4527" s="63" t="s">
        <v>14290</v>
      </c>
      <c r="R4527" s="1" t="s">
        <v>100</v>
      </c>
      <c r="S4527" s="13" t="s">
        <v>28</v>
      </c>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c r="AQ4527" s="1"/>
      <c r="AR4527" s="1"/>
      <c r="AS4527" s="1"/>
      <c r="AT4527" s="1"/>
      <c r="AU4527" s="1"/>
      <c r="AV4527" s="1"/>
      <c r="AW4527" s="1"/>
      <c r="AX4527" s="11"/>
      <c r="AY4527" s="11"/>
      <c r="AZ4527" s="1"/>
      <c r="BA4527" s="1"/>
      <c r="BB4527" s="1"/>
      <c r="BC4527" s="44"/>
      <c r="BD4527" s="44"/>
      <c r="BE4527" s="44"/>
      <c r="BF4527" s="44"/>
      <c r="BG4527" s="44"/>
      <c r="BH4527" s="44"/>
      <c r="BI4527" s="44"/>
      <c r="BJ4527" s="44"/>
      <c r="BK4527" s="1"/>
    </row>
    <row r="4528" spans="1:63" s="70" customFormat="1" ht="12" customHeight="1" x14ac:dyDescent="0.2">
      <c r="A4528" s="1" t="s">
        <v>14278</v>
      </c>
      <c r="B4528" s="1">
        <v>24</v>
      </c>
      <c r="C4528" s="1" t="s">
        <v>20</v>
      </c>
      <c r="D4528" s="1" t="s">
        <v>85</v>
      </c>
      <c r="E4528" s="1" t="s">
        <v>14279</v>
      </c>
      <c r="F4528" s="72">
        <v>41523</v>
      </c>
      <c r="G4528" s="1" t="s">
        <v>14280</v>
      </c>
      <c r="H4528" s="1" t="s">
        <v>1567</v>
      </c>
      <c r="I4528" s="1" t="s">
        <v>62</v>
      </c>
      <c r="J4528" s="4" t="s">
        <v>14281</v>
      </c>
      <c r="K4528" s="1" t="s">
        <v>638</v>
      </c>
      <c r="L4528" s="1" t="s">
        <v>639</v>
      </c>
      <c r="M4528" s="1" t="s">
        <v>27</v>
      </c>
      <c r="N4528" s="1" t="s">
        <v>14282</v>
      </c>
      <c r="O4528" s="1" t="s">
        <v>550</v>
      </c>
      <c r="P4528" s="1" t="s">
        <v>401</v>
      </c>
      <c r="Q4528" s="63" t="s">
        <v>14283</v>
      </c>
      <c r="R4528" s="1" t="s">
        <v>100</v>
      </c>
      <c r="S4528" s="13" t="s">
        <v>28</v>
      </c>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c r="AQ4528" s="1"/>
      <c r="AR4528" s="1"/>
      <c r="AS4528" s="1"/>
      <c r="AT4528" s="1"/>
      <c r="AU4528" s="1"/>
      <c r="AV4528" s="1"/>
      <c r="AW4528" s="1"/>
      <c r="AX4528" s="11"/>
      <c r="AY4528" s="11"/>
      <c r="AZ4528" s="1"/>
      <c r="BA4528" s="1"/>
      <c r="BB4528" s="1"/>
      <c r="BC4528" s="44"/>
      <c r="BD4528" s="44"/>
      <c r="BE4528" s="44"/>
      <c r="BF4528" s="44"/>
      <c r="BG4528" s="44"/>
      <c r="BH4528" s="44"/>
      <c r="BI4528" s="44"/>
      <c r="BJ4528" s="44"/>
      <c r="BK4528" s="1"/>
    </row>
    <row r="4529" spans="1:63" s="70" customFormat="1" ht="12" customHeight="1" x14ac:dyDescent="0.2">
      <c r="A4529" s="1" t="s">
        <v>14303</v>
      </c>
      <c r="B4529" s="1">
        <v>53</v>
      </c>
      <c r="C4529" s="1" t="s">
        <v>20</v>
      </c>
      <c r="D4529" s="1" t="s">
        <v>37</v>
      </c>
      <c r="E4529" s="1" t="s">
        <v>14297</v>
      </c>
      <c r="F4529" s="72">
        <v>41523</v>
      </c>
      <c r="G4529" s="1" t="s">
        <v>24517</v>
      </c>
      <c r="H4529" s="1" t="s">
        <v>14298</v>
      </c>
      <c r="I4529" s="1" t="s">
        <v>45</v>
      </c>
      <c r="J4529" s="4" t="s">
        <v>14299</v>
      </c>
      <c r="K4529" s="1" t="s">
        <v>3235</v>
      </c>
      <c r="L4529" s="1" t="s">
        <v>14300</v>
      </c>
      <c r="M4529" s="1" t="s">
        <v>27</v>
      </c>
      <c r="N4529" s="1" t="s">
        <v>14304</v>
      </c>
      <c r="O4529" s="1" t="s">
        <v>1010</v>
      </c>
      <c r="P4529" s="1" t="s">
        <v>401</v>
      </c>
      <c r="Q4529" s="63" t="s">
        <v>14305</v>
      </c>
      <c r="R4529" s="1" t="s">
        <v>100</v>
      </c>
      <c r="S4529" s="13" t="s">
        <v>28</v>
      </c>
      <c r="T4529" s="1"/>
      <c r="U4529" s="1"/>
      <c r="V4529" s="1"/>
      <c r="W4529" s="1"/>
      <c r="X4529" s="1"/>
      <c r="Y4529" s="1"/>
      <c r="Z4529" s="1"/>
      <c r="AA4529" s="1"/>
      <c r="AB4529" s="1"/>
      <c r="AC4529" s="1"/>
      <c r="AD4529" s="1"/>
      <c r="AE4529" s="1"/>
      <c r="AF4529" s="1"/>
      <c r="AG4529" s="1"/>
      <c r="AH4529" s="1"/>
      <c r="AI4529" s="1"/>
      <c r="AJ4529" s="1"/>
      <c r="AK4529" s="1"/>
      <c r="AL4529" s="1"/>
      <c r="AM4529" s="1"/>
      <c r="AN4529" s="1"/>
      <c r="AO4529" s="1"/>
      <c r="AP4529" s="1"/>
      <c r="AQ4529" s="1"/>
      <c r="AR4529" s="1"/>
      <c r="AS4529" s="1"/>
      <c r="AT4529" s="1"/>
      <c r="AU4529" s="1"/>
      <c r="AV4529" s="1"/>
      <c r="AW4529" s="1"/>
      <c r="AX4529" s="1"/>
      <c r="AY4529" s="1"/>
      <c r="AZ4529" s="1"/>
      <c r="BA4529" s="1"/>
      <c r="BB4529" s="1"/>
      <c r="BC4529" s="44"/>
      <c r="BD4529" s="44"/>
      <c r="BE4529" s="44"/>
      <c r="BF4529" s="44"/>
      <c r="BG4529" s="44"/>
      <c r="BH4529" s="44"/>
      <c r="BI4529" s="44"/>
      <c r="BJ4529" s="44"/>
      <c r="BK4529" s="1"/>
    </row>
    <row r="4530" spans="1:63" s="70" customFormat="1" ht="12" customHeight="1" x14ac:dyDescent="0.2">
      <c r="A4530" s="1" t="s">
        <v>14296</v>
      </c>
      <c r="B4530" s="1">
        <v>53</v>
      </c>
      <c r="C4530" s="1" t="s">
        <v>20</v>
      </c>
      <c r="D4530" s="1" t="s">
        <v>37</v>
      </c>
      <c r="E4530" s="1" t="s">
        <v>14297</v>
      </c>
      <c r="F4530" s="72">
        <v>41523</v>
      </c>
      <c r="G4530" s="1" t="s">
        <v>24518</v>
      </c>
      <c r="H4530" s="1" t="s">
        <v>14298</v>
      </c>
      <c r="I4530" s="1" t="s">
        <v>45</v>
      </c>
      <c r="J4530" s="4" t="s">
        <v>14299</v>
      </c>
      <c r="K4530" s="1" t="s">
        <v>3235</v>
      </c>
      <c r="L4530" s="1" t="s">
        <v>14300</v>
      </c>
      <c r="M4530" s="1" t="s">
        <v>27</v>
      </c>
      <c r="N4530" s="1" t="s">
        <v>14301</v>
      </c>
      <c r="O4530" s="1" t="s">
        <v>400</v>
      </c>
      <c r="P4530" s="1" t="s">
        <v>401</v>
      </c>
      <c r="Q4530" s="63" t="s">
        <v>14302</v>
      </c>
      <c r="R4530" s="1" t="s">
        <v>100</v>
      </c>
      <c r="S4530" s="13" t="s">
        <v>28</v>
      </c>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c r="AQ4530" s="1"/>
      <c r="AR4530" s="1"/>
      <c r="AS4530" s="1"/>
      <c r="AT4530" s="1"/>
      <c r="AU4530" s="1"/>
      <c r="AV4530" s="1"/>
      <c r="AW4530" s="1"/>
      <c r="AX4530" s="1"/>
      <c r="AY4530" s="1"/>
      <c r="AZ4530" s="1"/>
      <c r="BA4530" s="1"/>
      <c r="BB4530" s="1"/>
      <c r="BC4530" s="44"/>
      <c r="BD4530" s="44"/>
      <c r="BE4530" s="44"/>
      <c r="BF4530" s="44"/>
      <c r="BG4530" s="44"/>
      <c r="BH4530" s="44"/>
      <c r="BI4530" s="44"/>
      <c r="BJ4530" s="44"/>
      <c r="BK4530" s="1"/>
    </row>
    <row r="4531" spans="1:63" s="70" customFormat="1" ht="12" customHeight="1" x14ac:dyDescent="0.2">
      <c r="A4531" s="1" t="s">
        <v>14291</v>
      </c>
      <c r="B4531" s="1">
        <v>32</v>
      </c>
      <c r="C4531" s="1" t="s">
        <v>20</v>
      </c>
      <c r="D4531" s="1" t="s">
        <v>37</v>
      </c>
      <c r="E4531" s="1" t="s">
        <v>14292</v>
      </c>
      <c r="F4531" s="72">
        <v>41523</v>
      </c>
      <c r="G4531" s="1" t="s">
        <v>14293</v>
      </c>
      <c r="H4531" s="1" t="s">
        <v>285</v>
      </c>
      <c r="I4531" s="1" t="s">
        <v>73</v>
      </c>
      <c r="J4531" s="4" t="s">
        <v>7620</v>
      </c>
      <c r="K4531" s="1" t="s">
        <v>285</v>
      </c>
      <c r="L4531" s="1" t="s">
        <v>286</v>
      </c>
      <c r="M4531" s="1" t="s">
        <v>27</v>
      </c>
      <c r="N4531" s="1" t="s">
        <v>14294</v>
      </c>
      <c r="O4531" s="1" t="s">
        <v>1010</v>
      </c>
      <c r="P4531" s="1" t="s">
        <v>401</v>
      </c>
      <c r="Q4531" s="63" t="s">
        <v>14295</v>
      </c>
      <c r="R4531" s="1" t="s">
        <v>29</v>
      </c>
      <c r="S4531" s="13" t="s">
        <v>28</v>
      </c>
      <c r="T4531" s="1"/>
      <c r="U4531" s="1"/>
      <c r="V4531" s="1"/>
      <c r="W4531" s="1"/>
      <c r="X4531" s="1"/>
      <c r="Y4531" s="1"/>
      <c r="Z4531" s="1"/>
      <c r="AA4531" s="1"/>
      <c r="AB4531" s="1"/>
      <c r="AC4531" s="1"/>
      <c r="AD4531" s="1"/>
      <c r="AE4531" s="1"/>
      <c r="AF4531" s="1"/>
      <c r="AG4531" s="1"/>
      <c r="AH4531" s="1"/>
      <c r="AI4531" s="1"/>
      <c r="AJ4531" s="1"/>
      <c r="AK4531" s="1"/>
      <c r="AL4531" s="1"/>
      <c r="AM4531" s="1"/>
      <c r="AN4531" s="1"/>
      <c r="AO4531" s="1"/>
      <c r="AP4531" s="1"/>
      <c r="AQ4531" s="1"/>
      <c r="AR4531" s="1"/>
      <c r="AS4531" s="1"/>
      <c r="AT4531" s="1"/>
      <c r="AU4531" s="1"/>
      <c r="AV4531" s="1"/>
      <c r="AW4531" s="1"/>
      <c r="AX4531" s="1"/>
      <c r="AY4531" s="1"/>
      <c r="AZ4531" s="1"/>
      <c r="BA4531" s="1"/>
      <c r="BB4531" s="1"/>
      <c r="BC4531" s="44"/>
      <c r="BD4531" s="44"/>
      <c r="BE4531" s="44"/>
      <c r="BF4531" s="44"/>
      <c r="BG4531" s="44"/>
      <c r="BH4531" s="44"/>
      <c r="BI4531" s="44"/>
      <c r="BJ4531" s="44"/>
      <c r="BK4531" s="1"/>
    </row>
    <row r="4532" spans="1:63" s="70" customFormat="1" ht="12" customHeight="1" x14ac:dyDescent="0.2">
      <c r="A4532" s="1" t="s">
        <v>14317</v>
      </c>
      <c r="B4532" s="1">
        <v>36</v>
      </c>
      <c r="C4532" s="1" t="s">
        <v>20</v>
      </c>
      <c r="D4532" s="1" t="s">
        <v>85</v>
      </c>
      <c r="E4532" s="1" t="s">
        <v>14318</v>
      </c>
      <c r="F4532" s="72">
        <v>41522</v>
      </c>
      <c r="G4532" s="1" t="s">
        <v>14319</v>
      </c>
      <c r="H4532" s="1" t="s">
        <v>13964</v>
      </c>
      <c r="I4532" s="1" t="s">
        <v>94</v>
      </c>
      <c r="J4532" s="4" t="s">
        <v>14320</v>
      </c>
      <c r="K4532" s="1" t="s">
        <v>13964</v>
      </c>
      <c r="L4532" s="1" t="s">
        <v>14288</v>
      </c>
      <c r="M4532" s="1" t="s">
        <v>27</v>
      </c>
      <c r="N4532" s="1" t="s">
        <v>14321</v>
      </c>
      <c r="O4532" s="1" t="s">
        <v>1010</v>
      </c>
      <c r="P4532" s="1" t="s">
        <v>401</v>
      </c>
      <c r="Q4532" s="63" t="s">
        <v>14322</v>
      </c>
      <c r="R4532" s="1" t="s">
        <v>100</v>
      </c>
      <c r="S4532" s="13" t="s">
        <v>28</v>
      </c>
      <c r="T4532" s="1"/>
      <c r="U4532" s="1"/>
      <c r="V4532" s="1"/>
      <c r="W4532" s="1"/>
      <c r="X4532" s="1"/>
      <c r="Y4532" s="1"/>
      <c r="Z4532" s="1"/>
      <c r="AA4532" s="1"/>
      <c r="AB4532" s="1"/>
      <c r="AC4532" s="1"/>
      <c r="AD4532" s="1"/>
      <c r="AE4532" s="1"/>
      <c r="AF4532" s="1"/>
      <c r="AG4532" s="1"/>
      <c r="AH4532" s="1"/>
      <c r="AI4532" s="1"/>
      <c r="AJ4532" s="1"/>
      <c r="AK4532" s="1"/>
      <c r="AL4532" s="1"/>
      <c r="AM4532" s="1"/>
      <c r="AN4532" s="1"/>
      <c r="AO4532" s="1"/>
      <c r="AP4532" s="1"/>
      <c r="AQ4532" s="1"/>
      <c r="AR4532" s="1"/>
      <c r="AS4532" s="1"/>
      <c r="AT4532" s="1"/>
      <c r="AU4532" s="1"/>
      <c r="AV4532" s="1"/>
      <c r="AW4532" s="1"/>
      <c r="AX4532" s="11"/>
      <c r="AY4532" s="11"/>
      <c r="AZ4532" s="1"/>
      <c r="BA4532" s="1"/>
      <c r="BB4532" s="1"/>
      <c r="BC4532" s="44"/>
      <c r="BD4532" s="44"/>
      <c r="BE4532" s="44"/>
      <c r="BF4532" s="44"/>
      <c r="BG4532" s="44"/>
      <c r="BH4532" s="44"/>
      <c r="BI4532" s="44"/>
      <c r="BJ4532" s="44"/>
      <c r="BK4532" s="1"/>
    </row>
    <row r="4533" spans="1:63" ht="12" customHeight="1" x14ac:dyDescent="0.15">
      <c r="A4533" s="1" t="s">
        <v>14306</v>
      </c>
      <c r="B4533" s="1">
        <v>29</v>
      </c>
      <c r="C4533" s="1" t="s">
        <v>20</v>
      </c>
      <c r="D4533" s="1" t="s">
        <v>85</v>
      </c>
      <c r="F4533" s="72">
        <v>41522</v>
      </c>
      <c r="G4533" s="1" t="s">
        <v>14307</v>
      </c>
      <c r="H4533" s="1" t="s">
        <v>723</v>
      </c>
      <c r="I4533" s="1" t="s">
        <v>73</v>
      </c>
      <c r="J4533" s="4" t="s">
        <v>14308</v>
      </c>
      <c r="K4533" s="1" t="s">
        <v>558</v>
      </c>
      <c r="L4533" s="1" t="s">
        <v>559</v>
      </c>
      <c r="M4533" s="1" t="s">
        <v>27</v>
      </c>
      <c r="N4533" s="1" t="s">
        <v>14309</v>
      </c>
      <c r="O4533" s="1" t="s">
        <v>4684</v>
      </c>
      <c r="P4533" s="1" t="s">
        <v>401</v>
      </c>
      <c r="Q4533" s="63" t="s">
        <v>14310</v>
      </c>
      <c r="R4533" s="1" t="s">
        <v>100</v>
      </c>
      <c r="S4533" s="13" t="s">
        <v>28</v>
      </c>
      <c r="AX4533" s="11"/>
      <c r="AY4533" s="11"/>
      <c r="BC4533" s="44"/>
      <c r="BD4533" s="44"/>
      <c r="BE4533" s="44"/>
      <c r="BF4533" s="44"/>
      <c r="BG4533" s="44"/>
      <c r="BH4533" s="44"/>
      <c r="BI4533" s="44"/>
      <c r="BJ4533" s="44"/>
    </row>
    <row r="4534" spans="1:63" ht="12" customHeight="1" x14ac:dyDescent="0.15">
      <c r="A4534" s="1" t="s">
        <v>3252</v>
      </c>
      <c r="B4534" s="1" t="s">
        <v>29</v>
      </c>
      <c r="C4534" s="1" t="s">
        <v>20</v>
      </c>
      <c r="D4534" s="1" t="s">
        <v>30</v>
      </c>
      <c r="F4534" s="72">
        <v>41522</v>
      </c>
      <c r="G4534" s="1" t="s">
        <v>14323</v>
      </c>
      <c r="H4534" s="1" t="s">
        <v>1916</v>
      </c>
      <c r="I4534" s="1" t="s">
        <v>173</v>
      </c>
      <c r="J4534" s="4" t="s">
        <v>8225</v>
      </c>
      <c r="K4534" s="1" t="s">
        <v>1556</v>
      </c>
      <c r="L4534" s="1" t="s">
        <v>8226</v>
      </c>
      <c r="M4534" s="1" t="s">
        <v>27</v>
      </c>
      <c r="N4534" s="1" t="s">
        <v>14324</v>
      </c>
      <c r="O4534" s="1" t="s">
        <v>1010</v>
      </c>
      <c r="P4534" s="1" t="s">
        <v>401</v>
      </c>
      <c r="Q4534" s="63" t="s">
        <v>14325</v>
      </c>
      <c r="R4534" s="1" t="s">
        <v>100</v>
      </c>
      <c r="S4534" s="13" t="s">
        <v>28</v>
      </c>
    </row>
    <row r="4535" spans="1:63" ht="12" customHeight="1" x14ac:dyDescent="0.15">
      <c r="A4535" s="1" t="s">
        <v>14311</v>
      </c>
      <c r="B4535" s="1">
        <v>30</v>
      </c>
      <c r="C4535" s="1" t="s">
        <v>20</v>
      </c>
      <c r="D4535" s="1" t="s">
        <v>85</v>
      </c>
      <c r="E4535" s="1" t="s">
        <v>14312</v>
      </c>
      <c r="F4535" s="72">
        <v>41522</v>
      </c>
      <c r="G4535" s="1" t="s">
        <v>14313</v>
      </c>
      <c r="H4535" s="1" t="s">
        <v>1272</v>
      </c>
      <c r="I4535" s="1" t="s">
        <v>46</v>
      </c>
      <c r="J4535" s="4" t="s">
        <v>14314</v>
      </c>
      <c r="K4535" s="1" t="s">
        <v>528</v>
      </c>
      <c r="L4535" s="1" t="s">
        <v>1273</v>
      </c>
      <c r="M4535" s="1" t="s">
        <v>27</v>
      </c>
      <c r="N4535" s="1" t="s">
        <v>14315</v>
      </c>
      <c r="O4535" s="1" t="s">
        <v>550</v>
      </c>
      <c r="P4535" s="1" t="s">
        <v>401</v>
      </c>
      <c r="Q4535" s="63" t="s">
        <v>14316</v>
      </c>
      <c r="R4535" s="1" t="s">
        <v>100</v>
      </c>
      <c r="S4535" s="13" t="s">
        <v>35</v>
      </c>
      <c r="AX4535" s="11"/>
      <c r="AY4535" s="11"/>
      <c r="BC4535" s="44"/>
      <c r="BD4535" s="44"/>
      <c r="BE4535" s="44"/>
      <c r="BF4535" s="44"/>
      <c r="BG4535" s="44"/>
      <c r="BH4535" s="44"/>
      <c r="BI4535" s="44"/>
      <c r="BJ4535" s="44"/>
      <c r="BK4535" s="11"/>
    </row>
    <row r="4536" spans="1:63" ht="12" customHeight="1" x14ac:dyDescent="0.15">
      <c r="A4536" s="1" t="s">
        <v>14331</v>
      </c>
      <c r="B4536" s="1">
        <v>34</v>
      </c>
      <c r="C4536" s="1" t="s">
        <v>20</v>
      </c>
      <c r="D4536" s="1" t="s">
        <v>48</v>
      </c>
      <c r="E4536" s="1" t="s">
        <v>14332</v>
      </c>
      <c r="F4536" s="72">
        <v>41521</v>
      </c>
      <c r="G4536" s="1" t="s">
        <v>14333</v>
      </c>
      <c r="H4536" s="1" t="s">
        <v>771</v>
      </c>
      <c r="I4536" s="1" t="s">
        <v>45</v>
      </c>
      <c r="J4536" s="4" t="s">
        <v>9385</v>
      </c>
      <c r="K4536" s="1" t="s">
        <v>607</v>
      </c>
      <c r="L4536" s="1" t="s">
        <v>14334</v>
      </c>
      <c r="M4536" s="1" t="s">
        <v>27</v>
      </c>
      <c r="N4536" s="1" t="s">
        <v>14335</v>
      </c>
      <c r="O4536" s="1" t="s">
        <v>550</v>
      </c>
      <c r="P4536" s="1" t="s">
        <v>401</v>
      </c>
      <c r="Q4536" s="63" t="s">
        <v>14336</v>
      </c>
      <c r="R4536" s="11" t="s">
        <v>964</v>
      </c>
      <c r="S4536" s="13" t="s">
        <v>18</v>
      </c>
    </row>
    <row r="4537" spans="1:63" ht="12" customHeight="1" x14ac:dyDescent="0.15">
      <c r="A4537" s="1" t="s">
        <v>14326</v>
      </c>
      <c r="B4537" s="1">
        <v>25</v>
      </c>
      <c r="C4537" s="1" t="s">
        <v>20</v>
      </c>
      <c r="D4537" s="1" t="s">
        <v>85</v>
      </c>
      <c r="E4537" s="1" t="s">
        <v>14327</v>
      </c>
      <c r="F4537" s="72">
        <v>41521</v>
      </c>
      <c r="G4537" s="1" t="s">
        <v>24519</v>
      </c>
      <c r="H4537" s="1" t="s">
        <v>1592</v>
      </c>
      <c r="I4537" s="1" t="s">
        <v>52</v>
      </c>
      <c r="J4537" s="4" t="s">
        <v>14328</v>
      </c>
      <c r="K4537" s="1" t="s">
        <v>4697</v>
      </c>
      <c r="L4537" s="1" t="s">
        <v>2770</v>
      </c>
      <c r="M4537" s="1" t="s">
        <v>27</v>
      </c>
      <c r="N4537" s="1" t="s">
        <v>14329</v>
      </c>
      <c r="O4537" s="1" t="s">
        <v>4684</v>
      </c>
      <c r="P4537" s="1" t="s">
        <v>401</v>
      </c>
      <c r="Q4537" s="63" t="s">
        <v>14330</v>
      </c>
      <c r="R4537" s="1" t="s">
        <v>100</v>
      </c>
      <c r="S4537" s="13" t="s">
        <v>18</v>
      </c>
      <c r="AX4537" s="11"/>
      <c r="AY4537" s="11"/>
      <c r="BC4537" s="44"/>
      <c r="BD4537" s="44"/>
      <c r="BE4537" s="44"/>
      <c r="BF4537" s="44"/>
      <c r="BG4537" s="44"/>
      <c r="BH4537" s="44"/>
      <c r="BI4537" s="44"/>
      <c r="BJ4537" s="44"/>
    </row>
    <row r="4538" spans="1:63" ht="12" customHeight="1" x14ac:dyDescent="0.15">
      <c r="A4538" s="1" t="s">
        <v>14348</v>
      </c>
      <c r="B4538" s="1">
        <v>53</v>
      </c>
      <c r="C4538" s="1" t="s">
        <v>20</v>
      </c>
      <c r="D4538" s="1" t="s">
        <v>30</v>
      </c>
      <c r="F4538" s="72">
        <v>41520</v>
      </c>
      <c r="G4538" s="1" t="s">
        <v>14349</v>
      </c>
      <c r="H4538" s="1" t="s">
        <v>742</v>
      </c>
      <c r="I4538" s="1" t="s">
        <v>404</v>
      </c>
      <c r="J4538" s="4" t="s">
        <v>14350</v>
      </c>
      <c r="K4538" s="1" t="s">
        <v>1604</v>
      </c>
      <c r="L4538" s="1" t="s">
        <v>14351</v>
      </c>
      <c r="M4538" s="1" t="s">
        <v>27</v>
      </c>
      <c r="N4538" s="1" t="s">
        <v>14352</v>
      </c>
      <c r="O4538" s="1" t="s">
        <v>1010</v>
      </c>
      <c r="P4538" s="1" t="s">
        <v>401</v>
      </c>
      <c r="Q4538" s="63" t="s">
        <v>14353</v>
      </c>
      <c r="R4538" s="1" t="s">
        <v>100</v>
      </c>
      <c r="S4538" s="13" t="s">
        <v>28</v>
      </c>
    </row>
    <row r="4539" spans="1:63" ht="12" customHeight="1" x14ac:dyDescent="0.15">
      <c r="A4539" s="1" t="s">
        <v>14337</v>
      </c>
      <c r="B4539" s="1">
        <v>44</v>
      </c>
      <c r="C4539" s="1" t="s">
        <v>20</v>
      </c>
      <c r="D4539" s="1" t="s">
        <v>85</v>
      </c>
      <c r="E4539" s="1" t="s">
        <v>14338</v>
      </c>
      <c r="F4539" s="72">
        <v>41520</v>
      </c>
      <c r="G4539" s="1" t="s">
        <v>14339</v>
      </c>
      <c r="H4539" s="1" t="s">
        <v>216</v>
      </c>
      <c r="I4539" s="1" t="s">
        <v>217</v>
      </c>
      <c r="J4539" s="4" t="s">
        <v>13619</v>
      </c>
      <c r="K4539" s="1" t="s">
        <v>420</v>
      </c>
      <c r="L4539" s="1" t="s">
        <v>218</v>
      </c>
      <c r="M4539" s="1" t="s">
        <v>14359</v>
      </c>
      <c r="N4539" s="1" t="s">
        <v>14340</v>
      </c>
      <c r="O4539" s="1" t="s">
        <v>1010</v>
      </c>
      <c r="P4539" s="1" t="s">
        <v>401</v>
      </c>
      <c r="Q4539" s="63" t="s">
        <v>14341</v>
      </c>
      <c r="R4539" s="1" t="s">
        <v>100</v>
      </c>
      <c r="S4539" s="13" t="s">
        <v>18</v>
      </c>
      <c r="AX4539" s="44"/>
      <c r="AY4539" s="44"/>
      <c r="BC4539" s="44"/>
      <c r="BD4539" s="44"/>
      <c r="BE4539" s="44"/>
      <c r="BF4539" s="44"/>
      <c r="BG4539" s="44"/>
      <c r="BH4539" s="44"/>
      <c r="BI4539" s="44"/>
      <c r="BJ4539" s="44"/>
    </row>
    <row r="4540" spans="1:63" ht="12" customHeight="1" x14ac:dyDescent="0.15">
      <c r="A4540" s="1" t="s">
        <v>14342</v>
      </c>
      <c r="B4540" s="1">
        <v>31</v>
      </c>
      <c r="C4540" s="1" t="s">
        <v>20</v>
      </c>
      <c r="D4540" s="1" t="s">
        <v>30</v>
      </c>
      <c r="F4540" s="72">
        <v>41520</v>
      </c>
      <c r="G4540" s="1" t="s">
        <v>14343</v>
      </c>
      <c r="H4540" s="1" t="s">
        <v>14344</v>
      </c>
      <c r="I4540" s="1" t="s">
        <v>669</v>
      </c>
      <c r="J4540" s="4" t="s">
        <v>14345</v>
      </c>
      <c r="K4540" s="1" t="s">
        <v>5538</v>
      </c>
      <c r="L4540" s="1" t="s">
        <v>14346</v>
      </c>
      <c r="M4540" s="1" t="s">
        <v>27</v>
      </c>
      <c r="N4540" s="1" t="s">
        <v>14347</v>
      </c>
      <c r="O4540" s="1" t="s">
        <v>550</v>
      </c>
      <c r="P4540" s="1" t="s">
        <v>401</v>
      </c>
      <c r="Q4540" s="6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4540" s="1" t="s">
        <v>100</v>
      </c>
      <c r="S4540" s="13" t="s">
        <v>18</v>
      </c>
    </row>
    <row r="4541" spans="1:63" ht="12" customHeight="1" x14ac:dyDescent="0.15">
      <c r="A4541" s="1" t="s">
        <v>14354</v>
      </c>
      <c r="B4541" s="1">
        <v>52</v>
      </c>
      <c r="C4541" s="1" t="s">
        <v>20</v>
      </c>
      <c r="D4541" s="1" t="s">
        <v>37</v>
      </c>
      <c r="F4541" s="72">
        <v>41520</v>
      </c>
      <c r="G4541" s="1" t="s">
        <v>14355</v>
      </c>
      <c r="H4541" s="1" t="s">
        <v>14356</v>
      </c>
      <c r="I4541" s="1" t="s">
        <v>404</v>
      </c>
      <c r="J4541" s="4" t="s">
        <v>14357</v>
      </c>
      <c r="K4541" s="1" t="s">
        <v>1635</v>
      </c>
      <c r="L4541" s="1" t="s">
        <v>14358</v>
      </c>
      <c r="M4541" s="1" t="s">
        <v>14359</v>
      </c>
      <c r="N4541" s="1" t="s">
        <v>14360</v>
      </c>
      <c r="O4541" s="1" t="s">
        <v>4684</v>
      </c>
      <c r="P4541" s="1" t="s">
        <v>401</v>
      </c>
      <c r="Q4541" s="63" t="s">
        <v>14361</v>
      </c>
      <c r="R4541" s="1" t="s">
        <v>100</v>
      </c>
      <c r="S4541" s="13" t="s">
        <v>18</v>
      </c>
      <c r="AX4541" s="44"/>
      <c r="AY4541" s="44"/>
      <c r="AZ4541" s="44"/>
      <c r="BC4541" s="44"/>
      <c r="BD4541" s="44"/>
      <c r="BE4541" s="44"/>
      <c r="BF4541" s="44"/>
      <c r="BG4541" s="44"/>
      <c r="BH4541" s="44"/>
      <c r="BI4541" s="44"/>
      <c r="BJ4541" s="44"/>
    </row>
    <row r="4542" spans="1:63" ht="12" customHeight="1" x14ac:dyDescent="0.15">
      <c r="A4542" s="1" t="s">
        <v>14389</v>
      </c>
      <c r="B4542" s="1">
        <v>43</v>
      </c>
      <c r="C4542" s="1" t="s">
        <v>20</v>
      </c>
      <c r="D4542" s="1" t="s">
        <v>37</v>
      </c>
      <c r="E4542" s="1" t="s">
        <v>14390</v>
      </c>
      <c r="F4542" s="72">
        <v>41519</v>
      </c>
      <c r="G4542" s="1" t="s">
        <v>14391</v>
      </c>
      <c r="H4542" s="1" t="s">
        <v>14392</v>
      </c>
      <c r="I4542" s="1" t="s">
        <v>62</v>
      </c>
      <c r="J4542" s="4" t="s">
        <v>14393</v>
      </c>
      <c r="K4542" s="1" t="s">
        <v>161</v>
      </c>
      <c r="L4542" s="1" t="s">
        <v>14394</v>
      </c>
      <c r="M4542" s="1" t="s">
        <v>391</v>
      </c>
      <c r="N4542" s="1" t="s">
        <v>14395</v>
      </c>
      <c r="O4542" s="1" t="s">
        <v>1010</v>
      </c>
      <c r="P4542" s="1" t="s">
        <v>401</v>
      </c>
      <c r="Q4542" s="63" t="s">
        <v>14396</v>
      </c>
      <c r="R4542" s="11" t="s">
        <v>964</v>
      </c>
      <c r="S4542" s="13" t="s">
        <v>18</v>
      </c>
      <c r="AU4542" s="11"/>
      <c r="AV4542" s="11"/>
      <c r="AW4542" s="11"/>
      <c r="BC4542" s="44"/>
      <c r="BD4542" s="44"/>
      <c r="BE4542" s="44"/>
      <c r="BF4542" s="44"/>
      <c r="BG4542" s="44"/>
      <c r="BH4542" s="44"/>
      <c r="BI4542" s="44"/>
      <c r="BJ4542" s="44"/>
    </row>
    <row r="4543" spans="1:63" ht="12" customHeight="1" x14ac:dyDescent="0.15">
      <c r="A4543" s="1" t="s">
        <v>3252</v>
      </c>
      <c r="B4543" s="1">
        <v>43</v>
      </c>
      <c r="C4543" s="1" t="s">
        <v>20</v>
      </c>
      <c r="D4543" s="1" t="s">
        <v>30</v>
      </c>
      <c r="F4543" s="72">
        <v>41519</v>
      </c>
      <c r="G4543" s="1" t="s">
        <v>14362</v>
      </c>
      <c r="H4543" s="1" t="s">
        <v>14363</v>
      </c>
      <c r="I4543" s="1" t="s">
        <v>45</v>
      </c>
      <c r="J4543" s="4" t="s">
        <v>14364</v>
      </c>
      <c r="K4543" s="1" t="s">
        <v>1423</v>
      </c>
      <c r="L4543" s="1" t="s">
        <v>14365</v>
      </c>
      <c r="M4543" s="1" t="s">
        <v>27</v>
      </c>
      <c r="N4543" s="1" t="s">
        <v>14366</v>
      </c>
      <c r="O4543" s="1" t="s">
        <v>1010</v>
      </c>
      <c r="P4543" s="1" t="s">
        <v>401</v>
      </c>
      <c r="Q4543" s="63" t="s">
        <v>14367</v>
      </c>
      <c r="R4543" s="1" t="s">
        <v>100</v>
      </c>
      <c r="S4543" s="13" t="s">
        <v>28</v>
      </c>
    </row>
    <row r="4544" spans="1:63" ht="12" customHeight="1" x14ac:dyDescent="0.15">
      <c r="A4544" s="1" t="s">
        <v>14374</v>
      </c>
      <c r="B4544" s="1">
        <v>44</v>
      </c>
      <c r="C4544" s="1" t="s">
        <v>20</v>
      </c>
      <c r="D4544" s="1" t="s">
        <v>37</v>
      </c>
      <c r="E4544" s="1" t="s">
        <v>14375</v>
      </c>
      <c r="F4544" s="72">
        <v>41519</v>
      </c>
      <c r="G4544" s="1" t="s">
        <v>14376</v>
      </c>
      <c r="H4544" s="1" t="s">
        <v>14377</v>
      </c>
      <c r="I4544" s="1" t="s">
        <v>315</v>
      </c>
      <c r="J4544" s="4" t="s">
        <v>14378</v>
      </c>
      <c r="K4544" s="1" t="s">
        <v>2681</v>
      </c>
      <c r="L4544" s="1" t="s">
        <v>2682</v>
      </c>
      <c r="M4544" s="1" t="s">
        <v>27</v>
      </c>
      <c r="N4544" s="1" t="s">
        <v>14379</v>
      </c>
      <c r="O4544" s="1" t="s">
        <v>1010</v>
      </c>
      <c r="P4544" s="1" t="s">
        <v>401</v>
      </c>
      <c r="Q4544" s="63" t="s">
        <v>14380</v>
      </c>
      <c r="R4544" s="1" t="s">
        <v>100</v>
      </c>
      <c r="S4544" s="13" t="s">
        <v>28</v>
      </c>
      <c r="BC4544" s="44"/>
      <c r="BD4544" s="44"/>
      <c r="BE4544" s="44"/>
      <c r="BF4544" s="44"/>
      <c r="BG4544" s="44"/>
      <c r="BH4544" s="44"/>
      <c r="BI4544" s="44"/>
      <c r="BJ4544" s="44"/>
    </row>
    <row r="4545" spans="1:63" ht="12" customHeight="1" x14ac:dyDescent="0.15">
      <c r="A4545" s="1" t="s">
        <v>14397</v>
      </c>
      <c r="B4545" s="1">
        <v>23</v>
      </c>
      <c r="C4545" s="1" t="s">
        <v>20</v>
      </c>
      <c r="D4545" s="1" t="s">
        <v>37</v>
      </c>
      <c r="E4545" s="1" t="s">
        <v>14398</v>
      </c>
      <c r="F4545" s="72">
        <v>41519</v>
      </c>
      <c r="G4545" s="1" t="s">
        <v>14399</v>
      </c>
      <c r="H4545" s="1" t="s">
        <v>13437</v>
      </c>
      <c r="I4545" s="1" t="s">
        <v>62</v>
      </c>
      <c r="J4545" s="4" t="s">
        <v>14269</v>
      </c>
      <c r="K4545" s="1" t="s">
        <v>2309</v>
      </c>
      <c r="L4545" s="1" t="s">
        <v>14047</v>
      </c>
      <c r="M4545" s="1" t="s">
        <v>27</v>
      </c>
      <c r="N4545" s="1" t="s">
        <v>14400</v>
      </c>
      <c r="O4545" s="1" t="s">
        <v>550</v>
      </c>
      <c r="P4545" s="1" t="s">
        <v>401</v>
      </c>
      <c r="Q4545" s="63" t="s">
        <v>14401</v>
      </c>
      <c r="R4545" s="1" t="s">
        <v>29</v>
      </c>
      <c r="S4545" s="13" t="s">
        <v>28</v>
      </c>
      <c r="BC4545" s="44"/>
      <c r="BD4545" s="44"/>
      <c r="BE4545" s="44"/>
      <c r="BF4545" s="44"/>
      <c r="BG4545" s="44"/>
      <c r="BH4545" s="44"/>
      <c r="BI4545" s="44"/>
      <c r="BJ4545" s="44"/>
    </row>
    <row r="4546" spans="1:63" ht="12" customHeight="1" x14ac:dyDescent="0.15">
      <c r="A4546" s="1" t="s">
        <v>14368</v>
      </c>
      <c r="B4546" s="1">
        <v>47</v>
      </c>
      <c r="C4546" s="1" t="s">
        <v>20</v>
      </c>
      <c r="D4546" s="1" t="s">
        <v>30</v>
      </c>
      <c r="F4546" s="72">
        <v>41519</v>
      </c>
      <c r="G4546" s="1" t="s">
        <v>14369</v>
      </c>
      <c r="H4546" s="1" t="s">
        <v>14370</v>
      </c>
      <c r="I4546" s="1" t="s">
        <v>404</v>
      </c>
      <c r="J4546" s="4" t="s">
        <v>14371</v>
      </c>
      <c r="K4546" s="1" t="s">
        <v>1288</v>
      </c>
      <c r="L4546" s="1" t="s">
        <v>9350</v>
      </c>
      <c r="M4546" s="1" t="s">
        <v>27</v>
      </c>
      <c r="N4546" s="1" t="s">
        <v>14372</v>
      </c>
      <c r="O4546" s="1" t="s">
        <v>550</v>
      </c>
      <c r="P4546" s="1" t="s">
        <v>401</v>
      </c>
      <c r="Q4546" s="63" t="s">
        <v>14373</v>
      </c>
      <c r="R4546" s="1" t="s">
        <v>555</v>
      </c>
      <c r="S4546" s="13" t="s">
        <v>28</v>
      </c>
      <c r="BA4546" s="11"/>
      <c r="BB4546" s="11"/>
    </row>
    <row r="4547" spans="1:63" ht="12" customHeight="1" x14ac:dyDescent="0.15">
      <c r="A4547" s="1" t="s">
        <v>14381</v>
      </c>
      <c r="B4547" s="1">
        <v>40</v>
      </c>
      <c r="C4547" s="1" t="s">
        <v>20</v>
      </c>
      <c r="D4547" s="1" t="s">
        <v>37</v>
      </c>
      <c r="E4547" s="1" t="s">
        <v>14382</v>
      </c>
      <c r="F4547" s="72">
        <v>41519</v>
      </c>
      <c r="G4547" s="1" t="s">
        <v>14383</v>
      </c>
      <c r="H4547" s="1" t="s">
        <v>14384</v>
      </c>
      <c r="I4547" s="1" t="s">
        <v>41</v>
      </c>
      <c r="J4547" s="4" t="s">
        <v>14385</v>
      </c>
      <c r="K4547" s="1" t="s">
        <v>849</v>
      </c>
      <c r="L4547" s="1" t="s">
        <v>14386</v>
      </c>
      <c r="M4547" s="1" t="s">
        <v>391</v>
      </c>
      <c r="N4547" s="1" t="s">
        <v>14387</v>
      </c>
      <c r="O4547" s="1" t="s">
        <v>29</v>
      </c>
      <c r="P4547" s="1" t="s">
        <v>401</v>
      </c>
      <c r="Q4547" s="63" t="s">
        <v>14388</v>
      </c>
      <c r="R4547" s="1" t="s">
        <v>555</v>
      </c>
      <c r="S4547" s="13" t="s">
        <v>18</v>
      </c>
      <c r="AU4547" s="11"/>
      <c r="AV4547" s="11"/>
      <c r="AW4547" s="11"/>
      <c r="BC4547" s="44"/>
      <c r="BD4547" s="44"/>
      <c r="BE4547" s="44"/>
      <c r="BF4547" s="44"/>
      <c r="BG4547" s="44"/>
      <c r="BH4547" s="44"/>
      <c r="BI4547" s="44"/>
      <c r="BJ4547" s="44"/>
    </row>
    <row r="4548" spans="1:63" ht="12" customHeight="1" x14ac:dyDescent="0.15">
      <c r="A4548" s="1" t="s">
        <v>3252</v>
      </c>
      <c r="B4548" s="1">
        <v>28</v>
      </c>
      <c r="C4548" s="1" t="s">
        <v>20</v>
      </c>
      <c r="D4548" s="1" t="s">
        <v>48</v>
      </c>
      <c r="F4548" s="72">
        <v>41518</v>
      </c>
      <c r="G4548" s="1" t="s">
        <v>14406</v>
      </c>
      <c r="H4548" s="1" t="s">
        <v>723</v>
      </c>
      <c r="I4548" s="1" t="s">
        <v>73</v>
      </c>
      <c r="J4548" s="4" t="s">
        <v>6834</v>
      </c>
      <c r="K4548" s="1" t="s">
        <v>558</v>
      </c>
      <c r="L4548" s="1" t="s">
        <v>724</v>
      </c>
      <c r="M4548" s="1" t="s">
        <v>27</v>
      </c>
      <c r="N4548" s="1" t="s">
        <v>14407</v>
      </c>
      <c r="O4548" s="1" t="s">
        <v>550</v>
      </c>
      <c r="P4548" s="1" t="s">
        <v>401</v>
      </c>
      <c r="Q4548" s="63" t="s">
        <v>14408</v>
      </c>
      <c r="R4548" s="1" t="s">
        <v>100</v>
      </c>
      <c r="S4548" s="13" t="s">
        <v>28</v>
      </c>
    </row>
    <row r="4549" spans="1:63" ht="12" customHeight="1" x14ac:dyDescent="0.15">
      <c r="A4549" s="1" t="s">
        <v>14421</v>
      </c>
      <c r="B4549" s="1">
        <v>25</v>
      </c>
      <c r="C4549" s="1" t="s">
        <v>20</v>
      </c>
      <c r="D4549" s="1" t="s">
        <v>942</v>
      </c>
      <c r="E4549" s="1" t="s">
        <v>14422</v>
      </c>
      <c r="F4549" s="72">
        <v>41518</v>
      </c>
      <c r="G4549" s="1" t="s">
        <v>14423</v>
      </c>
      <c r="H4549" s="1" t="s">
        <v>2487</v>
      </c>
      <c r="I4549" s="1" t="s">
        <v>395</v>
      </c>
      <c r="J4549" s="4" t="s">
        <v>6805</v>
      </c>
      <c r="K4549" s="1" t="s">
        <v>2487</v>
      </c>
      <c r="L4549" s="1" t="s">
        <v>2045</v>
      </c>
      <c r="M4549" s="1" t="s">
        <v>27</v>
      </c>
      <c r="N4549" s="1" t="s">
        <v>21033</v>
      </c>
      <c r="O4549" s="1" t="s">
        <v>400</v>
      </c>
      <c r="P4549" s="1" t="s">
        <v>401</v>
      </c>
      <c r="Q4549" s="63" t="s">
        <v>14424</v>
      </c>
      <c r="R4549" s="1" t="s">
        <v>100</v>
      </c>
      <c r="S4549" s="13" t="s">
        <v>35</v>
      </c>
      <c r="BK4549" s="44"/>
    </row>
    <row r="4550" spans="1:63" ht="12" customHeight="1" x14ac:dyDescent="0.15">
      <c r="A4550" s="1" t="s">
        <v>14402</v>
      </c>
      <c r="B4550" s="1">
        <v>27</v>
      </c>
      <c r="C4550" s="1" t="s">
        <v>20</v>
      </c>
      <c r="D4550" s="1" t="s">
        <v>48</v>
      </c>
      <c r="E4550" s="1" t="s">
        <v>14403</v>
      </c>
      <c r="F4550" s="72">
        <v>41518</v>
      </c>
      <c r="G4550" s="1" t="s">
        <v>24520</v>
      </c>
      <c r="H4550" s="1" t="s">
        <v>7082</v>
      </c>
      <c r="I4550" s="1" t="s">
        <v>217</v>
      </c>
      <c r="J4550" s="4" t="s">
        <v>7083</v>
      </c>
      <c r="K4550" s="1" t="s">
        <v>7082</v>
      </c>
      <c r="L4550" s="1" t="s">
        <v>7084</v>
      </c>
      <c r="M4550" s="1" t="s">
        <v>27</v>
      </c>
      <c r="N4550" s="1" t="s">
        <v>14404</v>
      </c>
      <c r="O4550" s="1" t="s">
        <v>550</v>
      </c>
      <c r="P4550" s="1" t="s">
        <v>401</v>
      </c>
      <c r="Q4550" s="63" t="s">
        <v>14405</v>
      </c>
      <c r="R4550" s="1" t="s">
        <v>29</v>
      </c>
      <c r="S4550" s="13" t="s">
        <v>28</v>
      </c>
    </row>
    <row r="4551" spans="1:63" ht="12" customHeight="1" x14ac:dyDescent="0.15">
      <c r="A4551" s="1" t="s">
        <v>14409</v>
      </c>
      <c r="B4551" s="1">
        <v>35</v>
      </c>
      <c r="C4551" s="1" t="s">
        <v>20</v>
      </c>
      <c r="D4551" s="1" t="s">
        <v>48</v>
      </c>
      <c r="E4551" s="1" t="s">
        <v>14410</v>
      </c>
      <c r="F4551" s="72">
        <v>41518</v>
      </c>
      <c r="G4551" s="1" t="s">
        <v>14411</v>
      </c>
      <c r="H4551" s="1" t="s">
        <v>4353</v>
      </c>
      <c r="I4551" s="1" t="s">
        <v>303</v>
      </c>
      <c r="J4551" s="4" t="s">
        <v>4354</v>
      </c>
      <c r="K4551" s="1" t="s">
        <v>1288</v>
      </c>
      <c r="L4551" s="1" t="s">
        <v>4355</v>
      </c>
      <c r="M4551" s="1" t="s">
        <v>14359</v>
      </c>
      <c r="N4551" s="1" t="s">
        <v>14412</v>
      </c>
      <c r="O4551" s="1" t="s">
        <v>550</v>
      </c>
      <c r="P4551" s="1" t="s">
        <v>401</v>
      </c>
      <c r="Q4551" s="63" t="s">
        <v>14413</v>
      </c>
      <c r="R4551" s="1" t="s">
        <v>29</v>
      </c>
      <c r="S4551" s="13" t="s">
        <v>18</v>
      </c>
    </row>
    <row r="4552" spans="1:63" ht="12" customHeight="1" x14ac:dyDescent="0.15">
      <c r="A4552" s="1" t="s">
        <v>14414</v>
      </c>
      <c r="B4552" s="1">
        <v>46</v>
      </c>
      <c r="C4552" s="1" t="s">
        <v>20</v>
      </c>
      <c r="D4552" s="1" t="s">
        <v>48</v>
      </c>
      <c r="E4552" s="1" t="s">
        <v>14415</v>
      </c>
      <c r="F4552" s="72">
        <v>41518</v>
      </c>
      <c r="G4552" s="1" t="s">
        <v>14416</v>
      </c>
      <c r="H4552" s="1" t="s">
        <v>1953</v>
      </c>
      <c r="I4552" s="1" t="s">
        <v>45</v>
      </c>
      <c r="J4552" s="4" t="s">
        <v>14417</v>
      </c>
      <c r="K4552" s="1" t="s">
        <v>1953</v>
      </c>
      <c r="L4552" s="1" t="s">
        <v>14418</v>
      </c>
      <c r="M4552" s="1" t="s">
        <v>27</v>
      </c>
      <c r="N4552" s="1" t="s">
        <v>14419</v>
      </c>
      <c r="O4552" s="1" t="s">
        <v>550</v>
      </c>
      <c r="P4552" s="1" t="s">
        <v>401</v>
      </c>
      <c r="Q4552" s="63" t="s">
        <v>14420</v>
      </c>
      <c r="R4552" s="1" t="s">
        <v>555</v>
      </c>
      <c r="S4552" s="13" t="s">
        <v>28</v>
      </c>
      <c r="BA4552" s="11"/>
      <c r="BB4552" s="11"/>
    </row>
    <row r="4553" spans="1:63" ht="12" customHeight="1" x14ac:dyDescent="0.15">
      <c r="A4553" s="1" t="s">
        <v>14425</v>
      </c>
      <c r="B4553" s="1">
        <v>34</v>
      </c>
      <c r="C4553" s="1" t="s">
        <v>20</v>
      </c>
      <c r="D4553" s="1" t="s">
        <v>37</v>
      </c>
      <c r="E4553" s="1" t="s">
        <v>14426</v>
      </c>
      <c r="F4553" s="72">
        <v>41518</v>
      </c>
      <c r="G4553" s="1" t="s">
        <v>14427</v>
      </c>
      <c r="H4553" s="1" t="s">
        <v>252</v>
      </c>
      <c r="I4553" s="1" t="s">
        <v>32</v>
      </c>
      <c r="J4553" s="4" t="s">
        <v>14428</v>
      </c>
      <c r="K4553" s="1" t="s">
        <v>252</v>
      </c>
      <c r="L4553" s="1" t="s">
        <v>12455</v>
      </c>
      <c r="M4553" s="1" t="s">
        <v>27</v>
      </c>
      <c r="N4553" s="1" t="s">
        <v>14429</v>
      </c>
      <c r="O4553" s="1" t="s">
        <v>550</v>
      </c>
      <c r="P4553" s="1" t="s">
        <v>401</v>
      </c>
      <c r="Q4553" s="63" t="s">
        <v>14430</v>
      </c>
      <c r="R4553" s="1" t="s">
        <v>555</v>
      </c>
      <c r="S4553" s="13" t="s">
        <v>28</v>
      </c>
      <c r="BA4553" s="44"/>
      <c r="BB4553" s="44"/>
      <c r="BC4553" s="44"/>
      <c r="BD4553" s="44"/>
      <c r="BE4553" s="44"/>
      <c r="BF4553" s="44"/>
      <c r="BG4553" s="44"/>
      <c r="BH4553" s="44"/>
      <c r="BI4553" s="44"/>
      <c r="BJ4553" s="44"/>
    </row>
    <row r="4554" spans="1:63" ht="12" customHeight="1" x14ac:dyDescent="0.15">
      <c r="A4554" s="1" t="s">
        <v>14438</v>
      </c>
      <c r="B4554" s="1">
        <v>29</v>
      </c>
      <c r="C4554" s="1" t="s">
        <v>20</v>
      </c>
      <c r="D4554" s="1" t="s">
        <v>37</v>
      </c>
      <c r="E4554" s="1" t="s">
        <v>14439</v>
      </c>
      <c r="F4554" s="72">
        <v>41517</v>
      </c>
      <c r="G4554" s="1" t="s">
        <v>14440</v>
      </c>
      <c r="H4554" s="1" t="s">
        <v>575</v>
      </c>
      <c r="I4554" s="1" t="s">
        <v>73</v>
      </c>
      <c r="J4554" s="4" t="s">
        <v>14441</v>
      </c>
      <c r="K4554" s="1" t="s">
        <v>576</v>
      </c>
      <c r="L4554" s="1" t="s">
        <v>585</v>
      </c>
      <c r="M4554" s="1" t="s">
        <v>27</v>
      </c>
      <c r="N4554" s="1" t="s">
        <v>14442</v>
      </c>
      <c r="O4554" s="1" t="s">
        <v>20489</v>
      </c>
      <c r="P4554" s="1" t="s">
        <v>20489</v>
      </c>
      <c r="Q4554" s="63" t="s">
        <v>14443</v>
      </c>
      <c r="R4554" s="1" t="s">
        <v>100</v>
      </c>
      <c r="S4554" s="13" t="s">
        <v>18</v>
      </c>
      <c r="BC4554" s="44"/>
      <c r="BD4554" s="44"/>
      <c r="BE4554" s="44"/>
      <c r="BF4554" s="44"/>
      <c r="BG4554" s="44"/>
      <c r="BH4554" s="44"/>
      <c r="BI4554" s="44"/>
      <c r="BJ4554" s="44"/>
    </row>
    <row r="4555" spans="1:63" ht="12" customHeight="1" x14ac:dyDescent="0.15">
      <c r="A4555" s="1" t="s">
        <v>14431</v>
      </c>
      <c r="B4555" s="1">
        <v>28</v>
      </c>
      <c r="C4555" s="1" t="s">
        <v>20</v>
      </c>
      <c r="D4555" s="1" t="s">
        <v>85</v>
      </c>
      <c r="E4555" s="1" t="s">
        <v>14432</v>
      </c>
      <c r="F4555" s="72">
        <v>41517</v>
      </c>
      <c r="G4555" s="1" t="s">
        <v>24521</v>
      </c>
      <c r="H4555" s="1" t="s">
        <v>87</v>
      </c>
      <c r="I4555" s="1" t="s">
        <v>44</v>
      </c>
      <c r="J4555" s="4" t="s">
        <v>5294</v>
      </c>
      <c r="K4555" s="1" t="s">
        <v>88</v>
      </c>
      <c r="L4555" s="1" t="s">
        <v>89</v>
      </c>
      <c r="M4555" s="1" t="s">
        <v>27</v>
      </c>
      <c r="N4555" s="1" t="s">
        <v>14433</v>
      </c>
      <c r="O4555" s="1" t="s">
        <v>1010</v>
      </c>
      <c r="P4555" s="1" t="s">
        <v>401</v>
      </c>
      <c r="Q4555" s="63" t="s">
        <v>21034</v>
      </c>
      <c r="R4555" s="1" t="s">
        <v>29</v>
      </c>
      <c r="S4555" s="13" t="s">
        <v>35</v>
      </c>
      <c r="AX4555" s="11"/>
      <c r="AY4555" s="11"/>
      <c r="BC4555" s="44"/>
      <c r="BD4555" s="44"/>
      <c r="BE4555" s="44"/>
      <c r="BF4555" s="44"/>
      <c r="BG4555" s="44"/>
      <c r="BH4555" s="44"/>
      <c r="BI4555" s="44"/>
      <c r="BJ4555" s="44"/>
      <c r="BK4555" s="11"/>
    </row>
    <row r="4556" spans="1:63" ht="12" customHeight="1" x14ac:dyDescent="0.15">
      <c r="A4556" s="1" t="s">
        <v>14434</v>
      </c>
      <c r="B4556" s="1">
        <v>46</v>
      </c>
      <c r="C4556" s="1" t="s">
        <v>20</v>
      </c>
      <c r="D4556" s="1" t="s">
        <v>48</v>
      </c>
      <c r="E4556" s="1" t="s">
        <v>14435</v>
      </c>
      <c r="F4556" s="72">
        <v>41517</v>
      </c>
      <c r="G4556" s="1" t="s">
        <v>24522</v>
      </c>
      <c r="H4556" s="1" t="s">
        <v>13544</v>
      </c>
      <c r="I4556" s="1" t="s">
        <v>45</v>
      </c>
      <c r="J4556" s="4" t="s">
        <v>13545</v>
      </c>
      <c r="K4556" s="1" t="s">
        <v>602</v>
      </c>
      <c r="L4556" s="1" t="s">
        <v>13546</v>
      </c>
      <c r="M4556" s="1" t="s">
        <v>27</v>
      </c>
      <c r="N4556" s="1" t="s">
        <v>14436</v>
      </c>
      <c r="O4556" s="1" t="s">
        <v>29</v>
      </c>
      <c r="P4556" s="1" t="s">
        <v>401</v>
      </c>
      <c r="Q4556" s="63" t="s">
        <v>14437</v>
      </c>
      <c r="R4556" s="1" t="s">
        <v>555</v>
      </c>
      <c r="S4556" s="13" t="s">
        <v>28</v>
      </c>
      <c r="BA4556" s="11"/>
      <c r="BB4556" s="11"/>
    </row>
    <row r="4557" spans="1:63" ht="12" customHeight="1" x14ac:dyDescent="0.15">
      <c r="A4557" s="1" t="s">
        <v>14444</v>
      </c>
      <c r="B4557" s="1" t="s">
        <v>13656</v>
      </c>
      <c r="C4557" s="1" t="s">
        <v>20</v>
      </c>
      <c r="D4557" s="1" t="s">
        <v>48</v>
      </c>
      <c r="E4557" s="1" t="s">
        <v>14445</v>
      </c>
      <c r="F4557" s="72">
        <v>41516</v>
      </c>
      <c r="G4557" s="1" t="s">
        <v>14446</v>
      </c>
      <c r="H4557" s="1" t="s">
        <v>12215</v>
      </c>
      <c r="I4557" s="1" t="s">
        <v>209</v>
      </c>
      <c r="J4557" s="4" t="s">
        <v>12216</v>
      </c>
      <c r="K4557" s="1" t="s">
        <v>1924</v>
      </c>
      <c r="L4557" s="1" t="s">
        <v>12217</v>
      </c>
      <c r="M4557" s="1" t="s">
        <v>27</v>
      </c>
      <c r="N4557" s="1" t="s">
        <v>14447</v>
      </c>
      <c r="O4557" s="1" t="s">
        <v>29</v>
      </c>
      <c r="P4557" s="1" t="s">
        <v>401</v>
      </c>
      <c r="Q4557" s="63" t="s">
        <v>14448</v>
      </c>
      <c r="R4557" s="11" t="s">
        <v>964</v>
      </c>
      <c r="S4557" s="13" t="s">
        <v>28</v>
      </c>
    </row>
    <row r="4558" spans="1:63" ht="12" customHeight="1" x14ac:dyDescent="0.15">
      <c r="A4558" s="1" t="s">
        <v>14449</v>
      </c>
      <c r="B4558" s="1">
        <v>47</v>
      </c>
      <c r="C4558" s="1" t="s">
        <v>20</v>
      </c>
      <c r="D4558" s="1" t="s">
        <v>30</v>
      </c>
      <c r="F4558" s="72">
        <v>41516</v>
      </c>
      <c r="G4558" s="1" t="s">
        <v>14450</v>
      </c>
      <c r="H4558" s="1" t="s">
        <v>984</v>
      </c>
      <c r="I4558" s="1" t="s">
        <v>69</v>
      </c>
      <c r="J4558" s="4" t="s">
        <v>6053</v>
      </c>
      <c r="K4558" s="1" t="s">
        <v>105</v>
      </c>
      <c r="L4558" s="1" t="s">
        <v>14451</v>
      </c>
      <c r="M4558" s="1" t="s">
        <v>27</v>
      </c>
      <c r="N4558" s="1" t="s">
        <v>14452</v>
      </c>
      <c r="O4558" s="1" t="s">
        <v>1010</v>
      </c>
      <c r="P4558" s="1" t="s">
        <v>401</v>
      </c>
      <c r="Q4558" s="63" t="s">
        <v>14453</v>
      </c>
      <c r="R4558" s="1" t="s">
        <v>100</v>
      </c>
      <c r="S4558" s="13" t="s">
        <v>28</v>
      </c>
    </row>
    <row r="4559" spans="1:63" ht="12" customHeight="1" x14ac:dyDescent="0.15">
      <c r="A4559" s="1" t="s">
        <v>14454</v>
      </c>
      <c r="B4559" s="1">
        <v>34</v>
      </c>
      <c r="C4559" s="1" t="s">
        <v>20</v>
      </c>
      <c r="D4559" s="1" t="s">
        <v>37</v>
      </c>
      <c r="F4559" s="72">
        <v>41516</v>
      </c>
      <c r="G4559" s="1" t="s">
        <v>14455</v>
      </c>
      <c r="H4559" s="1" t="s">
        <v>14456</v>
      </c>
      <c r="I4559" s="1" t="s">
        <v>117</v>
      </c>
      <c r="J4559" s="4" t="s">
        <v>14457</v>
      </c>
      <c r="K4559" s="1" t="s">
        <v>12908</v>
      </c>
      <c r="L4559" s="1" t="s">
        <v>2051</v>
      </c>
      <c r="M4559" s="1" t="s">
        <v>27</v>
      </c>
      <c r="N4559" s="1" t="s">
        <v>14458</v>
      </c>
      <c r="O4559" s="1" t="s">
        <v>1010</v>
      </c>
      <c r="P4559" s="1" t="s">
        <v>401</v>
      </c>
      <c r="Q4559" s="63" t="s">
        <v>14459</v>
      </c>
      <c r="R4559" s="1" t="s">
        <v>100</v>
      </c>
      <c r="S4559" s="13" t="s">
        <v>28</v>
      </c>
      <c r="BC4559" s="44"/>
      <c r="BD4559" s="44"/>
      <c r="BE4559" s="44"/>
      <c r="BF4559" s="44"/>
      <c r="BG4559" s="44"/>
      <c r="BH4559" s="44"/>
      <c r="BI4559" s="44"/>
      <c r="BJ4559" s="44"/>
    </row>
    <row r="4560" spans="1:63" ht="12" customHeight="1" x14ac:dyDescent="0.15">
      <c r="A4560" s="1" t="s">
        <v>14460</v>
      </c>
      <c r="B4560" s="1">
        <v>34</v>
      </c>
      <c r="C4560" s="1" t="s">
        <v>20</v>
      </c>
      <c r="D4560" s="1" t="s">
        <v>85</v>
      </c>
      <c r="E4560" s="1" t="s">
        <v>14461</v>
      </c>
      <c r="F4560" s="72">
        <v>41515</v>
      </c>
      <c r="G4560" s="1" t="s">
        <v>14462</v>
      </c>
      <c r="H4560" s="1" t="s">
        <v>14463</v>
      </c>
      <c r="I4560" s="1" t="s">
        <v>117</v>
      </c>
      <c r="J4560" s="4" t="s">
        <v>14464</v>
      </c>
      <c r="K4560" s="1" t="s">
        <v>14465</v>
      </c>
      <c r="L4560" s="1" t="s">
        <v>2051</v>
      </c>
      <c r="M4560" s="1" t="s">
        <v>27</v>
      </c>
      <c r="N4560" s="1" t="s">
        <v>14466</v>
      </c>
      <c r="O4560" s="1" t="s">
        <v>550</v>
      </c>
      <c r="P4560" s="1" t="s">
        <v>401</v>
      </c>
      <c r="Q4560" s="63" t="s">
        <v>14467</v>
      </c>
      <c r="R4560" s="1" t="s">
        <v>100</v>
      </c>
      <c r="S4560" s="13" t="s">
        <v>28</v>
      </c>
      <c r="AX4560" s="11"/>
      <c r="AY4560" s="11"/>
      <c r="BC4560" s="44"/>
      <c r="BD4560" s="44"/>
      <c r="BE4560" s="44"/>
      <c r="BF4560" s="44"/>
      <c r="BG4560" s="44"/>
      <c r="BH4560" s="44"/>
      <c r="BI4560" s="44"/>
      <c r="BJ4560" s="44"/>
    </row>
    <row r="4561" spans="1:63" ht="12" customHeight="1" x14ac:dyDescent="0.15">
      <c r="A4561" s="1" t="s">
        <v>14468</v>
      </c>
      <c r="B4561" s="1">
        <v>73</v>
      </c>
      <c r="C4561" s="1" t="s">
        <v>20</v>
      </c>
      <c r="D4561" s="1" t="s">
        <v>30</v>
      </c>
      <c r="F4561" s="72">
        <v>41515</v>
      </c>
      <c r="G4561" s="1" t="s">
        <v>14469</v>
      </c>
      <c r="H4561" s="1" t="s">
        <v>14470</v>
      </c>
      <c r="I4561" s="1" t="s">
        <v>173</v>
      </c>
      <c r="J4561" s="4" t="s">
        <v>14471</v>
      </c>
      <c r="K4561" s="1" t="s">
        <v>1325</v>
      </c>
      <c r="L4561" s="1" t="s">
        <v>1326</v>
      </c>
      <c r="M4561" s="1" t="s">
        <v>27</v>
      </c>
      <c r="N4561" s="1" t="s">
        <v>14472</v>
      </c>
      <c r="O4561" s="1" t="s">
        <v>550</v>
      </c>
      <c r="P4561" s="1" t="s">
        <v>401</v>
      </c>
      <c r="Q4561" s="63" t="s">
        <v>14473</v>
      </c>
      <c r="R4561" s="1" t="s">
        <v>100</v>
      </c>
      <c r="S4561" s="13" t="s">
        <v>28</v>
      </c>
    </row>
    <row r="4562" spans="1:63" ht="12" customHeight="1" x14ac:dyDescent="0.15">
      <c r="A4562" s="1" t="s">
        <v>14474</v>
      </c>
      <c r="B4562" s="1">
        <v>42</v>
      </c>
      <c r="C4562" s="1" t="s">
        <v>20</v>
      </c>
      <c r="D4562" s="1" t="s">
        <v>30</v>
      </c>
      <c r="F4562" s="72">
        <v>41515</v>
      </c>
      <c r="G4562" s="1" t="s">
        <v>24523</v>
      </c>
      <c r="H4562" s="1" t="s">
        <v>926</v>
      </c>
      <c r="I4562" s="1" t="s">
        <v>73</v>
      </c>
      <c r="J4562" s="4" t="s">
        <v>12885</v>
      </c>
      <c r="K4562" s="1" t="s">
        <v>74</v>
      </c>
      <c r="L4562" s="1" t="s">
        <v>14475</v>
      </c>
      <c r="M4562" s="1" t="s">
        <v>27</v>
      </c>
      <c r="N4562" s="1" t="s">
        <v>14476</v>
      </c>
      <c r="O4562" s="1" t="s">
        <v>550</v>
      </c>
      <c r="P4562" s="1" t="s">
        <v>401</v>
      </c>
      <c r="Q4562" s="63" t="s">
        <v>14477</v>
      </c>
      <c r="R4562" s="1" t="s">
        <v>100</v>
      </c>
      <c r="S4562" s="13" t="s">
        <v>28</v>
      </c>
    </row>
    <row r="4563" spans="1:63" ht="12" customHeight="1" x14ac:dyDescent="0.15">
      <c r="A4563" s="1" t="s">
        <v>14478</v>
      </c>
      <c r="B4563" s="1" t="s">
        <v>13478</v>
      </c>
      <c r="C4563" s="1" t="s">
        <v>20</v>
      </c>
      <c r="D4563" s="1" t="s">
        <v>37</v>
      </c>
      <c r="E4563" s="1" t="s">
        <v>14479</v>
      </c>
      <c r="F4563" s="72">
        <v>41515</v>
      </c>
      <c r="G4563" s="1" t="s">
        <v>14480</v>
      </c>
      <c r="H4563" s="1" t="s">
        <v>4182</v>
      </c>
      <c r="I4563" s="1" t="s">
        <v>244</v>
      </c>
      <c r="J4563" s="4" t="s">
        <v>14481</v>
      </c>
      <c r="K4563" s="1" t="s">
        <v>4411</v>
      </c>
      <c r="L4563" s="1" t="s">
        <v>13273</v>
      </c>
      <c r="M4563" s="1" t="s">
        <v>27</v>
      </c>
      <c r="N4563" s="1" t="s">
        <v>21035</v>
      </c>
      <c r="O4563" s="1" t="s">
        <v>29631</v>
      </c>
      <c r="P4563" s="1" t="s">
        <v>29632</v>
      </c>
      <c r="Q4563" s="6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4563" s="1" t="s">
        <v>100</v>
      </c>
      <c r="S4563" s="13" t="s">
        <v>18</v>
      </c>
      <c r="BC4563" s="44"/>
      <c r="BD4563" s="44"/>
      <c r="BE4563" s="44"/>
      <c r="BF4563" s="44"/>
      <c r="BG4563" s="44"/>
      <c r="BH4563" s="44"/>
      <c r="BI4563" s="44"/>
      <c r="BJ4563" s="44"/>
    </row>
    <row r="4564" spans="1:63" ht="12" customHeight="1" x14ac:dyDescent="0.15">
      <c r="A4564" s="1" t="s">
        <v>14489</v>
      </c>
      <c r="B4564" s="1">
        <v>27</v>
      </c>
      <c r="C4564" s="1" t="s">
        <v>20</v>
      </c>
      <c r="D4564" s="1" t="s">
        <v>85</v>
      </c>
      <c r="E4564" s="1" t="s">
        <v>14490</v>
      </c>
      <c r="F4564" s="72">
        <v>41514</v>
      </c>
      <c r="G4564" s="1" t="s">
        <v>14491</v>
      </c>
      <c r="H4564" s="1" t="s">
        <v>2196</v>
      </c>
      <c r="I4564" s="1" t="s">
        <v>62</v>
      </c>
      <c r="J4564" s="4" t="s">
        <v>2197</v>
      </c>
      <c r="K4564" s="1" t="s">
        <v>1123</v>
      </c>
      <c r="L4564" s="1" t="s">
        <v>4384</v>
      </c>
      <c r="M4564" s="1" t="s">
        <v>27</v>
      </c>
      <c r="N4564" s="1" t="s">
        <v>14492</v>
      </c>
      <c r="O4564" s="1" t="s">
        <v>1010</v>
      </c>
      <c r="P4564" s="1" t="s">
        <v>401</v>
      </c>
      <c r="Q4564" s="63" t="s">
        <v>14493</v>
      </c>
      <c r="R4564" s="1" t="s">
        <v>100</v>
      </c>
      <c r="S4564" s="13" t="s">
        <v>28</v>
      </c>
      <c r="AX4564" s="11"/>
      <c r="AY4564" s="11"/>
      <c r="BC4564" s="44"/>
      <c r="BD4564" s="44"/>
      <c r="BE4564" s="44"/>
      <c r="BF4564" s="44"/>
      <c r="BG4564" s="44"/>
      <c r="BH4564" s="44"/>
      <c r="BI4564" s="44"/>
      <c r="BJ4564" s="44"/>
    </row>
    <row r="4565" spans="1:63" ht="12" customHeight="1" x14ac:dyDescent="0.15">
      <c r="A4565" s="1" t="s">
        <v>14482</v>
      </c>
      <c r="B4565" s="1">
        <v>25</v>
      </c>
      <c r="C4565" s="1" t="s">
        <v>20</v>
      </c>
      <c r="D4565" s="1" t="s">
        <v>85</v>
      </c>
      <c r="E4565" s="1" t="s">
        <v>14483</v>
      </c>
      <c r="F4565" s="72">
        <v>41514</v>
      </c>
      <c r="G4565" s="1" t="s">
        <v>14484</v>
      </c>
      <c r="H4565" s="1" t="s">
        <v>14485</v>
      </c>
      <c r="I4565" s="1" t="s">
        <v>52</v>
      </c>
      <c r="J4565" s="4" t="s">
        <v>14486</v>
      </c>
      <c r="K4565" s="1" t="s">
        <v>1592</v>
      </c>
      <c r="L4565" s="1" t="s">
        <v>231</v>
      </c>
      <c r="M4565" s="1" t="s">
        <v>27</v>
      </c>
      <c r="N4565" s="1" t="s">
        <v>14487</v>
      </c>
      <c r="O4565" s="1" t="s">
        <v>4684</v>
      </c>
      <c r="P4565" s="1" t="s">
        <v>401</v>
      </c>
      <c r="Q4565" s="63" t="s">
        <v>14488</v>
      </c>
      <c r="R4565" s="1" t="s">
        <v>100</v>
      </c>
      <c r="S4565" s="13" t="s">
        <v>28</v>
      </c>
      <c r="AX4565" s="11"/>
      <c r="AY4565" s="11"/>
      <c r="BC4565" s="44"/>
      <c r="BD4565" s="44"/>
      <c r="BE4565" s="44"/>
      <c r="BF4565" s="44"/>
      <c r="BG4565" s="44"/>
      <c r="BH4565" s="44"/>
      <c r="BI4565" s="44"/>
      <c r="BJ4565" s="44"/>
    </row>
    <row r="4566" spans="1:63" ht="12" customHeight="1" x14ac:dyDescent="0.15">
      <c r="A4566" s="1" t="s">
        <v>3252</v>
      </c>
      <c r="C4566" s="1" t="s">
        <v>20</v>
      </c>
      <c r="D4566" s="1" t="s">
        <v>48</v>
      </c>
      <c r="F4566" s="72">
        <v>41514</v>
      </c>
      <c r="G4566" s="1" t="s">
        <v>14494</v>
      </c>
      <c r="H4566" s="1" t="s">
        <v>5191</v>
      </c>
      <c r="I4566" s="1" t="s">
        <v>45</v>
      </c>
      <c r="J4566" s="4" t="s">
        <v>14495</v>
      </c>
      <c r="K4566" s="1" t="s">
        <v>98</v>
      </c>
      <c r="L4566" s="11" t="s">
        <v>414</v>
      </c>
      <c r="M4566" s="1" t="s">
        <v>27</v>
      </c>
      <c r="N4566" s="1" t="s">
        <v>14496</v>
      </c>
      <c r="O4566" s="1" t="s">
        <v>1010</v>
      </c>
      <c r="P4566" s="1" t="s">
        <v>401</v>
      </c>
      <c r="Q4566" s="63" t="s">
        <v>14497</v>
      </c>
      <c r="R4566" s="1" t="s">
        <v>100</v>
      </c>
      <c r="S4566" s="13" t="s">
        <v>28</v>
      </c>
    </row>
    <row r="4567" spans="1:63" ht="12" customHeight="1" x14ac:dyDescent="0.15">
      <c r="A4567" s="1" t="s">
        <v>3252</v>
      </c>
      <c r="C4567" s="1" t="s">
        <v>20</v>
      </c>
      <c r="D4567" s="1" t="s">
        <v>30</v>
      </c>
      <c r="F4567" s="72">
        <v>41514</v>
      </c>
      <c r="G4567" s="1" t="s">
        <v>14501</v>
      </c>
      <c r="H4567" s="1" t="s">
        <v>98</v>
      </c>
      <c r="I4567" s="1" t="s">
        <v>45</v>
      </c>
      <c r="J4567" s="4" t="s">
        <v>14502</v>
      </c>
      <c r="K4567" s="1" t="s">
        <v>98</v>
      </c>
      <c r="L4567" s="1" t="s">
        <v>99</v>
      </c>
      <c r="M4567" s="1" t="s">
        <v>27</v>
      </c>
      <c r="N4567" s="1" t="s">
        <v>14503</v>
      </c>
      <c r="O4567" s="1" t="s">
        <v>1010</v>
      </c>
      <c r="P4567" s="1" t="s">
        <v>401</v>
      </c>
      <c r="Q4567" s="63" t="s">
        <v>14504</v>
      </c>
      <c r="R4567" s="1" t="s">
        <v>100</v>
      </c>
      <c r="S4567" s="13" t="s">
        <v>28</v>
      </c>
    </row>
    <row r="4568" spans="1:63" ht="12" customHeight="1" x14ac:dyDescent="0.15">
      <c r="A4568" s="1" t="s">
        <v>14498</v>
      </c>
      <c r="B4568" s="1">
        <v>17</v>
      </c>
      <c r="C4568" s="1" t="s">
        <v>20</v>
      </c>
      <c r="D4568" s="1" t="s">
        <v>48</v>
      </c>
      <c r="F4568" s="72">
        <v>41514</v>
      </c>
      <c r="G4568" s="1" t="s">
        <v>14499</v>
      </c>
      <c r="H4568" s="1" t="s">
        <v>5191</v>
      </c>
      <c r="I4568" s="1" t="s">
        <v>45</v>
      </c>
      <c r="J4568" s="4" t="s">
        <v>14495</v>
      </c>
      <c r="K4568" s="1" t="s">
        <v>98</v>
      </c>
      <c r="L4568" s="1" t="s">
        <v>14111</v>
      </c>
      <c r="M4568" s="1" t="s">
        <v>27</v>
      </c>
      <c r="N4568" s="1" t="s">
        <v>14500</v>
      </c>
      <c r="O4568" s="1" t="s">
        <v>1010</v>
      </c>
      <c r="P4568" s="1" t="s">
        <v>401</v>
      </c>
      <c r="Q4568" s="63" t="str">
        <f>HYPERLINK("http://homicide.latimes.com/post/dennis-hakeen-vasquez/","http://homicide.latimes.com/post/dennis-hakeen-vasquez/")</f>
        <v>http://homicide.latimes.com/post/dennis-hakeen-vasquez/</v>
      </c>
      <c r="R4568" s="1" t="s">
        <v>29</v>
      </c>
      <c r="S4568" s="13" t="s">
        <v>35</v>
      </c>
      <c r="BK4568" s="11"/>
    </row>
    <row r="4569" spans="1:63" ht="12" customHeight="1" x14ac:dyDescent="0.15">
      <c r="A4569" s="1" t="s">
        <v>14505</v>
      </c>
      <c r="B4569" s="1">
        <v>24</v>
      </c>
      <c r="C4569" s="1" t="s">
        <v>20</v>
      </c>
      <c r="D4569" s="1" t="s">
        <v>85</v>
      </c>
      <c r="E4569" s="1" t="s">
        <v>14506</v>
      </c>
      <c r="F4569" s="72">
        <v>41513</v>
      </c>
      <c r="G4569" s="1" t="s">
        <v>14507</v>
      </c>
      <c r="H4569" s="1" t="s">
        <v>878</v>
      </c>
      <c r="I4569" s="1" t="s">
        <v>45</v>
      </c>
      <c r="J4569" s="4" t="s">
        <v>14508</v>
      </c>
      <c r="K4569" s="1" t="s">
        <v>4500</v>
      </c>
      <c r="L4569" s="1" t="s">
        <v>14509</v>
      </c>
      <c r="M4569" s="1" t="s">
        <v>27</v>
      </c>
      <c r="N4569" s="1" t="s">
        <v>14510</v>
      </c>
      <c r="O4569" s="1" t="s">
        <v>29</v>
      </c>
      <c r="P4569" s="1" t="s">
        <v>401</v>
      </c>
      <c r="Q4569" s="63" t="s">
        <v>14511</v>
      </c>
      <c r="R4569" s="1" t="s">
        <v>100</v>
      </c>
      <c r="S4569" s="13" t="s">
        <v>28</v>
      </c>
      <c r="AX4569" s="11"/>
      <c r="AY4569" s="11"/>
      <c r="BC4569" s="44"/>
      <c r="BD4569" s="44"/>
      <c r="BE4569" s="44"/>
      <c r="BF4569" s="44"/>
      <c r="BG4569" s="44"/>
      <c r="BH4569" s="44"/>
      <c r="BI4569" s="44"/>
      <c r="BJ4569" s="44"/>
    </row>
    <row r="4570" spans="1:63" ht="12" customHeight="1" x14ac:dyDescent="0.15">
      <c r="A4570" s="1" t="s">
        <v>3252</v>
      </c>
      <c r="B4570" s="1">
        <v>17</v>
      </c>
      <c r="C4570" s="1" t="s">
        <v>20</v>
      </c>
      <c r="D4570" s="1" t="s">
        <v>30</v>
      </c>
      <c r="F4570" s="72">
        <v>41512</v>
      </c>
      <c r="G4570" s="1" t="s">
        <v>24524</v>
      </c>
      <c r="H4570" s="1" t="s">
        <v>14512</v>
      </c>
      <c r="I4570" s="1" t="s">
        <v>57</v>
      </c>
      <c r="J4570" s="4" t="s">
        <v>14513</v>
      </c>
      <c r="K4570" s="1" t="s">
        <v>601</v>
      </c>
      <c r="L4570" s="1" t="s">
        <v>2177</v>
      </c>
      <c r="M4570" s="1" t="s">
        <v>27</v>
      </c>
      <c r="N4570" s="1" t="s">
        <v>14514</v>
      </c>
      <c r="O4570" s="1" t="s">
        <v>1010</v>
      </c>
      <c r="P4570" s="1" t="s">
        <v>401</v>
      </c>
      <c r="Q4570" s="63" t="s">
        <v>14515</v>
      </c>
      <c r="R4570" s="1" t="s">
        <v>100</v>
      </c>
      <c r="S4570" s="13" t="s">
        <v>28</v>
      </c>
    </row>
    <row r="4571" spans="1:63" ht="12" customHeight="1" x14ac:dyDescent="0.15">
      <c r="A4571" s="1" t="s">
        <v>14516</v>
      </c>
      <c r="B4571" s="1">
        <v>28</v>
      </c>
      <c r="C4571" s="1" t="s">
        <v>20</v>
      </c>
      <c r="D4571" s="1" t="s">
        <v>30</v>
      </c>
      <c r="F4571" s="72">
        <v>41512</v>
      </c>
      <c r="G4571" s="1" t="s">
        <v>14517</v>
      </c>
      <c r="H4571" s="1" t="s">
        <v>14518</v>
      </c>
      <c r="I4571" s="1" t="s">
        <v>4371</v>
      </c>
      <c r="J4571" s="4" t="s">
        <v>14519</v>
      </c>
      <c r="K4571" s="1" t="s">
        <v>4373</v>
      </c>
      <c r="L4571" s="1" t="s">
        <v>14520</v>
      </c>
      <c r="M4571" s="1" t="s">
        <v>379</v>
      </c>
      <c r="N4571" s="1" t="s">
        <v>14521</v>
      </c>
      <c r="O4571" s="1" t="s">
        <v>1010</v>
      </c>
      <c r="P4571" s="1" t="s">
        <v>401</v>
      </c>
      <c r="Q4571" s="63" t="s">
        <v>14522</v>
      </c>
      <c r="R4571" s="1" t="s">
        <v>100</v>
      </c>
      <c r="S4571" s="13" t="s">
        <v>379</v>
      </c>
    </row>
    <row r="4572" spans="1:63" ht="12" customHeight="1" x14ac:dyDescent="0.15">
      <c r="A4572" s="1" t="s">
        <v>14523</v>
      </c>
      <c r="B4572" s="1">
        <v>58</v>
      </c>
      <c r="C4572" s="1" t="s">
        <v>20</v>
      </c>
      <c r="D4572" s="1" t="s">
        <v>30</v>
      </c>
      <c r="F4572" s="72">
        <v>41511</v>
      </c>
      <c r="G4572" s="1" t="s">
        <v>14524</v>
      </c>
      <c r="H4572" s="1" t="s">
        <v>14525</v>
      </c>
      <c r="I4572" s="1" t="s">
        <v>173</v>
      </c>
      <c r="J4572" s="4" t="s">
        <v>14526</v>
      </c>
      <c r="K4572" s="1" t="s">
        <v>51</v>
      </c>
      <c r="L4572" s="1" t="s">
        <v>14527</v>
      </c>
      <c r="M4572" s="1" t="s">
        <v>27</v>
      </c>
      <c r="N4572" s="1" t="s">
        <v>14528</v>
      </c>
      <c r="O4572" s="1" t="s">
        <v>4684</v>
      </c>
      <c r="P4572" s="1" t="s">
        <v>401</v>
      </c>
      <c r="Q4572" s="63" t="s">
        <v>14529</v>
      </c>
      <c r="R4572" s="1" t="s">
        <v>100</v>
      </c>
      <c r="S4572" s="13" t="s">
        <v>28</v>
      </c>
      <c r="AW4572" s="44"/>
    </row>
    <row r="4573" spans="1:63" ht="12" customHeight="1" x14ac:dyDescent="0.15">
      <c r="A4573" s="1" t="s">
        <v>14530</v>
      </c>
      <c r="B4573" s="1" t="s">
        <v>13386</v>
      </c>
      <c r="C4573" s="1" t="s">
        <v>20</v>
      </c>
      <c r="D4573" s="1" t="s">
        <v>37</v>
      </c>
      <c r="E4573" s="1" t="s">
        <v>14531</v>
      </c>
      <c r="F4573" s="72">
        <v>41511</v>
      </c>
      <c r="G4573" s="1" t="s">
        <v>14532</v>
      </c>
      <c r="H4573" s="1" t="s">
        <v>14533</v>
      </c>
      <c r="I4573" s="1" t="s">
        <v>790</v>
      </c>
      <c r="J4573" s="4" t="s">
        <v>14534</v>
      </c>
      <c r="K4573" s="1" t="s">
        <v>9373</v>
      </c>
      <c r="L4573" s="1" t="s">
        <v>14535</v>
      </c>
      <c r="M4573" s="1" t="s">
        <v>27</v>
      </c>
      <c r="N4573" s="1" t="s">
        <v>14536</v>
      </c>
      <c r="O4573" s="1" t="s">
        <v>29</v>
      </c>
      <c r="P4573" s="1" t="s">
        <v>401</v>
      </c>
      <c r="Q4573" s="63" t="s">
        <v>14537</v>
      </c>
      <c r="R4573" s="1" t="s">
        <v>100</v>
      </c>
      <c r="S4573" s="13" t="s">
        <v>28</v>
      </c>
      <c r="BC4573" s="44"/>
      <c r="BD4573" s="44"/>
      <c r="BE4573" s="44"/>
      <c r="BF4573" s="44"/>
      <c r="BG4573" s="44"/>
      <c r="BH4573" s="44"/>
      <c r="BI4573" s="44"/>
      <c r="BJ4573" s="44"/>
    </row>
    <row r="4574" spans="1:63" ht="12" customHeight="1" x14ac:dyDescent="0.15">
      <c r="A4574" s="1" t="s">
        <v>14538</v>
      </c>
      <c r="B4574" s="1">
        <v>44</v>
      </c>
      <c r="C4574" s="1" t="s">
        <v>20</v>
      </c>
      <c r="D4574" s="1" t="s">
        <v>30</v>
      </c>
      <c r="F4574" s="72">
        <v>41510</v>
      </c>
      <c r="G4574" s="1" t="s">
        <v>14539</v>
      </c>
      <c r="H4574" s="1" t="s">
        <v>14540</v>
      </c>
      <c r="I4574" s="1" t="s">
        <v>45</v>
      </c>
      <c r="J4574" s="4" t="s">
        <v>14541</v>
      </c>
      <c r="K4574" s="1" t="s">
        <v>156</v>
      </c>
      <c r="L4574" s="1" t="s">
        <v>2115</v>
      </c>
      <c r="M4574" s="1" t="s">
        <v>27</v>
      </c>
      <c r="N4574" s="1" t="s">
        <v>14542</v>
      </c>
      <c r="O4574" s="1" t="s">
        <v>1010</v>
      </c>
      <c r="P4574" s="1" t="s">
        <v>401</v>
      </c>
      <c r="Q4574" s="63" t="s">
        <v>14543</v>
      </c>
      <c r="R4574" s="11" t="s">
        <v>964</v>
      </c>
      <c r="S4574" s="13" t="s">
        <v>28</v>
      </c>
    </row>
    <row r="4575" spans="1:63" ht="12" customHeight="1" x14ac:dyDescent="0.15">
      <c r="A4575" s="1" t="s">
        <v>14544</v>
      </c>
      <c r="B4575" s="1">
        <v>29</v>
      </c>
      <c r="C4575" s="1" t="s">
        <v>20</v>
      </c>
      <c r="D4575" s="1" t="s">
        <v>37</v>
      </c>
      <c r="E4575" s="1" t="s">
        <v>14545</v>
      </c>
      <c r="F4575" s="72">
        <v>41510</v>
      </c>
      <c r="G4575" s="1" t="s">
        <v>14546</v>
      </c>
      <c r="H4575" s="1" t="s">
        <v>14547</v>
      </c>
      <c r="I4575" s="1" t="s">
        <v>45</v>
      </c>
      <c r="J4575" s="4" t="s">
        <v>14548</v>
      </c>
      <c r="K4575" s="1" t="s">
        <v>3235</v>
      </c>
      <c r="L4575" s="1" t="s">
        <v>14549</v>
      </c>
      <c r="M4575" s="1" t="s">
        <v>27</v>
      </c>
      <c r="N4575" s="1" t="s">
        <v>14550</v>
      </c>
      <c r="O4575" s="1" t="s">
        <v>1010</v>
      </c>
      <c r="P4575" s="1" t="s">
        <v>401</v>
      </c>
      <c r="Q4575" s="63" t="s">
        <v>14551</v>
      </c>
      <c r="R4575" s="1" t="s">
        <v>555</v>
      </c>
      <c r="S4575" s="13" t="s">
        <v>28</v>
      </c>
      <c r="BA4575" s="44"/>
      <c r="BB4575" s="44"/>
      <c r="BC4575" s="44"/>
      <c r="BD4575" s="44"/>
      <c r="BE4575" s="44"/>
      <c r="BF4575" s="44"/>
      <c r="BG4575" s="44"/>
      <c r="BH4575" s="44"/>
      <c r="BI4575" s="44"/>
      <c r="BJ4575" s="44"/>
    </row>
    <row r="4576" spans="1:63" ht="12" customHeight="1" x14ac:dyDescent="0.15">
      <c r="A4576" s="1" t="s">
        <v>14552</v>
      </c>
      <c r="B4576" s="1">
        <v>24</v>
      </c>
      <c r="C4576" s="1" t="s">
        <v>20</v>
      </c>
      <c r="D4576" s="1" t="s">
        <v>85</v>
      </c>
      <c r="E4576" s="1" t="s">
        <v>14553</v>
      </c>
      <c r="F4576" s="72">
        <v>41509</v>
      </c>
      <c r="G4576" s="1" t="s">
        <v>14554</v>
      </c>
      <c r="H4576" s="1" t="s">
        <v>4824</v>
      </c>
      <c r="I4576" s="1" t="s">
        <v>133</v>
      </c>
      <c r="J4576" s="4" t="s">
        <v>4825</v>
      </c>
      <c r="K4576" s="1" t="s">
        <v>1072</v>
      </c>
      <c r="L4576" s="1" t="s">
        <v>14555</v>
      </c>
      <c r="M4576" s="1" t="s">
        <v>27</v>
      </c>
      <c r="N4576" s="1" t="s">
        <v>14556</v>
      </c>
      <c r="O4576" s="1" t="s">
        <v>550</v>
      </c>
      <c r="P4576" s="1" t="s">
        <v>401</v>
      </c>
      <c r="Q4576" s="63" t="s">
        <v>14557</v>
      </c>
      <c r="R4576" s="1" t="s">
        <v>100</v>
      </c>
      <c r="S4576" s="13" t="s">
        <v>28</v>
      </c>
      <c r="AX4576" s="11"/>
      <c r="AY4576" s="11"/>
      <c r="BC4576" s="44"/>
      <c r="BD4576" s="44"/>
      <c r="BE4576" s="44"/>
      <c r="BF4576" s="44"/>
      <c r="BG4576" s="44"/>
      <c r="BH4576" s="44"/>
      <c r="BI4576" s="44"/>
      <c r="BJ4576" s="44"/>
    </row>
    <row r="4577" spans="1:63" ht="12" customHeight="1" x14ac:dyDescent="0.15">
      <c r="A4577" s="1" t="s">
        <v>14565</v>
      </c>
      <c r="B4577" s="1">
        <v>27</v>
      </c>
      <c r="C4577" s="1" t="s">
        <v>20</v>
      </c>
      <c r="D4577" s="1" t="s">
        <v>30</v>
      </c>
      <c r="F4577" s="72">
        <v>41509</v>
      </c>
      <c r="G4577" s="1" t="s">
        <v>14566</v>
      </c>
      <c r="H4577" s="1" t="s">
        <v>632</v>
      </c>
      <c r="I4577" s="1" t="s">
        <v>123</v>
      </c>
      <c r="J4577" s="4" t="s">
        <v>14567</v>
      </c>
      <c r="K4577" s="1" t="s">
        <v>633</v>
      </c>
      <c r="L4577" s="1" t="s">
        <v>1429</v>
      </c>
      <c r="M4577" s="1" t="s">
        <v>27</v>
      </c>
      <c r="N4577" s="1" t="s">
        <v>14568</v>
      </c>
      <c r="O4577" s="1" t="s">
        <v>1010</v>
      </c>
      <c r="P4577" s="1" t="s">
        <v>401</v>
      </c>
      <c r="Q4577" s="63" t="s">
        <v>14569</v>
      </c>
      <c r="R4577" s="1" t="s">
        <v>100</v>
      </c>
      <c r="S4577" s="13" t="s">
        <v>28</v>
      </c>
    </row>
    <row r="4578" spans="1:63" ht="12" customHeight="1" x14ac:dyDescent="0.15">
      <c r="A4578" s="1" t="s">
        <v>14558</v>
      </c>
      <c r="B4578" s="1">
        <v>37</v>
      </c>
      <c r="C4578" s="1" t="s">
        <v>20</v>
      </c>
      <c r="D4578" s="1" t="s">
        <v>30</v>
      </c>
      <c r="F4578" s="72">
        <v>41509</v>
      </c>
      <c r="G4578" s="1" t="s">
        <v>14559</v>
      </c>
      <c r="H4578" s="1" t="s">
        <v>14560</v>
      </c>
      <c r="I4578" s="1" t="s">
        <v>46</v>
      </c>
      <c r="J4578" s="4" t="s">
        <v>14561</v>
      </c>
      <c r="K4578" s="1" t="s">
        <v>528</v>
      </c>
      <c r="L4578" s="1" t="s">
        <v>14562</v>
      </c>
      <c r="M4578" s="1" t="s">
        <v>27</v>
      </c>
      <c r="N4578" s="1" t="s">
        <v>14563</v>
      </c>
      <c r="O4578" s="1" t="s">
        <v>1010</v>
      </c>
      <c r="P4578" s="1" t="s">
        <v>401</v>
      </c>
      <c r="Q4578" s="63" t="s">
        <v>14564</v>
      </c>
      <c r="R4578" s="1" t="s">
        <v>100</v>
      </c>
      <c r="S4578" s="13" t="s">
        <v>28</v>
      </c>
    </row>
    <row r="4579" spans="1:63" ht="12" customHeight="1" x14ac:dyDescent="0.15">
      <c r="A4579" s="1" t="s">
        <v>14578</v>
      </c>
      <c r="B4579" s="1">
        <v>29</v>
      </c>
      <c r="C4579" s="1" t="s">
        <v>20</v>
      </c>
      <c r="D4579" s="1" t="s">
        <v>37</v>
      </c>
      <c r="E4579" s="1" t="s">
        <v>14579</v>
      </c>
      <c r="F4579" s="72">
        <v>41509</v>
      </c>
      <c r="G4579" s="1" t="s">
        <v>14580</v>
      </c>
      <c r="H4579" s="1" t="s">
        <v>632</v>
      </c>
      <c r="I4579" s="1" t="s">
        <v>123</v>
      </c>
      <c r="J4579" s="4" t="s">
        <v>14581</v>
      </c>
      <c r="K4579" s="1" t="s">
        <v>633</v>
      </c>
      <c r="L4579" s="1" t="s">
        <v>1429</v>
      </c>
      <c r="M4579" s="1" t="s">
        <v>27</v>
      </c>
      <c r="N4579" s="1" t="s">
        <v>14582</v>
      </c>
      <c r="O4579" s="1" t="s">
        <v>1010</v>
      </c>
      <c r="P4579" s="1" t="s">
        <v>401</v>
      </c>
      <c r="Q4579" s="63" t="s">
        <v>14569</v>
      </c>
      <c r="R4579" s="1" t="s">
        <v>100</v>
      </c>
      <c r="S4579" s="13" t="s">
        <v>28</v>
      </c>
      <c r="BC4579" s="44"/>
      <c r="BD4579" s="44"/>
      <c r="BE4579" s="44"/>
      <c r="BF4579" s="44"/>
      <c r="BG4579" s="44"/>
      <c r="BH4579" s="44"/>
      <c r="BI4579" s="44"/>
      <c r="BJ4579" s="44"/>
    </row>
    <row r="4580" spans="1:63" ht="12" customHeight="1" x14ac:dyDescent="0.15">
      <c r="A4580" s="1" t="s">
        <v>14570</v>
      </c>
      <c r="B4580" s="1">
        <v>30</v>
      </c>
      <c r="C4580" s="1" t="s">
        <v>20</v>
      </c>
      <c r="D4580" s="1" t="s">
        <v>37</v>
      </c>
      <c r="E4580" s="1" t="s">
        <v>14571</v>
      </c>
      <c r="F4580" s="72">
        <v>41509</v>
      </c>
      <c r="G4580" s="1" t="s">
        <v>14572</v>
      </c>
      <c r="H4580" s="1" t="s">
        <v>14573</v>
      </c>
      <c r="I4580" s="1" t="s">
        <v>209</v>
      </c>
      <c r="J4580" s="4" t="s">
        <v>14574</v>
      </c>
      <c r="K4580" s="1" t="s">
        <v>5417</v>
      </c>
      <c r="L4580" s="1" t="s">
        <v>14575</v>
      </c>
      <c r="M4580" s="1" t="s">
        <v>391</v>
      </c>
      <c r="N4580" s="1" t="s">
        <v>14576</v>
      </c>
      <c r="O4580" s="1" t="s">
        <v>1010</v>
      </c>
      <c r="P4580" s="1" t="s">
        <v>401</v>
      </c>
      <c r="Q4580" s="63" t="s">
        <v>14577</v>
      </c>
      <c r="R4580" s="1" t="s">
        <v>100</v>
      </c>
      <c r="S4580" s="13" t="s">
        <v>18</v>
      </c>
      <c r="AU4580" s="11"/>
      <c r="AV4580" s="11"/>
      <c r="AW4580" s="11"/>
      <c r="BC4580" s="44"/>
      <c r="BD4580" s="44"/>
      <c r="BE4580" s="44"/>
      <c r="BF4580" s="44"/>
      <c r="BG4580" s="44"/>
      <c r="BH4580" s="44"/>
      <c r="BI4580" s="44"/>
      <c r="BJ4580" s="44"/>
    </row>
    <row r="4581" spans="1:63" ht="12" customHeight="1" x14ac:dyDescent="0.15">
      <c r="A4581" s="1" t="s">
        <v>14583</v>
      </c>
      <c r="B4581" s="1">
        <v>24</v>
      </c>
      <c r="C4581" s="1" t="s">
        <v>20</v>
      </c>
      <c r="D4581" s="1" t="s">
        <v>48</v>
      </c>
      <c r="E4581" s="1" t="s">
        <v>14584</v>
      </c>
      <c r="F4581" s="72">
        <v>41508</v>
      </c>
      <c r="G4581" s="1" t="s">
        <v>14585</v>
      </c>
      <c r="H4581" s="1" t="s">
        <v>14586</v>
      </c>
      <c r="I4581" s="1" t="s">
        <v>45</v>
      </c>
      <c r="J4581" s="4" t="s">
        <v>14587</v>
      </c>
      <c r="K4581" s="1" t="s">
        <v>783</v>
      </c>
      <c r="L4581" s="1" t="s">
        <v>14588</v>
      </c>
      <c r="M4581" s="1" t="s">
        <v>27</v>
      </c>
      <c r="N4581" s="1" t="s">
        <v>14589</v>
      </c>
      <c r="O4581" s="1" t="s">
        <v>550</v>
      </c>
      <c r="P4581" s="1" t="s">
        <v>401</v>
      </c>
      <c r="Q4581" s="63" t="s">
        <v>14590</v>
      </c>
      <c r="R4581" s="1" t="s">
        <v>100</v>
      </c>
      <c r="S4581" s="13" t="s">
        <v>28</v>
      </c>
    </row>
    <row r="4582" spans="1:63" ht="12" customHeight="1" x14ac:dyDescent="0.15">
      <c r="A4582" s="1" t="s">
        <v>14595</v>
      </c>
      <c r="B4582" s="1">
        <v>40</v>
      </c>
      <c r="C4582" s="1" t="s">
        <v>20</v>
      </c>
      <c r="D4582" s="1" t="s">
        <v>37</v>
      </c>
      <c r="E4582" s="1" t="s">
        <v>14596</v>
      </c>
      <c r="F4582" s="72">
        <v>41508</v>
      </c>
      <c r="G4582" s="1" t="s">
        <v>14597</v>
      </c>
      <c r="H4582" s="1" t="s">
        <v>838</v>
      </c>
      <c r="I4582" s="1" t="s">
        <v>303</v>
      </c>
      <c r="J4582" s="4" t="s">
        <v>2347</v>
      </c>
      <c r="K4582" s="1" t="s">
        <v>838</v>
      </c>
      <c r="L4582" s="1" t="s">
        <v>839</v>
      </c>
      <c r="M4582" s="1" t="s">
        <v>27</v>
      </c>
      <c r="N4582" s="1" t="s">
        <v>14598</v>
      </c>
      <c r="O4582" s="1" t="s">
        <v>1010</v>
      </c>
      <c r="P4582" s="1" t="s">
        <v>401</v>
      </c>
      <c r="Q4582" s="63" t="str">
        <f>HYPERLINK("http://www.khq.com/story/23228789/officer-involved-shooting-in-n-spokane","http://www.khq.com/story/23228789/officer-involved-shooting-in-n-spokane")</f>
        <v>http://www.khq.com/story/23228789/officer-involved-shooting-in-n-spokane</v>
      </c>
      <c r="R4582" s="1" t="s">
        <v>29</v>
      </c>
      <c r="S4582" s="13" t="s">
        <v>379</v>
      </c>
      <c r="BC4582" s="44"/>
      <c r="BD4582" s="44"/>
      <c r="BE4582" s="44"/>
      <c r="BF4582" s="44"/>
      <c r="BG4582" s="44"/>
      <c r="BH4582" s="44"/>
      <c r="BI4582" s="44"/>
      <c r="BJ4582" s="44"/>
    </row>
    <row r="4583" spans="1:63" ht="12" customHeight="1" x14ac:dyDescent="0.2">
      <c r="A4583" s="1" t="s">
        <v>14591</v>
      </c>
      <c r="B4583" s="1">
        <v>33</v>
      </c>
      <c r="C4583" s="1" t="s">
        <v>20</v>
      </c>
      <c r="D4583" s="1" t="s">
        <v>37</v>
      </c>
      <c r="E4583" s="1" t="s">
        <v>14592</v>
      </c>
      <c r="F4583" s="72">
        <v>41508</v>
      </c>
      <c r="G4583" s="1" t="s">
        <v>14593</v>
      </c>
      <c r="H4583" s="1" t="s">
        <v>5492</v>
      </c>
      <c r="I4583" s="1" t="s">
        <v>45</v>
      </c>
      <c r="J4583" s="4" t="s">
        <v>6117</v>
      </c>
      <c r="K4583" s="1" t="s">
        <v>783</v>
      </c>
      <c r="L4583" s="1" t="s">
        <v>784</v>
      </c>
      <c r="M4583" s="1" t="s">
        <v>3154</v>
      </c>
      <c r="N4583" s="1" t="s">
        <v>14594</v>
      </c>
      <c r="O4583" s="1" t="s">
        <v>4684</v>
      </c>
      <c r="P4583" s="1" t="s">
        <v>401</v>
      </c>
      <c r="Q4583" s="63" t="str">
        <f>HYPERLINK("http://www.pe.com/articles/palmer-674426-deputies-phillips.html","http://www.pe.com/articles/palmer-674426-deputies-phillips.html")</f>
        <v>http://www.pe.com/articles/palmer-674426-deputies-phillips.html</v>
      </c>
      <c r="R4583" s="1" t="s">
        <v>555</v>
      </c>
      <c r="S4583" s="13" t="s">
        <v>18</v>
      </c>
      <c r="AT4583" s="70"/>
      <c r="AU4583" s="70"/>
      <c r="AW4583" s="44"/>
      <c r="AX4583" s="44"/>
      <c r="AY4583" s="44"/>
      <c r="BB4583" s="44"/>
      <c r="BC4583" s="44"/>
      <c r="BD4583" s="44"/>
      <c r="BE4583" s="44"/>
      <c r="BF4583" s="44"/>
      <c r="BG4583" s="44"/>
      <c r="BH4583" s="44"/>
      <c r="BI4583" s="44"/>
      <c r="BK4583" s="78"/>
    </row>
    <row r="4584" spans="1:63" ht="12" customHeight="1" x14ac:dyDescent="0.15">
      <c r="A4584" s="1" t="s">
        <v>14599</v>
      </c>
      <c r="B4584" s="1">
        <v>68</v>
      </c>
      <c r="C4584" s="1" t="s">
        <v>20</v>
      </c>
      <c r="D4584" s="1" t="s">
        <v>37</v>
      </c>
      <c r="E4584" s="1" t="s">
        <v>14600</v>
      </c>
      <c r="F4584" s="72">
        <v>41507</v>
      </c>
      <c r="G4584" s="1" t="s">
        <v>14601</v>
      </c>
      <c r="H4584" s="1" t="s">
        <v>890</v>
      </c>
      <c r="I4584" s="1" t="s">
        <v>319</v>
      </c>
      <c r="J4584" s="4" t="s">
        <v>14602</v>
      </c>
      <c r="K4584" s="1" t="s">
        <v>6291</v>
      </c>
      <c r="L4584" s="1" t="s">
        <v>14603</v>
      </c>
      <c r="M4584" s="1" t="s">
        <v>27</v>
      </c>
      <c r="N4584" s="1" t="s">
        <v>14604</v>
      </c>
      <c r="O4584" s="1" t="s">
        <v>550</v>
      </c>
      <c r="P4584" s="1" t="s">
        <v>401</v>
      </c>
      <c r="Q4584" s="63" t="s">
        <v>14605</v>
      </c>
      <c r="R4584" s="1" t="s">
        <v>100</v>
      </c>
      <c r="S4584" s="13" t="s">
        <v>28</v>
      </c>
      <c r="BC4584" s="44"/>
      <c r="BD4584" s="44"/>
      <c r="BE4584" s="44"/>
      <c r="BF4584" s="44"/>
      <c r="BG4584" s="44"/>
      <c r="BH4584" s="44"/>
      <c r="BI4584" s="44"/>
      <c r="BJ4584" s="44"/>
      <c r="BK4584" s="11"/>
    </row>
    <row r="4585" spans="1:63" ht="12" customHeight="1" x14ac:dyDescent="0.15">
      <c r="A4585" s="1" t="s">
        <v>14606</v>
      </c>
      <c r="B4585" s="1">
        <v>37</v>
      </c>
      <c r="C4585" s="1" t="s">
        <v>20</v>
      </c>
      <c r="D4585" s="1" t="s">
        <v>37</v>
      </c>
      <c r="E4585" s="1" t="s">
        <v>14607</v>
      </c>
      <c r="F4585" s="72">
        <v>41507</v>
      </c>
      <c r="G4585" s="1" t="s">
        <v>24525</v>
      </c>
      <c r="H4585" s="1" t="s">
        <v>632</v>
      </c>
      <c r="I4585" s="1" t="s">
        <v>123</v>
      </c>
      <c r="J4585" s="4" t="s">
        <v>7443</v>
      </c>
      <c r="K4585" s="1" t="s">
        <v>633</v>
      </c>
      <c r="L4585" s="1" t="s">
        <v>634</v>
      </c>
      <c r="M4585" s="1" t="s">
        <v>27</v>
      </c>
      <c r="N4585" s="1" t="s">
        <v>14608</v>
      </c>
      <c r="O4585" s="1" t="s">
        <v>1010</v>
      </c>
      <c r="P4585" s="1" t="s">
        <v>401</v>
      </c>
      <c r="Q4585" s="63" t="s">
        <v>14609</v>
      </c>
      <c r="R4585" s="1" t="s">
        <v>100</v>
      </c>
      <c r="S4585" s="13" t="s">
        <v>379</v>
      </c>
      <c r="BC4585" s="44"/>
      <c r="BD4585" s="44"/>
      <c r="BE4585" s="44"/>
      <c r="BF4585" s="44"/>
      <c r="BG4585" s="44"/>
      <c r="BH4585" s="44"/>
      <c r="BI4585" s="44"/>
      <c r="BJ4585" s="44"/>
    </row>
    <row r="4586" spans="1:63" ht="12" customHeight="1" x14ac:dyDescent="0.15">
      <c r="A4586" s="1" t="s">
        <v>3252</v>
      </c>
      <c r="B4586" s="1">
        <v>70</v>
      </c>
      <c r="C4586" s="1" t="s">
        <v>20</v>
      </c>
      <c r="D4586" s="1" t="s">
        <v>85</v>
      </c>
      <c r="F4586" s="72">
        <v>41506</v>
      </c>
      <c r="G4586" s="1" t="s">
        <v>14610</v>
      </c>
      <c r="H4586" s="1" t="s">
        <v>98</v>
      </c>
      <c r="I4586" s="1" t="s">
        <v>45</v>
      </c>
      <c r="J4586" s="4" t="s">
        <v>14611</v>
      </c>
      <c r="K4586" s="1" t="s">
        <v>98</v>
      </c>
      <c r="L4586" s="1" t="s">
        <v>99</v>
      </c>
      <c r="M4586" s="1" t="s">
        <v>27</v>
      </c>
      <c r="N4586" s="1" t="s">
        <v>14612</v>
      </c>
      <c r="O4586" s="1" t="s">
        <v>1010</v>
      </c>
      <c r="P4586" s="1" t="s">
        <v>401</v>
      </c>
      <c r="Q4586" s="63" t="s">
        <v>14613</v>
      </c>
      <c r="R4586" s="1" t="s">
        <v>100</v>
      </c>
      <c r="S4586" s="13" t="s">
        <v>28</v>
      </c>
      <c r="AX4586" s="11"/>
      <c r="AY4586" s="11"/>
      <c r="BC4586" s="44"/>
      <c r="BD4586" s="44"/>
      <c r="BE4586" s="44"/>
      <c r="BF4586" s="44"/>
      <c r="BG4586" s="44"/>
      <c r="BH4586" s="44"/>
      <c r="BI4586" s="44"/>
      <c r="BJ4586" s="44"/>
    </row>
    <row r="4587" spans="1:63" ht="12" customHeight="1" x14ac:dyDescent="0.15">
      <c r="A4587" s="1" t="s">
        <v>14614</v>
      </c>
      <c r="B4587" s="1">
        <v>52</v>
      </c>
      <c r="C4587" s="1" t="s">
        <v>20</v>
      </c>
      <c r="D4587" s="1" t="s">
        <v>85</v>
      </c>
      <c r="F4587" s="72">
        <v>41506</v>
      </c>
      <c r="G4587" s="1" t="s">
        <v>14615</v>
      </c>
      <c r="H4587" s="1" t="s">
        <v>663</v>
      </c>
      <c r="I4587" s="1" t="s">
        <v>69</v>
      </c>
      <c r="J4587" s="4" t="s">
        <v>12325</v>
      </c>
      <c r="K4587" s="1" t="s">
        <v>213</v>
      </c>
      <c r="L4587" s="1" t="s">
        <v>665</v>
      </c>
      <c r="M4587" s="1" t="s">
        <v>27</v>
      </c>
      <c r="N4587" s="1" t="s">
        <v>14616</v>
      </c>
      <c r="O4587" s="1" t="s">
        <v>1010</v>
      </c>
      <c r="P4587" s="1" t="s">
        <v>401</v>
      </c>
      <c r="Q4587" s="63" t="s">
        <v>14617</v>
      </c>
      <c r="R4587" s="1" t="s">
        <v>100</v>
      </c>
      <c r="S4587" s="13" t="s">
        <v>28</v>
      </c>
      <c r="AX4587" s="11"/>
      <c r="AY4587" s="11"/>
      <c r="BC4587" s="44"/>
      <c r="BD4587" s="44"/>
      <c r="BE4587" s="44"/>
      <c r="BF4587" s="44"/>
      <c r="BG4587" s="44"/>
      <c r="BH4587" s="44"/>
      <c r="BI4587" s="44"/>
      <c r="BJ4587" s="44"/>
    </row>
    <row r="4588" spans="1:63" ht="12" customHeight="1" x14ac:dyDescent="0.15">
      <c r="A4588" s="1" t="s">
        <v>14622</v>
      </c>
      <c r="B4588" s="1">
        <v>19</v>
      </c>
      <c r="C4588" s="1" t="s">
        <v>20</v>
      </c>
      <c r="D4588" s="1" t="s">
        <v>30</v>
      </c>
      <c r="F4588" s="72">
        <v>41506</v>
      </c>
      <c r="G4588" s="1" t="s">
        <v>14623</v>
      </c>
      <c r="H4588" s="1" t="s">
        <v>1100</v>
      </c>
      <c r="I4588" s="1" t="s">
        <v>404</v>
      </c>
      <c r="J4588" s="4" t="s">
        <v>14619</v>
      </c>
      <c r="K4588" s="1" t="s">
        <v>1100</v>
      </c>
      <c r="L4588" s="1" t="s">
        <v>1101</v>
      </c>
      <c r="M4588" s="1" t="s">
        <v>27</v>
      </c>
      <c r="N4588" s="1" t="s">
        <v>14624</v>
      </c>
      <c r="O4588" s="1" t="s">
        <v>1010</v>
      </c>
      <c r="P4588" s="1" t="s">
        <v>401</v>
      </c>
      <c r="Q4588" s="63" t="s">
        <v>14625</v>
      </c>
      <c r="R4588" s="1" t="s">
        <v>100</v>
      </c>
      <c r="S4588" s="13" t="s">
        <v>28</v>
      </c>
    </row>
    <row r="4589" spans="1:63" ht="12" customHeight="1" x14ac:dyDescent="0.15">
      <c r="A4589" s="1" t="s">
        <v>3252</v>
      </c>
      <c r="B4589" s="1">
        <v>19</v>
      </c>
      <c r="C4589" s="1" t="s">
        <v>20</v>
      </c>
      <c r="D4589" s="1" t="s">
        <v>30</v>
      </c>
      <c r="F4589" s="72">
        <v>41506</v>
      </c>
      <c r="G4589" s="1" t="s">
        <v>14618</v>
      </c>
      <c r="H4589" s="1" t="s">
        <v>1100</v>
      </c>
      <c r="I4589" s="1" t="s">
        <v>404</v>
      </c>
      <c r="J4589" s="4" t="s">
        <v>14619</v>
      </c>
      <c r="K4589" s="1" t="s">
        <v>1100</v>
      </c>
      <c r="L4589" s="1" t="s">
        <v>1101</v>
      </c>
      <c r="M4589" s="1" t="s">
        <v>27</v>
      </c>
      <c r="N4589" s="1" t="s">
        <v>14620</v>
      </c>
      <c r="O4589" s="1" t="s">
        <v>550</v>
      </c>
      <c r="P4589" s="1" t="s">
        <v>401</v>
      </c>
      <c r="Q4589" s="63" t="s">
        <v>14621</v>
      </c>
      <c r="R4589" s="1" t="s">
        <v>100</v>
      </c>
      <c r="S4589" s="13" t="s">
        <v>28</v>
      </c>
    </row>
    <row r="4590" spans="1:63" ht="12" customHeight="1" x14ac:dyDescent="0.15">
      <c r="A4590" s="1" t="s">
        <v>14634</v>
      </c>
      <c r="B4590" s="1">
        <v>63</v>
      </c>
      <c r="C4590" s="1" t="s">
        <v>20</v>
      </c>
      <c r="D4590" s="1" t="s">
        <v>37</v>
      </c>
      <c r="F4590" s="72">
        <v>41506</v>
      </c>
      <c r="G4590" s="1" t="s">
        <v>14635</v>
      </c>
      <c r="H4590" s="1" t="s">
        <v>1277</v>
      </c>
      <c r="I4590" s="1" t="s">
        <v>269</v>
      </c>
      <c r="J4590" s="4" t="s">
        <v>14636</v>
      </c>
      <c r="K4590" s="1" t="s">
        <v>570</v>
      </c>
      <c r="L4590" s="1" t="s">
        <v>1482</v>
      </c>
      <c r="M4590" s="1" t="s">
        <v>27</v>
      </c>
      <c r="N4590" s="1" t="s">
        <v>14637</v>
      </c>
      <c r="O4590" s="1" t="s">
        <v>550</v>
      </c>
      <c r="P4590" s="1" t="s">
        <v>401</v>
      </c>
      <c r="Q4590" s="63" t="s">
        <v>14638</v>
      </c>
      <c r="R4590" s="1" t="s">
        <v>100</v>
      </c>
      <c r="S4590" s="13" t="s">
        <v>28</v>
      </c>
      <c r="BC4590" s="44"/>
      <c r="BD4590" s="44"/>
      <c r="BE4590" s="44"/>
      <c r="BF4590" s="44"/>
      <c r="BG4590" s="44"/>
      <c r="BH4590" s="44"/>
      <c r="BI4590" s="44"/>
      <c r="BJ4590" s="44"/>
    </row>
    <row r="4591" spans="1:63" ht="12" customHeight="1" x14ac:dyDescent="0.15">
      <c r="A4591" s="1" t="s">
        <v>14626</v>
      </c>
      <c r="B4591" s="1">
        <v>40</v>
      </c>
      <c r="C4591" s="1" t="s">
        <v>20</v>
      </c>
      <c r="D4591" s="1" t="s">
        <v>37</v>
      </c>
      <c r="E4591" s="1" t="s">
        <v>14627</v>
      </c>
      <c r="F4591" s="72">
        <v>41506</v>
      </c>
      <c r="G4591" s="1" t="s">
        <v>14628</v>
      </c>
      <c r="H4591" s="1" t="s">
        <v>14629</v>
      </c>
      <c r="I4591" s="1" t="s">
        <v>423</v>
      </c>
      <c r="J4591" s="4" t="s">
        <v>14630</v>
      </c>
      <c r="K4591" s="1" t="s">
        <v>2463</v>
      </c>
      <c r="L4591" s="1" t="s">
        <v>14631</v>
      </c>
      <c r="M4591" s="1" t="s">
        <v>27</v>
      </c>
      <c r="N4591" s="1" t="s">
        <v>14632</v>
      </c>
      <c r="O4591" s="1" t="s">
        <v>550</v>
      </c>
      <c r="P4591" s="1" t="s">
        <v>401</v>
      </c>
      <c r="Q4591" s="63" t="s">
        <v>14633</v>
      </c>
      <c r="R4591" s="1" t="s">
        <v>100</v>
      </c>
      <c r="S4591" s="13" t="s">
        <v>28</v>
      </c>
      <c r="BC4591" s="44"/>
      <c r="BD4591" s="44"/>
      <c r="BE4591" s="44"/>
      <c r="BF4591" s="44"/>
      <c r="BG4591" s="44"/>
      <c r="BH4591" s="44"/>
      <c r="BI4591" s="44"/>
      <c r="BJ4591" s="44"/>
    </row>
    <row r="4592" spans="1:63" ht="12" customHeight="1" x14ac:dyDescent="0.2">
      <c r="A4592" s="1" t="s">
        <v>14645</v>
      </c>
      <c r="B4592" s="1">
        <v>25</v>
      </c>
      <c r="C4592" s="1" t="s">
        <v>20</v>
      </c>
      <c r="D4592" s="1" t="s">
        <v>37</v>
      </c>
      <c r="E4592" s="1" t="s">
        <v>14646</v>
      </c>
      <c r="F4592" s="72">
        <v>41506</v>
      </c>
      <c r="G4592" s="1" t="s">
        <v>14647</v>
      </c>
      <c r="H4592" s="1" t="s">
        <v>14648</v>
      </c>
      <c r="I4592" s="1" t="s">
        <v>25</v>
      </c>
      <c r="J4592" s="4" t="s">
        <v>14649</v>
      </c>
      <c r="K4592" s="1" t="s">
        <v>6358</v>
      </c>
      <c r="L4592" s="1" t="s">
        <v>14650</v>
      </c>
      <c r="M4592" s="1" t="s">
        <v>3154</v>
      </c>
      <c r="N4592" s="1" t="s">
        <v>14651</v>
      </c>
      <c r="O4592" s="1" t="s">
        <v>29658</v>
      </c>
      <c r="P4592" s="1" t="s">
        <v>29644</v>
      </c>
      <c r="Q4592" s="63" t="s">
        <v>14652</v>
      </c>
      <c r="R4592" s="1" t="s">
        <v>100</v>
      </c>
      <c r="S4592" s="13" t="s">
        <v>18</v>
      </c>
      <c r="AT4592" s="70"/>
      <c r="AU4592" s="70"/>
      <c r="AW4592" s="44"/>
      <c r="AX4592" s="44"/>
      <c r="AY4592" s="44"/>
      <c r="BB4592" s="44"/>
      <c r="BC4592" s="44"/>
      <c r="BD4592" s="44"/>
      <c r="BE4592" s="44"/>
      <c r="BF4592" s="44"/>
      <c r="BG4592" s="44"/>
      <c r="BH4592" s="44"/>
      <c r="BI4592" s="44"/>
      <c r="BK4592" s="78"/>
    </row>
    <row r="4593" spans="1:63" ht="12" customHeight="1" x14ac:dyDescent="0.15">
      <c r="A4593" s="1" t="s">
        <v>14639</v>
      </c>
      <c r="B4593" s="1">
        <v>52</v>
      </c>
      <c r="C4593" s="1" t="s">
        <v>20</v>
      </c>
      <c r="D4593" s="1" t="s">
        <v>37</v>
      </c>
      <c r="E4593" s="1" t="s">
        <v>14640</v>
      </c>
      <c r="F4593" s="72">
        <v>41506</v>
      </c>
      <c r="G4593" s="1" t="s">
        <v>24526</v>
      </c>
      <c r="H4593" s="1" t="s">
        <v>6001</v>
      </c>
      <c r="I4593" s="1" t="s">
        <v>117</v>
      </c>
      <c r="J4593" s="4" t="s">
        <v>14641</v>
      </c>
      <c r="K4593" s="1" t="s">
        <v>6003</v>
      </c>
      <c r="L4593" s="1" t="s">
        <v>14642</v>
      </c>
      <c r="M4593" s="1" t="s">
        <v>27</v>
      </c>
      <c r="N4593" s="1" t="s">
        <v>14643</v>
      </c>
      <c r="O4593" s="1" t="s">
        <v>550</v>
      </c>
      <c r="P4593" s="1" t="s">
        <v>401</v>
      </c>
      <c r="Q4593" s="63" t="s">
        <v>14644</v>
      </c>
      <c r="R4593" s="1" t="s">
        <v>100</v>
      </c>
      <c r="S4593" s="13" t="s">
        <v>18</v>
      </c>
      <c r="BC4593" s="44"/>
      <c r="BD4593" s="44"/>
      <c r="BE4593" s="44"/>
      <c r="BF4593" s="44"/>
      <c r="BG4593" s="44"/>
      <c r="BH4593" s="44"/>
      <c r="BI4593" s="44"/>
      <c r="BJ4593" s="44"/>
    </row>
    <row r="4594" spans="1:63" ht="12" customHeight="1" x14ac:dyDescent="0.15">
      <c r="A4594" s="1" t="s">
        <v>14659</v>
      </c>
      <c r="B4594" s="1">
        <v>39</v>
      </c>
      <c r="C4594" s="1" t="s">
        <v>20</v>
      </c>
      <c r="D4594" s="1" t="s">
        <v>85</v>
      </c>
      <c r="E4594" s="1" t="s">
        <v>14660</v>
      </c>
      <c r="F4594" s="72">
        <v>41505</v>
      </c>
      <c r="G4594" s="1" t="s">
        <v>14661</v>
      </c>
      <c r="H4594" s="1" t="s">
        <v>679</v>
      </c>
      <c r="I4594" s="1" t="s">
        <v>45</v>
      </c>
      <c r="J4594" s="4" t="s">
        <v>6066</v>
      </c>
      <c r="K4594" s="1" t="s">
        <v>680</v>
      </c>
      <c r="L4594" s="1" t="s">
        <v>747</v>
      </c>
      <c r="M4594" s="1" t="s">
        <v>27</v>
      </c>
      <c r="N4594" s="1" t="s">
        <v>14662</v>
      </c>
      <c r="O4594" s="1" t="s">
        <v>4684</v>
      </c>
      <c r="P4594" s="1" t="s">
        <v>401</v>
      </c>
      <c r="Q4594" s="63" t="s">
        <v>21036</v>
      </c>
      <c r="R4594" s="11" t="s">
        <v>964</v>
      </c>
      <c r="S4594" s="13" t="s">
        <v>18</v>
      </c>
      <c r="AX4594" s="11"/>
      <c r="AY4594" s="11"/>
      <c r="BC4594" s="44"/>
      <c r="BD4594" s="44"/>
      <c r="BE4594" s="44"/>
      <c r="BF4594" s="44"/>
      <c r="BG4594" s="44"/>
      <c r="BH4594" s="44"/>
      <c r="BI4594" s="44"/>
      <c r="BJ4594" s="44"/>
    </row>
    <row r="4595" spans="1:63" ht="12" customHeight="1" x14ac:dyDescent="0.15">
      <c r="A4595" s="1" t="s">
        <v>14653</v>
      </c>
      <c r="B4595" s="1">
        <v>22</v>
      </c>
      <c r="C4595" s="1" t="s">
        <v>20</v>
      </c>
      <c r="D4595" s="1" t="s">
        <v>85</v>
      </c>
      <c r="E4595" s="1" t="s">
        <v>14654</v>
      </c>
      <c r="F4595" s="72">
        <v>41505</v>
      </c>
      <c r="G4595" s="1" t="s">
        <v>14655</v>
      </c>
      <c r="H4595" s="1" t="s">
        <v>2216</v>
      </c>
      <c r="I4595" s="1" t="s">
        <v>32</v>
      </c>
      <c r="J4595" s="4" t="s">
        <v>3078</v>
      </c>
      <c r="K4595" s="1" t="s">
        <v>2216</v>
      </c>
      <c r="L4595" s="1" t="s">
        <v>14656</v>
      </c>
      <c r="M4595" s="1" t="s">
        <v>27</v>
      </c>
      <c r="N4595" s="1" t="s">
        <v>14657</v>
      </c>
      <c r="O4595" s="1" t="s">
        <v>1010</v>
      </c>
      <c r="P4595" s="1" t="s">
        <v>401</v>
      </c>
      <c r="Q4595" s="63" t="s">
        <v>14658</v>
      </c>
      <c r="R4595" s="1" t="s">
        <v>100</v>
      </c>
      <c r="S4595" s="13" t="s">
        <v>28</v>
      </c>
      <c r="AX4595" s="11"/>
      <c r="AY4595" s="11"/>
      <c r="BC4595" s="44"/>
      <c r="BD4595" s="44"/>
      <c r="BE4595" s="44"/>
      <c r="BF4595" s="44"/>
      <c r="BG4595" s="44"/>
      <c r="BH4595" s="44"/>
      <c r="BI4595" s="44"/>
      <c r="BJ4595" s="44"/>
    </row>
    <row r="4596" spans="1:63" ht="12" customHeight="1" x14ac:dyDescent="0.15">
      <c r="A4596" s="1" t="s">
        <v>14667</v>
      </c>
      <c r="B4596" s="1">
        <v>51</v>
      </c>
      <c r="C4596" s="1" t="s">
        <v>20</v>
      </c>
      <c r="D4596" s="1" t="s">
        <v>37</v>
      </c>
      <c r="E4596" s="1" t="s">
        <v>14668</v>
      </c>
      <c r="F4596" s="72">
        <v>41505</v>
      </c>
      <c r="G4596" s="1" t="s">
        <v>14669</v>
      </c>
      <c r="H4596" s="1" t="s">
        <v>14670</v>
      </c>
      <c r="I4596" s="1" t="s">
        <v>319</v>
      </c>
      <c r="J4596" s="4" t="s">
        <v>14671</v>
      </c>
      <c r="K4596" s="1" t="s">
        <v>1778</v>
      </c>
      <c r="L4596" s="1" t="s">
        <v>14672</v>
      </c>
      <c r="M4596" s="1" t="s">
        <v>27</v>
      </c>
      <c r="N4596" s="1" t="s">
        <v>14673</v>
      </c>
      <c r="O4596" s="1" t="s">
        <v>1010</v>
      </c>
      <c r="P4596" s="1" t="s">
        <v>401</v>
      </c>
      <c r="Q4596" s="63" t="s">
        <v>14674</v>
      </c>
      <c r="R4596" s="1" t="s">
        <v>100</v>
      </c>
      <c r="S4596" s="13" t="s">
        <v>28</v>
      </c>
      <c r="BC4596" s="44"/>
      <c r="BD4596" s="44"/>
      <c r="BE4596" s="44"/>
      <c r="BF4596" s="44"/>
      <c r="BG4596" s="44"/>
      <c r="BH4596" s="44"/>
      <c r="BI4596" s="44"/>
      <c r="BJ4596" s="44"/>
    </row>
    <row r="4597" spans="1:63" ht="12" customHeight="1" x14ac:dyDescent="0.15">
      <c r="A4597" s="1" t="s">
        <v>14663</v>
      </c>
      <c r="B4597" s="1">
        <v>30</v>
      </c>
      <c r="C4597" s="1" t="s">
        <v>20</v>
      </c>
      <c r="D4597" s="1" t="s">
        <v>48</v>
      </c>
      <c r="F4597" s="72">
        <v>41505</v>
      </c>
      <c r="G4597" s="1" t="s">
        <v>14664</v>
      </c>
      <c r="H4597" s="1" t="s">
        <v>7299</v>
      </c>
      <c r="I4597" s="1" t="s">
        <v>73</v>
      </c>
      <c r="J4597" s="4" t="s">
        <v>14665</v>
      </c>
      <c r="K4597" s="1" t="s">
        <v>7301</v>
      </c>
      <c r="L4597" s="1" t="s">
        <v>7302</v>
      </c>
      <c r="M4597" s="1" t="s">
        <v>27</v>
      </c>
      <c r="N4597" s="1" t="s">
        <v>21037</v>
      </c>
      <c r="O4597" s="1" t="s">
        <v>550</v>
      </c>
      <c r="P4597" s="1" t="s">
        <v>401</v>
      </c>
      <c r="Q4597" s="63" t="s">
        <v>14666</v>
      </c>
      <c r="R4597" s="1" t="s">
        <v>100</v>
      </c>
      <c r="S4597" s="13" t="s">
        <v>18</v>
      </c>
    </row>
    <row r="4598" spans="1:63" ht="12" customHeight="1" x14ac:dyDescent="0.15">
      <c r="A4598" s="1" t="s">
        <v>14675</v>
      </c>
      <c r="B4598" s="1">
        <v>31</v>
      </c>
      <c r="C4598" s="1" t="s">
        <v>20</v>
      </c>
      <c r="D4598" s="1" t="s">
        <v>48</v>
      </c>
      <c r="E4598" s="1" t="s">
        <v>14676</v>
      </c>
      <c r="F4598" s="72">
        <v>41504</v>
      </c>
      <c r="G4598" s="1" t="s">
        <v>14677</v>
      </c>
      <c r="H4598" s="1" t="s">
        <v>14678</v>
      </c>
      <c r="I4598" s="1" t="s">
        <v>45</v>
      </c>
      <c r="J4598" s="4" t="s">
        <v>14679</v>
      </c>
      <c r="K4598" s="1" t="s">
        <v>98</v>
      </c>
      <c r="L4598" s="1" t="s">
        <v>14680</v>
      </c>
      <c r="M4598" s="1" t="s">
        <v>27</v>
      </c>
      <c r="N4598" s="1" t="s">
        <v>14681</v>
      </c>
      <c r="O4598" s="1" t="s">
        <v>1010</v>
      </c>
      <c r="P4598" s="1" t="s">
        <v>401</v>
      </c>
      <c r="Q4598" s="63" t="s">
        <v>14682</v>
      </c>
      <c r="R4598" s="11" t="s">
        <v>964</v>
      </c>
      <c r="S4598" s="13" t="s">
        <v>28</v>
      </c>
    </row>
    <row r="4599" spans="1:63" ht="12" customHeight="1" x14ac:dyDescent="0.15">
      <c r="A4599" s="1" t="s">
        <v>14694</v>
      </c>
      <c r="B4599" s="1">
        <v>58</v>
      </c>
      <c r="C4599" s="1" t="s">
        <v>20</v>
      </c>
      <c r="D4599" s="1" t="s">
        <v>37</v>
      </c>
      <c r="E4599" s="1" t="s">
        <v>14695</v>
      </c>
      <c r="F4599" s="72">
        <v>41504</v>
      </c>
      <c r="G4599" s="1" t="s">
        <v>14696</v>
      </c>
      <c r="H4599" s="1" t="s">
        <v>14697</v>
      </c>
      <c r="I4599" s="1" t="s">
        <v>319</v>
      </c>
      <c r="J4599" s="4" t="s">
        <v>14698</v>
      </c>
      <c r="K4599" s="1" t="s">
        <v>2911</v>
      </c>
      <c r="L4599" s="1" t="s">
        <v>14699</v>
      </c>
      <c r="M4599" s="1" t="s">
        <v>27</v>
      </c>
      <c r="N4599" s="1" t="s">
        <v>14700</v>
      </c>
      <c r="O4599" s="1" t="s">
        <v>550</v>
      </c>
      <c r="P4599" s="1" t="s">
        <v>401</v>
      </c>
      <c r="Q4599" s="63" t="s">
        <v>14701</v>
      </c>
      <c r="R4599" s="11" t="s">
        <v>964</v>
      </c>
      <c r="S4599" s="13" t="s">
        <v>379</v>
      </c>
      <c r="AU4599" s="44"/>
      <c r="AV4599" s="44"/>
      <c r="BC4599" s="44"/>
      <c r="BD4599" s="44"/>
      <c r="BE4599" s="44"/>
      <c r="BF4599" s="44"/>
      <c r="BG4599" s="44"/>
      <c r="BH4599" s="44"/>
      <c r="BI4599" s="44"/>
      <c r="BJ4599" s="44"/>
    </row>
    <row r="4600" spans="1:63" ht="12" customHeight="1" x14ac:dyDescent="0.15">
      <c r="A4600" s="1" t="s">
        <v>14683</v>
      </c>
      <c r="B4600" s="1">
        <v>59</v>
      </c>
      <c r="C4600" s="1" t="s">
        <v>20</v>
      </c>
      <c r="D4600" s="1" t="s">
        <v>37</v>
      </c>
      <c r="E4600" s="1" t="s">
        <v>14684</v>
      </c>
      <c r="F4600" s="72">
        <v>41504</v>
      </c>
      <c r="G4600" s="1" t="s">
        <v>14685</v>
      </c>
      <c r="H4600" s="1" t="s">
        <v>2160</v>
      </c>
      <c r="I4600" s="1" t="s">
        <v>438</v>
      </c>
      <c r="J4600" s="4">
        <v>53711</v>
      </c>
      <c r="K4600" s="1" t="s">
        <v>9771</v>
      </c>
      <c r="L4600" s="1" t="s">
        <v>3839</v>
      </c>
      <c r="M4600" s="1" t="s">
        <v>27</v>
      </c>
      <c r="N4600" s="1" t="s">
        <v>14686</v>
      </c>
      <c r="O4600" s="1" t="s">
        <v>550</v>
      </c>
      <c r="P4600" s="1" t="s">
        <v>401</v>
      </c>
      <c r="Q4600" s="63" t="s">
        <v>14687</v>
      </c>
      <c r="R4600" s="1" t="s">
        <v>100</v>
      </c>
      <c r="S4600" s="13" t="s">
        <v>28</v>
      </c>
      <c r="BC4600" s="44"/>
      <c r="BD4600" s="44"/>
      <c r="BE4600" s="44"/>
      <c r="BF4600" s="44"/>
      <c r="BG4600" s="44"/>
      <c r="BH4600" s="44"/>
      <c r="BI4600" s="44"/>
      <c r="BJ4600" s="44"/>
    </row>
    <row r="4601" spans="1:63" ht="12" customHeight="1" x14ac:dyDescent="0.15">
      <c r="A4601" s="1" t="s">
        <v>14688</v>
      </c>
      <c r="B4601" s="1">
        <v>44</v>
      </c>
      <c r="C4601" s="1" t="s">
        <v>20</v>
      </c>
      <c r="D4601" s="1" t="s">
        <v>37</v>
      </c>
      <c r="E4601" s="1" t="s">
        <v>14689</v>
      </c>
      <c r="F4601" s="72">
        <v>41504</v>
      </c>
      <c r="G4601" s="1" t="s">
        <v>14690</v>
      </c>
      <c r="H4601" s="1" t="s">
        <v>7145</v>
      </c>
      <c r="I4601" s="1" t="s">
        <v>173</v>
      </c>
      <c r="J4601" s="4" t="s">
        <v>7146</v>
      </c>
      <c r="K4601" s="1" t="s">
        <v>1864</v>
      </c>
      <c r="L4601" s="1" t="s">
        <v>14691</v>
      </c>
      <c r="M4601" s="1" t="s">
        <v>27</v>
      </c>
      <c r="N4601" s="1" t="s">
        <v>14692</v>
      </c>
      <c r="O4601" s="1" t="s">
        <v>1010</v>
      </c>
      <c r="P4601" s="1" t="s">
        <v>401</v>
      </c>
      <c r="Q4601" s="63" t="s">
        <v>14693</v>
      </c>
      <c r="R4601" s="1" t="s">
        <v>29</v>
      </c>
      <c r="S4601" s="13" t="s">
        <v>28</v>
      </c>
      <c r="BC4601" s="44"/>
      <c r="BD4601" s="44"/>
      <c r="BE4601" s="44"/>
      <c r="BF4601" s="44"/>
      <c r="BG4601" s="44"/>
      <c r="BH4601" s="44"/>
      <c r="BI4601" s="44"/>
      <c r="BJ4601" s="44"/>
    </row>
    <row r="4602" spans="1:63" ht="12" customHeight="1" x14ac:dyDescent="0.15">
      <c r="A4602" s="1" t="s">
        <v>14702</v>
      </c>
      <c r="B4602" s="1">
        <v>78</v>
      </c>
      <c r="C4602" s="1" t="s">
        <v>20</v>
      </c>
      <c r="D4602" s="1" t="s">
        <v>37</v>
      </c>
      <c r="E4602" s="1" t="s">
        <v>14703</v>
      </c>
      <c r="F4602" s="72">
        <v>41503</v>
      </c>
      <c r="G4602" s="1" t="s">
        <v>14704</v>
      </c>
      <c r="H4602" s="1" t="s">
        <v>14705</v>
      </c>
      <c r="I4602" s="1" t="s">
        <v>4371</v>
      </c>
      <c r="J4602" s="4" t="s">
        <v>14706</v>
      </c>
      <c r="K4602" s="1" t="s">
        <v>6987</v>
      </c>
      <c r="L4602" s="1" t="s">
        <v>14707</v>
      </c>
      <c r="M4602" s="1" t="s">
        <v>27</v>
      </c>
      <c r="N4602" s="1" t="s">
        <v>14708</v>
      </c>
      <c r="O4602" s="1" t="s">
        <v>550</v>
      </c>
      <c r="P4602" s="1" t="s">
        <v>401</v>
      </c>
      <c r="Q4602" s="63" t="s">
        <v>14709</v>
      </c>
      <c r="R4602" s="1" t="s">
        <v>100</v>
      </c>
      <c r="S4602" s="13" t="s">
        <v>28</v>
      </c>
      <c r="BC4602" s="44"/>
      <c r="BD4602" s="44"/>
      <c r="BE4602" s="44"/>
      <c r="BF4602" s="44"/>
      <c r="BG4602" s="44"/>
      <c r="BH4602" s="44"/>
      <c r="BI4602" s="44"/>
      <c r="BJ4602" s="44"/>
    </row>
    <row r="4603" spans="1:63" ht="12" customHeight="1" x14ac:dyDescent="0.15">
      <c r="A4603" s="1" t="s">
        <v>14710</v>
      </c>
      <c r="B4603" s="1">
        <v>19</v>
      </c>
      <c r="C4603" s="1" t="s">
        <v>20</v>
      </c>
      <c r="D4603" s="1" t="s">
        <v>37</v>
      </c>
      <c r="E4603" s="1" t="s">
        <v>14711</v>
      </c>
      <c r="F4603" s="72">
        <v>41503</v>
      </c>
      <c r="G4603" s="1" t="s">
        <v>14712</v>
      </c>
      <c r="H4603" s="1" t="s">
        <v>9722</v>
      </c>
      <c r="I4603" s="1" t="s">
        <v>52</v>
      </c>
      <c r="J4603" s="4" t="s">
        <v>14713</v>
      </c>
      <c r="K4603" s="1" t="s">
        <v>9724</v>
      </c>
      <c r="L4603" s="1" t="s">
        <v>14714</v>
      </c>
      <c r="M4603" s="1" t="s">
        <v>27</v>
      </c>
      <c r="N4603" s="1" t="s">
        <v>14715</v>
      </c>
      <c r="O4603" s="1" t="s">
        <v>1010</v>
      </c>
      <c r="P4603" s="1" t="s">
        <v>401</v>
      </c>
      <c r="Q4603" s="63" t="s">
        <v>14716</v>
      </c>
      <c r="R4603" s="1" t="s">
        <v>555</v>
      </c>
      <c r="S4603" s="13" t="s">
        <v>18</v>
      </c>
      <c r="BA4603" s="44"/>
      <c r="BB4603" s="44"/>
      <c r="BC4603" s="44"/>
      <c r="BD4603" s="44"/>
      <c r="BE4603" s="44"/>
      <c r="BF4603" s="44"/>
      <c r="BG4603" s="44"/>
      <c r="BH4603" s="44"/>
      <c r="BI4603" s="44"/>
      <c r="BJ4603" s="44"/>
    </row>
    <row r="4604" spans="1:63" ht="12" customHeight="1" x14ac:dyDescent="0.15">
      <c r="A4604" s="1" t="s">
        <v>14722</v>
      </c>
      <c r="B4604" s="1">
        <v>21</v>
      </c>
      <c r="C4604" s="1" t="s">
        <v>20</v>
      </c>
      <c r="D4604" s="1" t="s">
        <v>942</v>
      </c>
      <c r="E4604" s="1" t="s">
        <v>14723</v>
      </c>
      <c r="F4604" s="72">
        <v>41502</v>
      </c>
      <c r="G4604" s="1" t="s">
        <v>14724</v>
      </c>
      <c r="H4604" s="1" t="s">
        <v>14725</v>
      </c>
      <c r="I4604" s="1" t="s">
        <v>870</v>
      </c>
      <c r="J4604" s="4" t="s">
        <v>14726</v>
      </c>
      <c r="K4604" s="1" t="s">
        <v>5134</v>
      </c>
      <c r="L4604" s="1" t="s">
        <v>5135</v>
      </c>
      <c r="M4604" s="1" t="s">
        <v>27</v>
      </c>
      <c r="N4604" s="1" t="s">
        <v>14727</v>
      </c>
      <c r="O4604" s="1" t="s">
        <v>550</v>
      </c>
      <c r="P4604" s="1" t="s">
        <v>401</v>
      </c>
      <c r="Q4604" s="63" t="s">
        <v>14728</v>
      </c>
      <c r="R4604" s="1" t="s">
        <v>100</v>
      </c>
      <c r="S4604" s="13" t="s">
        <v>28</v>
      </c>
    </row>
    <row r="4605" spans="1:63" ht="12" customHeight="1" x14ac:dyDescent="0.15">
      <c r="A4605" s="1" t="s">
        <v>14729</v>
      </c>
      <c r="B4605" s="1">
        <v>43</v>
      </c>
      <c r="C4605" s="1" t="s">
        <v>20</v>
      </c>
      <c r="D4605" s="1" t="s">
        <v>37</v>
      </c>
      <c r="E4605" s="1" t="s">
        <v>14730</v>
      </c>
      <c r="F4605" s="72">
        <v>41502</v>
      </c>
      <c r="G4605" s="1" t="s">
        <v>14731</v>
      </c>
      <c r="H4605" s="1" t="s">
        <v>3720</v>
      </c>
      <c r="I4605" s="1" t="s">
        <v>123</v>
      </c>
      <c r="J4605" s="4" t="s">
        <v>14732</v>
      </c>
      <c r="K4605" s="1" t="s">
        <v>5836</v>
      </c>
      <c r="L4605" s="1" t="s">
        <v>14733</v>
      </c>
      <c r="M4605" s="1" t="s">
        <v>27</v>
      </c>
      <c r="N4605" s="1" t="s">
        <v>14734</v>
      </c>
      <c r="O4605" s="1" t="s">
        <v>550</v>
      </c>
      <c r="P4605" s="1" t="s">
        <v>401</v>
      </c>
      <c r="Q4605" s="63" t="s">
        <v>14735</v>
      </c>
      <c r="R4605" s="1" t="s">
        <v>100</v>
      </c>
      <c r="S4605" s="13" t="s">
        <v>18</v>
      </c>
      <c r="BC4605" s="44"/>
      <c r="BD4605" s="44"/>
      <c r="BE4605" s="44"/>
      <c r="BF4605" s="44"/>
      <c r="BG4605" s="44"/>
      <c r="BH4605" s="44"/>
      <c r="BI4605" s="44"/>
      <c r="BJ4605" s="44"/>
    </row>
    <row r="4606" spans="1:63" ht="12" customHeight="1" x14ac:dyDescent="0.2">
      <c r="A4606" s="1" t="s">
        <v>14743</v>
      </c>
      <c r="B4606" s="1">
        <v>101</v>
      </c>
      <c r="C4606" s="1" t="s">
        <v>114</v>
      </c>
      <c r="D4606" s="1" t="s">
        <v>37</v>
      </c>
      <c r="E4606" s="1" t="s">
        <v>14744</v>
      </c>
      <c r="F4606" s="72">
        <v>41502</v>
      </c>
      <c r="G4606" s="1" t="s">
        <v>14745</v>
      </c>
      <c r="H4606" s="1" t="s">
        <v>221</v>
      </c>
      <c r="I4606" s="1" t="s">
        <v>133</v>
      </c>
      <c r="J4606" s="4" t="s">
        <v>14746</v>
      </c>
      <c r="K4606" s="1" t="s">
        <v>3594</v>
      </c>
      <c r="L4606" s="1" t="s">
        <v>4914</v>
      </c>
      <c r="M4606" s="1" t="s">
        <v>379</v>
      </c>
      <c r="N4606" s="1" t="s">
        <v>14747</v>
      </c>
      <c r="O4606" s="1" t="s">
        <v>1010</v>
      </c>
      <c r="P4606" s="1" t="s">
        <v>401</v>
      </c>
      <c r="Q4606" s="63" t="s">
        <v>14748</v>
      </c>
      <c r="R4606" s="1" t="s">
        <v>100</v>
      </c>
      <c r="S4606" s="13" t="s">
        <v>18</v>
      </c>
      <c r="BC4606" s="44"/>
      <c r="BD4606" s="44"/>
      <c r="BE4606" s="44"/>
      <c r="BF4606" s="44"/>
      <c r="BG4606" s="44"/>
      <c r="BH4606" s="44"/>
      <c r="BI4606" s="44"/>
      <c r="BJ4606" s="44"/>
      <c r="BK4606" s="70"/>
    </row>
    <row r="4607" spans="1:63" ht="12" customHeight="1" x14ac:dyDescent="0.15">
      <c r="A4607" s="1" t="s">
        <v>14736</v>
      </c>
      <c r="B4607" s="1">
        <v>42</v>
      </c>
      <c r="C4607" s="1" t="s">
        <v>20</v>
      </c>
      <c r="D4607" s="1" t="s">
        <v>37</v>
      </c>
      <c r="F4607" s="72">
        <v>41502</v>
      </c>
      <c r="G4607" s="1" t="s">
        <v>14737</v>
      </c>
      <c r="H4607" s="1" t="s">
        <v>14738</v>
      </c>
      <c r="I4607" s="1" t="s">
        <v>45</v>
      </c>
      <c r="J4607" s="4" t="s">
        <v>14739</v>
      </c>
      <c r="K4607" s="1" t="s">
        <v>98</v>
      </c>
      <c r="L4607" s="1" t="s">
        <v>14740</v>
      </c>
      <c r="M4607" s="1" t="s">
        <v>27</v>
      </c>
      <c r="N4607" s="1" t="s">
        <v>14741</v>
      </c>
      <c r="O4607" s="1" t="s">
        <v>1010</v>
      </c>
      <c r="P4607" s="1" t="s">
        <v>401</v>
      </c>
      <c r="Q4607" s="63" t="s">
        <v>14742</v>
      </c>
      <c r="R4607" s="1" t="s">
        <v>29</v>
      </c>
      <c r="S4607" s="13" t="s">
        <v>28</v>
      </c>
      <c r="BC4607" s="44"/>
      <c r="BD4607" s="44"/>
      <c r="BE4607" s="44"/>
      <c r="BF4607" s="44"/>
      <c r="BG4607" s="44"/>
      <c r="BH4607" s="44"/>
      <c r="BI4607" s="44"/>
      <c r="BJ4607" s="44"/>
    </row>
    <row r="4608" spans="1:63" ht="12" customHeight="1" x14ac:dyDescent="0.15">
      <c r="A4608" s="1" t="s">
        <v>14717</v>
      </c>
      <c r="B4608" s="1">
        <v>74</v>
      </c>
      <c r="C4608" s="1" t="s">
        <v>20</v>
      </c>
      <c r="D4608" s="1" t="s">
        <v>85</v>
      </c>
      <c r="F4608" s="72">
        <v>41502</v>
      </c>
      <c r="G4608" s="1" t="s">
        <v>14718</v>
      </c>
      <c r="H4608" s="1" t="s">
        <v>14719</v>
      </c>
      <c r="I4608" s="1" t="s">
        <v>45</v>
      </c>
      <c r="J4608" s="4" t="s">
        <v>14611</v>
      </c>
      <c r="K4608" s="1" t="s">
        <v>98</v>
      </c>
      <c r="L4608" s="1" t="s">
        <v>14111</v>
      </c>
      <c r="M4608" s="1" t="s">
        <v>27</v>
      </c>
      <c r="N4608" s="1" t="s">
        <v>14720</v>
      </c>
      <c r="O4608" s="1" t="s">
        <v>1010</v>
      </c>
      <c r="P4608" s="1" t="s">
        <v>401</v>
      </c>
      <c r="Q4608" s="63" t="s">
        <v>14721</v>
      </c>
      <c r="R4608" s="1" t="s">
        <v>29</v>
      </c>
      <c r="S4608" s="13" t="s">
        <v>35</v>
      </c>
      <c r="T4608" s="8"/>
      <c r="U4608" s="8"/>
      <c r="V4608" s="8"/>
      <c r="W4608" s="8"/>
      <c r="X4608" s="44"/>
      <c r="AX4608" s="11"/>
      <c r="AY4608" s="11"/>
      <c r="BC4608" s="44"/>
      <c r="BD4608" s="44"/>
      <c r="BE4608" s="44"/>
      <c r="BF4608" s="44"/>
      <c r="BG4608" s="44"/>
      <c r="BH4608" s="44"/>
      <c r="BI4608" s="44"/>
      <c r="BJ4608" s="44"/>
      <c r="BK4608" s="11"/>
    </row>
    <row r="4609" spans="1:63" ht="12" customHeight="1" x14ac:dyDescent="0.15">
      <c r="A4609" s="1" t="s">
        <v>14762</v>
      </c>
      <c r="B4609" s="1">
        <v>46</v>
      </c>
      <c r="C4609" s="1" t="s">
        <v>20</v>
      </c>
      <c r="D4609" s="1" t="s">
        <v>37</v>
      </c>
      <c r="F4609" s="72">
        <v>41501</v>
      </c>
      <c r="G4609" s="1" t="s">
        <v>14763</v>
      </c>
      <c r="H4609" s="1" t="s">
        <v>13423</v>
      </c>
      <c r="I4609" s="1" t="s">
        <v>315</v>
      </c>
      <c r="J4609" s="4" t="s">
        <v>14764</v>
      </c>
      <c r="K4609" s="1" t="s">
        <v>14765</v>
      </c>
      <c r="L4609" s="1" t="s">
        <v>14766</v>
      </c>
      <c r="M4609" s="1" t="s">
        <v>27</v>
      </c>
      <c r="N4609" s="1" t="s">
        <v>14767</v>
      </c>
      <c r="O4609" s="1" t="s">
        <v>29</v>
      </c>
      <c r="P4609" s="1" t="s">
        <v>401</v>
      </c>
      <c r="Q4609" s="63" t="s">
        <v>14768</v>
      </c>
      <c r="R4609" s="1" t="s">
        <v>100</v>
      </c>
      <c r="S4609" s="13" t="s">
        <v>28</v>
      </c>
      <c r="BC4609" s="44"/>
      <c r="BD4609" s="44"/>
      <c r="BE4609" s="44"/>
      <c r="BF4609" s="44"/>
      <c r="BG4609" s="44"/>
      <c r="BH4609" s="44"/>
      <c r="BI4609" s="44"/>
      <c r="BJ4609" s="44"/>
    </row>
    <row r="4610" spans="1:63" ht="12" customHeight="1" x14ac:dyDescent="0.15">
      <c r="A4610" s="1" t="s">
        <v>14749</v>
      </c>
      <c r="B4610" s="1">
        <v>43</v>
      </c>
      <c r="C4610" s="1" t="s">
        <v>20</v>
      </c>
      <c r="D4610" s="1" t="s">
        <v>85</v>
      </c>
      <c r="F4610" s="72">
        <v>41501</v>
      </c>
      <c r="G4610" s="1" t="s">
        <v>14750</v>
      </c>
      <c r="H4610" s="1" t="s">
        <v>754</v>
      </c>
      <c r="I4610" s="1" t="s">
        <v>423</v>
      </c>
      <c r="J4610" s="4" t="s">
        <v>14751</v>
      </c>
      <c r="K4610" s="1" t="s">
        <v>1712</v>
      </c>
      <c r="L4610" s="1" t="s">
        <v>582</v>
      </c>
      <c r="M4610" s="1" t="s">
        <v>14359</v>
      </c>
      <c r="N4610" s="1" t="s">
        <v>21038</v>
      </c>
      <c r="O4610" s="1" t="s">
        <v>1010</v>
      </c>
      <c r="P4610" s="1" t="s">
        <v>401</v>
      </c>
      <c r="Q4610" s="63" t="s">
        <v>14752</v>
      </c>
      <c r="R4610" s="1" t="s">
        <v>100</v>
      </c>
      <c r="S4610" s="13" t="s">
        <v>18</v>
      </c>
      <c r="AX4610" s="44"/>
      <c r="AY4610" s="44"/>
      <c r="BC4610" s="44"/>
      <c r="BD4610" s="44"/>
      <c r="BE4610" s="44"/>
      <c r="BF4610" s="44"/>
      <c r="BG4610" s="44"/>
      <c r="BH4610" s="44"/>
      <c r="BI4610" s="44"/>
      <c r="BJ4610" s="44"/>
    </row>
    <row r="4611" spans="1:63" ht="12" customHeight="1" x14ac:dyDescent="0.15">
      <c r="A4611" s="1" t="s">
        <v>14753</v>
      </c>
      <c r="B4611" s="1">
        <v>23</v>
      </c>
      <c r="C4611" s="1" t="s">
        <v>20</v>
      </c>
      <c r="D4611" s="1" t="s">
        <v>85</v>
      </c>
      <c r="E4611" s="1" t="s">
        <v>14754</v>
      </c>
      <c r="F4611" s="72">
        <v>41501</v>
      </c>
      <c r="G4611" s="1" t="s">
        <v>14755</v>
      </c>
      <c r="H4611" s="1" t="s">
        <v>2101</v>
      </c>
      <c r="I4611" s="1" t="s">
        <v>81</v>
      </c>
      <c r="J4611" s="4" t="s">
        <v>14756</v>
      </c>
      <c r="K4611" s="1" t="s">
        <v>2902</v>
      </c>
      <c r="L4611" s="1" t="s">
        <v>2103</v>
      </c>
      <c r="M4611" s="1" t="s">
        <v>27</v>
      </c>
      <c r="N4611" s="1" t="s">
        <v>14757</v>
      </c>
      <c r="O4611" s="1" t="s">
        <v>550</v>
      </c>
      <c r="P4611" s="1" t="s">
        <v>401</v>
      </c>
      <c r="Q4611" s="63" t="s">
        <v>14758</v>
      </c>
      <c r="R4611" s="1" t="s">
        <v>29</v>
      </c>
      <c r="S4611" s="13" t="s">
        <v>28</v>
      </c>
      <c r="AX4611" s="11"/>
      <c r="AY4611" s="11"/>
      <c r="BC4611" s="44"/>
      <c r="BD4611" s="44"/>
      <c r="BE4611" s="44"/>
      <c r="BF4611" s="44"/>
      <c r="BG4611" s="44"/>
      <c r="BH4611" s="44"/>
      <c r="BI4611" s="44"/>
      <c r="BJ4611" s="44"/>
    </row>
    <row r="4612" spans="1:63" ht="12" customHeight="1" x14ac:dyDescent="0.15">
      <c r="A4612" s="1" t="s">
        <v>3252</v>
      </c>
      <c r="C4612" s="1" t="s">
        <v>20</v>
      </c>
      <c r="D4612" s="1" t="s">
        <v>30</v>
      </c>
      <c r="F4612" s="72">
        <v>41501</v>
      </c>
      <c r="G4612" s="1" t="s">
        <v>24527</v>
      </c>
      <c r="H4612" s="1" t="s">
        <v>890</v>
      </c>
      <c r="I4612" s="1" t="s">
        <v>315</v>
      </c>
      <c r="J4612" s="4" t="s">
        <v>14759</v>
      </c>
      <c r="K4612" s="1" t="s">
        <v>1778</v>
      </c>
      <c r="L4612" s="1" t="s">
        <v>891</v>
      </c>
      <c r="M4612" s="1" t="s">
        <v>27</v>
      </c>
      <c r="N4612" s="1" t="s">
        <v>14760</v>
      </c>
      <c r="O4612" s="1" t="s">
        <v>1010</v>
      </c>
      <c r="P4612" s="1" t="s">
        <v>401</v>
      </c>
      <c r="Q4612" s="63" t="s">
        <v>14761</v>
      </c>
      <c r="R4612" s="1" t="s">
        <v>29</v>
      </c>
      <c r="S4612" s="13" t="s">
        <v>28</v>
      </c>
    </row>
    <row r="4613" spans="1:63" ht="12" customHeight="1" x14ac:dyDescent="0.15">
      <c r="A4613" s="1" t="s">
        <v>14769</v>
      </c>
      <c r="B4613" s="1">
        <v>43</v>
      </c>
      <c r="C4613" s="1" t="s">
        <v>20</v>
      </c>
      <c r="D4613" s="1" t="s">
        <v>37</v>
      </c>
      <c r="F4613" s="72">
        <v>41501</v>
      </c>
      <c r="G4613" s="1" t="s">
        <v>14770</v>
      </c>
      <c r="H4613" s="1" t="s">
        <v>14738</v>
      </c>
      <c r="I4613" s="1" t="s">
        <v>45</v>
      </c>
      <c r="J4613" s="4" t="s">
        <v>14739</v>
      </c>
      <c r="K4613" s="1" t="s">
        <v>98</v>
      </c>
      <c r="L4613" s="1" t="s">
        <v>14740</v>
      </c>
      <c r="M4613" s="1" t="s">
        <v>27</v>
      </c>
      <c r="N4613" s="1" t="s">
        <v>14771</v>
      </c>
      <c r="O4613" s="1" t="s">
        <v>1010</v>
      </c>
      <c r="P4613" s="1" t="s">
        <v>401</v>
      </c>
      <c r="Q4613" s="63" t="s">
        <v>14772</v>
      </c>
      <c r="R4613" s="1" t="s">
        <v>29</v>
      </c>
      <c r="S4613" s="13" t="s">
        <v>28</v>
      </c>
      <c r="BC4613" s="44"/>
      <c r="BD4613" s="44"/>
      <c r="BE4613" s="44"/>
      <c r="BF4613" s="44"/>
      <c r="BG4613" s="44"/>
      <c r="BH4613" s="44"/>
      <c r="BI4613" s="44"/>
      <c r="BJ4613" s="44"/>
    </row>
    <row r="4614" spans="1:63" ht="12" customHeight="1" x14ac:dyDescent="0.15">
      <c r="A4614" s="1" t="s">
        <v>14777</v>
      </c>
      <c r="B4614" s="1">
        <v>18</v>
      </c>
      <c r="C4614" s="1" t="s">
        <v>20</v>
      </c>
      <c r="D4614" s="1" t="s">
        <v>37</v>
      </c>
      <c r="E4614" s="1" t="s">
        <v>14778</v>
      </c>
      <c r="F4614" s="72">
        <v>41500</v>
      </c>
      <c r="G4614" s="1" t="s">
        <v>14779</v>
      </c>
      <c r="H4614" s="1" t="s">
        <v>5786</v>
      </c>
      <c r="I4614" s="1" t="s">
        <v>73</v>
      </c>
      <c r="J4614" s="4" t="s">
        <v>14780</v>
      </c>
      <c r="K4614" s="1" t="s">
        <v>285</v>
      </c>
      <c r="L4614" s="1" t="s">
        <v>14781</v>
      </c>
      <c r="M4614" s="1" t="s">
        <v>14359</v>
      </c>
      <c r="N4614" s="1" t="s">
        <v>14782</v>
      </c>
      <c r="O4614" s="1" t="s">
        <v>1010</v>
      </c>
      <c r="P4614" s="1" t="s">
        <v>401</v>
      </c>
      <c r="Q4614" s="63" t="s">
        <v>14783</v>
      </c>
      <c r="R4614" s="11" t="s">
        <v>964</v>
      </c>
      <c r="S4614" s="13" t="s">
        <v>18</v>
      </c>
      <c r="AX4614" s="44"/>
      <c r="AY4614" s="44"/>
      <c r="AZ4614" s="44"/>
      <c r="BC4614" s="44"/>
      <c r="BD4614" s="44"/>
      <c r="BE4614" s="44"/>
      <c r="BF4614" s="44"/>
      <c r="BG4614" s="44"/>
      <c r="BH4614" s="44"/>
      <c r="BI4614" s="44"/>
      <c r="BJ4614" s="44"/>
    </row>
    <row r="4615" spans="1:63" ht="12" customHeight="1" x14ac:dyDescent="0.15">
      <c r="A4615" s="1" t="s">
        <v>14793</v>
      </c>
      <c r="B4615" s="1">
        <v>37</v>
      </c>
      <c r="C4615" s="1" t="s">
        <v>20</v>
      </c>
      <c r="D4615" s="1" t="s">
        <v>37</v>
      </c>
      <c r="E4615" s="1" t="s">
        <v>14794</v>
      </c>
      <c r="F4615" s="72">
        <v>41500</v>
      </c>
      <c r="G4615" s="1" t="s">
        <v>24528</v>
      </c>
      <c r="H4615" s="1" t="s">
        <v>8718</v>
      </c>
      <c r="I4615" s="1" t="s">
        <v>45</v>
      </c>
      <c r="J4615" s="4" t="s">
        <v>14795</v>
      </c>
      <c r="K4615" s="1" t="s">
        <v>602</v>
      </c>
      <c r="L4615" s="1" t="s">
        <v>8720</v>
      </c>
      <c r="M4615" s="1" t="s">
        <v>27</v>
      </c>
      <c r="N4615" s="1" t="s">
        <v>14796</v>
      </c>
      <c r="O4615" s="1" t="s">
        <v>29</v>
      </c>
      <c r="P4615" s="1" t="s">
        <v>401</v>
      </c>
      <c r="Q4615" s="63" t="s">
        <v>14797</v>
      </c>
      <c r="R4615" s="1" t="s">
        <v>100</v>
      </c>
      <c r="S4615" s="13" t="s">
        <v>28</v>
      </c>
      <c r="BC4615" s="44"/>
      <c r="BD4615" s="44"/>
      <c r="BE4615" s="44"/>
      <c r="BF4615" s="44"/>
      <c r="BG4615" s="44"/>
      <c r="BH4615" s="44"/>
      <c r="BI4615" s="44"/>
      <c r="BJ4615" s="44"/>
    </row>
    <row r="4616" spans="1:63" ht="12" customHeight="1" x14ac:dyDescent="0.15">
      <c r="A4616" s="1" t="s">
        <v>14798</v>
      </c>
      <c r="B4616" s="1">
        <v>20</v>
      </c>
      <c r="C4616" s="1" t="s">
        <v>20</v>
      </c>
      <c r="D4616" s="1" t="s">
        <v>37</v>
      </c>
      <c r="F4616" s="72">
        <v>41500</v>
      </c>
      <c r="G4616" s="1" t="s">
        <v>14799</v>
      </c>
      <c r="H4616" s="1" t="s">
        <v>14800</v>
      </c>
      <c r="I4616" s="1" t="s">
        <v>315</v>
      </c>
      <c r="J4616" s="4" t="s">
        <v>14801</v>
      </c>
      <c r="K4616" s="1" t="s">
        <v>8495</v>
      </c>
      <c r="L4616" s="1" t="s">
        <v>14802</v>
      </c>
      <c r="M4616" s="1" t="s">
        <v>27</v>
      </c>
      <c r="N4616" s="1" t="s">
        <v>14803</v>
      </c>
      <c r="O4616" s="1" t="s">
        <v>1010</v>
      </c>
      <c r="P4616" s="1" t="s">
        <v>401</v>
      </c>
      <c r="Q4616" s="63" t="s">
        <v>14804</v>
      </c>
      <c r="R4616" s="1" t="s">
        <v>100</v>
      </c>
      <c r="S4616" s="13" t="s">
        <v>28</v>
      </c>
      <c r="BC4616" s="44"/>
      <c r="BD4616" s="44"/>
      <c r="BE4616" s="44"/>
      <c r="BF4616" s="44"/>
      <c r="BG4616" s="44"/>
      <c r="BH4616" s="44"/>
      <c r="BI4616" s="44"/>
      <c r="BJ4616" s="44"/>
    </row>
    <row r="4617" spans="1:63" ht="12" customHeight="1" x14ac:dyDescent="0.15">
      <c r="A4617" s="1" t="s">
        <v>14773</v>
      </c>
      <c r="B4617" s="1">
        <v>33</v>
      </c>
      <c r="C4617" s="1" t="s">
        <v>20</v>
      </c>
      <c r="D4617" s="1" t="s">
        <v>85</v>
      </c>
      <c r="F4617" s="72">
        <v>41500</v>
      </c>
      <c r="G4617" s="1" t="s">
        <v>14774</v>
      </c>
      <c r="H4617" s="1" t="s">
        <v>754</v>
      </c>
      <c r="I4617" s="1" t="s">
        <v>423</v>
      </c>
      <c r="J4617" s="4" t="s">
        <v>2139</v>
      </c>
      <c r="K4617" s="1" t="s">
        <v>1712</v>
      </c>
      <c r="L4617" s="1" t="s">
        <v>582</v>
      </c>
      <c r="M4617" s="1" t="s">
        <v>379</v>
      </c>
      <c r="N4617" s="1" t="s">
        <v>14775</v>
      </c>
      <c r="O4617" s="1" t="s">
        <v>1010</v>
      </c>
      <c r="P4617" s="1" t="s">
        <v>401</v>
      </c>
      <c r="Q4617" s="63" t="s">
        <v>14776</v>
      </c>
      <c r="R4617" s="1" t="s">
        <v>100</v>
      </c>
      <c r="S4617" s="13" t="s">
        <v>379</v>
      </c>
      <c r="BC4617" s="44"/>
      <c r="BD4617" s="44"/>
      <c r="BE4617" s="44"/>
      <c r="BF4617" s="44"/>
      <c r="BG4617" s="44"/>
      <c r="BH4617" s="44"/>
      <c r="BI4617" s="44"/>
      <c r="BJ4617" s="44"/>
    </row>
    <row r="4618" spans="1:63" ht="12" customHeight="1" x14ac:dyDescent="0.15">
      <c r="A4618" s="1" t="s">
        <v>14784</v>
      </c>
      <c r="B4618" s="1">
        <v>50</v>
      </c>
      <c r="C4618" s="1" t="s">
        <v>20</v>
      </c>
      <c r="D4618" s="1" t="s">
        <v>37</v>
      </c>
      <c r="E4618" s="1" t="s">
        <v>14785</v>
      </c>
      <c r="F4618" s="72">
        <v>41500</v>
      </c>
      <c r="G4618" s="1" t="s">
        <v>14786</v>
      </c>
      <c r="H4618" s="1" t="s">
        <v>14787</v>
      </c>
      <c r="I4618" s="1" t="s">
        <v>133</v>
      </c>
      <c r="J4618" s="4" t="s">
        <v>14788</v>
      </c>
      <c r="K4618" s="1" t="s">
        <v>14789</v>
      </c>
      <c r="L4618" s="1" t="s">
        <v>14790</v>
      </c>
      <c r="M4618" s="1" t="s">
        <v>27</v>
      </c>
      <c r="N4618" s="1" t="s">
        <v>14791</v>
      </c>
      <c r="O4618" s="1" t="s">
        <v>550</v>
      </c>
      <c r="P4618" s="1" t="s">
        <v>401</v>
      </c>
      <c r="Q4618" s="63" t="s">
        <v>14792</v>
      </c>
      <c r="R4618" s="1" t="s">
        <v>29</v>
      </c>
      <c r="S4618" s="13" t="s">
        <v>28</v>
      </c>
      <c r="BC4618" s="44"/>
      <c r="BD4618" s="44"/>
      <c r="BE4618" s="44"/>
      <c r="BF4618" s="44"/>
      <c r="BG4618" s="44"/>
      <c r="BH4618" s="44"/>
      <c r="BI4618" s="44"/>
      <c r="BJ4618" s="44"/>
    </row>
    <row r="4619" spans="1:63" ht="12" customHeight="1" x14ac:dyDescent="0.15">
      <c r="A4619" s="1" t="s">
        <v>14827</v>
      </c>
      <c r="B4619" s="1">
        <v>63</v>
      </c>
      <c r="C4619" s="1" t="s">
        <v>20</v>
      </c>
      <c r="D4619" s="1" t="s">
        <v>30</v>
      </c>
      <c r="F4619" s="72">
        <v>41499</v>
      </c>
      <c r="G4619" s="1" t="s">
        <v>14828</v>
      </c>
      <c r="H4619" s="1" t="s">
        <v>1298</v>
      </c>
      <c r="I4619" s="1" t="s">
        <v>209</v>
      </c>
      <c r="J4619" s="4" t="s">
        <v>14829</v>
      </c>
      <c r="K4619" s="1" t="s">
        <v>1298</v>
      </c>
      <c r="L4619" s="1" t="s">
        <v>1299</v>
      </c>
      <c r="M4619" s="1" t="s">
        <v>27</v>
      </c>
      <c r="N4619" s="1" t="s">
        <v>14830</v>
      </c>
      <c r="O4619" s="1" t="s">
        <v>1010</v>
      </c>
      <c r="P4619" s="1" t="s">
        <v>401</v>
      </c>
      <c r="Q4619" s="63" t="s">
        <v>14831</v>
      </c>
      <c r="R4619" s="1" t="s">
        <v>100</v>
      </c>
      <c r="S4619" s="13" t="s">
        <v>28</v>
      </c>
    </row>
    <row r="4620" spans="1:63" ht="12" customHeight="1" x14ac:dyDescent="0.15">
      <c r="A4620" s="1" t="s">
        <v>14818</v>
      </c>
      <c r="B4620" s="1">
        <v>35</v>
      </c>
      <c r="C4620" s="1" t="s">
        <v>20</v>
      </c>
      <c r="D4620" s="1" t="s">
        <v>48</v>
      </c>
      <c r="E4620" s="1" t="s">
        <v>14819</v>
      </c>
      <c r="F4620" s="72">
        <v>41499</v>
      </c>
      <c r="G4620" s="1" t="s">
        <v>14820</v>
      </c>
      <c r="H4620" s="1" t="s">
        <v>14821</v>
      </c>
      <c r="I4620" s="1" t="s">
        <v>506</v>
      </c>
      <c r="J4620" s="4" t="s">
        <v>14822</v>
      </c>
      <c r="K4620" s="1" t="s">
        <v>14823</v>
      </c>
      <c r="L4620" s="1" t="s">
        <v>14824</v>
      </c>
      <c r="M4620" s="1" t="s">
        <v>27</v>
      </c>
      <c r="N4620" s="1" t="s">
        <v>14825</v>
      </c>
      <c r="O4620" s="1" t="s">
        <v>550</v>
      </c>
      <c r="P4620" s="1" t="s">
        <v>401</v>
      </c>
      <c r="Q4620" s="63" t="s">
        <v>14826</v>
      </c>
      <c r="R4620" s="1" t="s">
        <v>100</v>
      </c>
      <c r="S4620" s="13" t="s">
        <v>18</v>
      </c>
    </row>
    <row r="4621" spans="1:63" ht="12" customHeight="1" x14ac:dyDescent="0.15">
      <c r="A4621" s="1" t="s">
        <v>14832</v>
      </c>
      <c r="B4621" s="1">
        <v>33</v>
      </c>
      <c r="C4621" s="1" t="s">
        <v>20</v>
      </c>
      <c r="D4621" s="1" t="s">
        <v>30</v>
      </c>
      <c r="F4621" s="72">
        <v>41499</v>
      </c>
      <c r="G4621" s="1" t="s">
        <v>14833</v>
      </c>
      <c r="H4621" s="1" t="s">
        <v>14834</v>
      </c>
      <c r="I4621" s="1" t="s">
        <v>669</v>
      </c>
      <c r="J4621" s="4" t="s">
        <v>14835</v>
      </c>
      <c r="K4621" s="1" t="s">
        <v>14836</v>
      </c>
      <c r="L4621" s="1" t="s">
        <v>14837</v>
      </c>
      <c r="M4621" s="1" t="s">
        <v>391</v>
      </c>
      <c r="N4621" s="1" t="s">
        <v>14838</v>
      </c>
      <c r="O4621" s="1" t="s">
        <v>1010</v>
      </c>
      <c r="P4621" s="1" t="s">
        <v>401</v>
      </c>
      <c r="Q4621" s="63" t="str">
        <f>HYPERLINK("http://blog.gulflive.com/mississippi-press-news/2013/10/gloster_police_offer_reinstate.html","http://blog.gulflive.com/mississippi-press-news/2013/10/gloster_police_offer_reinstate.html")</f>
        <v>http://blog.gulflive.com/mississippi-press-news/2013/10/gloster_police_offer_reinstate.html</v>
      </c>
      <c r="R4621" s="1" t="s">
        <v>100</v>
      </c>
      <c r="S4621" s="13" t="s">
        <v>35</v>
      </c>
      <c r="AU4621" s="11"/>
      <c r="AV4621" s="11"/>
      <c r="AW4621" s="11"/>
      <c r="BK4621" s="11"/>
    </row>
    <row r="4622" spans="1:63" ht="12" customHeight="1" x14ac:dyDescent="0.15">
      <c r="A4622" s="1" t="s">
        <v>14813</v>
      </c>
      <c r="B4622" s="1">
        <v>23</v>
      </c>
      <c r="C4622" s="1" t="s">
        <v>20</v>
      </c>
      <c r="D4622" s="1" t="s">
        <v>85</v>
      </c>
      <c r="F4622" s="72">
        <v>41499</v>
      </c>
      <c r="G4622" s="1" t="s">
        <v>14814</v>
      </c>
      <c r="H4622" s="1" t="s">
        <v>1592</v>
      </c>
      <c r="I4622" s="1" t="s">
        <v>52</v>
      </c>
      <c r="J4622" s="4" t="s">
        <v>14815</v>
      </c>
      <c r="K4622" s="1" t="s">
        <v>1592</v>
      </c>
      <c r="L4622" s="1" t="s">
        <v>231</v>
      </c>
      <c r="M4622" s="1" t="s">
        <v>27</v>
      </c>
      <c r="N4622" s="1" t="s">
        <v>14816</v>
      </c>
      <c r="O4622" s="1" t="s">
        <v>29</v>
      </c>
      <c r="P4622" s="1" t="s">
        <v>401</v>
      </c>
      <c r="Q4622" s="63" t="s">
        <v>14817</v>
      </c>
      <c r="R4622" s="1" t="s">
        <v>100</v>
      </c>
      <c r="S4622" s="13" t="s">
        <v>379</v>
      </c>
      <c r="AX4622" s="11"/>
      <c r="AY4622" s="11"/>
      <c r="BC4622" s="44"/>
      <c r="BD4622" s="44"/>
      <c r="BE4622" s="44"/>
      <c r="BF4622" s="44"/>
      <c r="BG4622" s="44"/>
      <c r="BH4622" s="44"/>
      <c r="BI4622" s="44"/>
      <c r="BJ4622" s="44"/>
    </row>
    <row r="4623" spans="1:63" ht="12" customHeight="1" x14ac:dyDescent="0.2">
      <c r="A4623" s="1" t="s">
        <v>14805</v>
      </c>
      <c r="B4623" s="1">
        <v>20</v>
      </c>
      <c r="C4623" s="1" t="s">
        <v>20</v>
      </c>
      <c r="D4623" s="1" t="s">
        <v>21</v>
      </c>
      <c r="E4623" s="1" t="s">
        <v>14806</v>
      </c>
      <c r="F4623" s="72">
        <v>41499</v>
      </c>
      <c r="G4623" s="1" t="s">
        <v>14807</v>
      </c>
      <c r="H4623" s="1" t="s">
        <v>11152</v>
      </c>
      <c r="I4623" s="1" t="s">
        <v>25</v>
      </c>
      <c r="J4623" s="4" t="s">
        <v>14808</v>
      </c>
      <c r="K4623" s="1" t="s">
        <v>14809</v>
      </c>
      <c r="L4623" s="1" t="s">
        <v>14810</v>
      </c>
      <c r="M4623" s="1" t="s">
        <v>27</v>
      </c>
      <c r="N4623" s="1" t="s">
        <v>14811</v>
      </c>
      <c r="O4623" s="1" t="s">
        <v>550</v>
      </c>
      <c r="P4623" s="1" t="s">
        <v>401</v>
      </c>
      <c r="Q4623" s="63" t="s">
        <v>14812</v>
      </c>
      <c r="R4623" s="1" t="s">
        <v>555</v>
      </c>
      <c r="S4623" s="13" t="s">
        <v>28</v>
      </c>
      <c r="AX4623" s="70"/>
      <c r="AY4623" s="70"/>
      <c r="BC4623" s="70"/>
      <c r="BD4623" s="70"/>
      <c r="BE4623" s="70"/>
      <c r="BF4623" s="70"/>
      <c r="BG4623" s="70"/>
      <c r="BH4623" s="70"/>
      <c r="BI4623" s="70"/>
      <c r="BJ4623" s="70"/>
    </row>
    <row r="4624" spans="1:63" ht="12" customHeight="1" x14ac:dyDescent="0.15">
      <c r="A4624" s="1" t="s">
        <v>14839</v>
      </c>
      <c r="B4624" s="1">
        <v>59</v>
      </c>
      <c r="C4624" s="1" t="s">
        <v>20</v>
      </c>
      <c r="D4624" s="1" t="s">
        <v>37</v>
      </c>
      <c r="E4624" s="1" t="s">
        <v>14840</v>
      </c>
      <c r="F4624" s="72">
        <v>41499</v>
      </c>
      <c r="G4624" s="1" t="s">
        <v>14841</v>
      </c>
      <c r="H4624" s="1" t="s">
        <v>547</v>
      </c>
      <c r="I4624" s="1" t="s">
        <v>69</v>
      </c>
      <c r="J4624" s="4" t="s">
        <v>14842</v>
      </c>
      <c r="K4624" s="1" t="s">
        <v>548</v>
      </c>
      <c r="L4624" s="1" t="s">
        <v>616</v>
      </c>
      <c r="M4624" s="1" t="s">
        <v>391</v>
      </c>
      <c r="N4624" s="1" t="s">
        <v>14843</v>
      </c>
      <c r="O4624" s="1" t="s">
        <v>1010</v>
      </c>
      <c r="P4624" s="1" t="s">
        <v>401</v>
      </c>
      <c r="Q4624" s="63" t="s">
        <v>14844</v>
      </c>
      <c r="R4624" s="1" t="s">
        <v>555</v>
      </c>
      <c r="S4624" s="13" t="s">
        <v>18</v>
      </c>
      <c r="AU4624" s="11"/>
      <c r="AV4624" s="11"/>
      <c r="AW4624" s="11"/>
      <c r="BC4624" s="44"/>
      <c r="BD4624" s="44"/>
      <c r="BE4624" s="44"/>
      <c r="BF4624" s="44"/>
      <c r="BG4624" s="44"/>
      <c r="BH4624" s="44"/>
      <c r="BI4624" s="44"/>
      <c r="BJ4624" s="44"/>
    </row>
    <row r="4625" spans="1:62" ht="12" customHeight="1" x14ac:dyDescent="0.15">
      <c r="A4625" s="1" t="s">
        <v>14845</v>
      </c>
      <c r="B4625" s="1">
        <v>31</v>
      </c>
      <c r="C4625" s="1" t="s">
        <v>20</v>
      </c>
      <c r="D4625" s="1" t="s">
        <v>85</v>
      </c>
      <c r="E4625" s="1" t="s">
        <v>14846</v>
      </c>
      <c r="F4625" s="72">
        <v>41498</v>
      </c>
      <c r="G4625" s="1" t="s">
        <v>14847</v>
      </c>
      <c r="H4625" s="1" t="s">
        <v>1208</v>
      </c>
      <c r="I4625" s="1" t="s">
        <v>303</v>
      </c>
      <c r="J4625" s="4" t="s">
        <v>14848</v>
      </c>
      <c r="K4625" s="1" t="s">
        <v>1209</v>
      </c>
      <c r="L4625" s="1" t="s">
        <v>1210</v>
      </c>
      <c r="M4625" s="1" t="s">
        <v>27</v>
      </c>
      <c r="N4625" s="1" t="s">
        <v>14849</v>
      </c>
      <c r="O4625" s="1" t="s">
        <v>1010</v>
      </c>
      <c r="P4625" s="1" t="s">
        <v>401</v>
      </c>
      <c r="Q4625" s="63" t="s">
        <v>14850</v>
      </c>
      <c r="R4625" s="1" t="s">
        <v>29</v>
      </c>
      <c r="S4625" s="13" t="s">
        <v>28</v>
      </c>
      <c r="AX4625" s="11"/>
      <c r="AY4625" s="11"/>
      <c r="BC4625" s="44"/>
      <c r="BD4625" s="44"/>
      <c r="BE4625" s="44"/>
      <c r="BF4625" s="44"/>
      <c r="BG4625" s="44"/>
      <c r="BH4625" s="44"/>
      <c r="BI4625" s="44"/>
      <c r="BJ4625" s="44"/>
    </row>
    <row r="4626" spans="1:62" ht="12" customHeight="1" x14ac:dyDescent="0.15">
      <c r="A4626" s="1" t="s">
        <v>14851</v>
      </c>
      <c r="B4626" s="1">
        <v>44</v>
      </c>
      <c r="C4626" s="1" t="s">
        <v>114</v>
      </c>
      <c r="D4626" s="1" t="s">
        <v>30</v>
      </c>
      <c r="F4626" s="72">
        <v>41498</v>
      </c>
      <c r="G4626" s="1" t="s">
        <v>14852</v>
      </c>
      <c r="H4626" s="1" t="s">
        <v>6428</v>
      </c>
      <c r="I4626" s="1" t="s">
        <v>62</v>
      </c>
      <c r="J4626" s="4" t="s">
        <v>14853</v>
      </c>
      <c r="K4626" s="1" t="s">
        <v>1123</v>
      </c>
      <c r="L4626" s="1" t="s">
        <v>4384</v>
      </c>
      <c r="M4626" s="1" t="s">
        <v>27</v>
      </c>
      <c r="N4626" s="1" t="s">
        <v>14854</v>
      </c>
      <c r="O4626" s="1" t="s">
        <v>1010</v>
      </c>
      <c r="P4626" s="1" t="s">
        <v>401</v>
      </c>
      <c r="Q4626" s="63" t="s">
        <v>14855</v>
      </c>
      <c r="R4626" s="1" t="s">
        <v>29</v>
      </c>
      <c r="S4626" s="13" t="s">
        <v>28</v>
      </c>
    </row>
    <row r="4627" spans="1:62" ht="12" customHeight="1" x14ac:dyDescent="0.15">
      <c r="A4627" s="1" t="s">
        <v>14856</v>
      </c>
      <c r="B4627" s="1">
        <v>46</v>
      </c>
      <c r="C4627" s="1" t="s">
        <v>20</v>
      </c>
      <c r="D4627" s="1" t="s">
        <v>37</v>
      </c>
      <c r="E4627" s="1" t="s">
        <v>14857</v>
      </c>
      <c r="F4627" s="72">
        <v>41498</v>
      </c>
      <c r="G4627" s="1" t="s">
        <v>14858</v>
      </c>
      <c r="H4627" s="1" t="s">
        <v>14859</v>
      </c>
      <c r="I4627" s="1" t="s">
        <v>404</v>
      </c>
      <c r="J4627" s="4" t="s">
        <v>14860</v>
      </c>
      <c r="K4627" s="1" t="s">
        <v>1492</v>
      </c>
      <c r="L4627" s="1" t="s">
        <v>14861</v>
      </c>
      <c r="M4627" s="1" t="s">
        <v>27</v>
      </c>
      <c r="N4627" s="1" t="s">
        <v>14862</v>
      </c>
      <c r="O4627" s="1" t="s">
        <v>550</v>
      </c>
      <c r="P4627" s="1" t="s">
        <v>401</v>
      </c>
      <c r="Q4627" s="63" t="s">
        <v>14863</v>
      </c>
      <c r="R4627" s="1" t="s">
        <v>29</v>
      </c>
      <c r="S4627" s="13" t="s">
        <v>18</v>
      </c>
      <c r="BC4627" s="44"/>
      <c r="BD4627" s="44"/>
      <c r="BE4627" s="44"/>
      <c r="BF4627" s="44"/>
      <c r="BG4627" s="44"/>
      <c r="BH4627" s="44"/>
      <c r="BI4627" s="44"/>
      <c r="BJ4627" s="44"/>
    </row>
    <row r="4628" spans="1:62" ht="12" customHeight="1" x14ac:dyDescent="0.15">
      <c r="A4628" s="1" t="s">
        <v>14864</v>
      </c>
      <c r="B4628" s="1">
        <v>44</v>
      </c>
      <c r="C4628" s="1" t="s">
        <v>20</v>
      </c>
      <c r="D4628" s="1" t="s">
        <v>85</v>
      </c>
      <c r="E4628" s="1" t="s">
        <v>14865</v>
      </c>
      <c r="F4628" s="72">
        <v>41497</v>
      </c>
      <c r="G4628" s="1" t="s">
        <v>14866</v>
      </c>
      <c r="H4628" s="1" t="s">
        <v>14867</v>
      </c>
      <c r="I4628" s="1" t="s">
        <v>44</v>
      </c>
      <c r="J4628" s="4" t="s">
        <v>14868</v>
      </c>
      <c r="K4628" s="1" t="s">
        <v>2853</v>
      </c>
      <c r="L4628" s="1" t="s">
        <v>10222</v>
      </c>
      <c r="M4628" s="1" t="s">
        <v>27</v>
      </c>
      <c r="N4628" s="1" t="s">
        <v>14869</v>
      </c>
      <c r="O4628" s="1" t="s">
        <v>550</v>
      </c>
      <c r="P4628" s="1" t="s">
        <v>401</v>
      </c>
      <c r="Q4628" s="63" t="s">
        <v>14870</v>
      </c>
      <c r="R4628" s="1" t="s">
        <v>100</v>
      </c>
      <c r="S4628" s="13" t="s">
        <v>28</v>
      </c>
      <c r="AX4628" s="11"/>
      <c r="AY4628" s="11"/>
      <c r="BC4628" s="44"/>
      <c r="BD4628" s="44"/>
      <c r="BE4628" s="44"/>
      <c r="BF4628" s="44"/>
      <c r="BG4628" s="44"/>
      <c r="BH4628" s="44"/>
      <c r="BI4628" s="44"/>
      <c r="BJ4628" s="44"/>
    </row>
    <row r="4629" spans="1:62" ht="12" customHeight="1" x14ac:dyDescent="0.15">
      <c r="A4629" s="1" t="s">
        <v>14871</v>
      </c>
      <c r="B4629" s="1">
        <v>23</v>
      </c>
      <c r="C4629" s="1" t="s">
        <v>20</v>
      </c>
      <c r="D4629" s="1" t="s">
        <v>85</v>
      </c>
      <c r="F4629" s="72">
        <v>41497</v>
      </c>
      <c r="G4629" s="1" t="s">
        <v>14872</v>
      </c>
      <c r="H4629" s="1" t="s">
        <v>4182</v>
      </c>
      <c r="I4629" s="1" t="s">
        <v>46</v>
      </c>
      <c r="J4629" s="4" t="s">
        <v>14873</v>
      </c>
      <c r="K4629" s="1" t="s">
        <v>8933</v>
      </c>
      <c r="L4629" s="1" t="s">
        <v>16424</v>
      </c>
      <c r="M4629" s="1" t="s">
        <v>27</v>
      </c>
      <c r="N4629" s="1" t="s">
        <v>14874</v>
      </c>
      <c r="O4629" s="1" t="s">
        <v>1010</v>
      </c>
      <c r="P4629" s="1" t="s">
        <v>401</v>
      </c>
      <c r="Q4629" s="63" t="s">
        <v>14875</v>
      </c>
      <c r="R4629" s="1" t="s">
        <v>100</v>
      </c>
      <c r="S4629" s="13" t="s">
        <v>28</v>
      </c>
      <c r="AX4629" s="11"/>
      <c r="AY4629" s="11"/>
      <c r="BC4629" s="44"/>
      <c r="BD4629" s="44"/>
      <c r="BE4629" s="44"/>
      <c r="BF4629" s="44"/>
      <c r="BG4629" s="44"/>
      <c r="BH4629" s="44"/>
      <c r="BI4629" s="44"/>
      <c r="BJ4629" s="44"/>
    </row>
    <row r="4630" spans="1:62" ht="12" customHeight="1" x14ac:dyDescent="0.15">
      <c r="A4630" s="1" t="s">
        <v>14884</v>
      </c>
      <c r="B4630" s="1">
        <v>31</v>
      </c>
      <c r="C4630" s="1" t="s">
        <v>20</v>
      </c>
      <c r="D4630" s="1" t="s">
        <v>37</v>
      </c>
      <c r="E4630" s="1" t="s">
        <v>14885</v>
      </c>
      <c r="F4630" s="72">
        <v>41496</v>
      </c>
      <c r="G4630" s="1" t="s">
        <v>14886</v>
      </c>
      <c r="H4630" s="1" t="s">
        <v>3296</v>
      </c>
      <c r="I4630" s="1" t="s">
        <v>94</v>
      </c>
      <c r="J4630" s="4" t="s">
        <v>14887</v>
      </c>
      <c r="K4630" s="1" t="s">
        <v>2751</v>
      </c>
      <c r="L4630" s="1" t="s">
        <v>14888</v>
      </c>
      <c r="M4630" s="1" t="s">
        <v>27</v>
      </c>
      <c r="N4630" s="1" t="s">
        <v>14889</v>
      </c>
      <c r="O4630" s="1" t="s">
        <v>550</v>
      </c>
      <c r="P4630" s="1" t="s">
        <v>401</v>
      </c>
      <c r="Q4630" s="63" t="s">
        <v>14890</v>
      </c>
      <c r="R4630" s="1" t="s">
        <v>100</v>
      </c>
      <c r="S4630" s="13" t="s">
        <v>28</v>
      </c>
      <c r="BC4630" s="44"/>
      <c r="BD4630" s="44"/>
      <c r="BE4630" s="44"/>
      <c r="BF4630" s="44"/>
      <c r="BG4630" s="44"/>
      <c r="BH4630" s="44"/>
      <c r="BI4630" s="44"/>
      <c r="BJ4630" s="44"/>
    </row>
    <row r="4631" spans="1:62" ht="12" customHeight="1" x14ac:dyDescent="0.15">
      <c r="A4631" s="1" t="s">
        <v>14876</v>
      </c>
      <c r="B4631" s="1" t="s">
        <v>9182</v>
      </c>
      <c r="C4631" s="1" t="s">
        <v>20</v>
      </c>
      <c r="D4631" s="1" t="s">
        <v>37</v>
      </c>
      <c r="E4631" s="1" t="s">
        <v>14877</v>
      </c>
      <c r="F4631" s="72">
        <v>41496</v>
      </c>
      <c r="G4631" s="1" t="s">
        <v>14878</v>
      </c>
      <c r="H4631" s="1" t="s">
        <v>14879</v>
      </c>
      <c r="I4631" s="1" t="s">
        <v>790</v>
      </c>
      <c r="J4631" s="4" t="s">
        <v>14880</v>
      </c>
      <c r="K4631" s="1" t="s">
        <v>14881</v>
      </c>
      <c r="L4631" s="1" t="s">
        <v>14882</v>
      </c>
      <c r="M4631" s="1" t="s">
        <v>27</v>
      </c>
      <c r="N4631" s="1" t="s">
        <v>14883</v>
      </c>
      <c r="O4631" s="1" t="s">
        <v>29</v>
      </c>
      <c r="P4631" s="1" t="s">
        <v>401</v>
      </c>
      <c r="Q4631" s="63" t="str">
        <f>HYPERLINK("http://www.huffingtonpost.com/2013/08/08/james-lee-dimaggio_n_3724734.html","http://www.huffingtonpost.com/2013/08/08/james-lee-dimaggio_n_3724734.html")</f>
        <v>http://www.huffingtonpost.com/2013/08/08/james-lee-dimaggio_n_3724734.html</v>
      </c>
      <c r="R4631" s="1" t="s">
        <v>100</v>
      </c>
      <c r="S4631" s="13" t="s">
        <v>28</v>
      </c>
      <c r="BC4631" s="44"/>
      <c r="BD4631" s="44"/>
      <c r="BE4631" s="44"/>
      <c r="BF4631" s="44"/>
      <c r="BG4631" s="44"/>
      <c r="BH4631" s="44"/>
      <c r="BI4631" s="44"/>
      <c r="BJ4631" s="44"/>
    </row>
    <row r="4632" spans="1:62" ht="12" customHeight="1" x14ac:dyDescent="0.15">
      <c r="A4632" s="1" t="s">
        <v>14891</v>
      </c>
      <c r="B4632" s="1">
        <v>57</v>
      </c>
      <c r="C4632" s="1" t="s">
        <v>20</v>
      </c>
      <c r="D4632" s="1" t="s">
        <v>37</v>
      </c>
      <c r="E4632" s="1" t="s">
        <v>14892</v>
      </c>
      <c r="F4632" s="72">
        <v>41495</v>
      </c>
      <c r="G4632" s="1" t="s">
        <v>14893</v>
      </c>
      <c r="H4632" s="1" t="s">
        <v>2160</v>
      </c>
      <c r="I4632" s="1" t="s">
        <v>94</v>
      </c>
      <c r="J4632" s="4" t="s">
        <v>14894</v>
      </c>
      <c r="K4632" s="1" t="s">
        <v>2160</v>
      </c>
      <c r="L4632" s="1" t="s">
        <v>2161</v>
      </c>
      <c r="M4632" s="1" t="s">
        <v>27</v>
      </c>
      <c r="N4632" s="1" t="s">
        <v>14895</v>
      </c>
      <c r="O4632" s="1" t="s">
        <v>613</v>
      </c>
      <c r="P4632" s="1" t="s">
        <v>401</v>
      </c>
      <c r="Q4632" s="63" t="s">
        <v>14896</v>
      </c>
      <c r="R4632" s="1" t="s">
        <v>100</v>
      </c>
      <c r="S4632" s="13" t="s">
        <v>28</v>
      </c>
      <c r="BC4632" s="44"/>
      <c r="BD4632" s="44"/>
      <c r="BE4632" s="44"/>
      <c r="BF4632" s="44"/>
      <c r="BG4632" s="44"/>
      <c r="BH4632" s="44"/>
      <c r="BI4632" s="44"/>
      <c r="BJ4632" s="44"/>
    </row>
    <row r="4633" spans="1:62" ht="12" customHeight="1" x14ac:dyDescent="0.15">
      <c r="A4633" s="1" t="s">
        <v>14909</v>
      </c>
      <c r="B4633" s="1">
        <v>62</v>
      </c>
      <c r="C4633" s="1" t="s">
        <v>20</v>
      </c>
      <c r="D4633" s="1" t="s">
        <v>37</v>
      </c>
      <c r="E4633" s="1" t="s">
        <v>14910</v>
      </c>
      <c r="F4633" s="72">
        <v>41495</v>
      </c>
      <c r="G4633" s="1" t="s">
        <v>14911</v>
      </c>
      <c r="H4633" s="1" t="s">
        <v>9849</v>
      </c>
      <c r="I4633" s="1" t="s">
        <v>62</v>
      </c>
      <c r="J4633" s="4" t="s">
        <v>14912</v>
      </c>
      <c r="K4633" s="1" t="s">
        <v>4353</v>
      </c>
      <c r="L4633" s="1" t="s">
        <v>5400</v>
      </c>
      <c r="M4633" s="1" t="s">
        <v>27</v>
      </c>
      <c r="N4633" s="1" t="s">
        <v>14913</v>
      </c>
      <c r="O4633" s="1" t="s">
        <v>550</v>
      </c>
      <c r="P4633" s="1" t="s">
        <v>401</v>
      </c>
      <c r="Q4633" s="63" t="s">
        <v>14914</v>
      </c>
      <c r="R4633" s="1" t="s">
        <v>100</v>
      </c>
      <c r="S4633" s="13" t="s">
        <v>28</v>
      </c>
      <c r="BC4633" s="44"/>
      <c r="BD4633" s="44"/>
      <c r="BE4633" s="44"/>
      <c r="BF4633" s="44"/>
      <c r="BG4633" s="44"/>
      <c r="BH4633" s="44"/>
      <c r="BI4633" s="44"/>
      <c r="BJ4633" s="44"/>
    </row>
    <row r="4634" spans="1:62" ht="12" customHeight="1" x14ac:dyDescent="0.15">
      <c r="A4634" s="1" t="s">
        <v>14897</v>
      </c>
      <c r="B4634" s="1">
        <v>21</v>
      </c>
      <c r="C4634" s="1" t="s">
        <v>20</v>
      </c>
      <c r="D4634" s="1" t="s">
        <v>37</v>
      </c>
      <c r="E4634" s="1" t="s">
        <v>14898</v>
      </c>
      <c r="F4634" s="72">
        <v>41495</v>
      </c>
      <c r="G4634" s="1" t="s">
        <v>14899</v>
      </c>
      <c r="H4634" s="1" t="s">
        <v>216</v>
      </c>
      <c r="I4634" s="1" t="s">
        <v>217</v>
      </c>
      <c r="J4634" s="4" t="s">
        <v>11302</v>
      </c>
      <c r="K4634" s="1" t="s">
        <v>420</v>
      </c>
      <c r="L4634" s="1" t="s">
        <v>218</v>
      </c>
      <c r="M4634" s="1" t="s">
        <v>27</v>
      </c>
      <c r="N4634" s="1" t="s">
        <v>14900</v>
      </c>
      <c r="O4634" s="1" t="s">
        <v>1010</v>
      </c>
      <c r="P4634" s="1" t="s">
        <v>401</v>
      </c>
      <c r="Q4634" s="63" t="s">
        <v>14901</v>
      </c>
      <c r="R4634" s="1" t="s">
        <v>100</v>
      </c>
      <c r="S4634" s="13" t="s">
        <v>28</v>
      </c>
      <c r="BC4634" s="44"/>
      <c r="BD4634" s="44"/>
      <c r="BE4634" s="44"/>
      <c r="BF4634" s="44"/>
      <c r="BG4634" s="44"/>
      <c r="BH4634" s="44"/>
      <c r="BI4634" s="44"/>
      <c r="BJ4634" s="44"/>
    </row>
    <row r="4635" spans="1:62" ht="12" customHeight="1" x14ac:dyDescent="0.15">
      <c r="A4635" s="1" t="s">
        <v>14902</v>
      </c>
      <c r="B4635" s="1">
        <v>31</v>
      </c>
      <c r="C4635" s="1" t="s">
        <v>20</v>
      </c>
      <c r="D4635" s="1" t="s">
        <v>37</v>
      </c>
      <c r="E4635" s="1" t="s">
        <v>14903</v>
      </c>
      <c r="F4635" s="72">
        <v>41495</v>
      </c>
      <c r="G4635" s="1" t="s">
        <v>14904</v>
      </c>
      <c r="H4635" s="1" t="s">
        <v>2080</v>
      </c>
      <c r="I4635" s="1" t="s">
        <v>244</v>
      </c>
      <c r="J4635" s="4" t="s">
        <v>14905</v>
      </c>
      <c r="K4635" s="1" t="s">
        <v>14906</v>
      </c>
      <c r="L4635" s="1" t="s">
        <v>14907</v>
      </c>
      <c r="M4635" s="1" t="s">
        <v>27</v>
      </c>
      <c r="N4635" s="1" t="s">
        <v>14908</v>
      </c>
      <c r="O4635" s="1" t="s">
        <v>1010</v>
      </c>
      <c r="P4635" s="1" t="s">
        <v>401</v>
      </c>
      <c r="Q4635" s="63" t="str">
        <f>HYPERLINK("http://hamptonroads.com/2013/08/man-killed-deputyinvolved-isle-wight-shooting","http://hamptonroads.com/2013/08/man-killed-deputyinvolved-isle-wight-shooting")</f>
        <v>http://hamptonroads.com/2013/08/man-killed-deputyinvolved-isle-wight-shooting</v>
      </c>
      <c r="R4635" s="1" t="s">
        <v>100</v>
      </c>
      <c r="S4635" s="13" t="s">
        <v>28</v>
      </c>
      <c r="BC4635" s="44"/>
      <c r="BD4635" s="44"/>
      <c r="BE4635" s="44"/>
      <c r="BF4635" s="44"/>
      <c r="BG4635" s="44"/>
      <c r="BH4635" s="44"/>
      <c r="BI4635" s="44"/>
      <c r="BJ4635" s="44"/>
    </row>
    <row r="4636" spans="1:62" ht="12" customHeight="1" x14ac:dyDescent="0.15">
      <c r="A4636" s="1" t="s">
        <v>14925</v>
      </c>
      <c r="B4636" s="1">
        <v>68</v>
      </c>
      <c r="C4636" s="1" t="s">
        <v>20</v>
      </c>
      <c r="D4636" s="1" t="s">
        <v>37</v>
      </c>
      <c r="F4636" s="72">
        <v>41494</v>
      </c>
      <c r="G4636" s="1" t="s">
        <v>14926</v>
      </c>
      <c r="H4636" s="1" t="s">
        <v>771</v>
      </c>
      <c r="I4636" s="1" t="s">
        <v>45</v>
      </c>
      <c r="J4636" s="4" t="s">
        <v>9385</v>
      </c>
      <c r="K4636" s="1" t="s">
        <v>607</v>
      </c>
      <c r="L4636" s="1" t="s">
        <v>772</v>
      </c>
      <c r="M4636" s="1" t="s">
        <v>27</v>
      </c>
      <c r="N4636" s="1" t="s">
        <v>14927</v>
      </c>
      <c r="O4636" s="1" t="s">
        <v>550</v>
      </c>
      <c r="P4636" s="1" t="s">
        <v>401</v>
      </c>
      <c r="Q4636" s="63" t="s">
        <v>14928</v>
      </c>
      <c r="R4636" s="1" t="s">
        <v>100</v>
      </c>
      <c r="S4636" s="13" t="s">
        <v>28</v>
      </c>
      <c r="BC4636" s="44"/>
      <c r="BD4636" s="44"/>
      <c r="BE4636" s="44"/>
      <c r="BF4636" s="44"/>
      <c r="BG4636" s="44"/>
      <c r="BH4636" s="44"/>
      <c r="BI4636" s="44"/>
      <c r="BJ4636" s="44"/>
    </row>
    <row r="4637" spans="1:62" ht="12" customHeight="1" x14ac:dyDescent="0.15">
      <c r="A4637" s="1" t="s">
        <v>14915</v>
      </c>
      <c r="B4637" s="1">
        <v>23</v>
      </c>
      <c r="C4637" s="1" t="s">
        <v>20</v>
      </c>
      <c r="D4637" s="1" t="s">
        <v>85</v>
      </c>
      <c r="E4637" s="1" t="s">
        <v>14916</v>
      </c>
      <c r="F4637" s="72">
        <v>41494</v>
      </c>
      <c r="G4637" s="1" t="s">
        <v>14917</v>
      </c>
      <c r="H4637" s="1" t="s">
        <v>7583</v>
      </c>
      <c r="I4637" s="1" t="s">
        <v>217</v>
      </c>
      <c r="J4637" s="4" t="s">
        <v>14918</v>
      </c>
      <c r="K4637" s="1" t="s">
        <v>1256</v>
      </c>
      <c r="L4637" s="1" t="s">
        <v>14919</v>
      </c>
      <c r="M4637" s="1" t="s">
        <v>27</v>
      </c>
      <c r="N4637" s="1" t="s">
        <v>14920</v>
      </c>
      <c r="O4637" s="1" t="s">
        <v>30626</v>
      </c>
      <c r="P4637" s="1" t="s">
        <v>20977</v>
      </c>
      <c r="Q4637" s="63" t="s">
        <v>21039</v>
      </c>
      <c r="R4637" s="1" t="s">
        <v>100</v>
      </c>
      <c r="S4637" s="13" t="s">
        <v>18</v>
      </c>
      <c r="AX4637" s="11"/>
      <c r="AY4637" s="11"/>
      <c r="BC4637" s="44"/>
      <c r="BD4637" s="44"/>
      <c r="BE4637" s="44"/>
      <c r="BF4637" s="44"/>
      <c r="BG4637" s="44"/>
      <c r="BH4637" s="44"/>
      <c r="BI4637" s="44"/>
      <c r="BJ4637" s="44"/>
    </row>
    <row r="4638" spans="1:62" ht="12" customHeight="1" x14ac:dyDescent="0.15">
      <c r="A4638" s="1" t="s">
        <v>14921</v>
      </c>
      <c r="B4638" s="1">
        <v>22</v>
      </c>
      <c r="C4638" s="1" t="s">
        <v>20</v>
      </c>
      <c r="D4638" s="1" t="s">
        <v>85</v>
      </c>
      <c r="E4638" s="1" t="s">
        <v>14922</v>
      </c>
      <c r="F4638" s="72">
        <v>41494</v>
      </c>
      <c r="G4638" s="1" t="s">
        <v>14923</v>
      </c>
      <c r="H4638" s="1" t="s">
        <v>216</v>
      </c>
      <c r="I4638" s="1" t="s">
        <v>217</v>
      </c>
      <c r="J4638" s="4" t="s">
        <v>1616</v>
      </c>
      <c r="K4638" s="1" t="s">
        <v>420</v>
      </c>
      <c r="L4638" s="1" t="s">
        <v>218</v>
      </c>
      <c r="M4638" s="1" t="s">
        <v>391</v>
      </c>
      <c r="N4638" s="1" t="s">
        <v>14924</v>
      </c>
      <c r="O4638" s="1" t="s">
        <v>1010</v>
      </c>
      <c r="P4638" s="1" t="s">
        <v>401</v>
      </c>
      <c r="Q4638" s="63" t="str">
        <f>HYPERLINK("http://www.theindychannel.com/news/local-news/impd-suspect-dies-while-being-arrested","http://www.theindychannel.com/news/local-news/impd-suspect-dies-while-being-arrested")</f>
        <v>http://www.theindychannel.com/news/local-news/impd-suspect-dies-while-being-arrested</v>
      </c>
      <c r="R4638" s="1" t="s">
        <v>100</v>
      </c>
      <c r="S4638" s="13" t="s">
        <v>18</v>
      </c>
      <c r="AU4638" s="11"/>
      <c r="AV4638" s="11"/>
      <c r="AW4638" s="11"/>
      <c r="AX4638" s="44"/>
      <c r="AY4638" s="44"/>
      <c r="BC4638" s="11"/>
      <c r="BD4638" s="11"/>
      <c r="BE4638" s="11"/>
      <c r="BF4638" s="11"/>
      <c r="BG4638" s="11"/>
      <c r="BH4638" s="11"/>
      <c r="BI4638" s="11"/>
      <c r="BJ4638" s="11"/>
    </row>
    <row r="4639" spans="1:62" ht="12" customHeight="1" x14ac:dyDescent="0.15">
      <c r="A4639" s="1" t="s">
        <v>14929</v>
      </c>
      <c r="B4639" s="1">
        <v>44</v>
      </c>
      <c r="C4639" s="1" t="s">
        <v>20</v>
      </c>
      <c r="D4639" s="1" t="s">
        <v>37</v>
      </c>
      <c r="E4639" s="1" t="s">
        <v>14930</v>
      </c>
      <c r="F4639" s="72">
        <v>41494</v>
      </c>
      <c r="G4639" s="1" t="s">
        <v>14931</v>
      </c>
      <c r="H4639" s="1" t="s">
        <v>430</v>
      </c>
      <c r="I4639" s="1" t="s">
        <v>431</v>
      </c>
      <c r="J4639" s="4">
        <v>64105</v>
      </c>
      <c r="K4639" s="1" t="s">
        <v>433</v>
      </c>
      <c r="L4639" s="1" t="s">
        <v>2121</v>
      </c>
      <c r="M4639" s="1" t="s">
        <v>27</v>
      </c>
      <c r="N4639" s="1" t="s">
        <v>14932</v>
      </c>
      <c r="O4639" s="1" t="s">
        <v>29</v>
      </c>
      <c r="P4639" s="1" t="s">
        <v>401</v>
      </c>
      <c r="Q4639" s="63" t="s">
        <v>21040</v>
      </c>
      <c r="R4639" s="1" t="s">
        <v>100</v>
      </c>
      <c r="S4639" s="13" t="s">
        <v>18</v>
      </c>
      <c r="BC4639" s="44"/>
      <c r="BD4639" s="44"/>
      <c r="BE4639" s="44"/>
      <c r="BF4639" s="44"/>
      <c r="BG4639" s="44"/>
      <c r="BH4639" s="44"/>
      <c r="BI4639" s="44"/>
      <c r="BJ4639" s="44"/>
    </row>
    <row r="4640" spans="1:62" ht="12" customHeight="1" x14ac:dyDescent="0.15">
      <c r="A4640" s="1" t="s">
        <v>14933</v>
      </c>
      <c r="B4640" s="1">
        <v>21</v>
      </c>
      <c r="C4640" s="1" t="s">
        <v>20</v>
      </c>
      <c r="D4640" s="1" t="s">
        <v>85</v>
      </c>
      <c r="F4640" s="72">
        <v>41493</v>
      </c>
      <c r="G4640" s="1" t="s">
        <v>14934</v>
      </c>
      <c r="H4640" s="1" t="s">
        <v>1697</v>
      </c>
      <c r="I4640" s="1" t="s">
        <v>46</v>
      </c>
      <c r="J4640" s="4" t="s">
        <v>12662</v>
      </c>
      <c r="K4640" s="1" t="s">
        <v>1699</v>
      </c>
      <c r="L4640" s="1" t="s">
        <v>3230</v>
      </c>
      <c r="M4640" s="1" t="s">
        <v>27</v>
      </c>
      <c r="N4640" s="1" t="s">
        <v>14935</v>
      </c>
      <c r="O4640" s="1" t="s">
        <v>29</v>
      </c>
      <c r="P4640" s="1" t="s">
        <v>401</v>
      </c>
      <c r="Q4640" s="63" t="s">
        <v>14936</v>
      </c>
      <c r="R4640" s="1" t="s">
        <v>100</v>
      </c>
      <c r="S4640" s="13" t="s">
        <v>28</v>
      </c>
      <c r="AX4640" s="11"/>
      <c r="AY4640" s="11"/>
      <c r="BC4640" s="11"/>
      <c r="BD4640" s="11"/>
      <c r="BE4640" s="11"/>
      <c r="BF4640" s="11"/>
      <c r="BG4640" s="11"/>
      <c r="BH4640" s="11"/>
      <c r="BI4640" s="11"/>
      <c r="BJ4640" s="11"/>
    </row>
    <row r="4641" spans="1:63" ht="12" customHeight="1" x14ac:dyDescent="0.15">
      <c r="A4641" s="1" t="s">
        <v>14937</v>
      </c>
      <c r="B4641" s="1">
        <v>46</v>
      </c>
      <c r="C4641" s="1" t="s">
        <v>20</v>
      </c>
      <c r="D4641" s="1" t="s">
        <v>37</v>
      </c>
      <c r="E4641" s="1" t="s">
        <v>14938</v>
      </c>
      <c r="F4641" s="72">
        <v>41493</v>
      </c>
      <c r="G4641" s="1" t="s">
        <v>14939</v>
      </c>
      <c r="H4641" s="1" t="s">
        <v>8355</v>
      </c>
      <c r="I4641" s="1" t="s">
        <v>73</v>
      </c>
      <c r="J4641" s="4" t="s">
        <v>14940</v>
      </c>
      <c r="K4641" s="1" t="s">
        <v>14941</v>
      </c>
      <c r="L4641" s="1" t="s">
        <v>10299</v>
      </c>
      <c r="M4641" s="1" t="s">
        <v>27</v>
      </c>
      <c r="N4641" s="1" t="s">
        <v>14942</v>
      </c>
      <c r="O4641" s="1" t="s">
        <v>1010</v>
      </c>
      <c r="P4641" s="1" t="s">
        <v>401</v>
      </c>
      <c r="Q4641" s="63" t="s">
        <v>14943</v>
      </c>
      <c r="R4641" s="1" t="s">
        <v>100</v>
      </c>
      <c r="S4641" s="13" t="s">
        <v>28</v>
      </c>
      <c r="BC4641" s="44"/>
      <c r="BD4641" s="44"/>
      <c r="BE4641" s="44"/>
      <c r="BF4641" s="44"/>
      <c r="BG4641" s="44"/>
      <c r="BH4641" s="44"/>
      <c r="BI4641" s="44"/>
      <c r="BJ4641" s="44"/>
    </row>
    <row r="4642" spans="1:63" ht="12" customHeight="1" x14ac:dyDescent="0.15">
      <c r="A4642" s="1" t="s">
        <v>14944</v>
      </c>
      <c r="B4642" s="1">
        <v>61</v>
      </c>
      <c r="C4642" s="1" t="s">
        <v>20</v>
      </c>
      <c r="D4642" s="1" t="s">
        <v>48</v>
      </c>
      <c r="F4642" s="72">
        <v>41492</v>
      </c>
      <c r="G4642" s="1" t="s">
        <v>24529</v>
      </c>
      <c r="H4642" s="1" t="s">
        <v>9299</v>
      </c>
      <c r="I4642" s="1" t="s">
        <v>195</v>
      </c>
      <c r="J4642" s="4">
        <v>88220</v>
      </c>
      <c r="K4642" s="1" t="s">
        <v>9301</v>
      </c>
      <c r="L4642" s="1" t="s">
        <v>9302</v>
      </c>
      <c r="M4642" s="1" t="s">
        <v>27</v>
      </c>
      <c r="N4642" s="1" t="s">
        <v>14945</v>
      </c>
      <c r="O4642" s="1" t="s">
        <v>550</v>
      </c>
      <c r="P4642" s="1" t="s">
        <v>401</v>
      </c>
      <c r="Q4642" s="63" t="s">
        <v>14946</v>
      </c>
      <c r="R4642" s="1" t="s">
        <v>100</v>
      </c>
      <c r="S4642" s="13" t="s">
        <v>28</v>
      </c>
    </row>
    <row r="4643" spans="1:63" ht="12" customHeight="1" x14ac:dyDescent="0.15">
      <c r="A4643" s="1" t="s">
        <v>14947</v>
      </c>
      <c r="B4643" s="1">
        <v>18</v>
      </c>
      <c r="C4643" s="1" t="s">
        <v>20</v>
      </c>
      <c r="D4643" s="1" t="s">
        <v>48</v>
      </c>
      <c r="E4643" s="1" t="s">
        <v>14948</v>
      </c>
      <c r="F4643" s="72">
        <v>41492</v>
      </c>
      <c r="G4643" s="1" t="s">
        <v>14949</v>
      </c>
      <c r="H4643" s="1" t="s">
        <v>1520</v>
      </c>
      <c r="I4643" s="1" t="s">
        <v>62</v>
      </c>
      <c r="J4643" s="4" t="s">
        <v>14950</v>
      </c>
      <c r="K4643" s="1" t="s">
        <v>161</v>
      </c>
      <c r="L4643" s="1" t="s">
        <v>162</v>
      </c>
      <c r="M4643" s="1" t="s">
        <v>391</v>
      </c>
      <c r="N4643" s="1" t="s">
        <v>14951</v>
      </c>
      <c r="O4643" s="1" t="s">
        <v>550</v>
      </c>
      <c r="P4643" s="1" t="s">
        <v>401</v>
      </c>
      <c r="Q4643" s="63" t="s">
        <v>14952</v>
      </c>
      <c r="R4643" s="1" t="s">
        <v>100</v>
      </c>
      <c r="S4643" s="13" t="s">
        <v>18</v>
      </c>
      <c r="AU4643" s="11"/>
      <c r="AV4643" s="11"/>
      <c r="AW4643" s="11"/>
    </row>
    <row r="4644" spans="1:63" ht="12" customHeight="1" x14ac:dyDescent="0.15">
      <c r="A4644" s="1" t="s">
        <v>14956</v>
      </c>
      <c r="B4644" s="1">
        <v>35</v>
      </c>
      <c r="C4644" s="1" t="s">
        <v>20</v>
      </c>
      <c r="D4644" s="1" t="s">
        <v>30</v>
      </c>
      <c r="F4644" s="72">
        <v>41491</v>
      </c>
      <c r="G4644" s="1" t="s">
        <v>14957</v>
      </c>
      <c r="H4644" s="1" t="s">
        <v>632</v>
      </c>
      <c r="I4644" s="1" t="s">
        <v>123</v>
      </c>
      <c r="J4644" s="4" t="s">
        <v>14958</v>
      </c>
      <c r="K4644" s="1" t="s">
        <v>633</v>
      </c>
      <c r="L4644" s="1" t="s">
        <v>634</v>
      </c>
      <c r="M4644" s="1" t="s">
        <v>27</v>
      </c>
      <c r="N4644" s="1" t="s">
        <v>14959</v>
      </c>
      <c r="O4644" s="1" t="s">
        <v>1010</v>
      </c>
      <c r="P4644" s="1" t="s">
        <v>401</v>
      </c>
      <c r="Q4644" s="63" t="s">
        <v>14960</v>
      </c>
      <c r="R4644" s="11" t="s">
        <v>964</v>
      </c>
      <c r="S4644" s="13" t="s">
        <v>28</v>
      </c>
    </row>
    <row r="4645" spans="1:63" ht="12" customHeight="1" x14ac:dyDescent="0.15">
      <c r="A4645" s="1" t="s">
        <v>3252</v>
      </c>
      <c r="B4645" s="1" t="s">
        <v>29</v>
      </c>
      <c r="C4645" s="1" t="s">
        <v>20</v>
      </c>
      <c r="D4645" s="1" t="s">
        <v>48</v>
      </c>
      <c r="F4645" s="72">
        <v>41491</v>
      </c>
      <c r="G4645" s="1" t="s">
        <v>14953</v>
      </c>
      <c r="H4645" s="1" t="s">
        <v>723</v>
      </c>
      <c r="I4645" s="1" t="s">
        <v>73</v>
      </c>
      <c r="J4645" s="4" t="s">
        <v>6834</v>
      </c>
      <c r="K4645" s="1" t="s">
        <v>558</v>
      </c>
      <c r="L4645" s="1" t="s">
        <v>724</v>
      </c>
      <c r="M4645" s="1" t="s">
        <v>27</v>
      </c>
      <c r="N4645" s="1" t="s">
        <v>14954</v>
      </c>
      <c r="O4645" s="1" t="s">
        <v>1010</v>
      </c>
      <c r="P4645" s="1" t="s">
        <v>401</v>
      </c>
      <c r="Q4645" s="63" t="s">
        <v>14955</v>
      </c>
      <c r="R4645" s="1" t="s">
        <v>100</v>
      </c>
      <c r="S4645" s="13" t="s">
        <v>28</v>
      </c>
    </row>
    <row r="4646" spans="1:63" ht="12" customHeight="1" x14ac:dyDescent="0.15">
      <c r="A4646" s="1" t="s">
        <v>14961</v>
      </c>
      <c r="B4646" s="1">
        <v>14</v>
      </c>
      <c r="C4646" s="1" t="s">
        <v>20</v>
      </c>
      <c r="D4646" s="1" t="s">
        <v>85</v>
      </c>
      <c r="E4646" s="1" t="s">
        <v>14962</v>
      </c>
      <c r="F4646" s="72">
        <v>41490</v>
      </c>
      <c r="G4646" s="1" t="s">
        <v>14963</v>
      </c>
      <c r="H4646" s="1" t="s">
        <v>1844</v>
      </c>
      <c r="I4646" s="1" t="s">
        <v>423</v>
      </c>
      <c r="J4646" s="4" t="s">
        <v>14964</v>
      </c>
      <c r="K4646" s="1" t="s">
        <v>581</v>
      </c>
      <c r="L4646" s="1" t="s">
        <v>582</v>
      </c>
      <c r="M4646" s="1" t="s">
        <v>27</v>
      </c>
      <c r="N4646" s="1" t="s">
        <v>14965</v>
      </c>
      <c r="O4646" s="1" t="s">
        <v>550</v>
      </c>
      <c r="P4646" s="1" t="s">
        <v>401</v>
      </c>
      <c r="Q4646" s="63" t="str">
        <f>HYPERLINK("http://www.huffingtonpost.com/2013/08/05/shaaliver-douse-shooting_n_3705623.html","http://www.huffingtonpost.com/2013/08/05/shaaliver-douse-shooting_n_3705623.html")</f>
        <v>http://www.huffingtonpost.com/2013/08/05/shaaliver-douse-shooting_n_3705623.html</v>
      </c>
      <c r="R4646" s="1" t="s">
        <v>100</v>
      </c>
      <c r="S4646" s="13" t="s">
        <v>28</v>
      </c>
      <c r="AX4646" s="11"/>
      <c r="AY4646" s="11"/>
      <c r="BC4646" s="11"/>
      <c r="BD4646" s="11"/>
      <c r="BE4646" s="11"/>
      <c r="BF4646" s="11"/>
      <c r="BG4646" s="11"/>
      <c r="BH4646" s="11"/>
      <c r="BI4646" s="11"/>
      <c r="BJ4646" s="11"/>
    </row>
    <row r="4647" spans="1:63" ht="12" customHeight="1" x14ac:dyDescent="0.15">
      <c r="A4647" s="1" t="s">
        <v>14979</v>
      </c>
      <c r="B4647" s="1" t="s">
        <v>14980</v>
      </c>
      <c r="C4647" s="1" t="s">
        <v>20</v>
      </c>
      <c r="D4647" s="1" t="s">
        <v>37</v>
      </c>
      <c r="F4647" s="72">
        <v>41490</v>
      </c>
      <c r="G4647" s="1" t="s">
        <v>14981</v>
      </c>
      <c r="H4647" s="1" t="s">
        <v>1428</v>
      </c>
      <c r="I4647" s="1" t="s">
        <v>123</v>
      </c>
      <c r="J4647" s="4" t="s">
        <v>14982</v>
      </c>
      <c r="K4647" s="1" t="s">
        <v>633</v>
      </c>
      <c r="L4647" s="1" t="s">
        <v>1429</v>
      </c>
      <c r="M4647" s="1" t="s">
        <v>27</v>
      </c>
      <c r="N4647" s="1" t="s">
        <v>14983</v>
      </c>
      <c r="O4647" s="1" t="s">
        <v>29</v>
      </c>
      <c r="P4647" s="1" t="s">
        <v>401</v>
      </c>
      <c r="Q4647" s="63" t="s">
        <v>14984</v>
      </c>
      <c r="R4647" s="1" t="s">
        <v>100</v>
      </c>
      <c r="S4647" s="13" t="s">
        <v>28</v>
      </c>
      <c r="AX4647" s="11"/>
      <c r="AY4647" s="11"/>
      <c r="AZ4647" s="11"/>
      <c r="BC4647" s="44"/>
      <c r="BD4647" s="44"/>
      <c r="BE4647" s="44"/>
      <c r="BF4647" s="44"/>
      <c r="BG4647" s="44"/>
      <c r="BH4647" s="44"/>
      <c r="BI4647" s="44"/>
      <c r="BJ4647" s="44"/>
    </row>
    <row r="4648" spans="1:63" ht="12" customHeight="1" x14ac:dyDescent="0.15">
      <c r="A4648" s="1" t="s">
        <v>14972</v>
      </c>
      <c r="B4648" s="1">
        <v>25</v>
      </c>
      <c r="C4648" s="1" t="s">
        <v>20</v>
      </c>
      <c r="D4648" s="1" t="s">
        <v>30</v>
      </c>
      <c r="F4648" s="72">
        <v>41490</v>
      </c>
      <c r="G4648" s="1" t="s">
        <v>14973</v>
      </c>
      <c r="H4648" s="1" t="s">
        <v>14974</v>
      </c>
      <c r="I4648" s="1" t="s">
        <v>854</v>
      </c>
      <c r="J4648" s="4" t="s">
        <v>14975</v>
      </c>
      <c r="K4648" s="1" t="s">
        <v>1778</v>
      </c>
      <c r="L4648" s="1" t="s">
        <v>14976</v>
      </c>
      <c r="M4648" s="1" t="s">
        <v>379</v>
      </c>
      <c r="N4648" s="1" t="s">
        <v>14977</v>
      </c>
      <c r="O4648" s="1" t="s">
        <v>1010</v>
      </c>
      <c r="P4648" s="1" t="s">
        <v>401</v>
      </c>
      <c r="Q4648" s="63" t="s">
        <v>14978</v>
      </c>
      <c r="R4648" s="1" t="s">
        <v>100</v>
      </c>
      <c r="S4648" s="13" t="s">
        <v>379</v>
      </c>
    </row>
    <row r="4649" spans="1:63" ht="12" customHeight="1" x14ac:dyDescent="0.15">
      <c r="A4649" s="1" t="s">
        <v>14966</v>
      </c>
      <c r="B4649" s="1">
        <v>54</v>
      </c>
      <c r="C4649" s="1" t="s">
        <v>20</v>
      </c>
      <c r="D4649" s="1" t="s">
        <v>48</v>
      </c>
      <c r="F4649" s="72">
        <v>41490</v>
      </c>
      <c r="G4649" s="1" t="s">
        <v>14967</v>
      </c>
      <c r="H4649" s="1" t="s">
        <v>14968</v>
      </c>
      <c r="I4649" s="1" t="s">
        <v>195</v>
      </c>
      <c r="J4649" s="4" t="s">
        <v>14969</v>
      </c>
      <c r="K4649" s="1" t="s">
        <v>467</v>
      </c>
      <c r="L4649" s="1" t="s">
        <v>8152</v>
      </c>
      <c r="M4649" s="1" t="s">
        <v>27</v>
      </c>
      <c r="N4649" s="1" t="s">
        <v>14970</v>
      </c>
      <c r="O4649" s="1" t="s">
        <v>1010</v>
      </c>
      <c r="P4649" s="1" t="s">
        <v>401</v>
      </c>
      <c r="Q4649" s="63" t="s">
        <v>14971</v>
      </c>
      <c r="R4649" s="1" t="s">
        <v>29</v>
      </c>
      <c r="S4649" s="13" t="s">
        <v>28</v>
      </c>
    </row>
    <row r="4650" spans="1:63" ht="12" customHeight="1" x14ac:dyDescent="0.15">
      <c r="A4650" s="1" t="s">
        <v>14990</v>
      </c>
      <c r="B4650" s="1">
        <v>28</v>
      </c>
      <c r="C4650" s="1" t="s">
        <v>20</v>
      </c>
      <c r="D4650" s="1" t="s">
        <v>37</v>
      </c>
      <c r="E4650" s="1" t="s">
        <v>14991</v>
      </c>
      <c r="F4650" s="72">
        <v>41489</v>
      </c>
      <c r="G4650" s="1" t="s">
        <v>14992</v>
      </c>
      <c r="H4650" s="1" t="s">
        <v>1094</v>
      </c>
      <c r="I4650" s="1" t="s">
        <v>395</v>
      </c>
      <c r="J4650" s="4" t="s">
        <v>4037</v>
      </c>
      <c r="K4650" s="1" t="s">
        <v>1095</v>
      </c>
      <c r="L4650" s="1" t="s">
        <v>1096</v>
      </c>
      <c r="M4650" s="1" t="s">
        <v>14359</v>
      </c>
      <c r="N4650" s="1" t="s">
        <v>14993</v>
      </c>
      <c r="O4650" s="1" t="s">
        <v>1010</v>
      </c>
      <c r="P4650" s="1" t="s">
        <v>401</v>
      </c>
      <c r="Q4650" s="63" t="s">
        <v>14994</v>
      </c>
      <c r="R4650" s="11" t="s">
        <v>964</v>
      </c>
      <c r="S4650" s="13" t="s">
        <v>18</v>
      </c>
      <c r="AX4650" s="44"/>
      <c r="AY4650" s="44"/>
      <c r="AZ4650" s="44"/>
      <c r="BC4650" s="44"/>
      <c r="BD4650" s="44"/>
      <c r="BE4650" s="44"/>
      <c r="BF4650" s="44"/>
      <c r="BG4650" s="44"/>
      <c r="BH4650" s="44"/>
      <c r="BI4650" s="44"/>
      <c r="BJ4650" s="44"/>
    </row>
    <row r="4651" spans="1:63" ht="12" customHeight="1" x14ac:dyDescent="0.15">
      <c r="A4651" s="1" t="s">
        <v>14985</v>
      </c>
      <c r="B4651" s="1">
        <v>26</v>
      </c>
      <c r="C4651" s="1" t="s">
        <v>20</v>
      </c>
      <c r="D4651" s="1" t="s">
        <v>48</v>
      </c>
      <c r="F4651" s="72">
        <v>41489</v>
      </c>
      <c r="G4651" s="1" t="s">
        <v>14986</v>
      </c>
      <c r="H4651" s="1" t="s">
        <v>6488</v>
      </c>
      <c r="I4651" s="1" t="s">
        <v>45</v>
      </c>
      <c r="J4651" s="4" t="s">
        <v>14987</v>
      </c>
      <c r="K4651" s="1" t="s">
        <v>1061</v>
      </c>
      <c r="L4651" s="1" t="s">
        <v>6490</v>
      </c>
      <c r="M4651" s="1" t="s">
        <v>27</v>
      </c>
      <c r="N4651" s="1" t="s">
        <v>14988</v>
      </c>
      <c r="O4651" s="1" t="s">
        <v>29</v>
      </c>
      <c r="P4651" s="1" t="s">
        <v>401</v>
      </c>
      <c r="Q4651" s="63" t="s">
        <v>14989</v>
      </c>
      <c r="R4651" s="1" t="s">
        <v>100</v>
      </c>
      <c r="S4651" s="13" t="s">
        <v>28</v>
      </c>
    </row>
    <row r="4652" spans="1:63" ht="12" customHeight="1" x14ac:dyDescent="0.15">
      <c r="A4652" s="1" t="s">
        <v>14995</v>
      </c>
      <c r="B4652" s="1">
        <v>41</v>
      </c>
      <c r="C4652" s="1" t="s">
        <v>20</v>
      </c>
      <c r="D4652" s="1" t="s">
        <v>37</v>
      </c>
      <c r="E4652" s="1" t="s">
        <v>14996</v>
      </c>
      <c r="F4652" s="72">
        <v>41489</v>
      </c>
      <c r="G4652" s="1" t="s">
        <v>14997</v>
      </c>
      <c r="H4652" s="1" t="s">
        <v>561</v>
      </c>
      <c r="I4652" s="1" t="s">
        <v>123</v>
      </c>
      <c r="J4652" s="4" t="s">
        <v>6325</v>
      </c>
      <c r="K4652" s="1" t="s">
        <v>562</v>
      </c>
      <c r="L4652" s="1" t="s">
        <v>12735</v>
      </c>
      <c r="M4652" s="1" t="s">
        <v>27</v>
      </c>
      <c r="N4652" s="1" t="s">
        <v>14998</v>
      </c>
      <c r="O4652" s="1" t="s">
        <v>1010</v>
      </c>
      <c r="P4652" s="1" t="s">
        <v>401</v>
      </c>
      <c r="Q4652" s="63" t="s">
        <v>14999</v>
      </c>
      <c r="R4652" s="1" t="s">
        <v>100</v>
      </c>
      <c r="S4652" s="13" t="s">
        <v>28</v>
      </c>
      <c r="AX4652" s="11"/>
      <c r="AY4652" s="11"/>
      <c r="AZ4652" s="11"/>
      <c r="BC4652" s="44"/>
      <c r="BD4652" s="44"/>
      <c r="BE4652" s="44"/>
      <c r="BF4652" s="44"/>
      <c r="BG4652" s="44"/>
      <c r="BH4652" s="44"/>
      <c r="BI4652" s="44"/>
      <c r="BJ4652" s="44"/>
    </row>
    <row r="4653" spans="1:63" ht="12" customHeight="1" x14ac:dyDescent="0.15">
      <c r="A4653" s="1" t="s">
        <v>15000</v>
      </c>
      <c r="B4653" s="1" t="s">
        <v>13656</v>
      </c>
      <c r="C4653" s="1" t="s">
        <v>20</v>
      </c>
      <c r="D4653" s="1" t="s">
        <v>37</v>
      </c>
      <c r="E4653" s="1" t="s">
        <v>15001</v>
      </c>
      <c r="F4653" s="72">
        <v>41488</v>
      </c>
      <c r="G4653" s="1" t="s">
        <v>15002</v>
      </c>
      <c r="H4653" s="1" t="s">
        <v>1094</v>
      </c>
      <c r="I4653" s="1" t="s">
        <v>395</v>
      </c>
      <c r="J4653" s="4" t="s">
        <v>15003</v>
      </c>
      <c r="K4653" s="1" t="s">
        <v>15004</v>
      </c>
      <c r="L4653" s="1" t="s">
        <v>15005</v>
      </c>
      <c r="M4653" s="1" t="s">
        <v>27</v>
      </c>
      <c r="N4653" s="1" t="s">
        <v>15006</v>
      </c>
      <c r="O4653" s="1" t="s">
        <v>29</v>
      </c>
      <c r="P4653" s="1" t="s">
        <v>401</v>
      </c>
      <c r="Q4653" s="63" t="str">
        <f>HYPERLINK("http://kfor.com/2013/08/02/warr-acres-police-involved-in-chase-shooting-reported/","http://kfor.com/2013/08/02/warr-acres-police-involved-in-chase-shooting-reported/")</f>
        <v>http://kfor.com/2013/08/02/warr-acres-police-involved-in-chase-shooting-reported/</v>
      </c>
      <c r="R4653" s="1" t="s">
        <v>100</v>
      </c>
      <c r="S4653" s="13" t="s">
        <v>35</v>
      </c>
      <c r="BC4653" s="44"/>
      <c r="BD4653" s="44"/>
      <c r="BE4653" s="44"/>
      <c r="BF4653" s="44"/>
      <c r="BG4653" s="44"/>
      <c r="BH4653" s="44"/>
      <c r="BI4653" s="44"/>
      <c r="BJ4653" s="44"/>
      <c r="BK4653" s="11"/>
    </row>
    <row r="4654" spans="1:63" ht="12" customHeight="1" x14ac:dyDescent="0.15">
      <c r="A4654" s="1" t="s">
        <v>15007</v>
      </c>
      <c r="B4654" s="1">
        <v>33</v>
      </c>
      <c r="C4654" s="1" t="s">
        <v>20</v>
      </c>
      <c r="D4654" s="1" t="s">
        <v>85</v>
      </c>
      <c r="E4654" s="1" t="s">
        <v>15008</v>
      </c>
      <c r="F4654" s="72">
        <v>41486</v>
      </c>
      <c r="G4654" s="1" t="s">
        <v>15009</v>
      </c>
      <c r="H4654" s="1" t="s">
        <v>2196</v>
      </c>
      <c r="I4654" s="1" t="s">
        <v>62</v>
      </c>
      <c r="J4654" s="4" t="s">
        <v>15010</v>
      </c>
      <c r="K4654" s="1" t="s">
        <v>1123</v>
      </c>
      <c r="L4654" s="1" t="s">
        <v>4384</v>
      </c>
      <c r="M4654" s="1" t="s">
        <v>27</v>
      </c>
      <c r="N4654" s="1" t="s">
        <v>15011</v>
      </c>
      <c r="O4654" s="1" t="s">
        <v>31006</v>
      </c>
      <c r="P4654" s="1" t="s">
        <v>29659</v>
      </c>
      <c r="Q4654" s="63" t="s">
        <v>15012</v>
      </c>
      <c r="R4654" s="1" t="s">
        <v>100</v>
      </c>
      <c r="S4654" s="13" t="s">
        <v>18</v>
      </c>
      <c r="AX4654" s="11"/>
      <c r="AY4654" s="11"/>
      <c r="BC4654" s="11"/>
      <c r="BD4654" s="11"/>
      <c r="BE4654" s="11"/>
      <c r="BF4654" s="11"/>
      <c r="BG4654" s="11"/>
      <c r="BH4654" s="11"/>
      <c r="BI4654" s="11"/>
      <c r="BJ4654" s="11"/>
    </row>
    <row r="4655" spans="1:63" ht="12" customHeight="1" x14ac:dyDescent="0.15">
      <c r="A4655" s="1" t="s">
        <v>15013</v>
      </c>
      <c r="B4655" s="1">
        <v>19</v>
      </c>
      <c r="C4655" s="1" t="s">
        <v>20</v>
      </c>
      <c r="D4655" s="1" t="s">
        <v>48</v>
      </c>
      <c r="E4655" s="1" t="s">
        <v>15014</v>
      </c>
      <c r="F4655" s="72">
        <v>41486</v>
      </c>
      <c r="G4655" s="1" t="s">
        <v>15015</v>
      </c>
      <c r="H4655" s="1" t="s">
        <v>10666</v>
      </c>
      <c r="I4655" s="1" t="s">
        <v>73</v>
      </c>
      <c r="J4655" s="4" t="s">
        <v>15016</v>
      </c>
      <c r="K4655" s="1" t="s">
        <v>1056</v>
      </c>
      <c r="L4655" s="1" t="s">
        <v>15017</v>
      </c>
      <c r="M4655" s="1" t="s">
        <v>27</v>
      </c>
      <c r="N4655" s="1" t="s">
        <v>15018</v>
      </c>
      <c r="O4655" s="1" t="s">
        <v>30627</v>
      </c>
      <c r="P4655" s="1" t="s">
        <v>20976</v>
      </c>
      <c r="Q4655" s="63" t="s">
        <v>15019</v>
      </c>
      <c r="R4655" s="1" t="s">
        <v>100</v>
      </c>
      <c r="S4655" s="13" t="s">
        <v>18</v>
      </c>
    </row>
    <row r="4656" spans="1:63" ht="12" customHeight="1" x14ac:dyDescent="0.15">
      <c r="A4656" s="1" t="s">
        <v>15020</v>
      </c>
      <c r="B4656" s="1">
        <v>42</v>
      </c>
      <c r="C4656" s="1" t="s">
        <v>20</v>
      </c>
      <c r="D4656" s="1" t="s">
        <v>37</v>
      </c>
      <c r="E4656" s="1" t="s">
        <v>15021</v>
      </c>
      <c r="F4656" s="72">
        <v>41486</v>
      </c>
      <c r="G4656" s="1" t="s">
        <v>15022</v>
      </c>
      <c r="H4656" s="1" t="s">
        <v>15023</v>
      </c>
      <c r="I4656" s="1" t="s">
        <v>69</v>
      </c>
      <c r="J4656" s="4" t="s">
        <v>15024</v>
      </c>
      <c r="K4656" s="1" t="s">
        <v>4946</v>
      </c>
      <c r="L4656" s="1" t="s">
        <v>15025</v>
      </c>
      <c r="M4656" s="1" t="s">
        <v>27</v>
      </c>
      <c r="N4656" s="1" t="s">
        <v>15026</v>
      </c>
      <c r="O4656" s="1" t="s">
        <v>550</v>
      </c>
      <c r="P4656" s="1" t="s">
        <v>401</v>
      </c>
      <c r="Q4656" s="63" t="s">
        <v>15027</v>
      </c>
      <c r="R4656" s="1" t="s">
        <v>29</v>
      </c>
      <c r="S4656" s="13" t="s">
        <v>28</v>
      </c>
      <c r="AX4656" s="11"/>
      <c r="AY4656" s="11"/>
      <c r="AZ4656" s="11"/>
      <c r="BC4656" s="44"/>
      <c r="BD4656" s="44"/>
      <c r="BE4656" s="44"/>
      <c r="BF4656" s="44"/>
      <c r="BG4656" s="44"/>
      <c r="BH4656" s="44"/>
      <c r="BI4656" s="44"/>
      <c r="BJ4656" s="44"/>
    </row>
    <row r="4657" spans="1:62" ht="12" customHeight="1" x14ac:dyDescent="0.15">
      <c r="A4657" s="1" t="s">
        <v>15039</v>
      </c>
      <c r="B4657" s="1">
        <v>19</v>
      </c>
      <c r="C4657" s="1" t="s">
        <v>20</v>
      </c>
      <c r="D4657" s="1" t="s">
        <v>30</v>
      </c>
      <c r="F4657" s="72">
        <v>41485</v>
      </c>
      <c r="G4657" s="1" t="s">
        <v>15040</v>
      </c>
      <c r="H4657" s="1" t="s">
        <v>6557</v>
      </c>
      <c r="I4657" s="1" t="s">
        <v>123</v>
      </c>
      <c r="J4657" s="4" t="s">
        <v>15041</v>
      </c>
      <c r="K4657" s="1" t="s">
        <v>633</v>
      </c>
      <c r="L4657" s="1" t="s">
        <v>6559</v>
      </c>
      <c r="M4657" s="1" t="s">
        <v>27</v>
      </c>
      <c r="N4657" s="1" t="s">
        <v>15042</v>
      </c>
      <c r="O4657" s="1" t="s">
        <v>29</v>
      </c>
      <c r="P4657" s="1" t="s">
        <v>401</v>
      </c>
      <c r="Q4657" s="63" t="s">
        <v>15043</v>
      </c>
      <c r="R4657" s="1" t="s">
        <v>100</v>
      </c>
      <c r="S4657" s="13" t="s">
        <v>28</v>
      </c>
    </row>
    <row r="4658" spans="1:62" ht="12" customHeight="1" x14ac:dyDescent="0.15">
      <c r="A4658" s="1" t="s">
        <v>15049</v>
      </c>
      <c r="B4658" s="1">
        <v>29</v>
      </c>
      <c r="C4658" s="1" t="s">
        <v>20</v>
      </c>
      <c r="D4658" s="1" t="s">
        <v>37</v>
      </c>
      <c r="E4658" s="1" t="s">
        <v>15050</v>
      </c>
      <c r="F4658" s="72">
        <v>41485</v>
      </c>
      <c r="G4658" s="1" t="s">
        <v>24530</v>
      </c>
      <c r="H4658" s="1" t="s">
        <v>2508</v>
      </c>
      <c r="I4658" s="1" t="s">
        <v>978</v>
      </c>
      <c r="J4658" s="4" t="s">
        <v>15051</v>
      </c>
      <c r="K4658" s="1" t="s">
        <v>5087</v>
      </c>
      <c r="L4658" s="1" t="s">
        <v>15052</v>
      </c>
      <c r="M4658" s="1" t="s">
        <v>27</v>
      </c>
      <c r="N4658" s="1" t="s">
        <v>15053</v>
      </c>
      <c r="O4658" s="1" t="s">
        <v>4684</v>
      </c>
      <c r="P4658" s="1" t="s">
        <v>401</v>
      </c>
      <c r="Q4658" s="63" t="s">
        <v>15054</v>
      </c>
      <c r="R4658" s="1" t="s">
        <v>100</v>
      </c>
      <c r="S4658" s="13" t="s">
        <v>28</v>
      </c>
      <c r="AX4658" s="11"/>
      <c r="AY4658" s="11"/>
      <c r="AZ4658" s="11"/>
      <c r="BC4658" s="44"/>
      <c r="BD4658" s="44"/>
      <c r="BE4658" s="44"/>
      <c r="BF4658" s="44"/>
      <c r="BG4658" s="44"/>
      <c r="BH4658" s="44"/>
      <c r="BI4658" s="44"/>
      <c r="BJ4658" s="44"/>
    </row>
    <row r="4659" spans="1:62" ht="12" customHeight="1" x14ac:dyDescent="0.15">
      <c r="A4659" s="1" t="s">
        <v>15028</v>
      </c>
      <c r="B4659" s="1">
        <v>37</v>
      </c>
      <c r="C4659" s="1" t="s">
        <v>20</v>
      </c>
      <c r="D4659" s="1" t="s">
        <v>85</v>
      </c>
      <c r="E4659" s="1" t="s">
        <v>15029</v>
      </c>
      <c r="F4659" s="72">
        <v>41485</v>
      </c>
      <c r="G4659" s="1" t="s">
        <v>15030</v>
      </c>
      <c r="H4659" s="1" t="s">
        <v>1039</v>
      </c>
      <c r="I4659" s="1" t="s">
        <v>25</v>
      </c>
      <c r="J4659" s="4" t="s">
        <v>15031</v>
      </c>
      <c r="K4659" s="1" t="s">
        <v>2579</v>
      </c>
      <c r="L4659" s="1" t="s">
        <v>405</v>
      </c>
      <c r="M4659" s="1" t="s">
        <v>27</v>
      </c>
      <c r="N4659" s="1" t="s">
        <v>15032</v>
      </c>
      <c r="O4659" s="1" t="s">
        <v>550</v>
      </c>
      <c r="P4659" s="1" t="s">
        <v>401</v>
      </c>
      <c r="Q4659" s="63" t="str">
        <f>HYPERLINK("http://www.nola.com/crime/index.ssf/2014/04/report_doj_drops_probe_of_fbi-.html","http://www.nola.com/crime/index.ssf/2014/04/report_doj_drops_probe_of_fbi-.html")</f>
        <v>http://www.nola.com/crime/index.ssf/2014/04/report_doj_drops_probe_of_fbi-.html</v>
      </c>
      <c r="R4659" s="1" t="s">
        <v>100</v>
      </c>
      <c r="S4659" s="13" t="s">
        <v>18</v>
      </c>
      <c r="AX4659" s="11"/>
      <c r="AY4659" s="11"/>
      <c r="BC4659" s="11"/>
      <c r="BD4659" s="11"/>
      <c r="BE4659" s="11"/>
      <c r="BF4659" s="11"/>
      <c r="BG4659" s="11"/>
      <c r="BH4659" s="11"/>
      <c r="BI4659" s="11"/>
      <c r="BJ4659" s="11"/>
    </row>
    <row r="4660" spans="1:62" ht="12" customHeight="1" x14ac:dyDescent="0.15">
      <c r="A4660" s="1" t="s">
        <v>15044</v>
      </c>
      <c r="B4660" s="1">
        <v>29</v>
      </c>
      <c r="C4660" s="1" t="s">
        <v>20</v>
      </c>
      <c r="D4660" s="1" t="s">
        <v>30</v>
      </c>
      <c r="F4660" s="72">
        <v>41485</v>
      </c>
      <c r="G4660" s="1" t="s">
        <v>15045</v>
      </c>
      <c r="H4660" s="1" t="s">
        <v>705</v>
      </c>
      <c r="I4660" s="1" t="s">
        <v>94</v>
      </c>
      <c r="J4660" s="4" t="s">
        <v>15046</v>
      </c>
      <c r="K4660" s="1" t="s">
        <v>705</v>
      </c>
      <c r="L4660" s="1" t="s">
        <v>706</v>
      </c>
      <c r="M4660" s="1" t="s">
        <v>379</v>
      </c>
      <c r="N4660" s="1" t="s">
        <v>15047</v>
      </c>
      <c r="O4660" s="1" t="s">
        <v>1010</v>
      </c>
      <c r="P4660" s="1" t="s">
        <v>401</v>
      </c>
      <c r="Q4660" s="63" t="s">
        <v>15048</v>
      </c>
      <c r="R4660" s="1" t="s">
        <v>100</v>
      </c>
      <c r="S4660" s="66" t="s">
        <v>379</v>
      </c>
      <c r="T4660" s="66" t="s">
        <v>30738</v>
      </c>
    </row>
    <row r="4661" spans="1:62" ht="12" customHeight="1" x14ac:dyDescent="0.15">
      <c r="A4661" s="1" t="s">
        <v>15055</v>
      </c>
      <c r="B4661" s="1">
        <v>21</v>
      </c>
      <c r="C4661" s="1" t="s">
        <v>20</v>
      </c>
      <c r="D4661" s="1" t="s">
        <v>37</v>
      </c>
      <c r="E4661" s="1" t="s">
        <v>15056</v>
      </c>
      <c r="F4661" s="72">
        <v>41485</v>
      </c>
      <c r="G4661" s="1" t="s">
        <v>15057</v>
      </c>
      <c r="H4661" s="1" t="s">
        <v>15058</v>
      </c>
      <c r="I4661" s="1" t="s">
        <v>303</v>
      </c>
      <c r="J4661" s="4" t="s">
        <v>15059</v>
      </c>
      <c r="K4661" s="1" t="s">
        <v>883</v>
      </c>
      <c r="L4661" s="1" t="s">
        <v>15060</v>
      </c>
      <c r="M4661" s="1" t="s">
        <v>27</v>
      </c>
      <c r="N4661" s="1" t="s">
        <v>15061</v>
      </c>
      <c r="O4661" s="1" t="s">
        <v>1010</v>
      </c>
      <c r="P4661" s="1" t="s">
        <v>401</v>
      </c>
      <c r="Q4661" s="63" t="s">
        <v>15062</v>
      </c>
      <c r="R4661" s="1" t="s">
        <v>555</v>
      </c>
      <c r="S4661" s="13" t="s">
        <v>28</v>
      </c>
      <c r="AX4661" s="11"/>
      <c r="AY4661" s="11"/>
      <c r="AZ4661" s="11"/>
      <c r="BA4661" s="44"/>
      <c r="BB4661" s="44"/>
      <c r="BC4661" s="44"/>
      <c r="BD4661" s="44"/>
      <c r="BE4661" s="44"/>
      <c r="BF4661" s="44"/>
      <c r="BG4661" s="44"/>
      <c r="BH4661" s="44"/>
      <c r="BI4661" s="44"/>
      <c r="BJ4661" s="44"/>
    </row>
    <row r="4662" spans="1:62" ht="12" customHeight="1" x14ac:dyDescent="0.15">
      <c r="A4662" s="1" t="s">
        <v>15033</v>
      </c>
      <c r="B4662" s="1">
        <v>22</v>
      </c>
      <c r="C4662" s="1" t="s">
        <v>20</v>
      </c>
      <c r="D4662" s="1" t="s">
        <v>48</v>
      </c>
      <c r="E4662" s="1" t="s">
        <v>15034</v>
      </c>
      <c r="F4662" s="72">
        <v>41485</v>
      </c>
      <c r="G4662" s="1" t="s">
        <v>15035</v>
      </c>
      <c r="H4662" s="1" t="s">
        <v>3690</v>
      </c>
      <c r="I4662" s="1" t="s">
        <v>45</v>
      </c>
      <c r="J4662" s="4" t="s">
        <v>15036</v>
      </c>
      <c r="K4662" s="1" t="s">
        <v>1061</v>
      </c>
      <c r="L4662" s="1" t="s">
        <v>3692</v>
      </c>
      <c r="M4662" s="1" t="s">
        <v>27</v>
      </c>
      <c r="N4662" s="1" t="s">
        <v>15037</v>
      </c>
      <c r="O4662" s="1" t="s">
        <v>550</v>
      </c>
      <c r="P4662" s="1" t="s">
        <v>401</v>
      </c>
      <c r="Q4662" s="63" t="s">
        <v>15038</v>
      </c>
      <c r="R4662" s="1" t="s">
        <v>29</v>
      </c>
      <c r="S4662" s="13" t="s">
        <v>18</v>
      </c>
    </row>
    <row r="4663" spans="1:62" ht="12" customHeight="1" x14ac:dyDescent="0.15">
      <c r="A4663" s="1" t="s">
        <v>3252</v>
      </c>
      <c r="C4663" s="1" t="s">
        <v>20</v>
      </c>
      <c r="D4663" s="1" t="s">
        <v>85</v>
      </c>
      <c r="F4663" s="72">
        <v>41484</v>
      </c>
      <c r="G4663" s="1" t="s">
        <v>15068</v>
      </c>
      <c r="H4663" s="1" t="s">
        <v>15069</v>
      </c>
      <c r="I4663" s="1" t="s">
        <v>94</v>
      </c>
      <c r="J4663" s="4" t="s">
        <v>15070</v>
      </c>
      <c r="K4663" s="1" t="s">
        <v>1516</v>
      </c>
      <c r="L4663" s="1" t="s">
        <v>15071</v>
      </c>
      <c r="M4663" s="1" t="s">
        <v>27</v>
      </c>
      <c r="N4663" s="1" t="s">
        <v>15072</v>
      </c>
      <c r="O4663" s="1" t="s">
        <v>1010</v>
      </c>
      <c r="P4663" s="1" t="s">
        <v>401</v>
      </c>
      <c r="Q4663" s="63" t="s">
        <v>15073</v>
      </c>
      <c r="R4663" s="1" t="s">
        <v>100</v>
      </c>
      <c r="S4663" s="13" t="s">
        <v>28</v>
      </c>
      <c r="AX4663" s="11"/>
      <c r="AY4663" s="11"/>
      <c r="BC4663" s="11"/>
      <c r="BD4663" s="11"/>
      <c r="BE4663" s="11"/>
      <c r="BF4663" s="11"/>
      <c r="BG4663" s="11"/>
      <c r="BH4663" s="11"/>
      <c r="BI4663" s="11"/>
      <c r="BJ4663" s="11"/>
    </row>
    <row r="4664" spans="1:62" ht="12" customHeight="1" x14ac:dyDescent="0.15">
      <c r="A4664" s="1" t="s">
        <v>15074</v>
      </c>
      <c r="B4664" s="1">
        <v>38</v>
      </c>
      <c r="C4664" s="1" t="s">
        <v>20</v>
      </c>
      <c r="D4664" s="1" t="s">
        <v>30</v>
      </c>
      <c r="F4664" s="72">
        <v>41484</v>
      </c>
      <c r="G4664" s="1" t="s">
        <v>15075</v>
      </c>
      <c r="H4664" s="1" t="s">
        <v>857</v>
      </c>
      <c r="I4664" s="1" t="s">
        <v>73</v>
      </c>
      <c r="J4664" s="4" t="s">
        <v>15076</v>
      </c>
      <c r="K4664" s="1" t="s">
        <v>857</v>
      </c>
      <c r="L4664" s="1" t="s">
        <v>858</v>
      </c>
      <c r="M4664" s="1" t="s">
        <v>27</v>
      </c>
      <c r="N4664" s="1" t="s">
        <v>15077</v>
      </c>
      <c r="O4664" s="1" t="s">
        <v>1010</v>
      </c>
      <c r="P4664" s="1" t="s">
        <v>401</v>
      </c>
      <c r="Q4664" s="63" t="s">
        <v>15078</v>
      </c>
      <c r="R4664" s="1" t="s">
        <v>100</v>
      </c>
      <c r="S4664" s="13" t="s">
        <v>28</v>
      </c>
    </row>
    <row r="4665" spans="1:62" ht="12" customHeight="1" x14ac:dyDescent="0.15">
      <c r="A4665" s="1" t="s">
        <v>15083</v>
      </c>
      <c r="B4665" s="1">
        <v>40</v>
      </c>
      <c r="C4665" s="1" t="s">
        <v>114</v>
      </c>
      <c r="D4665" s="1" t="s">
        <v>37</v>
      </c>
      <c r="E4665" s="1" t="s">
        <v>15084</v>
      </c>
      <c r="F4665" s="72">
        <v>41484</v>
      </c>
      <c r="G4665" s="1" t="s">
        <v>15085</v>
      </c>
      <c r="H4665" s="1" t="s">
        <v>15086</v>
      </c>
      <c r="I4665" s="1" t="s">
        <v>62</v>
      </c>
      <c r="J4665" s="4" t="s">
        <v>15087</v>
      </c>
      <c r="K4665" s="1" t="s">
        <v>5538</v>
      </c>
      <c r="L4665" s="1" t="s">
        <v>15088</v>
      </c>
      <c r="M4665" s="1" t="s">
        <v>27</v>
      </c>
      <c r="N4665" s="1" t="s">
        <v>15089</v>
      </c>
      <c r="O4665" s="1" t="s">
        <v>1010</v>
      </c>
      <c r="P4665" s="1" t="s">
        <v>401</v>
      </c>
      <c r="Q4665" s="63" t="s">
        <v>15090</v>
      </c>
      <c r="R4665" s="1" t="s">
        <v>100</v>
      </c>
      <c r="S4665" s="13" t="s">
        <v>28</v>
      </c>
      <c r="AX4665" s="11"/>
      <c r="AY4665" s="11"/>
      <c r="AZ4665" s="11"/>
      <c r="BC4665" s="44"/>
      <c r="BD4665" s="44"/>
      <c r="BE4665" s="44"/>
      <c r="BF4665" s="44"/>
      <c r="BG4665" s="44"/>
      <c r="BH4665" s="44"/>
      <c r="BI4665" s="44"/>
      <c r="BJ4665" s="44"/>
    </row>
    <row r="4666" spans="1:62" ht="12" customHeight="1" x14ac:dyDescent="0.15">
      <c r="A4666" s="1" t="s">
        <v>15063</v>
      </c>
      <c r="B4666" s="1">
        <v>29</v>
      </c>
      <c r="C4666" s="1" t="s">
        <v>20</v>
      </c>
      <c r="D4666" s="1" t="s">
        <v>85</v>
      </c>
      <c r="E4666" s="1" t="s">
        <v>15064</v>
      </c>
      <c r="F4666" s="72">
        <v>41484</v>
      </c>
      <c r="H4666" s="1" t="s">
        <v>548</v>
      </c>
      <c r="I4666" s="1" t="s">
        <v>94</v>
      </c>
      <c r="J4666" s="4" t="s">
        <v>15065</v>
      </c>
      <c r="K4666" s="1" t="s">
        <v>420</v>
      </c>
      <c r="L4666" s="1" t="s">
        <v>616</v>
      </c>
      <c r="M4666" s="1" t="s">
        <v>27</v>
      </c>
      <c r="N4666" s="1" t="s">
        <v>15066</v>
      </c>
      <c r="O4666" s="1" t="s">
        <v>1010</v>
      </c>
      <c r="P4666" s="1" t="s">
        <v>401</v>
      </c>
      <c r="Q4666" s="63" t="s">
        <v>15067</v>
      </c>
      <c r="R4666" s="1" t="s">
        <v>29</v>
      </c>
      <c r="S4666" s="13" t="s">
        <v>28</v>
      </c>
      <c r="AX4666" s="11"/>
      <c r="AY4666" s="11"/>
      <c r="BC4666" s="11"/>
      <c r="BD4666" s="11"/>
      <c r="BE4666" s="11"/>
      <c r="BF4666" s="11"/>
      <c r="BG4666" s="11"/>
      <c r="BH4666" s="11"/>
      <c r="BI4666" s="11"/>
      <c r="BJ4666" s="11"/>
    </row>
    <row r="4667" spans="1:62" ht="12" customHeight="1" x14ac:dyDescent="0.15">
      <c r="A4667" s="1" t="s">
        <v>15079</v>
      </c>
      <c r="B4667" s="1">
        <v>56</v>
      </c>
      <c r="C4667" s="1" t="s">
        <v>20</v>
      </c>
      <c r="D4667" s="1" t="s">
        <v>30</v>
      </c>
      <c r="F4667" s="72">
        <v>41484</v>
      </c>
      <c r="G4667" s="1" t="s">
        <v>15080</v>
      </c>
      <c r="H4667" s="1" t="s">
        <v>2788</v>
      </c>
      <c r="I4667" s="1" t="s">
        <v>363</v>
      </c>
      <c r="J4667" s="4" t="s">
        <v>2789</v>
      </c>
      <c r="K4667" s="1" t="s">
        <v>2790</v>
      </c>
      <c r="L4667" s="1" t="s">
        <v>2791</v>
      </c>
      <c r="M4667" s="1" t="s">
        <v>27</v>
      </c>
      <c r="N4667" s="1" t="s">
        <v>15081</v>
      </c>
      <c r="O4667" s="1" t="s">
        <v>550</v>
      </c>
      <c r="P4667" s="1" t="s">
        <v>401</v>
      </c>
      <c r="Q4667" s="63" t="s">
        <v>15082</v>
      </c>
      <c r="R4667" s="1" t="s">
        <v>29</v>
      </c>
      <c r="S4667" s="13" t="s">
        <v>28</v>
      </c>
    </row>
    <row r="4668" spans="1:62" ht="12" customHeight="1" x14ac:dyDescent="0.15">
      <c r="A4668" s="1" t="s">
        <v>15105</v>
      </c>
      <c r="B4668" s="1">
        <v>44</v>
      </c>
      <c r="C4668" s="1" t="s">
        <v>20</v>
      </c>
      <c r="D4668" s="1" t="s">
        <v>48</v>
      </c>
      <c r="E4668" s="1" t="s">
        <v>15106</v>
      </c>
      <c r="F4668" s="72">
        <v>41483</v>
      </c>
      <c r="G4668" s="1" t="s">
        <v>15107</v>
      </c>
      <c r="H4668" s="1" t="s">
        <v>632</v>
      </c>
      <c r="I4668" s="1" t="s">
        <v>123</v>
      </c>
      <c r="J4668" s="4" t="s">
        <v>7443</v>
      </c>
      <c r="K4668" s="1" t="s">
        <v>633</v>
      </c>
      <c r="L4668" s="1" t="s">
        <v>634</v>
      </c>
      <c r="M4668" s="1" t="s">
        <v>391</v>
      </c>
      <c r="N4668" s="1" t="s">
        <v>15108</v>
      </c>
      <c r="O4668" s="1" t="s">
        <v>1010</v>
      </c>
      <c r="P4668" s="1" t="s">
        <v>401</v>
      </c>
      <c r="Q4668" s="63" t="s">
        <v>15109</v>
      </c>
      <c r="R4668" s="11" t="s">
        <v>964</v>
      </c>
      <c r="S4668" s="13" t="s">
        <v>18</v>
      </c>
      <c r="AU4668" s="11"/>
      <c r="AV4668" s="11"/>
      <c r="AW4668" s="11"/>
    </row>
    <row r="4669" spans="1:62" ht="12" customHeight="1" x14ac:dyDescent="0.15">
      <c r="A4669" s="1" t="s">
        <v>15102</v>
      </c>
      <c r="B4669" s="1">
        <v>39</v>
      </c>
      <c r="C4669" s="1" t="s">
        <v>20</v>
      </c>
      <c r="D4669" s="1" t="s">
        <v>48</v>
      </c>
      <c r="F4669" s="72">
        <v>41483</v>
      </c>
      <c r="G4669" s="1" t="s">
        <v>24531</v>
      </c>
      <c r="H4669" s="1" t="s">
        <v>87</v>
      </c>
      <c r="I4669" s="1" t="s">
        <v>44</v>
      </c>
      <c r="J4669" s="4" t="s">
        <v>8461</v>
      </c>
      <c r="K4669" s="1" t="s">
        <v>88</v>
      </c>
      <c r="L4669" s="1" t="s">
        <v>89</v>
      </c>
      <c r="M4669" s="1" t="s">
        <v>27</v>
      </c>
      <c r="N4669" s="1" t="s">
        <v>15103</v>
      </c>
      <c r="O4669" s="1" t="s">
        <v>400</v>
      </c>
      <c r="P4669" s="1" t="s">
        <v>401</v>
      </c>
      <c r="Q4669" s="63" t="s">
        <v>15104</v>
      </c>
      <c r="R4669" s="1" t="s">
        <v>100</v>
      </c>
      <c r="S4669" s="13" t="s">
        <v>28</v>
      </c>
    </row>
    <row r="4670" spans="1:62" ht="12" customHeight="1" x14ac:dyDescent="0.15">
      <c r="A4670" s="1" t="s">
        <v>15110</v>
      </c>
      <c r="B4670" s="1">
        <v>30</v>
      </c>
      <c r="C4670" s="1" t="s">
        <v>20</v>
      </c>
      <c r="D4670" s="1" t="s">
        <v>30</v>
      </c>
      <c r="F4670" s="72">
        <v>41483</v>
      </c>
      <c r="H4670" s="1" t="s">
        <v>15111</v>
      </c>
      <c r="I4670" s="1" t="s">
        <v>123</v>
      </c>
      <c r="J4670" s="4" t="s">
        <v>15112</v>
      </c>
      <c r="K4670" s="1" t="s">
        <v>633</v>
      </c>
      <c r="L4670" s="1" t="s">
        <v>15113</v>
      </c>
      <c r="M4670" s="1" t="s">
        <v>27</v>
      </c>
      <c r="N4670" s="1" t="s">
        <v>15114</v>
      </c>
      <c r="O4670" s="1" t="s">
        <v>1010</v>
      </c>
      <c r="P4670" s="1" t="s">
        <v>401</v>
      </c>
      <c r="Q4670" s="63" t="s">
        <v>15115</v>
      </c>
      <c r="R4670" s="1" t="s">
        <v>100</v>
      </c>
      <c r="S4670" s="13" t="s">
        <v>28</v>
      </c>
    </row>
    <row r="4671" spans="1:62" ht="12" customHeight="1" x14ac:dyDescent="0.15">
      <c r="A4671" s="1" t="s">
        <v>15116</v>
      </c>
      <c r="B4671" s="1">
        <v>28</v>
      </c>
      <c r="C4671" s="1" t="s">
        <v>20</v>
      </c>
      <c r="D4671" s="1" t="s">
        <v>37</v>
      </c>
      <c r="E4671" s="1" t="s">
        <v>15117</v>
      </c>
      <c r="F4671" s="72">
        <v>41483</v>
      </c>
      <c r="G4671" s="1" t="s">
        <v>24532</v>
      </c>
      <c r="H4671" s="1" t="s">
        <v>15118</v>
      </c>
      <c r="I4671" s="1" t="s">
        <v>69</v>
      </c>
      <c r="J4671" s="4" t="s">
        <v>15119</v>
      </c>
      <c r="K4671" s="1" t="s">
        <v>2267</v>
      </c>
      <c r="L4671" s="1" t="s">
        <v>15120</v>
      </c>
      <c r="M4671" s="1" t="s">
        <v>27</v>
      </c>
      <c r="N4671" s="1" t="s">
        <v>15121</v>
      </c>
      <c r="O4671" s="1" t="s">
        <v>400</v>
      </c>
      <c r="P4671" s="1" t="s">
        <v>401</v>
      </c>
      <c r="Q4671" s="63" t="s">
        <v>15122</v>
      </c>
      <c r="R4671" s="1" t="s">
        <v>100</v>
      </c>
      <c r="S4671" s="13" t="s">
        <v>28</v>
      </c>
      <c r="AX4671" s="11"/>
      <c r="AY4671" s="11"/>
      <c r="AZ4671" s="11"/>
      <c r="BC4671" s="44"/>
      <c r="BD4671" s="44"/>
      <c r="BE4671" s="44"/>
      <c r="BF4671" s="44"/>
      <c r="BG4671" s="44"/>
      <c r="BH4671" s="44"/>
      <c r="BI4671" s="44"/>
      <c r="BJ4671" s="44"/>
    </row>
    <row r="4672" spans="1:62" ht="12" customHeight="1" x14ac:dyDescent="0.15">
      <c r="A4672" s="1" t="s">
        <v>15123</v>
      </c>
      <c r="B4672" s="1">
        <v>31</v>
      </c>
      <c r="C4672" s="1" t="s">
        <v>20</v>
      </c>
      <c r="D4672" s="1" t="s">
        <v>37</v>
      </c>
      <c r="E4672" s="1" t="s">
        <v>15124</v>
      </c>
      <c r="F4672" s="72">
        <v>41483</v>
      </c>
      <c r="G4672" s="1" t="s">
        <v>15125</v>
      </c>
      <c r="H4672" s="1" t="s">
        <v>2514</v>
      </c>
      <c r="I4672" s="1" t="s">
        <v>73</v>
      </c>
      <c r="J4672" s="4" t="s">
        <v>15126</v>
      </c>
      <c r="K4672" s="1" t="s">
        <v>285</v>
      </c>
      <c r="L4672" s="1" t="s">
        <v>2515</v>
      </c>
      <c r="M4672" s="1" t="s">
        <v>27</v>
      </c>
      <c r="N4672" s="1" t="s">
        <v>15127</v>
      </c>
      <c r="O4672" s="1" t="s">
        <v>1010</v>
      </c>
      <c r="P4672" s="1" t="s">
        <v>401</v>
      </c>
      <c r="Q4672" s="63" t="s">
        <v>15128</v>
      </c>
      <c r="R4672" s="1" t="s">
        <v>100</v>
      </c>
      <c r="S4672" s="13" t="s">
        <v>28</v>
      </c>
      <c r="AX4672" s="11"/>
      <c r="AY4672" s="11"/>
      <c r="AZ4672" s="11"/>
      <c r="BC4672" s="44"/>
      <c r="BD4672" s="44"/>
      <c r="BE4672" s="44"/>
      <c r="BF4672" s="44"/>
      <c r="BG4672" s="44"/>
      <c r="BH4672" s="44"/>
      <c r="BI4672" s="44"/>
      <c r="BJ4672" s="44"/>
    </row>
    <row r="4673" spans="1:63" ht="12" customHeight="1" x14ac:dyDescent="0.15">
      <c r="A4673" s="1" t="s">
        <v>15097</v>
      </c>
      <c r="B4673" s="1">
        <v>24</v>
      </c>
      <c r="C4673" s="1" t="s">
        <v>20</v>
      </c>
      <c r="D4673" s="1" t="s">
        <v>85</v>
      </c>
      <c r="E4673" s="1" t="s">
        <v>15098</v>
      </c>
      <c r="F4673" s="72">
        <v>41483</v>
      </c>
      <c r="G4673" s="1" t="s">
        <v>15099</v>
      </c>
      <c r="H4673" s="1" t="s">
        <v>430</v>
      </c>
      <c r="I4673" s="1" t="s">
        <v>431</v>
      </c>
      <c r="J4673" s="4" t="s">
        <v>15100</v>
      </c>
      <c r="K4673" s="1" t="s">
        <v>433</v>
      </c>
      <c r="L4673" s="1" t="s">
        <v>434</v>
      </c>
      <c r="M4673" s="1" t="s">
        <v>27</v>
      </c>
      <c r="N4673" s="1" t="s">
        <v>21193</v>
      </c>
      <c r="O4673" s="1" t="s">
        <v>550</v>
      </c>
      <c r="P4673" s="1" t="s">
        <v>401</v>
      </c>
      <c r="Q4673" s="63" t="s">
        <v>15101</v>
      </c>
      <c r="R4673" s="1" t="s">
        <v>100</v>
      </c>
      <c r="S4673" s="13" t="s">
        <v>35</v>
      </c>
      <c r="AX4673" s="11"/>
      <c r="AY4673" s="11"/>
      <c r="BC4673" s="11"/>
      <c r="BD4673" s="11"/>
      <c r="BE4673" s="11"/>
      <c r="BF4673" s="11"/>
      <c r="BG4673" s="11"/>
      <c r="BH4673" s="11"/>
      <c r="BI4673" s="11"/>
      <c r="BJ4673" s="11"/>
      <c r="BK4673" s="11"/>
    </row>
    <row r="4674" spans="1:63" ht="12" customHeight="1" x14ac:dyDescent="0.15">
      <c r="A4674" s="1" t="s">
        <v>15091</v>
      </c>
      <c r="B4674" s="1">
        <v>32</v>
      </c>
      <c r="C4674" s="1" t="s">
        <v>20</v>
      </c>
      <c r="D4674" s="1" t="s">
        <v>85</v>
      </c>
      <c r="E4674" s="1" t="s">
        <v>15092</v>
      </c>
      <c r="F4674" s="72">
        <v>41483</v>
      </c>
      <c r="G4674" s="1" t="s">
        <v>15093</v>
      </c>
      <c r="H4674" s="1" t="s">
        <v>189</v>
      </c>
      <c r="I4674" s="1" t="s">
        <v>25</v>
      </c>
      <c r="J4674" s="4" t="s">
        <v>15094</v>
      </c>
      <c r="K4674" s="1" t="s">
        <v>3743</v>
      </c>
      <c r="L4674" s="1" t="s">
        <v>1683</v>
      </c>
      <c r="M4674" s="1" t="s">
        <v>27</v>
      </c>
      <c r="N4674" s="1" t="s">
        <v>15095</v>
      </c>
      <c r="O4674" s="1" t="s">
        <v>550</v>
      </c>
      <c r="P4674" s="1" t="s">
        <v>401</v>
      </c>
      <c r="Q4674" s="63" t="s">
        <v>15096</v>
      </c>
      <c r="R4674" s="1" t="s">
        <v>100</v>
      </c>
      <c r="S4674" s="13" t="s">
        <v>379</v>
      </c>
      <c r="AX4674" s="11"/>
      <c r="AY4674" s="11"/>
      <c r="BC4674" s="11"/>
      <c r="BD4674" s="11"/>
      <c r="BE4674" s="11"/>
      <c r="BF4674" s="11"/>
      <c r="BG4674" s="11"/>
      <c r="BH4674" s="11"/>
      <c r="BI4674" s="11"/>
      <c r="BJ4674" s="11"/>
    </row>
    <row r="4675" spans="1:63" ht="12" customHeight="1" x14ac:dyDescent="0.15">
      <c r="A4675" s="1" t="s">
        <v>15129</v>
      </c>
      <c r="B4675" s="1">
        <v>42</v>
      </c>
      <c r="C4675" s="1" t="s">
        <v>20</v>
      </c>
      <c r="D4675" s="1" t="s">
        <v>48</v>
      </c>
      <c r="E4675" s="1" t="s">
        <v>15130</v>
      </c>
      <c r="F4675" s="72">
        <v>41482</v>
      </c>
      <c r="G4675" s="1" t="s">
        <v>15131</v>
      </c>
      <c r="H4675" s="1" t="s">
        <v>6443</v>
      </c>
      <c r="I4675" s="1" t="s">
        <v>62</v>
      </c>
      <c r="J4675" s="4">
        <v>33012</v>
      </c>
      <c r="K4675" s="1" t="s">
        <v>161</v>
      </c>
      <c r="L4675" s="1" t="s">
        <v>162</v>
      </c>
      <c r="M4675" s="1" t="s">
        <v>27</v>
      </c>
      <c r="N4675" s="1" t="s">
        <v>15132</v>
      </c>
      <c r="O4675" s="1" t="s">
        <v>29</v>
      </c>
      <c r="P4675" s="1" t="s">
        <v>401</v>
      </c>
      <c r="Q4675" s="63" t="s">
        <v>15133</v>
      </c>
      <c r="R4675" s="1" t="s">
        <v>100</v>
      </c>
      <c r="S4675" s="13" t="s">
        <v>28</v>
      </c>
    </row>
    <row r="4676" spans="1:63" ht="12" customHeight="1" x14ac:dyDescent="0.15">
      <c r="A4676" s="1" t="s">
        <v>15134</v>
      </c>
      <c r="B4676" s="1">
        <v>33</v>
      </c>
      <c r="C4676" s="1" t="s">
        <v>20</v>
      </c>
      <c r="D4676" s="1" t="s">
        <v>48</v>
      </c>
      <c r="E4676" s="1" t="s">
        <v>15135</v>
      </c>
      <c r="F4676" s="72">
        <v>41482</v>
      </c>
      <c r="G4676" s="1" t="s">
        <v>24533</v>
      </c>
      <c r="H4676" s="1" t="s">
        <v>493</v>
      </c>
      <c r="I4676" s="1" t="s">
        <v>366</v>
      </c>
      <c r="J4676" s="4" t="s">
        <v>494</v>
      </c>
      <c r="K4676" s="1" t="s">
        <v>493</v>
      </c>
      <c r="L4676" s="1" t="s">
        <v>495</v>
      </c>
      <c r="M4676" s="1" t="s">
        <v>27</v>
      </c>
      <c r="N4676" s="1" t="s">
        <v>15136</v>
      </c>
      <c r="O4676" s="1" t="s">
        <v>550</v>
      </c>
      <c r="P4676" s="1" t="s">
        <v>401</v>
      </c>
      <c r="Q4676" s="63" t="s">
        <v>15137</v>
      </c>
      <c r="R4676" s="1" t="s">
        <v>100</v>
      </c>
      <c r="S4676" s="13" t="s">
        <v>28</v>
      </c>
    </row>
    <row r="4677" spans="1:63" ht="12" customHeight="1" x14ac:dyDescent="0.15">
      <c r="A4677" s="1" t="s">
        <v>15138</v>
      </c>
      <c r="B4677" s="1">
        <v>49</v>
      </c>
      <c r="C4677" s="1" t="s">
        <v>114</v>
      </c>
      <c r="D4677" s="1" t="s">
        <v>30</v>
      </c>
      <c r="F4677" s="72">
        <v>41482</v>
      </c>
      <c r="G4677" s="1" t="s">
        <v>15139</v>
      </c>
      <c r="H4677" s="1" t="s">
        <v>3109</v>
      </c>
      <c r="I4677" s="1" t="s">
        <v>73</v>
      </c>
      <c r="J4677" s="4" t="s">
        <v>15140</v>
      </c>
      <c r="K4677" s="1" t="s">
        <v>15141</v>
      </c>
      <c r="L4677" s="1" t="s">
        <v>15142</v>
      </c>
      <c r="M4677" s="1" t="s">
        <v>27</v>
      </c>
      <c r="N4677" s="1" t="s">
        <v>15143</v>
      </c>
      <c r="O4677" s="1" t="s">
        <v>400</v>
      </c>
      <c r="P4677" s="1" t="s">
        <v>401</v>
      </c>
      <c r="Q4677" s="63" t="s">
        <v>15144</v>
      </c>
      <c r="R4677" s="1" t="s">
        <v>100</v>
      </c>
      <c r="S4677" s="13" t="s">
        <v>28</v>
      </c>
    </row>
    <row r="4678" spans="1:63" ht="12" customHeight="1" x14ac:dyDescent="0.15">
      <c r="A4678" s="1" t="s">
        <v>15152</v>
      </c>
      <c r="B4678" s="1">
        <v>20</v>
      </c>
      <c r="C4678" s="1" t="s">
        <v>20</v>
      </c>
      <c r="D4678" s="1" t="s">
        <v>37</v>
      </c>
      <c r="E4678" s="1" t="s">
        <v>15153</v>
      </c>
      <c r="F4678" s="72">
        <v>41482</v>
      </c>
      <c r="G4678" s="1" t="s">
        <v>15154</v>
      </c>
      <c r="H4678" s="1" t="s">
        <v>15155</v>
      </c>
      <c r="I4678" s="1" t="s">
        <v>404</v>
      </c>
      <c r="J4678" s="4" t="s">
        <v>15156</v>
      </c>
      <c r="K4678" s="1" t="s">
        <v>4314</v>
      </c>
      <c r="L4678" s="1" t="s">
        <v>15157</v>
      </c>
      <c r="M4678" s="1" t="s">
        <v>27</v>
      </c>
      <c r="N4678" s="1" t="s">
        <v>15158</v>
      </c>
      <c r="O4678" s="1" t="s">
        <v>550</v>
      </c>
      <c r="P4678" s="1" t="s">
        <v>401</v>
      </c>
      <c r="Q4678" s="63" t="s">
        <v>15159</v>
      </c>
      <c r="R4678" s="1" t="s">
        <v>100</v>
      </c>
      <c r="S4678" s="13" t="s">
        <v>28</v>
      </c>
      <c r="AX4678" s="11"/>
      <c r="AY4678" s="11"/>
      <c r="AZ4678" s="11"/>
      <c r="BC4678" s="44"/>
      <c r="BD4678" s="44"/>
      <c r="BE4678" s="44"/>
      <c r="BF4678" s="44"/>
      <c r="BG4678" s="44"/>
      <c r="BH4678" s="44"/>
      <c r="BI4678" s="44"/>
      <c r="BJ4678" s="44"/>
    </row>
    <row r="4679" spans="1:63" ht="12" customHeight="1" x14ac:dyDescent="0.15">
      <c r="A4679" s="1" t="s">
        <v>15145</v>
      </c>
      <c r="B4679" s="1">
        <v>52</v>
      </c>
      <c r="C4679" s="1" t="s">
        <v>20</v>
      </c>
      <c r="D4679" s="1" t="s">
        <v>37</v>
      </c>
      <c r="F4679" s="72">
        <v>41482</v>
      </c>
      <c r="G4679" s="1" t="s">
        <v>15146</v>
      </c>
      <c r="H4679" s="1" t="s">
        <v>15147</v>
      </c>
      <c r="I4679" s="1" t="s">
        <v>81</v>
      </c>
      <c r="J4679" s="4" t="s">
        <v>15148</v>
      </c>
      <c r="K4679" s="1" t="s">
        <v>5094</v>
      </c>
      <c r="L4679" s="1" t="s">
        <v>15149</v>
      </c>
      <c r="M4679" s="1" t="s">
        <v>379</v>
      </c>
      <c r="N4679" s="1" t="s">
        <v>15150</v>
      </c>
      <c r="O4679" s="1" t="s">
        <v>400</v>
      </c>
      <c r="P4679" s="1" t="s">
        <v>401</v>
      </c>
      <c r="Q4679" s="63" t="s">
        <v>15151</v>
      </c>
      <c r="R4679" s="1" t="s">
        <v>100</v>
      </c>
      <c r="S4679" s="66" t="s">
        <v>379</v>
      </c>
      <c r="T4679" s="66" t="s">
        <v>30738</v>
      </c>
      <c r="BC4679" s="44"/>
      <c r="BD4679" s="44"/>
      <c r="BE4679" s="44"/>
      <c r="BF4679" s="44"/>
      <c r="BG4679" s="44"/>
      <c r="BH4679" s="44"/>
      <c r="BI4679" s="44"/>
      <c r="BJ4679" s="44"/>
    </row>
    <row r="4680" spans="1:63" ht="12" customHeight="1" x14ac:dyDescent="0.15">
      <c r="A4680" s="1" t="s">
        <v>15165</v>
      </c>
      <c r="B4680" s="1">
        <v>30</v>
      </c>
      <c r="C4680" s="1" t="s">
        <v>20</v>
      </c>
      <c r="D4680" s="1" t="s">
        <v>48</v>
      </c>
      <c r="E4680" s="1" t="s">
        <v>15166</v>
      </c>
      <c r="F4680" s="72">
        <v>41481</v>
      </c>
      <c r="G4680" s="1" t="s">
        <v>15167</v>
      </c>
      <c r="H4680" s="1" t="s">
        <v>6345</v>
      </c>
      <c r="I4680" s="1" t="s">
        <v>45</v>
      </c>
      <c r="J4680" s="4" t="s">
        <v>6346</v>
      </c>
      <c r="K4680" s="1" t="s">
        <v>65</v>
      </c>
      <c r="L4680" s="1" t="s">
        <v>6347</v>
      </c>
      <c r="M4680" s="1" t="s">
        <v>27</v>
      </c>
      <c r="N4680" s="1" t="s">
        <v>15168</v>
      </c>
      <c r="O4680" s="1" t="s">
        <v>1010</v>
      </c>
      <c r="P4680" s="1" t="s">
        <v>401</v>
      </c>
      <c r="Q4680" s="63" t="s">
        <v>15169</v>
      </c>
      <c r="R4680" s="1" t="s">
        <v>100</v>
      </c>
      <c r="S4680" s="13" t="s">
        <v>28</v>
      </c>
    </row>
    <row r="4681" spans="1:63" ht="12" customHeight="1" x14ac:dyDescent="0.15">
      <c r="A4681" s="1" t="s">
        <v>15160</v>
      </c>
      <c r="B4681" s="1" t="s">
        <v>13656</v>
      </c>
      <c r="C4681" s="1" t="s">
        <v>20</v>
      </c>
      <c r="D4681" s="1" t="s">
        <v>85</v>
      </c>
      <c r="E4681" s="1" t="s">
        <v>15161</v>
      </c>
      <c r="F4681" s="72">
        <v>41481</v>
      </c>
      <c r="G4681" s="1" t="s">
        <v>15162</v>
      </c>
      <c r="H4681" s="1" t="s">
        <v>1313</v>
      </c>
      <c r="I4681" s="1" t="s">
        <v>73</v>
      </c>
      <c r="J4681" s="4" t="s">
        <v>15163</v>
      </c>
      <c r="K4681" s="1" t="s">
        <v>1314</v>
      </c>
      <c r="L4681" s="1" t="s">
        <v>1315</v>
      </c>
      <c r="M4681" s="1" t="s">
        <v>27</v>
      </c>
      <c r="N4681" s="1" t="s">
        <v>15164</v>
      </c>
      <c r="O4681" s="1" t="s">
        <v>30998</v>
      </c>
      <c r="P4681" s="1" t="s">
        <v>29659</v>
      </c>
      <c r="Q4681" s="6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4681" s="1" t="s">
        <v>100</v>
      </c>
      <c r="S4681" s="13" t="s">
        <v>18</v>
      </c>
      <c r="AX4681" s="11"/>
      <c r="AY4681" s="11"/>
      <c r="BC4681" s="11"/>
      <c r="BD4681" s="11"/>
      <c r="BE4681" s="11"/>
      <c r="BF4681" s="11"/>
      <c r="BG4681" s="11"/>
      <c r="BH4681" s="11"/>
      <c r="BI4681" s="11"/>
      <c r="BJ4681" s="11"/>
    </row>
    <row r="4682" spans="1:63" ht="12" customHeight="1" x14ac:dyDescent="0.15">
      <c r="A4682" s="1" t="s">
        <v>15183</v>
      </c>
      <c r="B4682" s="1">
        <v>49</v>
      </c>
      <c r="C4682" s="1" t="s">
        <v>20</v>
      </c>
      <c r="D4682" s="1" t="s">
        <v>30</v>
      </c>
      <c r="F4682" s="72">
        <v>41480</v>
      </c>
      <c r="G4682" s="1" t="s">
        <v>15184</v>
      </c>
      <c r="H4682" s="1" t="s">
        <v>1104</v>
      </c>
      <c r="I4682" s="1" t="s">
        <v>366</v>
      </c>
      <c r="J4682" s="4" t="s">
        <v>15185</v>
      </c>
      <c r="K4682" s="1" t="s">
        <v>670</v>
      </c>
      <c r="L4682" s="1" t="s">
        <v>5011</v>
      </c>
      <c r="M4682" s="1" t="s">
        <v>27</v>
      </c>
      <c r="N4682" s="1" t="s">
        <v>15186</v>
      </c>
      <c r="O4682" s="1" t="s">
        <v>550</v>
      </c>
      <c r="P4682" s="1" t="s">
        <v>401</v>
      </c>
      <c r="Q4682" s="63" t="s">
        <v>15187</v>
      </c>
      <c r="R4682" s="1" t="s">
        <v>100</v>
      </c>
      <c r="S4682" s="13" t="s">
        <v>28</v>
      </c>
    </row>
    <row r="4683" spans="1:63" ht="12" customHeight="1" x14ac:dyDescent="0.15">
      <c r="A4683" s="1" t="s">
        <v>3252</v>
      </c>
      <c r="B4683" s="1">
        <v>42</v>
      </c>
      <c r="C4683" s="1" t="s">
        <v>20</v>
      </c>
      <c r="D4683" s="1" t="s">
        <v>48</v>
      </c>
      <c r="F4683" s="72">
        <v>41480</v>
      </c>
      <c r="G4683" s="1" t="s">
        <v>24534</v>
      </c>
      <c r="H4683" s="1" t="s">
        <v>5191</v>
      </c>
      <c r="I4683" s="1" t="s">
        <v>45</v>
      </c>
      <c r="J4683" s="4" t="s">
        <v>8967</v>
      </c>
      <c r="K4683" s="1" t="s">
        <v>98</v>
      </c>
      <c r="L4683" s="11" t="s">
        <v>414</v>
      </c>
      <c r="M4683" s="1" t="s">
        <v>27</v>
      </c>
      <c r="N4683" s="1" t="s">
        <v>15177</v>
      </c>
      <c r="O4683" s="1" t="s">
        <v>400</v>
      </c>
      <c r="P4683" s="1" t="s">
        <v>401</v>
      </c>
      <c r="Q4683" s="63" t="s">
        <v>15178</v>
      </c>
      <c r="R4683" s="1" t="s">
        <v>100</v>
      </c>
      <c r="S4683" s="13" t="s">
        <v>18</v>
      </c>
    </row>
    <row r="4684" spans="1:63" ht="12" customHeight="1" x14ac:dyDescent="0.15">
      <c r="A4684" s="1" t="s">
        <v>15179</v>
      </c>
      <c r="B4684" s="1">
        <v>42</v>
      </c>
      <c r="C4684" s="1" t="s">
        <v>20</v>
      </c>
      <c r="D4684" s="1" t="s">
        <v>48</v>
      </c>
      <c r="F4684" s="72">
        <v>41480</v>
      </c>
      <c r="G4684" s="1" t="s">
        <v>15180</v>
      </c>
      <c r="H4684" s="1" t="s">
        <v>5191</v>
      </c>
      <c r="I4684" s="1" t="s">
        <v>45</v>
      </c>
      <c r="J4684" s="4" t="s">
        <v>8967</v>
      </c>
      <c r="K4684" s="1" t="s">
        <v>98</v>
      </c>
      <c r="L4684" s="1" t="s">
        <v>14111</v>
      </c>
      <c r="M4684" s="1" t="s">
        <v>27</v>
      </c>
      <c r="N4684" s="1" t="s">
        <v>15181</v>
      </c>
      <c r="O4684" s="1" t="s">
        <v>1010</v>
      </c>
      <c r="P4684" s="1" t="s">
        <v>401</v>
      </c>
      <c r="Q4684" s="63" t="s">
        <v>15182</v>
      </c>
      <c r="R4684" s="1" t="s">
        <v>29</v>
      </c>
      <c r="S4684" s="13" t="s">
        <v>35</v>
      </c>
      <c r="BK4684" s="11"/>
    </row>
    <row r="4685" spans="1:63" ht="12" customHeight="1" x14ac:dyDescent="0.15">
      <c r="A4685" s="1" t="s">
        <v>15170</v>
      </c>
      <c r="B4685" s="1">
        <v>29</v>
      </c>
      <c r="C4685" s="1" t="s">
        <v>20</v>
      </c>
      <c r="D4685" s="1" t="s">
        <v>85</v>
      </c>
      <c r="E4685" s="1" t="s">
        <v>15171</v>
      </c>
      <c r="F4685" s="72">
        <v>41480</v>
      </c>
      <c r="G4685" s="1" t="s">
        <v>15172</v>
      </c>
      <c r="H4685" s="1" t="s">
        <v>15173</v>
      </c>
      <c r="I4685" s="1" t="s">
        <v>423</v>
      </c>
      <c r="J4685" s="4" t="s">
        <v>15174</v>
      </c>
      <c r="K4685" s="1" t="s">
        <v>1699</v>
      </c>
      <c r="L4685" s="1" t="s">
        <v>3354</v>
      </c>
      <c r="M4685" s="1" t="s">
        <v>391</v>
      </c>
      <c r="N4685" s="1" t="s">
        <v>15175</v>
      </c>
      <c r="O4685" s="1" t="s">
        <v>1010</v>
      </c>
      <c r="P4685" s="1" t="s">
        <v>401</v>
      </c>
      <c r="Q4685" s="63" t="s">
        <v>15176</v>
      </c>
      <c r="R4685" s="1" t="s">
        <v>555</v>
      </c>
      <c r="S4685" s="13" t="s">
        <v>18</v>
      </c>
      <c r="AU4685" s="11"/>
      <c r="AV4685" s="11"/>
      <c r="AW4685" s="11"/>
      <c r="AX4685" s="44"/>
      <c r="AY4685" s="44"/>
      <c r="BA4685" s="11"/>
      <c r="BB4685" s="11"/>
      <c r="BC4685" s="44"/>
      <c r="BD4685" s="44"/>
      <c r="BE4685" s="44"/>
      <c r="BF4685" s="44"/>
      <c r="BG4685" s="44"/>
      <c r="BH4685" s="44"/>
      <c r="BI4685" s="44"/>
      <c r="BJ4685" s="44"/>
    </row>
    <row r="4686" spans="1:63" ht="12" customHeight="1" x14ac:dyDescent="0.15">
      <c r="A4686" s="1" t="s">
        <v>15188</v>
      </c>
      <c r="B4686" s="1">
        <v>32</v>
      </c>
      <c r="C4686" s="1" t="s">
        <v>20</v>
      </c>
      <c r="D4686" s="1" t="s">
        <v>37</v>
      </c>
      <c r="E4686" s="1" t="s">
        <v>15189</v>
      </c>
      <c r="F4686" s="72">
        <v>41479</v>
      </c>
      <c r="G4686" s="1" t="s">
        <v>15190</v>
      </c>
      <c r="H4686" s="1" t="s">
        <v>547</v>
      </c>
      <c r="I4686" s="1" t="s">
        <v>69</v>
      </c>
      <c r="J4686" s="4" t="s">
        <v>15191</v>
      </c>
      <c r="K4686" s="1" t="s">
        <v>548</v>
      </c>
      <c r="L4686" s="1" t="s">
        <v>549</v>
      </c>
      <c r="M4686" s="1" t="s">
        <v>27</v>
      </c>
      <c r="N4686" s="1" t="s">
        <v>15192</v>
      </c>
      <c r="O4686" s="1" t="s">
        <v>29</v>
      </c>
      <c r="P4686" s="1" t="s">
        <v>401</v>
      </c>
      <c r="Q4686" s="63" t="s">
        <v>15193</v>
      </c>
      <c r="R4686" s="1" t="s">
        <v>555</v>
      </c>
      <c r="S4686" s="13" t="s">
        <v>28</v>
      </c>
      <c r="AX4686" s="11"/>
      <c r="AY4686" s="11"/>
      <c r="AZ4686" s="11"/>
      <c r="BA4686" s="44"/>
      <c r="BB4686" s="44"/>
      <c r="BC4686" s="44"/>
      <c r="BD4686" s="44"/>
      <c r="BE4686" s="44"/>
      <c r="BF4686" s="44"/>
      <c r="BG4686" s="44"/>
      <c r="BH4686" s="44"/>
      <c r="BI4686" s="44"/>
      <c r="BJ4686" s="44"/>
    </row>
    <row r="4687" spans="1:63" ht="12" customHeight="1" x14ac:dyDescent="0.2">
      <c r="A4687" s="1" t="s">
        <v>15194</v>
      </c>
      <c r="B4687" s="1">
        <v>35</v>
      </c>
      <c r="C4687" s="1" t="s">
        <v>20</v>
      </c>
      <c r="D4687" s="1" t="s">
        <v>21</v>
      </c>
      <c r="E4687" s="1" t="s">
        <v>15195</v>
      </c>
      <c r="F4687" s="72">
        <v>41478</v>
      </c>
      <c r="G4687" s="1" t="s">
        <v>24535</v>
      </c>
      <c r="H4687" s="1" t="s">
        <v>655</v>
      </c>
      <c r="I4687" s="1" t="s">
        <v>269</v>
      </c>
      <c r="J4687" s="4" t="s">
        <v>15196</v>
      </c>
      <c r="K4687" s="1" t="s">
        <v>570</v>
      </c>
      <c r="L4687" s="1" t="s">
        <v>571</v>
      </c>
      <c r="M4687" s="1" t="s">
        <v>27</v>
      </c>
      <c r="N4687" s="1" t="s">
        <v>15197</v>
      </c>
      <c r="O4687" s="1" t="s">
        <v>550</v>
      </c>
      <c r="P4687" s="1" t="s">
        <v>401</v>
      </c>
      <c r="Q4687" s="63" t="s">
        <v>15198</v>
      </c>
      <c r="R4687" s="1" t="s">
        <v>100</v>
      </c>
      <c r="S4687" s="13" t="s">
        <v>28</v>
      </c>
      <c r="AX4687" s="70"/>
      <c r="AY4687" s="70"/>
      <c r="BC4687" s="70"/>
      <c r="BD4687" s="70"/>
      <c r="BE4687" s="70"/>
      <c r="BF4687" s="70"/>
      <c r="BG4687" s="70"/>
      <c r="BH4687" s="70"/>
      <c r="BI4687" s="70"/>
      <c r="BJ4687" s="70"/>
    </row>
    <row r="4688" spans="1:63" ht="12" customHeight="1" x14ac:dyDescent="0.15">
      <c r="A4688" s="1" t="s">
        <v>15199</v>
      </c>
      <c r="B4688" s="1">
        <v>40</v>
      </c>
      <c r="C4688" s="1" t="s">
        <v>20</v>
      </c>
      <c r="D4688" s="1" t="s">
        <v>85</v>
      </c>
      <c r="E4688" s="1" t="s">
        <v>15200</v>
      </c>
      <c r="F4688" s="72">
        <v>41478</v>
      </c>
      <c r="G4688" s="1" t="s">
        <v>15201</v>
      </c>
      <c r="H4688" s="1" t="s">
        <v>12574</v>
      </c>
      <c r="I4688" s="1" t="s">
        <v>303</v>
      </c>
      <c r="J4688" s="4" t="s">
        <v>13853</v>
      </c>
      <c r="K4688" s="1" t="s">
        <v>13854</v>
      </c>
      <c r="L4688" s="1" t="s">
        <v>1629</v>
      </c>
      <c r="M4688" s="1" t="s">
        <v>14359</v>
      </c>
      <c r="N4688" s="1" t="s">
        <v>21176</v>
      </c>
      <c r="O4688" s="1" t="s">
        <v>400</v>
      </c>
      <c r="P4688" s="1" t="s">
        <v>401</v>
      </c>
      <c r="Q4688" s="63" t="s">
        <v>15202</v>
      </c>
      <c r="R4688" s="1" t="s">
        <v>100</v>
      </c>
      <c r="S4688" s="13" t="s">
        <v>18</v>
      </c>
      <c r="AX4688" s="44"/>
      <c r="AY4688" s="44"/>
      <c r="BC4688" s="11"/>
      <c r="BD4688" s="11"/>
      <c r="BE4688" s="11"/>
      <c r="BF4688" s="11"/>
      <c r="BG4688" s="11"/>
      <c r="BH4688" s="11"/>
      <c r="BI4688" s="11"/>
      <c r="BJ4688" s="11"/>
    </row>
    <row r="4689" spans="1:63" ht="12" customHeight="1" x14ac:dyDescent="0.15">
      <c r="A4689" s="1" t="s">
        <v>15203</v>
      </c>
      <c r="B4689" s="1">
        <v>43</v>
      </c>
      <c r="C4689" s="1" t="s">
        <v>20</v>
      </c>
      <c r="D4689" s="1" t="s">
        <v>30</v>
      </c>
      <c r="F4689" s="72">
        <v>41478</v>
      </c>
      <c r="G4689" s="1" t="s">
        <v>24536</v>
      </c>
      <c r="H4689" s="1" t="s">
        <v>3905</v>
      </c>
      <c r="I4689" s="1" t="s">
        <v>123</v>
      </c>
      <c r="J4689" s="4" t="s">
        <v>11141</v>
      </c>
      <c r="K4689" s="1" t="s">
        <v>633</v>
      </c>
      <c r="L4689" s="1" t="s">
        <v>3907</v>
      </c>
      <c r="M4689" s="1" t="s">
        <v>27</v>
      </c>
      <c r="N4689" s="1" t="s">
        <v>21041</v>
      </c>
      <c r="O4689" s="1" t="s">
        <v>29</v>
      </c>
      <c r="P4689" s="1" t="s">
        <v>401</v>
      </c>
      <c r="Q4689" s="63" t="s">
        <v>15204</v>
      </c>
      <c r="R4689" s="1" t="s">
        <v>100</v>
      </c>
      <c r="S4689" s="13" t="s">
        <v>18</v>
      </c>
    </row>
    <row r="4690" spans="1:63" ht="12" customHeight="1" x14ac:dyDescent="0.15">
      <c r="A4690" s="1" t="s">
        <v>15211</v>
      </c>
      <c r="B4690" s="1">
        <v>21</v>
      </c>
      <c r="C4690" s="1" t="s">
        <v>20</v>
      </c>
      <c r="D4690" s="1" t="s">
        <v>85</v>
      </c>
      <c r="E4690" s="1" t="s">
        <v>15212</v>
      </c>
      <c r="F4690" s="72">
        <v>41477</v>
      </c>
      <c r="G4690" s="1" t="s">
        <v>15213</v>
      </c>
      <c r="H4690" s="1" t="s">
        <v>1100</v>
      </c>
      <c r="I4690" s="1" t="s">
        <v>404</v>
      </c>
      <c r="J4690" s="4" t="s">
        <v>15214</v>
      </c>
      <c r="K4690" s="1" t="s">
        <v>1100</v>
      </c>
      <c r="L4690" s="1" t="s">
        <v>1101</v>
      </c>
      <c r="M4690" s="1" t="s">
        <v>27</v>
      </c>
      <c r="N4690" s="1" t="s">
        <v>15215</v>
      </c>
      <c r="O4690" s="1" t="s">
        <v>550</v>
      </c>
      <c r="P4690" s="1" t="s">
        <v>401</v>
      </c>
      <c r="Q4690" s="63" t="s">
        <v>15216</v>
      </c>
      <c r="R4690" s="1" t="s">
        <v>100</v>
      </c>
      <c r="S4690" s="13" t="s">
        <v>28</v>
      </c>
      <c r="AX4690" s="11"/>
      <c r="AY4690" s="11"/>
      <c r="BC4690" s="11"/>
      <c r="BD4690" s="11"/>
      <c r="BE4690" s="11"/>
      <c r="BF4690" s="11"/>
      <c r="BG4690" s="11"/>
      <c r="BH4690" s="11"/>
      <c r="BI4690" s="11"/>
      <c r="BJ4690" s="11"/>
    </row>
    <row r="4691" spans="1:63" ht="12" customHeight="1" x14ac:dyDescent="0.15">
      <c r="A4691" s="1" t="s">
        <v>15205</v>
      </c>
      <c r="B4691" s="1">
        <v>37</v>
      </c>
      <c r="C4691" s="1" t="s">
        <v>114</v>
      </c>
      <c r="D4691" s="1" t="s">
        <v>85</v>
      </c>
      <c r="E4691" s="1" t="s">
        <v>15206</v>
      </c>
      <c r="F4691" s="72">
        <v>41477</v>
      </c>
      <c r="G4691" s="1" t="s">
        <v>15207</v>
      </c>
      <c r="H4691" s="1" t="s">
        <v>754</v>
      </c>
      <c r="I4691" s="1" t="s">
        <v>423</v>
      </c>
      <c r="J4691" s="4" t="s">
        <v>15208</v>
      </c>
      <c r="K4691" s="1" t="s">
        <v>754</v>
      </c>
      <c r="L4691" s="1" t="s">
        <v>582</v>
      </c>
      <c r="M4691" s="1" t="s">
        <v>14359</v>
      </c>
      <c r="N4691" s="1" t="s">
        <v>15209</v>
      </c>
      <c r="O4691" s="1" t="s">
        <v>400</v>
      </c>
      <c r="P4691" s="1" t="s">
        <v>401</v>
      </c>
      <c r="Q4691" s="63" t="s">
        <v>15210</v>
      </c>
      <c r="R4691" s="1" t="s">
        <v>100</v>
      </c>
      <c r="S4691" s="13" t="s">
        <v>18</v>
      </c>
      <c r="AX4691" s="44"/>
      <c r="AY4691" s="44"/>
      <c r="BC4691" s="11"/>
      <c r="BD4691" s="11"/>
      <c r="BE4691" s="11"/>
      <c r="BF4691" s="11"/>
      <c r="BG4691" s="11"/>
      <c r="BH4691" s="11"/>
      <c r="BI4691" s="11"/>
      <c r="BJ4691" s="11"/>
    </row>
    <row r="4692" spans="1:63" ht="12" customHeight="1" x14ac:dyDescent="0.15">
      <c r="A4692" s="1" t="s">
        <v>15217</v>
      </c>
      <c r="B4692" s="1">
        <v>40</v>
      </c>
      <c r="C4692" s="1" t="s">
        <v>20</v>
      </c>
      <c r="D4692" s="1" t="s">
        <v>48</v>
      </c>
      <c r="F4692" s="72">
        <v>41477</v>
      </c>
      <c r="G4692" s="1" t="s">
        <v>24537</v>
      </c>
      <c r="H4692" s="1" t="s">
        <v>15218</v>
      </c>
      <c r="I4692" s="1" t="s">
        <v>370</v>
      </c>
      <c r="J4692" s="4" t="s">
        <v>15219</v>
      </c>
      <c r="K4692" s="1" t="s">
        <v>3288</v>
      </c>
      <c r="L4692" s="1" t="s">
        <v>15220</v>
      </c>
      <c r="M4692" s="1" t="s">
        <v>391</v>
      </c>
      <c r="N4692" s="1" t="s">
        <v>15221</v>
      </c>
      <c r="O4692" s="1" t="s">
        <v>400</v>
      </c>
      <c r="P4692" s="1" t="s">
        <v>401</v>
      </c>
      <c r="Q4692" s="63" t="s">
        <v>15222</v>
      </c>
      <c r="R4692" s="1" t="s">
        <v>100</v>
      </c>
      <c r="S4692" s="13" t="s">
        <v>18</v>
      </c>
      <c r="AU4692" s="11"/>
      <c r="AV4692" s="11"/>
      <c r="AW4692" s="11"/>
    </row>
    <row r="4693" spans="1:63" ht="12" customHeight="1" x14ac:dyDescent="0.15">
      <c r="A4693" s="1" t="s">
        <v>15235</v>
      </c>
      <c r="B4693" s="1">
        <v>28</v>
      </c>
      <c r="C4693" s="1" t="s">
        <v>20</v>
      </c>
      <c r="D4693" s="1" t="s">
        <v>37</v>
      </c>
      <c r="E4693" s="1" t="s">
        <v>15236</v>
      </c>
      <c r="F4693" s="72">
        <v>41476</v>
      </c>
      <c r="G4693" s="1" t="s">
        <v>15237</v>
      </c>
      <c r="H4693" s="1" t="s">
        <v>15238</v>
      </c>
      <c r="I4693" s="1" t="s">
        <v>366</v>
      </c>
      <c r="J4693" s="4" t="s">
        <v>15239</v>
      </c>
      <c r="K4693" s="1" t="s">
        <v>15238</v>
      </c>
      <c r="L4693" s="1" t="s">
        <v>15240</v>
      </c>
      <c r="M4693" s="1" t="s">
        <v>27</v>
      </c>
      <c r="N4693" s="1" t="s">
        <v>15241</v>
      </c>
      <c r="O4693" s="1" t="s">
        <v>550</v>
      </c>
      <c r="P4693" s="1" t="s">
        <v>401</v>
      </c>
      <c r="Q4693" s="63" t="str">
        <f>HYPERLINK("http://www.wral.com/suspect-killed-in-officer-involved-shooting-identified/12688890/","http://www.wral.com/suspect-killed-in-officer-involved-shooting-identified/12688890/")</f>
        <v>http://www.wral.com/suspect-killed-in-officer-involved-shooting-identified/12688890/</v>
      </c>
      <c r="R4693" s="1" t="s">
        <v>100</v>
      </c>
      <c r="S4693" s="13" t="s">
        <v>28</v>
      </c>
      <c r="AX4693" s="11"/>
      <c r="AY4693" s="11"/>
      <c r="AZ4693" s="11"/>
      <c r="BC4693" s="44"/>
      <c r="BD4693" s="44"/>
      <c r="BE4693" s="44"/>
      <c r="BF4693" s="44"/>
      <c r="BG4693" s="44"/>
      <c r="BH4693" s="44"/>
      <c r="BI4693" s="44"/>
      <c r="BJ4693" s="44"/>
    </row>
    <row r="4694" spans="1:63" ht="12" customHeight="1" x14ac:dyDescent="0.15">
      <c r="A4694" s="1" t="s">
        <v>15227</v>
      </c>
      <c r="B4694" s="1">
        <v>36</v>
      </c>
      <c r="C4694" s="1" t="s">
        <v>20</v>
      </c>
      <c r="D4694" s="1" t="s">
        <v>37</v>
      </c>
      <c r="E4694" s="1" t="s">
        <v>15228</v>
      </c>
      <c r="F4694" s="72">
        <v>41476</v>
      </c>
      <c r="G4694" s="1" t="s">
        <v>15229</v>
      </c>
      <c r="H4694" s="1" t="s">
        <v>15230</v>
      </c>
      <c r="I4694" s="1" t="s">
        <v>1716</v>
      </c>
      <c r="J4694" s="4" t="s">
        <v>15231</v>
      </c>
      <c r="K4694" s="1" t="s">
        <v>15230</v>
      </c>
      <c r="L4694" s="1" t="s">
        <v>15232</v>
      </c>
      <c r="M4694" s="1" t="s">
        <v>27</v>
      </c>
      <c r="N4694" s="1" t="s">
        <v>15233</v>
      </c>
      <c r="O4694" s="1" t="s">
        <v>1010</v>
      </c>
      <c r="P4694" s="1" t="s">
        <v>401</v>
      </c>
      <c r="Q4694" s="63" t="s">
        <v>15234</v>
      </c>
      <c r="R4694" s="1" t="s">
        <v>100</v>
      </c>
      <c r="S4694" s="13" t="s">
        <v>28</v>
      </c>
      <c r="AX4694" s="11"/>
      <c r="AY4694" s="11"/>
      <c r="AZ4694" s="11"/>
      <c r="BC4694" s="44"/>
      <c r="BD4694" s="44"/>
      <c r="BE4694" s="44"/>
      <c r="BF4694" s="44"/>
      <c r="BG4694" s="44"/>
      <c r="BH4694" s="44"/>
      <c r="BI4694" s="44"/>
      <c r="BJ4694" s="44"/>
    </row>
    <row r="4695" spans="1:63" ht="12" customHeight="1" x14ac:dyDescent="0.15">
      <c r="A4695" s="1" t="s">
        <v>15223</v>
      </c>
      <c r="B4695" s="1">
        <v>28</v>
      </c>
      <c r="C4695" s="1" t="s">
        <v>20</v>
      </c>
      <c r="D4695" s="1" t="s">
        <v>85</v>
      </c>
      <c r="E4695" s="1" t="s">
        <v>15224</v>
      </c>
      <c r="F4695" s="72">
        <v>41476</v>
      </c>
      <c r="G4695" s="1" t="s">
        <v>24538</v>
      </c>
      <c r="H4695" s="1" t="s">
        <v>224</v>
      </c>
      <c r="I4695" s="1" t="s">
        <v>225</v>
      </c>
      <c r="J4695" s="4" t="s">
        <v>15225</v>
      </c>
      <c r="K4695" s="1" t="s">
        <v>3810</v>
      </c>
      <c r="L4695" s="1" t="s">
        <v>226</v>
      </c>
      <c r="M4695" s="1" t="s">
        <v>391</v>
      </c>
      <c r="N4695" s="1" t="s">
        <v>15226</v>
      </c>
      <c r="O4695" s="1" t="s">
        <v>1010</v>
      </c>
      <c r="P4695" s="1" t="s">
        <v>401</v>
      </c>
      <c r="Q4695" s="63" t="s">
        <v>21042</v>
      </c>
      <c r="R4695" s="1" t="s">
        <v>100</v>
      </c>
      <c r="S4695" s="13" t="s">
        <v>18</v>
      </c>
      <c r="AU4695" s="11"/>
      <c r="AV4695" s="11"/>
      <c r="AW4695" s="11"/>
      <c r="AX4695" s="44"/>
      <c r="AY4695" s="44"/>
      <c r="BC4695" s="44"/>
      <c r="BD4695" s="44"/>
      <c r="BE4695" s="44"/>
      <c r="BF4695" s="44"/>
      <c r="BG4695" s="44"/>
      <c r="BH4695" s="44"/>
      <c r="BI4695" s="44"/>
      <c r="BJ4695" s="44"/>
    </row>
    <row r="4696" spans="1:63" ht="12" customHeight="1" x14ac:dyDescent="0.15">
      <c r="A4696" s="1" t="s">
        <v>15247</v>
      </c>
      <c r="B4696" s="1">
        <v>24</v>
      </c>
      <c r="C4696" s="1" t="s">
        <v>20</v>
      </c>
      <c r="D4696" s="1" t="s">
        <v>30</v>
      </c>
      <c r="F4696" s="72">
        <v>41475</v>
      </c>
      <c r="G4696" s="1" t="s">
        <v>15248</v>
      </c>
      <c r="H4696" s="1" t="s">
        <v>4094</v>
      </c>
      <c r="I4696" s="1" t="s">
        <v>173</v>
      </c>
      <c r="J4696" s="4" t="s">
        <v>4095</v>
      </c>
      <c r="K4696" s="1" t="s">
        <v>3309</v>
      </c>
      <c r="L4696" s="1" t="s">
        <v>15249</v>
      </c>
      <c r="M4696" s="1" t="s">
        <v>27</v>
      </c>
      <c r="N4696" s="1" t="s">
        <v>15250</v>
      </c>
      <c r="O4696" s="1" t="s">
        <v>1010</v>
      </c>
      <c r="P4696" s="1" t="s">
        <v>401</v>
      </c>
      <c r="Q4696" s="63" t="s">
        <v>15251</v>
      </c>
      <c r="R4696" s="1" t="s">
        <v>100</v>
      </c>
      <c r="S4696" s="13" t="s">
        <v>28</v>
      </c>
    </row>
    <row r="4697" spans="1:63" ht="12" customHeight="1" x14ac:dyDescent="0.15">
      <c r="A4697" s="1" t="s">
        <v>15242</v>
      </c>
      <c r="B4697" s="1">
        <v>49</v>
      </c>
      <c r="C4697" s="1" t="s">
        <v>20</v>
      </c>
      <c r="D4697" s="1" t="s">
        <v>37</v>
      </c>
      <c r="F4697" s="72">
        <v>41475</v>
      </c>
      <c r="G4697" s="1" t="s">
        <v>24539</v>
      </c>
      <c r="H4697" s="1" t="s">
        <v>15243</v>
      </c>
      <c r="I4697" s="1" t="s">
        <v>52</v>
      </c>
      <c r="J4697" s="4" t="s">
        <v>15244</v>
      </c>
      <c r="K4697" s="1" t="s">
        <v>1592</v>
      </c>
      <c r="L4697" s="1" t="s">
        <v>231</v>
      </c>
      <c r="M4697" s="1" t="s">
        <v>27</v>
      </c>
      <c r="N4697" s="1" t="s">
        <v>15245</v>
      </c>
      <c r="O4697" s="1" t="s">
        <v>1010</v>
      </c>
      <c r="P4697" s="1" t="s">
        <v>401</v>
      </c>
      <c r="Q4697" s="63" t="s">
        <v>15246</v>
      </c>
      <c r="R4697" s="1" t="s">
        <v>100</v>
      </c>
      <c r="S4697" s="13" t="s">
        <v>28</v>
      </c>
      <c r="AX4697" s="11"/>
      <c r="AY4697" s="11"/>
      <c r="AZ4697" s="11"/>
      <c r="BC4697" s="44"/>
      <c r="BD4697" s="44"/>
      <c r="BE4697" s="44"/>
      <c r="BF4697" s="44"/>
      <c r="BG4697" s="44"/>
      <c r="BH4697" s="44"/>
      <c r="BI4697" s="44"/>
      <c r="BJ4697" s="44"/>
    </row>
    <row r="4698" spans="1:63" ht="12" customHeight="1" x14ac:dyDescent="0.15">
      <c r="A4698" s="1" t="s">
        <v>15252</v>
      </c>
      <c r="B4698" s="1">
        <v>47</v>
      </c>
      <c r="C4698" s="1" t="s">
        <v>20</v>
      </c>
      <c r="D4698" s="1" t="s">
        <v>85</v>
      </c>
      <c r="E4698" s="1" t="s">
        <v>15253</v>
      </c>
      <c r="F4698" s="72">
        <v>41474</v>
      </c>
      <c r="G4698" s="1" t="s">
        <v>15254</v>
      </c>
      <c r="H4698" s="1" t="s">
        <v>4883</v>
      </c>
      <c r="I4698" s="1" t="s">
        <v>45</v>
      </c>
      <c r="J4698" s="4" t="s">
        <v>4884</v>
      </c>
      <c r="K4698" s="1" t="s">
        <v>3423</v>
      </c>
      <c r="L4698" s="1" t="s">
        <v>4885</v>
      </c>
      <c r="M4698" s="1" t="s">
        <v>27</v>
      </c>
      <c r="N4698" s="1" t="s">
        <v>15255</v>
      </c>
      <c r="O4698" s="1" t="s">
        <v>550</v>
      </c>
      <c r="P4698" s="1" t="s">
        <v>401</v>
      </c>
      <c r="Q4698" s="63" t="s">
        <v>15256</v>
      </c>
      <c r="R4698" s="1" t="s">
        <v>100</v>
      </c>
      <c r="S4698" s="13" t="s">
        <v>28</v>
      </c>
      <c r="AX4698" s="11"/>
      <c r="AY4698" s="11"/>
      <c r="BC4698" s="44"/>
      <c r="BD4698" s="44"/>
      <c r="BE4698" s="44"/>
      <c r="BF4698" s="44"/>
      <c r="BG4698" s="44"/>
      <c r="BH4698" s="44"/>
      <c r="BI4698" s="44"/>
      <c r="BJ4698" s="44"/>
    </row>
    <row r="4699" spans="1:63" ht="12" customHeight="1" x14ac:dyDescent="0.15">
      <c r="A4699" s="1" t="s">
        <v>15263</v>
      </c>
      <c r="B4699" s="1" t="s">
        <v>15264</v>
      </c>
      <c r="C4699" s="1" t="s">
        <v>20</v>
      </c>
      <c r="D4699" s="1" t="s">
        <v>37</v>
      </c>
      <c r="E4699" s="1" t="s">
        <v>15265</v>
      </c>
      <c r="F4699" s="72">
        <v>41474</v>
      </c>
      <c r="G4699" s="1" t="s">
        <v>15266</v>
      </c>
      <c r="H4699" s="1" t="s">
        <v>15267</v>
      </c>
      <c r="I4699" s="1" t="s">
        <v>854</v>
      </c>
      <c r="J4699" s="4" t="s">
        <v>15268</v>
      </c>
      <c r="K4699" s="1" t="s">
        <v>855</v>
      </c>
      <c r="L4699" s="1" t="s">
        <v>15269</v>
      </c>
      <c r="M4699" s="1" t="s">
        <v>27</v>
      </c>
      <c r="N4699" s="1" t="s">
        <v>15270</v>
      </c>
      <c r="O4699" s="1" t="s">
        <v>29</v>
      </c>
      <c r="P4699" s="1" t="s">
        <v>401</v>
      </c>
      <c r="Q4699" s="63" t="s">
        <v>15271</v>
      </c>
      <c r="R4699" s="1" t="s">
        <v>100</v>
      </c>
      <c r="S4699" s="13" t="s">
        <v>28</v>
      </c>
      <c r="AX4699" s="11"/>
      <c r="AY4699" s="11"/>
      <c r="AZ4699" s="11"/>
      <c r="BC4699" s="44"/>
      <c r="BD4699" s="44"/>
      <c r="BE4699" s="44"/>
      <c r="BF4699" s="44"/>
      <c r="BG4699" s="44"/>
      <c r="BH4699" s="44"/>
      <c r="BI4699" s="44"/>
      <c r="BJ4699" s="44"/>
    </row>
    <row r="4700" spans="1:63" ht="12" customHeight="1" x14ac:dyDescent="0.15">
      <c r="A4700" s="1" t="s">
        <v>15272</v>
      </c>
      <c r="B4700" s="1">
        <v>46</v>
      </c>
      <c r="C4700" s="1" t="s">
        <v>20</v>
      </c>
      <c r="D4700" s="1" t="s">
        <v>37</v>
      </c>
      <c r="E4700" s="1" t="s">
        <v>15273</v>
      </c>
      <c r="F4700" s="72">
        <v>41474</v>
      </c>
      <c r="G4700" s="1" t="s">
        <v>24540</v>
      </c>
      <c r="H4700" s="1" t="s">
        <v>15274</v>
      </c>
      <c r="I4700" s="1" t="s">
        <v>404</v>
      </c>
      <c r="J4700" s="4" t="s">
        <v>15275</v>
      </c>
      <c r="K4700" s="1" t="s">
        <v>11996</v>
      </c>
      <c r="L4700" s="1" t="s">
        <v>9350</v>
      </c>
      <c r="M4700" s="1" t="s">
        <v>27</v>
      </c>
      <c r="N4700" s="1" t="s">
        <v>15276</v>
      </c>
      <c r="O4700" s="1" t="s">
        <v>1010</v>
      </c>
      <c r="P4700" s="1" t="s">
        <v>401</v>
      </c>
      <c r="Q4700" s="63" t="s">
        <v>15277</v>
      </c>
      <c r="R4700" s="1" t="s">
        <v>100</v>
      </c>
      <c r="S4700" s="13" t="s">
        <v>28</v>
      </c>
      <c r="AX4700" s="11"/>
      <c r="AY4700" s="11"/>
      <c r="AZ4700" s="11"/>
      <c r="BC4700" s="44"/>
      <c r="BD4700" s="44"/>
      <c r="BE4700" s="44"/>
      <c r="BF4700" s="44"/>
      <c r="BG4700" s="44"/>
      <c r="BH4700" s="44"/>
      <c r="BI4700" s="44"/>
      <c r="BJ4700" s="44"/>
    </row>
    <row r="4701" spans="1:63" ht="12" customHeight="1" x14ac:dyDescent="0.15">
      <c r="A4701" s="1" t="s">
        <v>15257</v>
      </c>
      <c r="B4701" s="1">
        <v>29</v>
      </c>
      <c r="C4701" s="1" t="s">
        <v>20</v>
      </c>
      <c r="D4701" s="1" t="s">
        <v>48</v>
      </c>
      <c r="E4701" s="1" t="s">
        <v>15258</v>
      </c>
      <c r="F4701" s="72">
        <v>41474</v>
      </c>
      <c r="G4701" s="1" t="s">
        <v>15259</v>
      </c>
      <c r="H4701" s="1" t="s">
        <v>967</v>
      </c>
      <c r="I4701" s="1" t="s">
        <v>45</v>
      </c>
      <c r="J4701" s="4" t="s">
        <v>15260</v>
      </c>
      <c r="K4701" s="1" t="s">
        <v>98</v>
      </c>
      <c r="L4701" s="11" t="s">
        <v>414</v>
      </c>
      <c r="M4701" s="1" t="s">
        <v>27</v>
      </c>
      <c r="N4701" s="1" t="s">
        <v>15261</v>
      </c>
      <c r="O4701" s="1" t="s">
        <v>1010</v>
      </c>
      <c r="P4701" s="1" t="s">
        <v>401</v>
      </c>
      <c r="Q4701" s="63" t="s">
        <v>15262</v>
      </c>
      <c r="R4701" s="1" t="s">
        <v>29</v>
      </c>
      <c r="S4701" s="13" t="s">
        <v>35</v>
      </c>
      <c r="BK4701" s="11"/>
    </row>
    <row r="4702" spans="1:63" ht="12" customHeight="1" x14ac:dyDescent="0.2">
      <c r="A4702" s="1" t="s">
        <v>15278</v>
      </c>
      <c r="B4702" s="1">
        <v>34</v>
      </c>
      <c r="C4702" s="1" t="s">
        <v>20</v>
      </c>
      <c r="D4702" s="1" t="s">
        <v>21</v>
      </c>
      <c r="F4702" s="72">
        <v>41473</v>
      </c>
      <c r="G4702" s="1" t="s">
        <v>15279</v>
      </c>
      <c r="H4702" s="1" t="s">
        <v>51</v>
      </c>
      <c r="I4702" s="1" t="s">
        <v>32</v>
      </c>
      <c r="J4702" s="4" t="s">
        <v>15280</v>
      </c>
      <c r="K4702" s="1" t="s">
        <v>2589</v>
      </c>
      <c r="L4702" s="1" t="s">
        <v>11077</v>
      </c>
      <c r="M4702" s="1" t="s">
        <v>27</v>
      </c>
      <c r="N4702" s="1" t="s">
        <v>15281</v>
      </c>
      <c r="O4702" s="1" t="s">
        <v>400</v>
      </c>
      <c r="P4702" s="1" t="s">
        <v>401</v>
      </c>
      <c r="Q4702" s="63" t="s">
        <v>15282</v>
      </c>
      <c r="R4702" s="1" t="s">
        <v>100</v>
      </c>
      <c r="S4702" s="13" t="s">
        <v>28</v>
      </c>
      <c r="AX4702" s="70"/>
      <c r="AY4702" s="70"/>
      <c r="BC4702" s="70"/>
      <c r="BD4702" s="70"/>
      <c r="BE4702" s="70"/>
      <c r="BF4702" s="70"/>
      <c r="BG4702" s="70"/>
      <c r="BH4702" s="70"/>
      <c r="BI4702" s="70"/>
      <c r="BJ4702" s="70"/>
    </row>
    <row r="4703" spans="1:63" ht="12" customHeight="1" x14ac:dyDescent="0.15">
      <c r="A4703" s="1" t="s">
        <v>15283</v>
      </c>
      <c r="B4703" s="1">
        <v>42</v>
      </c>
      <c r="C4703" s="1" t="s">
        <v>20</v>
      </c>
      <c r="D4703" s="1" t="s">
        <v>85</v>
      </c>
      <c r="F4703" s="72">
        <v>41473</v>
      </c>
      <c r="G4703" s="1" t="s">
        <v>15284</v>
      </c>
      <c r="H4703" s="1" t="s">
        <v>602</v>
      </c>
      <c r="I4703" s="1" t="s">
        <v>45</v>
      </c>
      <c r="J4703" s="4" t="s">
        <v>15285</v>
      </c>
      <c r="K4703" s="1" t="s">
        <v>602</v>
      </c>
      <c r="L4703" s="1" t="s">
        <v>15286</v>
      </c>
      <c r="M4703" s="1" t="s">
        <v>27</v>
      </c>
      <c r="N4703" s="1" t="s">
        <v>15287</v>
      </c>
      <c r="O4703" s="1" t="s">
        <v>4684</v>
      </c>
      <c r="P4703" s="1" t="s">
        <v>401</v>
      </c>
      <c r="Q4703" s="63" t="s">
        <v>15288</v>
      </c>
      <c r="R4703" s="1" t="s">
        <v>100</v>
      </c>
      <c r="S4703" s="13" t="s">
        <v>28</v>
      </c>
      <c r="AX4703" s="11"/>
      <c r="AY4703" s="11"/>
      <c r="BC4703" s="44"/>
      <c r="BD4703" s="44"/>
      <c r="BE4703" s="44"/>
      <c r="BF4703" s="44"/>
      <c r="BG4703" s="44"/>
      <c r="BH4703" s="44"/>
      <c r="BI4703" s="44"/>
      <c r="BJ4703" s="44"/>
    </row>
    <row r="4704" spans="1:63" ht="12" customHeight="1" x14ac:dyDescent="0.15">
      <c r="A4704" s="1" t="s">
        <v>15299</v>
      </c>
      <c r="B4704" s="1">
        <v>24</v>
      </c>
      <c r="C4704" s="1" t="s">
        <v>20</v>
      </c>
      <c r="D4704" s="1" t="s">
        <v>85</v>
      </c>
      <c r="F4704" s="72">
        <v>41473</v>
      </c>
      <c r="G4704" s="1" t="s">
        <v>15300</v>
      </c>
      <c r="H4704" s="1" t="s">
        <v>15301</v>
      </c>
      <c r="I4704" s="1" t="s">
        <v>45</v>
      </c>
      <c r="J4704" s="4" t="s">
        <v>15302</v>
      </c>
      <c r="K4704" s="1" t="s">
        <v>3423</v>
      </c>
      <c r="L4704" s="1" t="s">
        <v>15303</v>
      </c>
      <c r="M4704" s="1" t="s">
        <v>27</v>
      </c>
      <c r="N4704" s="1" t="s">
        <v>15304</v>
      </c>
      <c r="O4704" s="1" t="s">
        <v>29</v>
      </c>
      <c r="P4704" s="1" t="s">
        <v>401</v>
      </c>
      <c r="Q4704" s="63" t="s">
        <v>15305</v>
      </c>
      <c r="R4704" s="1" t="s">
        <v>100</v>
      </c>
      <c r="S4704" s="13" t="s">
        <v>28</v>
      </c>
      <c r="AX4704" s="11"/>
      <c r="AY4704" s="11"/>
      <c r="BC4704" s="44"/>
      <c r="BD4704" s="44"/>
      <c r="BE4704" s="44"/>
      <c r="BF4704" s="44"/>
      <c r="BG4704" s="44"/>
      <c r="BH4704" s="44"/>
      <c r="BI4704" s="44"/>
      <c r="BJ4704" s="44"/>
    </row>
    <row r="4705" spans="1:63" ht="12" customHeight="1" x14ac:dyDescent="0.15">
      <c r="A4705" s="1" t="s">
        <v>15293</v>
      </c>
      <c r="B4705" s="1">
        <v>23</v>
      </c>
      <c r="C4705" s="1" t="s">
        <v>20</v>
      </c>
      <c r="D4705" s="1" t="s">
        <v>85</v>
      </c>
      <c r="F4705" s="72">
        <v>41473</v>
      </c>
      <c r="G4705" s="1" t="s">
        <v>15294</v>
      </c>
      <c r="H4705" s="1" t="s">
        <v>15295</v>
      </c>
      <c r="I4705" s="1" t="s">
        <v>62</v>
      </c>
      <c r="J4705" s="4" t="s">
        <v>15296</v>
      </c>
      <c r="K4705" s="1" t="s">
        <v>1123</v>
      </c>
      <c r="L4705" s="1" t="s">
        <v>4384</v>
      </c>
      <c r="M4705" s="1" t="s">
        <v>27</v>
      </c>
      <c r="N4705" s="1" t="s">
        <v>15297</v>
      </c>
      <c r="O4705" s="1" t="s">
        <v>550</v>
      </c>
      <c r="P4705" s="1" t="s">
        <v>401</v>
      </c>
      <c r="Q4705" s="63" t="s">
        <v>15298</v>
      </c>
      <c r="R4705" s="1" t="s">
        <v>100</v>
      </c>
      <c r="S4705" s="13" t="s">
        <v>28</v>
      </c>
      <c r="AX4705" s="11"/>
      <c r="AY4705" s="11"/>
      <c r="BC4705" s="44"/>
      <c r="BD4705" s="44"/>
      <c r="BE4705" s="44"/>
      <c r="BF4705" s="44"/>
      <c r="BG4705" s="44"/>
      <c r="BH4705" s="44"/>
      <c r="BI4705" s="44"/>
      <c r="BJ4705" s="44"/>
    </row>
    <row r="4706" spans="1:63" ht="12" customHeight="1" x14ac:dyDescent="0.2">
      <c r="A4706" s="1" t="s">
        <v>15289</v>
      </c>
      <c r="B4706" s="1">
        <v>44</v>
      </c>
      <c r="C4706" s="1" t="s">
        <v>20</v>
      </c>
      <c r="D4706" s="1" t="s">
        <v>85</v>
      </c>
      <c r="E4706" s="1" t="s">
        <v>15290</v>
      </c>
      <c r="F4706" s="72">
        <v>41473</v>
      </c>
      <c r="G4706" s="1" t="s">
        <v>24541</v>
      </c>
      <c r="H4706" s="1" t="s">
        <v>1592</v>
      </c>
      <c r="I4706" s="1" t="s">
        <v>52</v>
      </c>
      <c r="J4706" s="4" t="s">
        <v>10038</v>
      </c>
      <c r="K4706" s="1" t="s">
        <v>4697</v>
      </c>
      <c r="L4706" s="1" t="s">
        <v>2770</v>
      </c>
      <c r="M4706" s="1" t="s">
        <v>3154</v>
      </c>
      <c r="N4706" s="1" t="s">
        <v>15291</v>
      </c>
      <c r="O4706" s="1" t="s">
        <v>550</v>
      </c>
      <c r="P4706" s="1" t="s">
        <v>401</v>
      </c>
      <c r="Q4706" s="63" t="s">
        <v>15292</v>
      </c>
      <c r="R4706" s="1" t="s">
        <v>100</v>
      </c>
      <c r="S4706" s="13" t="s">
        <v>18</v>
      </c>
      <c r="AT4706" s="70"/>
      <c r="AU4706" s="70"/>
      <c r="AW4706" s="44"/>
      <c r="AX4706" s="44"/>
      <c r="BB4706" s="44"/>
      <c r="BC4706" s="44"/>
      <c r="BD4706" s="44"/>
      <c r="BE4706" s="44"/>
      <c r="BF4706" s="44"/>
      <c r="BG4706" s="44"/>
      <c r="BH4706" s="44"/>
      <c r="BI4706" s="44"/>
      <c r="BK4706" s="78"/>
    </row>
    <row r="4707" spans="1:63" ht="12" customHeight="1" x14ac:dyDescent="0.15">
      <c r="A4707" s="1" t="s">
        <v>15306</v>
      </c>
      <c r="B4707" s="1">
        <v>37</v>
      </c>
      <c r="C4707" s="1" t="s">
        <v>20</v>
      </c>
      <c r="D4707" s="1" t="s">
        <v>30</v>
      </c>
      <c r="F4707" s="72">
        <v>41473</v>
      </c>
      <c r="G4707" s="1" t="s">
        <v>15307</v>
      </c>
      <c r="H4707" s="1" t="s">
        <v>15308</v>
      </c>
      <c r="I4707" s="1" t="s">
        <v>117</v>
      </c>
      <c r="J4707" s="4" t="s">
        <v>15309</v>
      </c>
      <c r="K4707" s="1" t="s">
        <v>7516</v>
      </c>
      <c r="L4707" s="1" t="s">
        <v>15310</v>
      </c>
      <c r="M4707" s="1" t="s">
        <v>379</v>
      </c>
      <c r="N4707" s="1" t="s">
        <v>15311</v>
      </c>
      <c r="O4707" s="1" t="s">
        <v>1010</v>
      </c>
      <c r="P4707" s="1" t="s">
        <v>401</v>
      </c>
      <c r="Q4707" s="63" t="s">
        <v>15312</v>
      </c>
      <c r="R4707" s="1" t="s">
        <v>100</v>
      </c>
      <c r="S4707" s="13" t="s">
        <v>379</v>
      </c>
    </row>
    <row r="4708" spans="1:63" ht="12" customHeight="1" x14ac:dyDescent="0.15">
      <c r="A4708" s="1" t="s">
        <v>15316</v>
      </c>
      <c r="B4708" s="1">
        <v>38</v>
      </c>
      <c r="C4708" s="1" t="s">
        <v>20</v>
      </c>
      <c r="D4708" s="1" t="s">
        <v>37</v>
      </c>
      <c r="E4708" s="1" t="s">
        <v>15317</v>
      </c>
      <c r="F4708" s="72">
        <v>41472</v>
      </c>
      <c r="G4708" s="1" t="s">
        <v>24543</v>
      </c>
      <c r="H4708" s="1" t="s">
        <v>252</v>
      </c>
      <c r="I4708" s="1" t="s">
        <v>45</v>
      </c>
      <c r="J4708" s="4" t="s">
        <v>15318</v>
      </c>
      <c r="K4708" s="1" t="s">
        <v>7542</v>
      </c>
      <c r="L4708" s="1" t="s">
        <v>15319</v>
      </c>
      <c r="M4708" s="1" t="s">
        <v>27</v>
      </c>
      <c r="N4708" s="1" t="s">
        <v>15320</v>
      </c>
      <c r="O4708" s="1" t="s">
        <v>550</v>
      </c>
      <c r="P4708" s="1" t="s">
        <v>401</v>
      </c>
      <c r="Q4708" s="63" t="s">
        <v>15321</v>
      </c>
      <c r="R4708" s="1" t="s">
        <v>100</v>
      </c>
      <c r="S4708" s="13" t="s">
        <v>28</v>
      </c>
      <c r="AX4708" s="11"/>
      <c r="AY4708" s="11"/>
      <c r="AZ4708" s="11"/>
      <c r="BC4708" s="44"/>
      <c r="BD4708" s="44"/>
      <c r="BE4708" s="44"/>
      <c r="BF4708" s="44"/>
      <c r="BG4708" s="44"/>
      <c r="BH4708" s="44"/>
      <c r="BI4708" s="44"/>
      <c r="BJ4708" s="44"/>
    </row>
    <row r="4709" spans="1:63" ht="12" customHeight="1" x14ac:dyDescent="0.15">
      <c r="A4709" s="1" t="s">
        <v>15313</v>
      </c>
      <c r="B4709" s="1">
        <v>19</v>
      </c>
      <c r="C4709" s="1" t="s">
        <v>20</v>
      </c>
      <c r="D4709" s="1" t="s">
        <v>48</v>
      </c>
      <c r="E4709" s="1" t="s">
        <v>15314</v>
      </c>
      <c r="F4709" s="72">
        <v>41472</v>
      </c>
      <c r="G4709" s="1" t="s">
        <v>24542</v>
      </c>
      <c r="H4709" s="1" t="s">
        <v>285</v>
      </c>
      <c r="I4709" s="1" t="s">
        <v>73</v>
      </c>
      <c r="J4709" s="4" t="s">
        <v>7620</v>
      </c>
      <c r="K4709" s="1" t="s">
        <v>285</v>
      </c>
      <c r="L4709" s="1" t="s">
        <v>286</v>
      </c>
      <c r="M4709" s="1" t="s">
        <v>27</v>
      </c>
      <c r="N4709" s="1" t="s">
        <v>15315</v>
      </c>
      <c r="O4709" s="1" t="s">
        <v>550</v>
      </c>
      <c r="P4709" s="1" t="s">
        <v>401</v>
      </c>
      <c r="Q4709" s="6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4709" s="1" t="s">
        <v>29</v>
      </c>
      <c r="S4709" s="13" t="s">
        <v>18</v>
      </c>
    </row>
    <row r="4710" spans="1:63" ht="12" customHeight="1" x14ac:dyDescent="0.15">
      <c r="A4710" s="1" t="s">
        <v>15326</v>
      </c>
      <c r="B4710" s="1">
        <v>39</v>
      </c>
      <c r="C4710" s="1" t="s">
        <v>20</v>
      </c>
      <c r="D4710" s="1" t="s">
        <v>85</v>
      </c>
      <c r="E4710" s="1" t="s">
        <v>15327</v>
      </c>
      <c r="F4710" s="72">
        <v>41471</v>
      </c>
      <c r="G4710" s="1" t="s">
        <v>15328</v>
      </c>
      <c r="H4710" s="1" t="s">
        <v>13437</v>
      </c>
      <c r="I4710" s="1" t="s">
        <v>62</v>
      </c>
      <c r="J4710" s="4" t="s">
        <v>15329</v>
      </c>
      <c r="K4710" s="1" t="s">
        <v>2309</v>
      </c>
      <c r="L4710" s="1" t="s">
        <v>14047</v>
      </c>
      <c r="M4710" s="1" t="s">
        <v>27</v>
      </c>
      <c r="N4710" s="1" t="s">
        <v>15330</v>
      </c>
      <c r="O4710" s="1" t="s">
        <v>550</v>
      </c>
      <c r="P4710" s="1" t="s">
        <v>401</v>
      </c>
      <c r="Q4710" s="63" t="s">
        <v>15331</v>
      </c>
      <c r="R4710" s="1" t="s">
        <v>100</v>
      </c>
      <c r="S4710" s="13" t="s">
        <v>28</v>
      </c>
      <c r="AX4710" s="11"/>
      <c r="AY4710" s="11"/>
      <c r="BC4710" s="44"/>
      <c r="BD4710" s="44"/>
      <c r="BE4710" s="44"/>
      <c r="BF4710" s="44"/>
      <c r="BG4710" s="44"/>
      <c r="BH4710" s="44"/>
      <c r="BI4710" s="44"/>
      <c r="BJ4710" s="44"/>
    </row>
    <row r="4711" spans="1:63" ht="12" customHeight="1" x14ac:dyDescent="0.15">
      <c r="A4711" s="1" t="s">
        <v>15332</v>
      </c>
      <c r="B4711" s="1">
        <v>37</v>
      </c>
      <c r="C4711" s="1" t="s">
        <v>20</v>
      </c>
      <c r="D4711" s="1" t="s">
        <v>37</v>
      </c>
      <c r="F4711" s="72">
        <v>41471</v>
      </c>
      <c r="G4711" s="1" t="s">
        <v>24544</v>
      </c>
      <c r="H4711" s="1" t="s">
        <v>98</v>
      </c>
      <c r="I4711" s="1" t="s">
        <v>45</v>
      </c>
      <c r="J4711" s="4" t="s">
        <v>14502</v>
      </c>
      <c r="K4711" s="1" t="s">
        <v>98</v>
      </c>
      <c r="L4711" s="1" t="s">
        <v>99</v>
      </c>
      <c r="M4711" s="1" t="s">
        <v>27</v>
      </c>
      <c r="N4711" s="1" t="s">
        <v>15333</v>
      </c>
      <c r="O4711" s="1" t="s">
        <v>1010</v>
      </c>
      <c r="P4711" s="1" t="s">
        <v>401</v>
      </c>
      <c r="Q4711" s="63" t="s">
        <v>15334</v>
      </c>
      <c r="R4711" s="1" t="s">
        <v>100</v>
      </c>
      <c r="S4711" s="13" t="s">
        <v>28</v>
      </c>
      <c r="AX4711" s="11"/>
      <c r="AY4711" s="11"/>
      <c r="AZ4711" s="11"/>
      <c r="BC4711" s="44"/>
      <c r="BD4711" s="44"/>
      <c r="BE4711" s="44"/>
      <c r="BF4711" s="44"/>
      <c r="BG4711" s="44"/>
      <c r="BH4711" s="44"/>
      <c r="BI4711" s="44"/>
      <c r="BJ4711" s="44"/>
    </row>
    <row r="4712" spans="1:63" ht="12" customHeight="1" x14ac:dyDescent="0.15">
      <c r="A4712" s="1" t="s">
        <v>15322</v>
      </c>
      <c r="B4712" s="1">
        <v>19</v>
      </c>
      <c r="C4712" s="1" t="s">
        <v>20</v>
      </c>
      <c r="D4712" s="1" t="s">
        <v>85</v>
      </c>
      <c r="E4712" s="1" t="s">
        <v>15323</v>
      </c>
      <c r="F4712" s="72">
        <v>41471</v>
      </c>
      <c r="G4712" s="1" t="s">
        <v>24546</v>
      </c>
      <c r="H4712" s="1" t="s">
        <v>575</v>
      </c>
      <c r="I4712" s="1" t="s">
        <v>73</v>
      </c>
      <c r="J4712" s="4" t="s">
        <v>15324</v>
      </c>
      <c r="K4712" s="1" t="s">
        <v>576</v>
      </c>
      <c r="L4712" s="1" t="s">
        <v>577</v>
      </c>
      <c r="M4712" s="1" t="s">
        <v>27</v>
      </c>
      <c r="N4712" s="1" t="s">
        <v>15325</v>
      </c>
      <c r="O4712" s="1" t="s">
        <v>1010</v>
      </c>
      <c r="P4712" s="1" t="s">
        <v>401</v>
      </c>
      <c r="Q4712" s="63" t="s">
        <v>21043</v>
      </c>
      <c r="R4712" s="1" t="s">
        <v>100</v>
      </c>
      <c r="S4712" s="13" t="s">
        <v>18</v>
      </c>
      <c r="AX4712" s="11"/>
      <c r="AY4712" s="11"/>
      <c r="BC4712" s="44"/>
      <c r="BD4712" s="44"/>
      <c r="BE4712" s="44"/>
      <c r="BF4712" s="44"/>
      <c r="BG4712" s="44"/>
      <c r="BH4712" s="44"/>
      <c r="BI4712" s="44"/>
      <c r="BJ4712" s="44"/>
    </row>
    <row r="4713" spans="1:63" ht="12" customHeight="1" x14ac:dyDescent="0.15">
      <c r="A4713" s="1" t="s">
        <v>15335</v>
      </c>
      <c r="B4713" s="1">
        <v>68</v>
      </c>
      <c r="C4713" s="1" t="s">
        <v>114</v>
      </c>
      <c r="D4713" s="1" t="s">
        <v>37</v>
      </c>
      <c r="E4713" s="1" t="s">
        <v>15336</v>
      </c>
      <c r="F4713" s="72">
        <v>41471</v>
      </c>
      <c r="G4713" s="1" t="s">
        <v>24545</v>
      </c>
      <c r="H4713" s="1" t="s">
        <v>15337</v>
      </c>
      <c r="I4713" s="1" t="s">
        <v>404</v>
      </c>
      <c r="J4713" s="4" t="s">
        <v>15338</v>
      </c>
      <c r="K4713" s="1" t="s">
        <v>15339</v>
      </c>
      <c r="L4713" s="1" t="s">
        <v>15340</v>
      </c>
      <c r="M4713" s="1" t="s">
        <v>27</v>
      </c>
      <c r="N4713" s="1" t="s">
        <v>15341</v>
      </c>
      <c r="O4713" s="1" t="s">
        <v>550</v>
      </c>
      <c r="P4713" s="1" t="s">
        <v>401</v>
      </c>
      <c r="Q4713" s="63" t="str">
        <f>HYPERLINK("http://explorevenango.com/vigil-rally-held-for-oil-city-woman-fatally-shot-by-police/","http://explorevenango.com/vigil-rally-held-for-oil-city-woman-fatally-shot-by-police/")</f>
        <v>http://explorevenango.com/vigil-rally-held-for-oil-city-woman-fatally-shot-by-police/</v>
      </c>
      <c r="R4713" s="1" t="s">
        <v>555</v>
      </c>
      <c r="S4713" s="13" t="s">
        <v>28</v>
      </c>
      <c r="AX4713" s="11"/>
      <c r="AY4713" s="11"/>
      <c r="AZ4713" s="11"/>
      <c r="BA4713" s="44"/>
      <c r="BB4713" s="44"/>
      <c r="BC4713" s="44"/>
      <c r="BD4713" s="44"/>
      <c r="BE4713" s="44"/>
      <c r="BF4713" s="44"/>
      <c r="BG4713" s="44"/>
      <c r="BH4713" s="44"/>
      <c r="BI4713" s="44"/>
      <c r="BJ4713" s="44"/>
    </row>
    <row r="4714" spans="1:63" ht="12" customHeight="1" x14ac:dyDescent="0.15">
      <c r="A4714" s="1" t="s">
        <v>15342</v>
      </c>
      <c r="B4714" s="1">
        <v>26</v>
      </c>
      <c r="C4714" s="1" t="s">
        <v>20</v>
      </c>
      <c r="D4714" s="1" t="s">
        <v>85</v>
      </c>
      <c r="E4714" s="1" t="s">
        <v>15343</v>
      </c>
      <c r="F4714" s="72">
        <v>41470</v>
      </c>
      <c r="G4714" s="1" t="s">
        <v>24547</v>
      </c>
      <c r="H4714" s="1" t="s">
        <v>9752</v>
      </c>
      <c r="I4714" s="1" t="s">
        <v>978</v>
      </c>
      <c r="J4714" s="4" t="s">
        <v>15344</v>
      </c>
      <c r="K4714" s="1" t="s">
        <v>2495</v>
      </c>
      <c r="L4714" s="1" t="s">
        <v>9754</v>
      </c>
      <c r="M4714" s="1" t="s">
        <v>27</v>
      </c>
      <c r="N4714" s="1" t="s">
        <v>15345</v>
      </c>
      <c r="O4714" s="1" t="s">
        <v>550</v>
      </c>
      <c r="P4714" s="1" t="s">
        <v>401</v>
      </c>
      <c r="Q4714" s="6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4714" s="1" t="s">
        <v>100</v>
      </c>
      <c r="S4714" s="13" t="s">
        <v>28</v>
      </c>
      <c r="AX4714" s="11"/>
      <c r="AY4714" s="11"/>
      <c r="BC4714" s="44"/>
      <c r="BD4714" s="44"/>
      <c r="BE4714" s="44"/>
      <c r="BF4714" s="44"/>
      <c r="BG4714" s="44"/>
      <c r="BH4714" s="44"/>
      <c r="BI4714" s="44"/>
      <c r="BJ4714" s="44"/>
    </row>
    <row r="4715" spans="1:63" ht="12" customHeight="1" x14ac:dyDescent="0.2">
      <c r="A4715" s="1" t="s">
        <v>15346</v>
      </c>
      <c r="B4715" s="1">
        <v>76</v>
      </c>
      <c r="C4715" s="1" t="s">
        <v>20</v>
      </c>
      <c r="D4715" s="1" t="s">
        <v>21</v>
      </c>
      <c r="F4715" s="72">
        <v>41469</v>
      </c>
      <c r="G4715" s="1" t="s">
        <v>15347</v>
      </c>
      <c r="H4715" s="1" t="s">
        <v>15348</v>
      </c>
      <c r="I4715" s="1" t="s">
        <v>133</v>
      </c>
      <c r="J4715" s="4" t="s">
        <v>15349</v>
      </c>
      <c r="K4715" s="1" t="s">
        <v>1072</v>
      </c>
      <c r="L4715" s="1" t="s">
        <v>18976</v>
      </c>
      <c r="M4715" s="1" t="s">
        <v>391</v>
      </c>
      <c r="N4715" s="1" t="s">
        <v>15350</v>
      </c>
      <c r="O4715" s="1" t="s">
        <v>1010</v>
      </c>
      <c r="P4715" s="1" t="s">
        <v>401</v>
      </c>
      <c r="Q4715" s="63" t="s">
        <v>15351</v>
      </c>
      <c r="R4715" s="1" t="s">
        <v>100</v>
      </c>
      <c r="S4715" s="13" t="s">
        <v>28</v>
      </c>
      <c r="AU4715" s="11"/>
      <c r="AV4715" s="11"/>
      <c r="AW4715" s="11"/>
      <c r="AX4715" s="70"/>
      <c r="AY4715" s="70"/>
      <c r="BC4715" s="70"/>
      <c r="BD4715" s="70"/>
      <c r="BE4715" s="70"/>
      <c r="BF4715" s="70"/>
      <c r="BG4715" s="70"/>
      <c r="BH4715" s="70"/>
      <c r="BI4715" s="70"/>
      <c r="BJ4715" s="70"/>
    </row>
    <row r="4716" spans="1:63" ht="12" customHeight="1" x14ac:dyDescent="0.15">
      <c r="A4716" s="1" t="s">
        <v>15359</v>
      </c>
      <c r="B4716" s="1">
        <v>24</v>
      </c>
      <c r="C4716" s="1" t="s">
        <v>20</v>
      </c>
      <c r="D4716" s="1" t="s">
        <v>37</v>
      </c>
      <c r="E4716" s="1" t="s">
        <v>15360</v>
      </c>
      <c r="F4716" s="72">
        <v>41469</v>
      </c>
      <c r="G4716" s="1" t="s">
        <v>24548</v>
      </c>
      <c r="H4716" s="1" t="s">
        <v>15361</v>
      </c>
      <c r="I4716" s="1" t="s">
        <v>73</v>
      </c>
      <c r="J4716" s="4" t="s">
        <v>15362</v>
      </c>
      <c r="K4716" s="1" t="s">
        <v>8495</v>
      </c>
      <c r="L4716" s="1" t="s">
        <v>15363</v>
      </c>
      <c r="M4716" s="1" t="s">
        <v>27</v>
      </c>
      <c r="N4716" s="1" t="s">
        <v>15364</v>
      </c>
      <c r="O4716" s="1" t="s">
        <v>550</v>
      </c>
      <c r="P4716" s="1" t="s">
        <v>401</v>
      </c>
      <c r="Q4716" s="63" t="s">
        <v>15365</v>
      </c>
      <c r="R4716" s="1" t="s">
        <v>100</v>
      </c>
      <c r="S4716" s="13" t="s">
        <v>28</v>
      </c>
      <c r="AX4716" s="11"/>
      <c r="AY4716" s="11"/>
      <c r="AZ4716" s="11"/>
      <c r="BC4716" s="44"/>
      <c r="BD4716" s="44"/>
      <c r="BE4716" s="44"/>
      <c r="BF4716" s="44"/>
      <c r="BG4716" s="44"/>
      <c r="BH4716" s="44"/>
      <c r="BI4716" s="44"/>
      <c r="BJ4716" s="44"/>
    </row>
    <row r="4717" spans="1:63" ht="12" customHeight="1" x14ac:dyDescent="0.15">
      <c r="A4717" s="1" t="s">
        <v>15352</v>
      </c>
      <c r="B4717" s="1">
        <v>34</v>
      </c>
      <c r="C4717" s="1" t="s">
        <v>20</v>
      </c>
      <c r="D4717" s="1" t="s">
        <v>48</v>
      </c>
      <c r="E4717" s="1" t="s">
        <v>15353</v>
      </c>
      <c r="F4717" s="72">
        <v>41469</v>
      </c>
      <c r="G4717" s="1" t="s">
        <v>15354</v>
      </c>
      <c r="H4717" s="1" t="s">
        <v>11370</v>
      </c>
      <c r="I4717" s="1" t="s">
        <v>25</v>
      </c>
      <c r="J4717" s="4" t="s">
        <v>15355</v>
      </c>
      <c r="K4717" s="1" t="s">
        <v>11370</v>
      </c>
      <c r="L4717" s="1" t="s">
        <v>15356</v>
      </c>
      <c r="M4717" s="1" t="s">
        <v>27</v>
      </c>
      <c r="N4717" s="1" t="s">
        <v>15357</v>
      </c>
      <c r="O4717" s="1" t="s">
        <v>550</v>
      </c>
      <c r="P4717" s="1" t="s">
        <v>401</v>
      </c>
      <c r="Q4717" s="63" t="s">
        <v>15358</v>
      </c>
      <c r="R4717" s="1" t="s">
        <v>555</v>
      </c>
      <c r="S4717" s="13" t="s">
        <v>28</v>
      </c>
      <c r="BA4717" s="11"/>
      <c r="BB4717" s="11"/>
    </row>
    <row r="4718" spans="1:63" ht="12" customHeight="1" x14ac:dyDescent="0.15">
      <c r="A4718" s="1" t="s">
        <v>15366</v>
      </c>
      <c r="B4718" s="1">
        <v>25</v>
      </c>
      <c r="C4718" s="1" t="s">
        <v>20</v>
      </c>
      <c r="D4718" s="1" t="s">
        <v>37</v>
      </c>
      <c r="E4718" s="1" t="s">
        <v>15367</v>
      </c>
      <c r="F4718" s="72">
        <v>41468</v>
      </c>
      <c r="G4718" s="1" t="s">
        <v>15368</v>
      </c>
      <c r="H4718" s="1" t="s">
        <v>15369</v>
      </c>
      <c r="I4718" s="1" t="s">
        <v>217</v>
      </c>
      <c r="J4718" s="4" t="s">
        <v>15370</v>
      </c>
      <c r="K4718" s="1" t="s">
        <v>3288</v>
      </c>
      <c r="L4718" s="1" t="s">
        <v>15371</v>
      </c>
      <c r="M4718" s="1" t="s">
        <v>27</v>
      </c>
      <c r="N4718" s="1" t="s">
        <v>15372</v>
      </c>
      <c r="O4718" s="1" t="s">
        <v>550</v>
      </c>
      <c r="P4718" s="1" t="s">
        <v>401</v>
      </c>
      <c r="Q4718" s="63" t="s">
        <v>15373</v>
      </c>
      <c r="R4718" s="1" t="s">
        <v>100</v>
      </c>
      <c r="S4718" s="13" t="s">
        <v>28</v>
      </c>
      <c r="AX4718" s="11"/>
      <c r="AY4718" s="11"/>
      <c r="AZ4718" s="11"/>
      <c r="BC4718" s="44"/>
      <c r="BD4718" s="44"/>
      <c r="BE4718" s="44"/>
      <c r="BF4718" s="44"/>
      <c r="BG4718" s="44"/>
      <c r="BH4718" s="44"/>
      <c r="BI4718" s="44"/>
      <c r="BJ4718" s="44"/>
    </row>
    <row r="4719" spans="1:63" ht="12" customHeight="1" x14ac:dyDescent="0.15">
      <c r="A4719" s="1" t="s">
        <v>15374</v>
      </c>
      <c r="B4719" s="1">
        <v>42</v>
      </c>
      <c r="C4719" s="1" t="s">
        <v>20</v>
      </c>
      <c r="D4719" s="1" t="s">
        <v>37</v>
      </c>
      <c r="E4719" s="1" t="s">
        <v>15375</v>
      </c>
      <c r="F4719" s="72">
        <v>41467</v>
      </c>
      <c r="G4719" s="1" t="s">
        <v>24549</v>
      </c>
      <c r="H4719" s="1" t="s">
        <v>15376</v>
      </c>
      <c r="I4719" s="1" t="s">
        <v>45</v>
      </c>
      <c r="J4719" s="4" t="s">
        <v>14274</v>
      </c>
      <c r="K4719" s="1" t="s">
        <v>3235</v>
      </c>
      <c r="L4719" s="1" t="s">
        <v>14275</v>
      </c>
      <c r="M4719" s="1" t="s">
        <v>27</v>
      </c>
      <c r="N4719" s="1" t="s">
        <v>15377</v>
      </c>
      <c r="O4719" s="1" t="s">
        <v>550</v>
      </c>
      <c r="P4719" s="1" t="s">
        <v>401</v>
      </c>
      <c r="Q4719" s="63" t="s">
        <v>15378</v>
      </c>
      <c r="R4719" s="1" t="s">
        <v>100</v>
      </c>
      <c r="S4719" s="13" t="s">
        <v>28</v>
      </c>
      <c r="BC4719" s="44"/>
      <c r="BD4719" s="44"/>
      <c r="BE4719" s="44"/>
      <c r="BF4719" s="44"/>
      <c r="BG4719" s="44"/>
      <c r="BH4719" s="44"/>
      <c r="BI4719" s="44"/>
      <c r="BJ4719" s="44"/>
    </row>
    <row r="4720" spans="1:63" ht="12" customHeight="1" x14ac:dyDescent="0.15">
      <c r="A4720" s="1" t="s">
        <v>15398</v>
      </c>
      <c r="B4720" s="1">
        <v>24</v>
      </c>
      <c r="C4720" s="1" t="s">
        <v>20</v>
      </c>
      <c r="D4720" s="1" t="s">
        <v>37</v>
      </c>
      <c r="E4720" s="1" t="s">
        <v>15399</v>
      </c>
      <c r="F4720" s="72">
        <v>41466</v>
      </c>
      <c r="G4720" s="1" t="s">
        <v>15400</v>
      </c>
      <c r="H4720" s="1" t="s">
        <v>683</v>
      </c>
      <c r="I4720" s="1" t="s">
        <v>363</v>
      </c>
      <c r="J4720" s="4" t="s">
        <v>15401</v>
      </c>
      <c r="K4720" s="1" t="s">
        <v>684</v>
      </c>
      <c r="L4720" s="1" t="s">
        <v>685</v>
      </c>
      <c r="M4720" s="1" t="s">
        <v>27</v>
      </c>
      <c r="N4720" s="1" t="s">
        <v>15402</v>
      </c>
      <c r="O4720" s="1" t="s">
        <v>550</v>
      </c>
      <c r="P4720" s="1" t="s">
        <v>401</v>
      </c>
      <c r="Q4720" s="63" t="s">
        <v>15403</v>
      </c>
      <c r="R4720" s="11" t="s">
        <v>964</v>
      </c>
      <c r="S4720" s="13" t="s">
        <v>28</v>
      </c>
      <c r="AX4720" s="11"/>
      <c r="AY4720" s="11"/>
      <c r="AZ4720" s="11"/>
      <c r="BC4720" s="44"/>
      <c r="BD4720" s="44"/>
      <c r="BE4720" s="44"/>
      <c r="BF4720" s="44"/>
      <c r="BG4720" s="44"/>
      <c r="BH4720" s="44"/>
      <c r="BI4720" s="44"/>
      <c r="BJ4720" s="44"/>
    </row>
    <row r="4721" spans="1:62" ht="12" customHeight="1" x14ac:dyDescent="0.15">
      <c r="A4721" s="1" t="s">
        <v>15389</v>
      </c>
      <c r="B4721" s="1" t="s">
        <v>8769</v>
      </c>
      <c r="C4721" s="1" t="s">
        <v>20</v>
      </c>
      <c r="D4721" s="1" t="s">
        <v>85</v>
      </c>
      <c r="F4721" s="72">
        <v>41466</v>
      </c>
      <c r="G4721" s="1" t="s">
        <v>15390</v>
      </c>
      <c r="H4721" s="1" t="s">
        <v>783</v>
      </c>
      <c r="I4721" s="1" t="s">
        <v>45</v>
      </c>
      <c r="J4721" s="4" t="s">
        <v>12288</v>
      </c>
      <c r="K4721" s="1" t="s">
        <v>783</v>
      </c>
      <c r="L4721" s="1" t="s">
        <v>5936</v>
      </c>
      <c r="M4721" s="1" t="s">
        <v>27</v>
      </c>
      <c r="N4721" s="1" t="s">
        <v>15391</v>
      </c>
      <c r="O4721" s="1" t="s">
        <v>29</v>
      </c>
      <c r="P4721" s="1" t="s">
        <v>401</v>
      </c>
      <c r="Q4721" s="63" t="s">
        <v>15392</v>
      </c>
      <c r="R4721" s="1" t="s">
        <v>100</v>
      </c>
      <c r="S4721" s="13" t="s">
        <v>28</v>
      </c>
      <c r="AX4721" s="11"/>
      <c r="AY4721" s="11"/>
      <c r="BC4721" s="44"/>
      <c r="BD4721" s="44"/>
      <c r="BE4721" s="44"/>
      <c r="BF4721" s="44"/>
      <c r="BG4721" s="44"/>
      <c r="BH4721" s="44"/>
      <c r="BI4721" s="44"/>
      <c r="BJ4721" s="44"/>
    </row>
    <row r="4722" spans="1:62" ht="12" customHeight="1" x14ac:dyDescent="0.15">
      <c r="A4722" s="1" t="s">
        <v>15393</v>
      </c>
      <c r="B4722" s="1">
        <v>31</v>
      </c>
      <c r="C4722" s="1" t="s">
        <v>20</v>
      </c>
      <c r="D4722" s="1" t="s">
        <v>48</v>
      </c>
      <c r="E4722" s="1" t="s">
        <v>15394</v>
      </c>
      <c r="F4722" s="72">
        <v>41466</v>
      </c>
      <c r="G4722" s="1" t="s">
        <v>15395</v>
      </c>
      <c r="H4722" s="1" t="s">
        <v>632</v>
      </c>
      <c r="I4722" s="1" t="s">
        <v>123</v>
      </c>
      <c r="J4722" s="4" t="s">
        <v>4614</v>
      </c>
      <c r="K4722" s="1" t="s">
        <v>633</v>
      </c>
      <c r="L4722" s="1" t="s">
        <v>634</v>
      </c>
      <c r="M4722" s="1" t="s">
        <v>27</v>
      </c>
      <c r="N4722" s="1" t="s">
        <v>15396</v>
      </c>
      <c r="O4722" s="1" t="s">
        <v>1010</v>
      </c>
      <c r="P4722" s="1" t="s">
        <v>401</v>
      </c>
      <c r="Q4722" s="63" t="s">
        <v>15397</v>
      </c>
      <c r="R4722" s="1" t="s">
        <v>100</v>
      </c>
      <c r="S4722" s="13" t="s">
        <v>28</v>
      </c>
    </row>
    <row r="4723" spans="1:62" ht="12" customHeight="1" x14ac:dyDescent="0.15">
      <c r="A4723" s="1" t="s">
        <v>15379</v>
      </c>
      <c r="B4723" s="1">
        <v>24</v>
      </c>
      <c r="C4723" s="1" t="s">
        <v>20</v>
      </c>
      <c r="D4723" s="1" t="s">
        <v>85</v>
      </c>
      <c r="E4723" s="1" t="s">
        <v>15380</v>
      </c>
      <c r="F4723" s="72">
        <v>41466</v>
      </c>
      <c r="G4723" s="1" t="s">
        <v>15381</v>
      </c>
      <c r="H4723" s="1" t="s">
        <v>1094</v>
      </c>
      <c r="I4723" s="1" t="s">
        <v>395</v>
      </c>
      <c r="J4723" s="4" t="s">
        <v>15382</v>
      </c>
      <c r="K4723" s="1" t="s">
        <v>1095</v>
      </c>
      <c r="L4723" s="1" t="s">
        <v>1096</v>
      </c>
      <c r="M4723" s="1" t="s">
        <v>27</v>
      </c>
      <c r="N4723" s="1" t="s">
        <v>15383</v>
      </c>
      <c r="O4723" s="1" t="s">
        <v>550</v>
      </c>
      <c r="P4723" s="1" t="s">
        <v>401</v>
      </c>
      <c r="Q4723" s="63" t="str">
        <f>HYPERLINK("http://newsok.com/family-member-identifies-man-shot-by-oklahoma-city-police/article/3861642","http://newsok.com/family-member-identifies-man-shot-by-oklahoma-city-police/article/3861642")</f>
        <v>http://newsok.com/family-member-identifies-man-shot-by-oklahoma-city-police/article/3861642</v>
      </c>
      <c r="R4723" s="1" t="s">
        <v>29</v>
      </c>
      <c r="S4723" s="13" t="s">
        <v>28</v>
      </c>
      <c r="AX4723" s="11"/>
      <c r="AY4723" s="11"/>
      <c r="BC4723" s="11"/>
      <c r="BD4723" s="11"/>
      <c r="BE4723" s="11"/>
      <c r="BF4723" s="11"/>
      <c r="BG4723" s="11"/>
      <c r="BH4723" s="11"/>
      <c r="BI4723" s="11"/>
      <c r="BJ4723" s="11"/>
    </row>
    <row r="4724" spans="1:62" ht="12" customHeight="1" x14ac:dyDescent="0.15">
      <c r="A4724" s="1" t="s">
        <v>15384</v>
      </c>
      <c r="B4724" s="1" t="s">
        <v>13492</v>
      </c>
      <c r="C4724" s="1" t="s">
        <v>20</v>
      </c>
      <c r="D4724" s="1" t="s">
        <v>85</v>
      </c>
      <c r="E4724" s="1" t="s">
        <v>15385</v>
      </c>
      <c r="F4724" s="72">
        <v>41466</v>
      </c>
      <c r="G4724" s="1" t="s">
        <v>15386</v>
      </c>
      <c r="H4724" s="1" t="s">
        <v>1611</v>
      </c>
      <c r="I4724" s="1" t="s">
        <v>269</v>
      </c>
      <c r="J4724" s="4" t="s">
        <v>7410</v>
      </c>
      <c r="K4724" s="1" t="s">
        <v>6245</v>
      </c>
      <c r="L4724" s="1" t="s">
        <v>7469</v>
      </c>
      <c r="M4724" s="1" t="s">
        <v>27</v>
      </c>
      <c r="N4724" s="1" t="s">
        <v>15387</v>
      </c>
      <c r="O4724" s="1" t="s">
        <v>29</v>
      </c>
      <c r="P4724" s="1" t="s">
        <v>401</v>
      </c>
      <c r="Q4724" s="63" t="s">
        <v>15388</v>
      </c>
      <c r="R4724" s="1" t="s">
        <v>555</v>
      </c>
      <c r="S4724" s="13" t="s">
        <v>28</v>
      </c>
      <c r="AX4724" s="11"/>
      <c r="AY4724" s="11"/>
      <c r="BC4724" s="11"/>
      <c r="BD4724" s="11"/>
      <c r="BE4724" s="11"/>
      <c r="BF4724" s="11"/>
      <c r="BG4724" s="11"/>
      <c r="BH4724" s="11"/>
      <c r="BI4724" s="11"/>
      <c r="BJ4724" s="11"/>
    </row>
    <row r="4725" spans="1:62" ht="12" customHeight="1" x14ac:dyDescent="0.15">
      <c r="A4725" s="1" t="s">
        <v>15404</v>
      </c>
      <c r="B4725" s="1">
        <v>36</v>
      </c>
      <c r="C4725" s="1" t="s">
        <v>20</v>
      </c>
      <c r="D4725" s="1" t="s">
        <v>85</v>
      </c>
      <c r="E4725" s="1" t="s">
        <v>15405</v>
      </c>
      <c r="F4725" s="72">
        <v>41465</v>
      </c>
      <c r="G4725" s="1" t="s">
        <v>15406</v>
      </c>
      <c r="H4725" s="1" t="s">
        <v>15407</v>
      </c>
      <c r="I4725" s="1" t="s">
        <v>209</v>
      </c>
      <c r="J4725" s="4" t="s">
        <v>15408</v>
      </c>
      <c r="K4725" s="1" t="s">
        <v>1428</v>
      </c>
      <c r="L4725" s="1" t="s">
        <v>2743</v>
      </c>
      <c r="M4725" s="1" t="s">
        <v>27</v>
      </c>
      <c r="N4725" s="1" t="s">
        <v>15409</v>
      </c>
      <c r="O4725" s="1" t="s">
        <v>550</v>
      </c>
      <c r="P4725" s="1" t="s">
        <v>401</v>
      </c>
      <c r="Q4725" s="63" t="s">
        <v>15410</v>
      </c>
      <c r="R4725" s="1" t="s">
        <v>100</v>
      </c>
      <c r="S4725" s="13" t="s">
        <v>28</v>
      </c>
      <c r="AX4725" s="11"/>
      <c r="AY4725" s="11"/>
      <c r="BC4725" s="11"/>
      <c r="BD4725" s="11"/>
      <c r="BE4725" s="11"/>
      <c r="BF4725" s="11"/>
      <c r="BG4725" s="11"/>
      <c r="BH4725" s="11"/>
      <c r="BI4725" s="11"/>
      <c r="BJ4725" s="11"/>
    </row>
    <row r="4726" spans="1:62" ht="12" customHeight="1" x14ac:dyDescent="0.15">
      <c r="A4726" s="1" t="s">
        <v>3252</v>
      </c>
      <c r="B4726" s="1">
        <v>20</v>
      </c>
      <c r="C4726" s="1" t="s">
        <v>20</v>
      </c>
      <c r="D4726" s="1" t="s">
        <v>30</v>
      </c>
      <c r="F4726" s="72">
        <v>41465</v>
      </c>
      <c r="G4726" s="1" t="s">
        <v>15411</v>
      </c>
      <c r="H4726" s="1" t="s">
        <v>723</v>
      </c>
      <c r="I4726" s="1" t="s">
        <v>73</v>
      </c>
      <c r="J4726" s="4" t="s">
        <v>13093</v>
      </c>
      <c r="K4726" s="1" t="s">
        <v>558</v>
      </c>
      <c r="L4726" s="1" t="s">
        <v>281</v>
      </c>
      <c r="M4726" s="1" t="s">
        <v>27</v>
      </c>
      <c r="N4726" s="1" t="s">
        <v>15412</v>
      </c>
      <c r="O4726" s="1" t="s">
        <v>4684</v>
      </c>
      <c r="P4726" s="1" t="s">
        <v>401</v>
      </c>
      <c r="Q4726" s="63" t="s">
        <v>15413</v>
      </c>
      <c r="R4726" s="1" t="s">
        <v>100</v>
      </c>
      <c r="S4726" s="13" t="s">
        <v>28</v>
      </c>
    </row>
    <row r="4727" spans="1:62" ht="12" customHeight="1" x14ac:dyDescent="0.15">
      <c r="A4727" s="1" t="s">
        <v>15414</v>
      </c>
      <c r="B4727" s="1">
        <v>30</v>
      </c>
      <c r="C4727" s="1" t="s">
        <v>20</v>
      </c>
      <c r="D4727" s="1" t="s">
        <v>37</v>
      </c>
      <c r="E4727" s="1" t="s">
        <v>15415</v>
      </c>
      <c r="F4727" s="72">
        <v>41465</v>
      </c>
      <c r="G4727" s="1" t="s">
        <v>15416</v>
      </c>
      <c r="H4727" s="1" t="s">
        <v>15417</v>
      </c>
      <c r="I4727" s="1" t="s">
        <v>62</v>
      </c>
      <c r="J4727" s="4" t="s">
        <v>15418</v>
      </c>
      <c r="K4727" s="1" t="s">
        <v>1251</v>
      </c>
      <c r="L4727" s="1" t="s">
        <v>18977</v>
      </c>
      <c r="M4727" s="1" t="s">
        <v>391</v>
      </c>
      <c r="N4727" s="1" t="s">
        <v>15419</v>
      </c>
      <c r="O4727" s="1" t="s">
        <v>400</v>
      </c>
      <c r="P4727" s="1" t="s">
        <v>401</v>
      </c>
      <c r="Q4727" s="63" t="s">
        <v>21044</v>
      </c>
      <c r="R4727" s="1" t="s">
        <v>100</v>
      </c>
      <c r="S4727" s="13" t="s">
        <v>18</v>
      </c>
      <c r="AU4727" s="11"/>
      <c r="AV4727" s="11"/>
      <c r="AW4727" s="11"/>
      <c r="BC4727" s="44"/>
      <c r="BD4727" s="44"/>
      <c r="BE4727" s="44"/>
      <c r="BF4727" s="44"/>
      <c r="BG4727" s="44"/>
      <c r="BH4727" s="44"/>
      <c r="BI4727" s="44"/>
      <c r="BJ4727" s="44"/>
    </row>
    <row r="4728" spans="1:62" ht="12" customHeight="1" x14ac:dyDescent="0.15">
      <c r="A4728" s="1" t="s">
        <v>15430</v>
      </c>
      <c r="B4728" s="1">
        <v>40</v>
      </c>
      <c r="C4728" s="1" t="s">
        <v>20</v>
      </c>
      <c r="D4728" s="1" t="s">
        <v>48</v>
      </c>
      <c r="E4728" s="1" t="s">
        <v>15431</v>
      </c>
      <c r="F4728" s="72">
        <v>41464</v>
      </c>
      <c r="G4728" s="1" t="s">
        <v>15432</v>
      </c>
      <c r="H4728" s="1" t="s">
        <v>15433</v>
      </c>
      <c r="I4728" s="1" t="s">
        <v>81</v>
      </c>
      <c r="J4728" s="4" t="s">
        <v>15434</v>
      </c>
      <c r="K4728" s="1" t="s">
        <v>528</v>
      </c>
      <c r="L4728" s="1" t="s">
        <v>15435</v>
      </c>
      <c r="M4728" s="1" t="s">
        <v>27</v>
      </c>
      <c r="N4728" s="1" t="s">
        <v>15436</v>
      </c>
      <c r="O4728" s="1" t="s">
        <v>15437</v>
      </c>
      <c r="P4728" s="1" t="s">
        <v>401</v>
      </c>
      <c r="Q4728" s="6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4728" s="11" t="s">
        <v>964</v>
      </c>
      <c r="S4728" s="13" t="s">
        <v>28</v>
      </c>
    </row>
    <row r="4729" spans="1:62" ht="12" customHeight="1" x14ac:dyDescent="0.15">
      <c r="A4729" s="1" t="s">
        <v>15426</v>
      </c>
      <c r="B4729" s="1">
        <v>24</v>
      </c>
      <c r="C4729" s="1" t="s">
        <v>20</v>
      </c>
      <c r="D4729" s="1" t="s">
        <v>85</v>
      </c>
      <c r="E4729" s="1" t="s">
        <v>15427</v>
      </c>
      <c r="F4729" s="72">
        <v>41464</v>
      </c>
      <c r="G4729" s="1" t="s">
        <v>24551</v>
      </c>
      <c r="H4729" s="1" t="s">
        <v>651</v>
      </c>
      <c r="I4729" s="1" t="s">
        <v>62</v>
      </c>
      <c r="J4729" s="4">
        <v>32210</v>
      </c>
      <c r="K4729" s="1" t="s">
        <v>652</v>
      </c>
      <c r="L4729" s="11" t="s">
        <v>653</v>
      </c>
      <c r="M4729" s="1" t="s">
        <v>27</v>
      </c>
      <c r="N4729" s="1" t="s">
        <v>15428</v>
      </c>
      <c r="O4729" s="1" t="s">
        <v>29</v>
      </c>
      <c r="P4729" s="1" t="s">
        <v>401</v>
      </c>
      <c r="Q4729" s="63" t="s">
        <v>15429</v>
      </c>
      <c r="R4729" s="1" t="s">
        <v>100</v>
      </c>
      <c r="S4729" s="13" t="s">
        <v>28</v>
      </c>
      <c r="AX4729" s="11"/>
      <c r="AY4729" s="11"/>
      <c r="BC4729" s="11"/>
      <c r="BD4729" s="11"/>
      <c r="BE4729" s="11"/>
      <c r="BF4729" s="11"/>
      <c r="BG4729" s="11"/>
      <c r="BH4729" s="11"/>
      <c r="BI4729" s="11"/>
      <c r="BJ4729" s="11"/>
    </row>
    <row r="4730" spans="1:62" ht="12" customHeight="1" x14ac:dyDescent="0.15">
      <c r="A4730" s="1" t="s">
        <v>15438</v>
      </c>
      <c r="B4730" s="1">
        <v>42</v>
      </c>
      <c r="C4730" s="1" t="s">
        <v>20</v>
      </c>
      <c r="D4730" s="1" t="s">
        <v>48</v>
      </c>
      <c r="E4730" s="1" t="s">
        <v>15439</v>
      </c>
      <c r="F4730" s="72">
        <v>41464</v>
      </c>
      <c r="G4730" s="1" t="s">
        <v>24552</v>
      </c>
      <c r="H4730" s="1" t="s">
        <v>13402</v>
      </c>
      <c r="I4730" s="1" t="s">
        <v>123</v>
      </c>
      <c r="J4730" s="4" t="s">
        <v>15440</v>
      </c>
      <c r="K4730" s="1" t="s">
        <v>13402</v>
      </c>
      <c r="L4730" s="1" t="s">
        <v>15441</v>
      </c>
      <c r="M4730" s="1" t="s">
        <v>27</v>
      </c>
      <c r="N4730" s="1" t="s">
        <v>15442</v>
      </c>
      <c r="O4730" s="1" t="s">
        <v>29</v>
      </c>
      <c r="P4730" s="1" t="s">
        <v>401</v>
      </c>
      <c r="Q4730" s="63" t="s">
        <v>15443</v>
      </c>
      <c r="R4730" s="1" t="s">
        <v>100</v>
      </c>
      <c r="S4730" s="13" t="s">
        <v>28</v>
      </c>
    </row>
    <row r="4731" spans="1:62" ht="12" customHeight="1" x14ac:dyDescent="0.15">
      <c r="A4731" s="1" t="s">
        <v>15420</v>
      </c>
      <c r="B4731" s="1">
        <v>40</v>
      </c>
      <c r="C4731" s="1" t="s">
        <v>20</v>
      </c>
      <c r="D4731" s="1" t="s">
        <v>85</v>
      </c>
      <c r="E4731" s="1" t="s">
        <v>15421</v>
      </c>
      <c r="F4731" s="72">
        <v>41464</v>
      </c>
      <c r="G4731" s="1" t="s">
        <v>24550</v>
      </c>
      <c r="H4731" s="1" t="s">
        <v>15422</v>
      </c>
      <c r="I4731" s="1" t="s">
        <v>431</v>
      </c>
      <c r="J4731" s="4" t="s">
        <v>15423</v>
      </c>
      <c r="K4731" s="1" t="s">
        <v>709</v>
      </c>
      <c r="L4731" s="1" t="s">
        <v>15424</v>
      </c>
      <c r="M4731" s="1" t="s">
        <v>20973</v>
      </c>
      <c r="N4731" s="1" t="s">
        <v>21045</v>
      </c>
      <c r="O4731" s="1" t="s">
        <v>400</v>
      </c>
      <c r="P4731" s="1" t="s">
        <v>401</v>
      </c>
      <c r="Q4731" s="63" t="s">
        <v>15425</v>
      </c>
      <c r="R4731" s="1" t="s">
        <v>100</v>
      </c>
      <c r="S4731" s="13" t="s">
        <v>18</v>
      </c>
      <c r="AU4731" s="11"/>
      <c r="AV4731" s="11"/>
      <c r="AW4731" s="11"/>
      <c r="AX4731" s="44"/>
      <c r="AY4731" s="44"/>
      <c r="BC4731" s="11"/>
      <c r="BD4731" s="11"/>
      <c r="BE4731" s="11"/>
      <c r="BF4731" s="11"/>
      <c r="BG4731" s="11"/>
      <c r="BH4731" s="11"/>
      <c r="BI4731" s="11"/>
      <c r="BJ4731" s="11"/>
    </row>
    <row r="4732" spans="1:62" ht="12" customHeight="1" x14ac:dyDescent="0.15">
      <c r="A4732" s="1" t="s">
        <v>15444</v>
      </c>
      <c r="B4732" s="1">
        <v>46</v>
      </c>
      <c r="C4732" s="1" t="s">
        <v>20</v>
      </c>
      <c r="D4732" s="1" t="s">
        <v>30</v>
      </c>
      <c r="F4732" s="72">
        <v>41464</v>
      </c>
      <c r="G4732" s="1" t="s">
        <v>15445</v>
      </c>
      <c r="H4732" s="1" t="s">
        <v>15446</v>
      </c>
      <c r="I4732" s="1" t="s">
        <v>45</v>
      </c>
      <c r="J4732" s="4" t="s">
        <v>15447</v>
      </c>
      <c r="K4732" s="1" t="s">
        <v>783</v>
      </c>
      <c r="L4732" s="1" t="s">
        <v>784</v>
      </c>
      <c r="M4732" s="1" t="s">
        <v>27</v>
      </c>
      <c r="N4732" s="1" t="s">
        <v>15448</v>
      </c>
      <c r="O4732" s="1" t="s">
        <v>1010</v>
      </c>
      <c r="P4732" s="1" t="s">
        <v>401</v>
      </c>
      <c r="Q4732" s="63" t="s">
        <v>15449</v>
      </c>
      <c r="R4732" s="1" t="s">
        <v>29</v>
      </c>
      <c r="S4732" s="13" t="s">
        <v>28</v>
      </c>
    </row>
    <row r="4733" spans="1:62" ht="12" customHeight="1" x14ac:dyDescent="0.15">
      <c r="A4733" s="1" t="s">
        <v>15450</v>
      </c>
      <c r="B4733" s="1">
        <v>57</v>
      </c>
      <c r="C4733" s="1" t="s">
        <v>20</v>
      </c>
      <c r="D4733" s="1" t="s">
        <v>85</v>
      </c>
      <c r="E4733" s="1" t="s">
        <v>15451</v>
      </c>
      <c r="F4733" s="72">
        <v>41463</v>
      </c>
      <c r="G4733" s="1" t="s">
        <v>15452</v>
      </c>
      <c r="H4733" s="1" t="s">
        <v>2809</v>
      </c>
      <c r="I4733" s="1" t="s">
        <v>62</v>
      </c>
      <c r="J4733" s="4" t="s">
        <v>15453</v>
      </c>
      <c r="K4733" s="1" t="s">
        <v>3500</v>
      </c>
      <c r="L4733" s="1" t="s">
        <v>15454</v>
      </c>
      <c r="M4733" s="1" t="s">
        <v>27</v>
      </c>
      <c r="N4733" s="1" t="s">
        <v>15455</v>
      </c>
      <c r="O4733" s="1" t="s">
        <v>550</v>
      </c>
      <c r="P4733" s="1" t="s">
        <v>401</v>
      </c>
      <c r="Q4733" s="63" t="s">
        <v>15456</v>
      </c>
      <c r="R4733" s="1" t="s">
        <v>100</v>
      </c>
      <c r="S4733" s="13" t="s">
        <v>28</v>
      </c>
      <c r="AX4733" s="11"/>
      <c r="AY4733" s="11"/>
      <c r="BC4733" s="11"/>
      <c r="BD4733" s="11"/>
      <c r="BE4733" s="11"/>
      <c r="BF4733" s="11"/>
      <c r="BG4733" s="11"/>
      <c r="BH4733" s="11"/>
      <c r="BI4733" s="11"/>
      <c r="BJ4733" s="11"/>
    </row>
    <row r="4734" spans="1:62" ht="12" customHeight="1" x14ac:dyDescent="0.15">
      <c r="A4734" s="1" t="s">
        <v>15461</v>
      </c>
      <c r="B4734" s="1">
        <v>55</v>
      </c>
      <c r="C4734" s="1" t="s">
        <v>20</v>
      </c>
      <c r="D4734" s="1" t="s">
        <v>30</v>
      </c>
      <c r="F4734" s="72">
        <v>41463</v>
      </c>
      <c r="G4734" s="1" t="s">
        <v>15462</v>
      </c>
      <c r="H4734" s="1" t="s">
        <v>15463</v>
      </c>
      <c r="I4734" s="1" t="s">
        <v>404</v>
      </c>
      <c r="J4734" s="4" t="s">
        <v>10382</v>
      </c>
      <c r="K4734" s="1" t="s">
        <v>10381</v>
      </c>
      <c r="L4734" s="1" t="s">
        <v>9350</v>
      </c>
      <c r="M4734" s="1" t="s">
        <v>27</v>
      </c>
      <c r="N4734" s="1" t="s">
        <v>15464</v>
      </c>
      <c r="O4734" s="1" t="s">
        <v>550</v>
      </c>
      <c r="P4734" s="1" t="s">
        <v>401</v>
      </c>
      <c r="Q4734" s="63" t="s">
        <v>15465</v>
      </c>
      <c r="R4734" s="1" t="s">
        <v>100</v>
      </c>
      <c r="S4734" s="13" t="s">
        <v>28</v>
      </c>
    </row>
    <row r="4735" spans="1:62" ht="12" customHeight="1" x14ac:dyDescent="0.15">
      <c r="A4735" s="1" t="s">
        <v>15480</v>
      </c>
      <c r="B4735" s="1">
        <v>27</v>
      </c>
      <c r="C4735" s="1" t="s">
        <v>20</v>
      </c>
      <c r="D4735" s="1" t="s">
        <v>37</v>
      </c>
      <c r="E4735" s="1" t="s">
        <v>15481</v>
      </c>
      <c r="F4735" s="72">
        <v>41463</v>
      </c>
      <c r="G4735" s="1" t="s">
        <v>15482</v>
      </c>
      <c r="H4735" s="1" t="s">
        <v>15483</v>
      </c>
      <c r="I4735" s="1" t="s">
        <v>404</v>
      </c>
      <c r="J4735" s="4" t="s">
        <v>15484</v>
      </c>
      <c r="K4735" s="1" t="s">
        <v>1635</v>
      </c>
      <c r="L4735" s="1" t="s">
        <v>15485</v>
      </c>
      <c r="M4735" s="1" t="s">
        <v>27</v>
      </c>
      <c r="N4735" s="1" t="s">
        <v>15486</v>
      </c>
      <c r="O4735" s="1" t="s">
        <v>550</v>
      </c>
      <c r="P4735" s="1" t="s">
        <v>401</v>
      </c>
      <c r="Q4735" s="63" t="str">
        <f>HYPERLINK("http://www.post-gazette.com/stories/local/neighborhoods-north/man-shot-to-death-in-sewickley-694786/","http://www.post-gazette.com/stories/local/neighborhoods-north/man-shot-to-death-in-sewickley-694786/")</f>
        <v>http://www.post-gazette.com/stories/local/neighborhoods-north/man-shot-to-death-in-sewickley-694786/</v>
      </c>
      <c r="R4735" s="1" t="s">
        <v>100</v>
      </c>
      <c r="S4735" s="13" t="s">
        <v>28</v>
      </c>
      <c r="AX4735" s="11"/>
      <c r="AY4735" s="11"/>
      <c r="AZ4735" s="11"/>
      <c r="BC4735" s="44"/>
      <c r="BD4735" s="44"/>
      <c r="BE4735" s="44"/>
      <c r="BF4735" s="44"/>
      <c r="BG4735" s="44"/>
      <c r="BH4735" s="44"/>
      <c r="BI4735" s="44"/>
      <c r="BJ4735" s="44"/>
    </row>
    <row r="4736" spans="1:62" ht="12" customHeight="1" x14ac:dyDescent="0.15">
      <c r="A4736" s="1" t="s">
        <v>15473</v>
      </c>
      <c r="B4736" s="1">
        <v>50</v>
      </c>
      <c r="C4736" s="1" t="s">
        <v>20</v>
      </c>
      <c r="D4736" s="1" t="s">
        <v>37</v>
      </c>
      <c r="E4736" s="1" t="s">
        <v>15474</v>
      </c>
      <c r="F4736" s="72">
        <v>41463</v>
      </c>
      <c r="G4736" s="1" t="s">
        <v>24554</v>
      </c>
      <c r="H4736" s="1" t="s">
        <v>15475</v>
      </c>
      <c r="I4736" s="1" t="s">
        <v>173</v>
      </c>
      <c r="J4736" s="4" t="s">
        <v>15476</v>
      </c>
      <c r="K4736" s="1" t="s">
        <v>3736</v>
      </c>
      <c r="L4736" s="1" t="s">
        <v>15477</v>
      </c>
      <c r="M4736" s="1" t="s">
        <v>27</v>
      </c>
      <c r="N4736" s="1" t="s">
        <v>15478</v>
      </c>
      <c r="O4736" s="1" t="s">
        <v>400</v>
      </c>
      <c r="P4736" s="1" t="s">
        <v>401</v>
      </c>
      <c r="Q4736" s="63" t="s">
        <v>15479</v>
      </c>
      <c r="R4736" s="1" t="s">
        <v>555</v>
      </c>
      <c r="S4736" s="13" t="s">
        <v>28</v>
      </c>
      <c r="AX4736" s="11"/>
      <c r="AY4736" s="11"/>
      <c r="AZ4736" s="11"/>
      <c r="BA4736" s="44"/>
      <c r="BB4736" s="44"/>
      <c r="BC4736" s="44"/>
      <c r="BD4736" s="44"/>
      <c r="BE4736" s="44"/>
      <c r="BF4736" s="44"/>
      <c r="BG4736" s="44"/>
      <c r="BH4736" s="44"/>
      <c r="BI4736" s="44"/>
      <c r="BJ4736" s="44"/>
    </row>
    <row r="4737" spans="1:62" ht="12" customHeight="1" x14ac:dyDescent="0.15">
      <c r="A4737" s="1" t="s">
        <v>15466</v>
      </c>
      <c r="B4737" s="1">
        <v>52</v>
      </c>
      <c r="C4737" s="1" t="s">
        <v>20</v>
      </c>
      <c r="D4737" s="1" t="s">
        <v>37</v>
      </c>
      <c r="F4737" s="72">
        <v>41463</v>
      </c>
      <c r="G4737" s="1" t="s">
        <v>15467</v>
      </c>
      <c r="H4737" s="1" t="s">
        <v>15468</v>
      </c>
      <c r="I4737" s="1" t="s">
        <v>44</v>
      </c>
      <c r="J4737" s="4" t="s">
        <v>15469</v>
      </c>
      <c r="K4737" s="1" t="s">
        <v>7801</v>
      </c>
      <c r="L4737" s="1" t="s">
        <v>15470</v>
      </c>
      <c r="M4737" s="1" t="s">
        <v>27</v>
      </c>
      <c r="N4737" s="1" t="s">
        <v>15471</v>
      </c>
      <c r="O4737" s="1" t="s">
        <v>550</v>
      </c>
      <c r="P4737" s="1" t="s">
        <v>401</v>
      </c>
      <c r="Q4737" s="63" t="s">
        <v>15472</v>
      </c>
      <c r="R4737" s="1" t="s">
        <v>555</v>
      </c>
      <c r="S4737" s="13" t="s">
        <v>28</v>
      </c>
      <c r="U4737" s="64"/>
      <c r="V4737" s="64"/>
      <c r="W4737" s="64"/>
      <c r="X4737" s="64"/>
      <c r="AX4737" s="11"/>
      <c r="AY4737" s="11"/>
      <c r="AZ4737" s="11"/>
      <c r="BA4737" s="44"/>
      <c r="BB4737" s="44"/>
      <c r="BC4737" s="44"/>
      <c r="BD4737" s="44"/>
      <c r="BE4737" s="44"/>
      <c r="BF4737" s="44"/>
      <c r="BG4737" s="44"/>
      <c r="BH4737" s="44"/>
      <c r="BI4737" s="44"/>
      <c r="BJ4737" s="44"/>
    </row>
    <row r="4738" spans="1:62" ht="12" customHeight="1" x14ac:dyDescent="0.15">
      <c r="A4738" s="1" t="s">
        <v>15457</v>
      </c>
      <c r="B4738" s="1">
        <v>51</v>
      </c>
      <c r="C4738" s="1" t="s">
        <v>20</v>
      </c>
      <c r="D4738" s="1" t="s">
        <v>48</v>
      </c>
      <c r="F4738" s="72">
        <v>41463</v>
      </c>
      <c r="G4738" s="1" t="s">
        <v>24553</v>
      </c>
      <c r="H4738" s="1" t="s">
        <v>601</v>
      </c>
      <c r="I4738" s="1" t="s">
        <v>45</v>
      </c>
      <c r="J4738" s="4" t="s">
        <v>15458</v>
      </c>
      <c r="K4738" s="1" t="s">
        <v>602</v>
      </c>
      <c r="L4738" s="1" t="s">
        <v>603</v>
      </c>
      <c r="M4738" s="1" t="s">
        <v>14359</v>
      </c>
      <c r="N4738" s="1" t="s">
        <v>15459</v>
      </c>
      <c r="O4738" s="1" t="s">
        <v>4684</v>
      </c>
      <c r="P4738" s="1" t="s">
        <v>401</v>
      </c>
      <c r="Q4738" s="63" t="s">
        <v>15460</v>
      </c>
      <c r="R4738" s="1" t="s">
        <v>555</v>
      </c>
      <c r="S4738" s="13" t="s">
        <v>18</v>
      </c>
      <c r="BA4738" s="11"/>
      <c r="BB4738" s="11"/>
    </row>
    <row r="4739" spans="1:62" ht="12" customHeight="1" x14ac:dyDescent="0.15">
      <c r="A4739" s="1" t="s">
        <v>15487</v>
      </c>
      <c r="B4739" s="1">
        <v>29</v>
      </c>
      <c r="C4739" s="1" t="s">
        <v>20</v>
      </c>
      <c r="D4739" s="1" t="s">
        <v>85</v>
      </c>
      <c r="E4739" s="1" t="s">
        <v>15488</v>
      </c>
      <c r="F4739" s="72">
        <v>41462</v>
      </c>
      <c r="G4739" s="1" t="s">
        <v>24555</v>
      </c>
      <c r="H4739" s="1" t="s">
        <v>890</v>
      </c>
      <c r="I4739" s="1" t="s">
        <v>315</v>
      </c>
      <c r="J4739" s="4" t="s">
        <v>15489</v>
      </c>
      <c r="K4739" s="1" t="s">
        <v>1778</v>
      </c>
      <c r="L4739" s="1" t="s">
        <v>891</v>
      </c>
      <c r="M4739" s="1" t="s">
        <v>27</v>
      </c>
      <c r="N4739" s="1" t="s">
        <v>15490</v>
      </c>
      <c r="O4739" s="1" t="s">
        <v>1010</v>
      </c>
      <c r="P4739" s="1" t="s">
        <v>401</v>
      </c>
      <c r="Q4739" s="63" t="s">
        <v>15491</v>
      </c>
      <c r="R4739" s="1" t="s">
        <v>100</v>
      </c>
      <c r="S4739" s="13" t="s">
        <v>28</v>
      </c>
      <c r="AX4739" s="11"/>
      <c r="AY4739" s="11"/>
      <c r="BC4739" s="44"/>
      <c r="BD4739" s="44"/>
      <c r="BE4739" s="44"/>
      <c r="BF4739" s="44"/>
      <c r="BG4739" s="44"/>
      <c r="BH4739" s="44"/>
      <c r="BI4739" s="44"/>
      <c r="BJ4739" s="44"/>
    </row>
    <row r="4740" spans="1:62" ht="12" customHeight="1" x14ac:dyDescent="0.15">
      <c r="A4740" s="1" t="s">
        <v>15492</v>
      </c>
      <c r="B4740" s="1">
        <v>35</v>
      </c>
      <c r="C4740" s="1" t="s">
        <v>20</v>
      </c>
      <c r="D4740" s="1" t="s">
        <v>48</v>
      </c>
      <c r="E4740" s="1" t="s">
        <v>15493</v>
      </c>
      <c r="F4740" s="72">
        <v>41462</v>
      </c>
      <c r="G4740" s="1" t="s">
        <v>15494</v>
      </c>
      <c r="H4740" s="1" t="s">
        <v>127</v>
      </c>
      <c r="I4740" s="1" t="s">
        <v>73</v>
      </c>
      <c r="J4740" s="4" t="s">
        <v>15495</v>
      </c>
      <c r="K4740" s="1" t="s">
        <v>15496</v>
      </c>
      <c r="L4740" s="1" t="s">
        <v>15497</v>
      </c>
      <c r="M4740" s="1" t="s">
        <v>27</v>
      </c>
      <c r="N4740" s="1" t="s">
        <v>15498</v>
      </c>
      <c r="O4740" s="1" t="s">
        <v>29</v>
      </c>
      <c r="P4740" s="1" t="s">
        <v>401</v>
      </c>
      <c r="Q4740" s="63" t="s">
        <v>15499</v>
      </c>
      <c r="R4740" s="1" t="s">
        <v>100</v>
      </c>
      <c r="S4740" s="13" t="s">
        <v>28</v>
      </c>
    </row>
    <row r="4741" spans="1:62" ht="12" customHeight="1" x14ac:dyDescent="0.15">
      <c r="A4741" s="1" t="s">
        <v>15507</v>
      </c>
      <c r="B4741" s="1">
        <v>29</v>
      </c>
      <c r="C4741" s="1" t="s">
        <v>20</v>
      </c>
      <c r="D4741" s="1" t="s">
        <v>37</v>
      </c>
      <c r="E4741" s="1" t="s">
        <v>15508</v>
      </c>
      <c r="F4741" s="72">
        <v>41462</v>
      </c>
      <c r="G4741" s="1" t="s">
        <v>24556</v>
      </c>
      <c r="H4741" s="1" t="s">
        <v>15509</v>
      </c>
      <c r="I4741" s="1" t="s">
        <v>45</v>
      </c>
      <c r="J4741" s="4" t="s">
        <v>15510</v>
      </c>
      <c r="K4741" s="1" t="s">
        <v>783</v>
      </c>
      <c r="L4741" s="1" t="s">
        <v>784</v>
      </c>
      <c r="M4741" s="1" t="s">
        <v>27</v>
      </c>
      <c r="N4741" s="1" t="s">
        <v>15511</v>
      </c>
      <c r="O4741" s="1" t="s">
        <v>400</v>
      </c>
      <c r="P4741" s="1" t="s">
        <v>401</v>
      </c>
      <c r="Q4741" s="63" t="s">
        <v>15512</v>
      </c>
      <c r="R4741" s="1" t="s">
        <v>100</v>
      </c>
      <c r="S4741" s="13" t="s">
        <v>28</v>
      </c>
      <c r="AX4741" s="11"/>
      <c r="AY4741" s="11"/>
      <c r="AZ4741" s="11"/>
      <c r="BC4741" s="44"/>
      <c r="BD4741" s="44"/>
      <c r="BE4741" s="44"/>
      <c r="BF4741" s="44"/>
      <c r="BG4741" s="44"/>
      <c r="BH4741" s="44"/>
      <c r="BI4741" s="44"/>
      <c r="BJ4741" s="44"/>
    </row>
    <row r="4742" spans="1:62" ht="12" customHeight="1" x14ac:dyDescent="0.15">
      <c r="A4742" s="1" t="s">
        <v>15500</v>
      </c>
      <c r="B4742" s="1">
        <v>62</v>
      </c>
      <c r="C4742" s="1" t="s">
        <v>20</v>
      </c>
      <c r="D4742" s="1" t="s">
        <v>37</v>
      </c>
      <c r="F4742" s="72">
        <v>41462</v>
      </c>
      <c r="G4742" s="1" t="s">
        <v>15501</v>
      </c>
      <c r="H4742" s="1" t="s">
        <v>15502</v>
      </c>
      <c r="I4742" s="1" t="s">
        <v>44</v>
      </c>
      <c r="J4742" s="4" t="s">
        <v>15503</v>
      </c>
      <c r="K4742" s="1" t="s">
        <v>1288</v>
      </c>
      <c r="L4742" s="1" t="s">
        <v>15504</v>
      </c>
      <c r="M4742" s="1" t="s">
        <v>29609</v>
      </c>
      <c r="N4742" s="1" t="s">
        <v>15505</v>
      </c>
      <c r="O4742" s="1" t="s">
        <v>20975</v>
      </c>
      <c r="P4742" s="1" t="s">
        <v>20975</v>
      </c>
      <c r="Q4742" s="63" t="s">
        <v>15506</v>
      </c>
      <c r="R4742" s="1" t="s">
        <v>100</v>
      </c>
      <c r="S4742" s="13" t="s">
        <v>18</v>
      </c>
      <c r="AU4742" s="11"/>
      <c r="AV4742" s="11"/>
      <c r="AW4742" s="11"/>
      <c r="BC4742" s="44"/>
      <c r="BD4742" s="44"/>
      <c r="BE4742" s="44"/>
      <c r="BF4742" s="44"/>
      <c r="BG4742" s="44"/>
      <c r="BH4742" s="44"/>
      <c r="BI4742" s="44"/>
      <c r="BJ4742" s="44"/>
    </row>
    <row r="4743" spans="1:62" ht="12" customHeight="1" x14ac:dyDescent="0.2">
      <c r="A4743" s="1" t="s">
        <v>15513</v>
      </c>
      <c r="B4743" s="1">
        <v>27</v>
      </c>
      <c r="C4743" s="1" t="s">
        <v>20</v>
      </c>
      <c r="D4743" s="1" t="s">
        <v>21</v>
      </c>
      <c r="F4743" s="72">
        <v>41461</v>
      </c>
      <c r="G4743" s="1" t="s">
        <v>24557</v>
      </c>
      <c r="H4743" s="1" t="s">
        <v>200</v>
      </c>
      <c r="I4743" s="1" t="s">
        <v>45</v>
      </c>
      <c r="J4743" s="4" t="s">
        <v>15514</v>
      </c>
      <c r="K4743" s="1" t="s">
        <v>200</v>
      </c>
      <c r="L4743" s="1" t="s">
        <v>201</v>
      </c>
      <c r="M4743" s="1" t="s">
        <v>27</v>
      </c>
      <c r="N4743" s="1" t="s">
        <v>15515</v>
      </c>
      <c r="O4743" s="1" t="s">
        <v>1010</v>
      </c>
      <c r="P4743" s="1" t="s">
        <v>401</v>
      </c>
      <c r="Q4743" s="63" t="s">
        <v>15516</v>
      </c>
      <c r="R4743" s="1" t="s">
        <v>100</v>
      </c>
      <c r="S4743" s="13" t="s">
        <v>28</v>
      </c>
      <c r="AX4743" s="70"/>
      <c r="AY4743" s="70"/>
      <c r="BC4743" s="70"/>
      <c r="BD4743" s="70"/>
      <c r="BE4743" s="70"/>
      <c r="BF4743" s="70"/>
      <c r="BG4743" s="70"/>
      <c r="BH4743" s="70"/>
      <c r="BI4743" s="70"/>
      <c r="BJ4743" s="70"/>
    </row>
    <row r="4744" spans="1:62" ht="12" customHeight="1" x14ac:dyDescent="0.15">
      <c r="A4744" s="1" t="s">
        <v>15517</v>
      </c>
      <c r="B4744" s="1">
        <v>84</v>
      </c>
      <c r="C4744" s="1" t="s">
        <v>20</v>
      </c>
      <c r="D4744" s="1" t="s">
        <v>30</v>
      </c>
      <c r="F4744" s="72">
        <v>41461</v>
      </c>
      <c r="G4744" s="1" t="s">
        <v>15518</v>
      </c>
      <c r="H4744" s="1" t="s">
        <v>15519</v>
      </c>
      <c r="I4744" s="1" t="s">
        <v>150</v>
      </c>
      <c r="J4744" s="4" t="s">
        <v>15520</v>
      </c>
      <c r="K4744" s="1" t="s">
        <v>15521</v>
      </c>
      <c r="L4744" s="1" t="s">
        <v>15522</v>
      </c>
      <c r="M4744" s="1" t="s">
        <v>27</v>
      </c>
      <c r="N4744" s="1" t="s">
        <v>15523</v>
      </c>
      <c r="O4744" s="1" t="s">
        <v>1010</v>
      </c>
      <c r="P4744" s="1" t="s">
        <v>401</v>
      </c>
      <c r="Q4744" s="63" t="s">
        <v>15524</v>
      </c>
      <c r="R4744" s="1" t="s">
        <v>100</v>
      </c>
      <c r="S4744" s="13" t="s">
        <v>28</v>
      </c>
    </row>
    <row r="4745" spans="1:62" ht="12" customHeight="1" x14ac:dyDescent="0.15">
      <c r="A4745" s="1" t="s">
        <v>15529</v>
      </c>
      <c r="B4745" s="1">
        <v>59</v>
      </c>
      <c r="C4745" s="1" t="s">
        <v>20</v>
      </c>
      <c r="D4745" s="1" t="s">
        <v>37</v>
      </c>
      <c r="E4745" s="1" t="s">
        <v>15530</v>
      </c>
      <c r="F4745" s="72">
        <v>41461</v>
      </c>
      <c r="G4745" s="1" t="s">
        <v>15531</v>
      </c>
      <c r="H4745" s="1" t="s">
        <v>4191</v>
      </c>
      <c r="I4745" s="1" t="s">
        <v>366</v>
      </c>
      <c r="J4745" s="4" t="s">
        <v>9109</v>
      </c>
      <c r="K4745" s="1" t="s">
        <v>4193</v>
      </c>
      <c r="L4745" s="1" t="s">
        <v>4194</v>
      </c>
      <c r="M4745" s="1" t="s">
        <v>27</v>
      </c>
      <c r="N4745" s="1" t="s">
        <v>15532</v>
      </c>
      <c r="O4745" s="1" t="s">
        <v>550</v>
      </c>
      <c r="P4745" s="1" t="s">
        <v>401</v>
      </c>
      <c r="Q4745" s="63" t="s">
        <v>15533</v>
      </c>
      <c r="R4745" s="1" t="s">
        <v>100</v>
      </c>
      <c r="S4745" s="13" t="s">
        <v>28</v>
      </c>
      <c r="AX4745" s="11"/>
      <c r="AY4745" s="11"/>
      <c r="AZ4745" s="11"/>
      <c r="BC4745" s="44"/>
      <c r="BD4745" s="44"/>
      <c r="BE4745" s="44"/>
      <c r="BF4745" s="44"/>
      <c r="BG4745" s="44"/>
      <c r="BH4745" s="44"/>
      <c r="BI4745" s="44"/>
      <c r="BJ4745" s="44"/>
    </row>
    <row r="4746" spans="1:62" ht="12" customHeight="1" x14ac:dyDescent="0.15">
      <c r="A4746" s="1" t="s">
        <v>15534</v>
      </c>
      <c r="B4746" s="1">
        <v>61</v>
      </c>
      <c r="C4746" s="1" t="s">
        <v>20</v>
      </c>
      <c r="D4746" s="1" t="s">
        <v>37</v>
      </c>
      <c r="E4746" s="1" t="s">
        <v>15535</v>
      </c>
      <c r="F4746" s="72">
        <v>41461</v>
      </c>
      <c r="G4746" s="1" t="s">
        <v>24558</v>
      </c>
      <c r="H4746" s="1" t="s">
        <v>1710</v>
      </c>
      <c r="I4746" s="1" t="s">
        <v>423</v>
      </c>
      <c r="J4746" s="4" t="s">
        <v>15536</v>
      </c>
      <c r="K4746" s="1" t="s">
        <v>1712</v>
      </c>
      <c r="L4746" s="1" t="s">
        <v>582</v>
      </c>
      <c r="M4746" s="1" t="s">
        <v>379</v>
      </c>
      <c r="N4746" s="1" t="s">
        <v>15537</v>
      </c>
      <c r="O4746" s="1" t="s">
        <v>1010</v>
      </c>
      <c r="P4746" s="1" t="s">
        <v>401</v>
      </c>
      <c r="Q4746" s="63" t="s">
        <v>15538</v>
      </c>
      <c r="R4746" s="1" t="s">
        <v>100</v>
      </c>
      <c r="S4746" s="13" t="s">
        <v>28</v>
      </c>
      <c r="BC4746" s="44"/>
      <c r="BD4746" s="44"/>
      <c r="BE4746" s="44"/>
      <c r="BF4746" s="44"/>
      <c r="BG4746" s="44"/>
      <c r="BH4746" s="44"/>
      <c r="BI4746" s="44"/>
      <c r="BJ4746" s="44"/>
    </row>
    <row r="4747" spans="1:62" ht="12" customHeight="1" x14ac:dyDescent="0.15">
      <c r="A4747" s="1" t="s">
        <v>15525</v>
      </c>
      <c r="B4747" s="1">
        <v>34</v>
      </c>
      <c r="C4747" s="1" t="s">
        <v>20</v>
      </c>
      <c r="D4747" s="1" t="s">
        <v>30</v>
      </c>
      <c r="F4747" s="72">
        <v>41461</v>
      </c>
      <c r="G4747" s="1" t="s">
        <v>15526</v>
      </c>
      <c r="H4747" s="1" t="s">
        <v>632</v>
      </c>
      <c r="I4747" s="1" t="s">
        <v>123</v>
      </c>
      <c r="J4747" s="4" t="s">
        <v>2804</v>
      </c>
      <c r="K4747" s="1" t="s">
        <v>633</v>
      </c>
      <c r="L4747" s="1" t="s">
        <v>634</v>
      </c>
      <c r="M4747" s="1" t="s">
        <v>27</v>
      </c>
      <c r="N4747" s="1" t="s">
        <v>15527</v>
      </c>
      <c r="O4747" s="1" t="s">
        <v>1010</v>
      </c>
      <c r="P4747" s="1" t="s">
        <v>401</v>
      </c>
      <c r="Q4747" s="63" t="s">
        <v>15528</v>
      </c>
      <c r="R4747" s="1" t="s">
        <v>555</v>
      </c>
      <c r="S4747" s="13" t="s">
        <v>28</v>
      </c>
      <c r="BA4747" s="11"/>
      <c r="BB4747" s="11"/>
    </row>
    <row r="4748" spans="1:62" ht="12" customHeight="1" x14ac:dyDescent="0.15">
      <c r="A4748" s="1" t="s">
        <v>15544</v>
      </c>
      <c r="B4748" s="1">
        <v>57</v>
      </c>
      <c r="C4748" s="1" t="s">
        <v>20</v>
      </c>
      <c r="D4748" s="1" t="s">
        <v>30</v>
      </c>
      <c r="F4748" s="72">
        <v>41460</v>
      </c>
      <c r="G4748" s="1" t="s">
        <v>15545</v>
      </c>
      <c r="H4748" s="1" t="s">
        <v>1862</v>
      </c>
      <c r="I4748" s="1" t="s">
        <v>370</v>
      </c>
      <c r="J4748" s="4" t="s">
        <v>15546</v>
      </c>
      <c r="K4748" s="1" t="s">
        <v>1864</v>
      </c>
      <c r="L4748" s="1" t="s">
        <v>1865</v>
      </c>
      <c r="M4748" s="1" t="s">
        <v>27</v>
      </c>
      <c r="N4748" s="1" t="s">
        <v>15547</v>
      </c>
      <c r="O4748" s="1" t="s">
        <v>550</v>
      </c>
      <c r="P4748" s="1" t="s">
        <v>401</v>
      </c>
      <c r="Q4748" s="63" t="s">
        <v>15548</v>
      </c>
      <c r="R4748" s="1" t="s">
        <v>100</v>
      </c>
      <c r="S4748" s="13" t="s">
        <v>28</v>
      </c>
    </row>
    <row r="4749" spans="1:62" ht="12" customHeight="1" x14ac:dyDescent="0.15">
      <c r="A4749" s="1" t="s">
        <v>15549</v>
      </c>
      <c r="B4749" s="1">
        <v>39</v>
      </c>
      <c r="C4749" s="1" t="s">
        <v>20</v>
      </c>
      <c r="D4749" s="1" t="s">
        <v>37</v>
      </c>
      <c r="E4749" s="1" t="s">
        <v>15550</v>
      </c>
      <c r="F4749" s="72">
        <v>41460</v>
      </c>
      <c r="G4749" s="1" t="s">
        <v>24559</v>
      </c>
      <c r="H4749" s="1" t="s">
        <v>5436</v>
      </c>
      <c r="I4749" s="1" t="s">
        <v>62</v>
      </c>
      <c r="J4749" s="4" t="s">
        <v>15551</v>
      </c>
      <c r="K4749" s="1" t="s">
        <v>5437</v>
      </c>
      <c r="L4749" s="1" t="s">
        <v>5438</v>
      </c>
      <c r="M4749" s="1" t="s">
        <v>27</v>
      </c>
      <c r="N4749" s="1" t="s">
        <v>15552</v>
      </c>
      <c r="O4749" s="1" t="s">
        <v>550</v>
      </c>
      <c r="P4749" s="1" t="s">
        <v>401</v>
      </c>
      <c r="Q4749" s="63" t="s">
        <v>15553</v>
      </c>
      <c r="R4749" s="1" t="s">
        <v>100</v>
      </c>
      <c r="S4749" s="13" t="s">
        <v>28</v>
      </c>
      <c r="AX4749" s="11"/>
      <c r="AY4749" s="11"/>
      <c r="AZ4749" s="11"/>
      <c r="BC4749" s="44"/>
      <c r="BD4749" s="44"/>
      <c r="BE4749" s="44"/>
      <c r="BF4749" s="44"/>
      <c r="BG4749" s="44"/>
      <c r="BH4749" s="44"/>
      <c r="BI4749" s="44"/>
      <c r="BJ4749" s="44"/>
    </row>
    <row r="4750" spans="1:62" ht="12" customHeight="1" x14ac:dyDescent="0.15">
      <c r="A4750" s="1" t="s">
        <v>15559</v>
      </c>
      <c r="B4750" s="1">
        <v>42</v>
      </c>
      <c r="C4750" s="1" t="s">
        <v>20</v>
      </c>
      <c r="D4750" s="1" t="s">
        <v>37</v>
      </c>
      <c r="F4750" s="72">
        <v>41460</v>
      </c>
      <c r="G4750" s="1" t="s">
        <v>15560</v>
      </c>
      <c r="H4750" s="1" t="s">
        <v>4573</v>
      </c>
      <c r="I4750" s="1" t="s">
        <v>854</v>
      </c>
      <c r="J4750" s="4" t="s">
        <v>15561</v>
      </c>
      <c r="K4750" s="1" t="s">
        <v>4575</v>
      </c>
      <c r="L4750" s="1" t="s">
        <v>5024</v>
      </c>
      <c r="M4750" s="1" t="s">
        <v>27</v>
      </c>
      <c r="N4750" s="1" t="s">
        <v>15562</v>
      </c>
      <c r="O4750" s="1" t="s">
        <v>550</v>
      </c>
      <c r="P4750" s="1" t="s">
        <v>401</v>
      </c>
      <c r="Q4750" s="63" t="s">
        <v>15563</v>
      </c>
      <c r="R4750" s="1" t="s">
        <v>100</v>
      </c>
      <c r="S4750" s="13" t="s">
        <v>28</v>
      </c>
      <c r="AX4750" s="11"/>
      <c r="AY4750" s="11"/>
      <c r="AZ4750" s="11"/>
      <c r="BC4750" s="44"/>
      <c r="BD4750" s="44"/>
      <c r="BE4750" s="44"/>
      <c r="BF4750" s="44"/>
      <c r="BG4750" s="44"/>
      <c r="BH4750" s="44"/>
      <c r="BI4750" s="44"/>
      <c r="BJ4750" s="44"/>
    </row>
    <row r="4751" spans="1:62" ht="12" customHeight="1" x14ac:dyDescent="0.15">
      <c r="A4751" s="1" t="s">
        <v>15539</v>
      </c>
      <c r="B4751" s="1" t="s">
        <v>15540</v>
      </c>
      <c r="C4751" s="1" t="s">
        <v>20</v>
      </c>
      <c r="D4751" s="1" t="s">
        <v>85</v>
      </c>
      <c r="E4751" s="1" t="s">
        <v>15541</v>
      </c>
      <c r="F4751" s="72">
        <v>41460</v>
      </c>
      <c r="G4751" s="1" t="s">
        <v>15542</v>
      </c>
      <c r="H4751" s="1" t="s">
        <v>922</v>
      </c>
      <c r="I4751" s="1" t="s">
        <v>195</v>
      </c>
      <c r="J4751" s="4" t="s">
        <v>4960</v>
      </c>
      <c r="K4751" s="1" t="s">
        <v>467</v>
      </c>
      <c r="L4751" s="1" t="s">
        <v>4961</v>
      </c>
      <c r="M4751" s="1" t="s">
        <v>27</v>
      </c>
      <c r="N4751" s="1" t="s">
        <v>15543</v>
      </c>
      <c r="O4751" s="1" t="s">
        <v>29</v>
      </c>
      <c r="P4751" s="1" t="s">
        <v>401</v>
      </c>
      <c r="Q4751" s="63" t="s">
        <v>10114</v>
      </c>
      <c r="R4751" s="1" t="s">
        <v>555</v>
      </c>
      <c r="S4751" s="13" t="s">
        <v>28</v>
      </c>
      <c r="AX4751" s="11"/>
      <c r="AY4751" s="11"/>
      <c r="BC4751" s="44"/>
      <c r="BD4751" s="44"/>
      <c r="BE4751" s="44"/>
      <c r="BF4751" s="44"/>
      <c r="BG4751" s="44"/>
      <c r="BH4751" s="44"/>
      <c r="BI4751" s="44"/>
      <c r="BJ4751" s="44"/>
    </row>
    <row r="4752" spans="1:62" ht="12" customHeight="1" x14ac:dyDescent="0.15">
      <c r="A4752" s="1" t="s">
        <v>15554</v>
      </c>
      <c r="B4752" s="1">
        <v>28</v>
      </c>
      <c r="C4752" s="1" t="s">
        <v>20</v>
      </c>
      <c r="D4752" s="1" t="s">
        <v>37</v>
      </c>
      <c r="E4752" s="1" t="s">
        <v>15555</v>
      </c>
      <c r="F4752" s="72">
        <v>41460</v>
      </c>
      <c r="G4752" s="1" t="s">
        <v>24560</v>
      </c>
      <c r="H4752" s="1" t="s">
        <v>1208</v>
      </c>
      <c r="I4752" s="1" t="s">
        <v>303</v>
      </c>
      <c r="J4752" s="4" t="s">
        <v>15556</v>
      </c>
      <c r="K4752" s="1" t="s">
        <v>1209</v>
      </c>
      <c r="L4752" s="1" t="s">
        <v>1210</v>
      </c>
      <c r="M4752" s="1" t="s">
        <v>27</v>
      </c>
      <c r="N4752" s="1" t="s">
        <v>15557</v>
      </c>
      <c r="O4752" s="1" t="s">
        <v>550</v>
      </c>
      <c r="P4752" s="1" t="s">
        <v>401</v>
      </c>
      <c r="Q4752" s="63" t="s">
        <v>15558</v>
      </c>
      <c r="R4752" s="1" t="s">
        <v>555</v>
      </c>
      <c r="S4752" s="13" t="s">
        <v>28</v>
      </c>
      <c r="AX4752" s="11"/>
      <c r="AY4752" s="11"/>
      <c r="AZ4752" s="11"/>
      <c r="BA4752" s="44"/>
      <c r="BB4752" s="44"/>
      <c r="BC4752" s="44"/>
      <c r="BD4752" s="44"/>
      <c r="BE4752" s="44"/>
      <c r="BF4752" s="44"/>
      <c r="BG4752" s="44"/>
      <c r="BH4752" s="44"/>
      <c r="BI4752" s="44"/>
      <c r="BJ4752" s="44"/>
    </row>
    <row r="4753" spans="1:62" ht="12" customHeight="1" x14ac:dyDescent="0.2">
      <c r="A4753" s="1" t="s">
        <v>15564</v>
      </c>
      <c r="B4753" s="1">
        <v>31</v>
      </c>
      <c r="C4753" s="1" t="s">
        <v>20</v>
      </c>
      <c r="D4753" s="1" t="s">
        <v>21</v>
      </c>
      <c r="F4753" s="72">
        <v>41459</v>
      </c>
      <c r="G4753" s="1" t="s">
        <v>15565</v>
      </c>
      <c r="H4753" s="1" t="s">
        <v>843</v>
      </c>
      <c r="I4753" s="1" t="s">
        <v>73</v>
      </c>
      <c r="J4753" s="4" t="s">
        <v>15566</v>
      </c>
      <c r="K4753" s="1" t="s">
        <v>74</v>
      </c>
      <c r="L4753" s="1" t="s">
        <v>844</v>
      </c>
      <c r="M4753" s="1" t="s">
        <v>27</v>
      </c>
      <c r="N4753" s="1" t="s">
        <v>15567</v>
      </c>
      <c r="O4753" s="1" t="s">
        <v>550</v>
      </c>
      <c r="P4753" s="1" t="s">
        <v>401</v>
      </c>
      <c r="Q4753" s="63" t="s">
        <v>15568</v>
      </c>
      <c r="R4753" s="1" t="s">
        <v>100</v>
      </c>
      <c r="S4753" s="13" t="s">
        <v>28</v>
      </c>
      <c r="AX4753" s="70"/>
      <c r="AY4753" s="70"/>
      <c r="BC4753" s="70"/>
      <c r="BD4753" s="70"/>
      <c r="BE4753" s="70"/>
      <c r="BF4753" s="70"/>
      <c r="BG4753" s="70"/>
      <c r="BH4753" s="70"/>
      <c r="BI4753" s="70"/>
      <c r="BJ4753" s="70"/>
    </row>
    <row r="4754" spans="1:62" ht="12" customHeight="1" x14ac:dyDescent="0.15">
      <c r="A4754" s="1" t="s">
        <v>15574</v>
      </c>
      <c r="B4754" s="1">
        <v>37</v>
      </c>
      <c r="C4754" s="1" t="s">
        <v>20</v>
      </c>
      <c r="D4754" s="1" t="s">
        <v>85</v>
      </c>
      <c r="E4754" s="1" t="s">
        <v>15575</v>
      </c>
      <c r="F4754" s="72">
        <v>41459</v>
      </c>
      <c r="G4754" s="1" t="s">
        <v>15576</v>
      </c>
      <c r="H4754" s="1" t="s">
        <v>6305</v>
      </c>
      <c r="I4754" s="1" t="s">
        <v>45</v>
      </c>
      <c r="J4754" s="4" t="s">
        <v>6306</v>
      </c>
      <c r="K4754" s="1" t="s">
        <v>783</v>
      </c>
      <c r="L4754" s="1" t="s">
        <v>6307</v>
      </c>
      <c r="M4754" s="1" t="s">
        <v>27</v>
      </c>
      <c r="N4754" s="1" t="s">
        <v>15577</v>
      </c>
      <c r="O4754" s="1" t="s">
        <v>4684</v>
      </c>
      <c r="P4754" s="1" t="s">
        <v>401</v>
      </c>
      <c r="Q4754" s="63" t="s">
        <v>15578</v>
      </c>
      <c r="R4754" s="1" t="s">
        <v>100</v>
      </c>
      <c r="S4754" s="13" t="s">
        <v>28</v>
      </c>
      <c r="AX4754" s="11"/>
      <c r="AY4754" s="11"/>
      <c r="BC4754" s="11"/>
      <c r="BD4754" s="11"/>
      <c r="BE4754" s="11"/>
      <c r="BF4754" s="11"/>
      <c r="BG4754" s="11"/>
      <c r="BH4754" s="11"/>
      <c r="BI4754" s="11"/>
      <c r="BJ4754" s="11"/>
    </row>
    <row r="4755" spans="1:62" ht="12" customHeight="1" x14ac:dyDescent="0.15">
      <c r="A4755" s="1" t="s">
        <v>15569</v>
      </c>
      <c r="B4755" s="1">
        <v>17</v>
      </c>
      <c r="C4755" s="1" t="s">
        <v>20</v>
      </c>
      <c r="D4755" s="1" t="s">
        <v>85</v>
      </c>
      <c r="E4755" s="1" t="s">
        <v>15570</v>
      </c>
      <c r="F4755" s="72">
        <v>41459</v>
      </c>
      <c r="G4755" s="1" t="s">
        <v>24561</v>
      </c>
      <c r="H4755" s="1" t="s">
        <v>87</v>
      </c>
      <c r="I4755" s="1" t="s">
        <v>44</v>
      </c>
      <c r="J4755" s="4" t="s">
        <v>15571</v>
      </c>
      <c r="K4755" s="1" t="s">
        <v>88</v>
      </c>
      <c r="L4755" s="1" t="s">
        <v>89</v>
      </c>
      <c r="M4755" s="1" t="s">
        <v>27</v>
      </c>
      <c r="N4755" s="1" t="s">
        <v>15572</v>
      </c>
      <c r="O4755" s="1" t="s">
        <v>4684</v>
      </c>
      <c r="P4755" s="1" t="s">
        <v>401</v>
      </c>
      <c r="Q4755" s="63" t="s">
        <v>15573</v>
      </c>
      <c r="R4755" s="1" t="s">
        <v>100</v>
      </c>
      <c r="S4755" s="13" t="s">
        <v>28</v>
      </c>
      <c r="AX4755" s="11"/>
      <c r="AY4755" s="11"/>
      <c r="BC4755" s="44"/>
      <c r="BD4755" s="44"/>
      <c r="BE4755" s="44"/>
      <c r="BF4755" s="44"/>
      <c r="BG4755" s="44"/>
      <c r="BH4755" s="44"/>
      <c r="BI4755" s="44"/>
      <c r="BJ4755" s="44"/>
    </row>
    <row r="4756" spans="1:62" ht="12" customHeight="1" x14ac:dyDescent="0.15">
      <c r="A4756" s="1" t="s">
        <v>15585</v>
      </c>
      <c r="B4756" s="1">
        <v>53</v>
      </c>
      <c r="C4756" s="1" t="s">
        <v>20</v>
      </c>
      <c r="D4756" s="1" t="s">
        <v>48</v>
      </c>
      <c r="F4756" s="72">
        <v>41459</v>
      </c>
      <c r="G4756" s="1" t="s">
        <v>15586</v>
      </c>
      <c r="H4756" s="1" t="s">
        <v>15587</v>
      </c>
      <c r="I4756" s="1" t="s">
        <v>57</v>
      </c>
      <c r="J4756" s="4" t="s">
        <v>15588</v>
      </c>
      <c r="K4756" s="1" t="s">
        <v>15589</v>
      </c>
      <c r="L4756" s="1" t="s">
        <v>15590</v>
      </c>
      <c r="M4756" s="1" t="s">
        <v>27</v>
      </c>
      <c r="N4756" s="1" t="s">
        <v>15591</v>
      </c>
      <c r="O4756" s="1" t="s">
        <v>4684</v>
      </c>
      <c r="P4756" s="1" t="s">
        <v>401</v>
      </c>
      <c r="Q4756" s="63" t="s">
        <v>15592</v>
      </c>
      <c r="R4756" s="1" t="s">
        <v>100</v>
      </c>
      <c r="S4756" s="13" t="s">
        <v>28</v>
      </c>
    </row>
    <row r="4757" spans="1:62" ht="12" customHeight="1" x14ac:dyDescent="0.15">
      <c r="A4757" s="1" t="s">
        <v>15579</v>
      </c>
      <c r="B4757" s="1">
        <v>39</v>
      </c>
      <c r="C4757" s="1" t="s">
        <v>20</v>
      </c>
      <c r="D4757" s="1" t="s">
        <v>48</v>
      </c>
      <c r="E4757" s="1" t="s">
        <v>15580</v>
      </c>
      <c r="F4757" s="72">
        <v>41459</v>
      </c>
      <c r="G4757" s="1" t="s">
        <v>15581</v>
      </c>
      <c r="H4757" s="1" t="s">
        <v>754</v>
      </c>
      <c r="I4757" s="1" t="s">
        <v>423</v>
      </c>
      <c r="J4757" s="4" t="s">
        <v>15582</v>
      </c>
      <c r="K4757" s="1" t="s">
        <v>754</v>
      </c>
      <c r="L4757" s="1" t="s">
        <v>582</v>
      </c>
      <c r="M4757" s="1" t="s">
        <v>14359</v>
      </c>
      <c r="N4757" s="1" t="s">
        <v>15583</v>
      </c>
      <c r="O4757" s="1" t="s">
        <v>400</v>
      </c>
      <c r="P4757" s="1" t="s">
        <v>401</v>
      </c>
      <c r="Q4757" s="63" t="s">
        <v>15584</v>
      </c>
      <c r="R4757" s="1" t="s">
        <v>100</v>
      </c>
      <c r="S4757" s="13" t="s">
        <v>28</v>
      </c>
    </row>
    <row r="4758" spans="1:62" ht="12" customHeight="1" x14ac:dyDescent="0.15">
      <c r="A4758" s="1" t="s">
        <v>15593</v>
      </c>
      <c r="B4758" s="1">
        <v>25</v>
      </c>
      <c r="C4758" s="1" t="s">
        <v>20</v>
      </c>
      <c r="D4758" s="1" t="s">
        <v>30</v>
      </c>
      <c r="F4758" s="72">
        <v>41459</v>
      </c>
      <c r="G4758" s="1" t="s">
        <v>15594</v>
      </c>
      <c r="H4758" s="1" t="s">
        <v>1060</v>
      </c>
      <c r="I4758" s="1" t="s">
        <v>62</v>
      </c>
      <c r="J4758" s="4" t="s">
        <v>15595</v>
      </c>
      <c r="K4758" s="1" t="s">
        <v>1061</v>
      </c>
      <c r="L4758" s="1" t="s">
        <v>1062</v>
      </c>
      <c r="M4758" s="1" t="s">
        <v>379</v>
      </c>
      <c r="N4758" s="1" t="s">
        <v>15596</v>
      </c>
      <c r="O4758" s="1" t="s">
        <v>1010</v>
      </c>
      <c r="P4758" s="1" t="s">
        <v>401</v>
      </c>
      <c r="Q4758" s="63" t="s">
        <v>15597</v>
      </c>
      <c r="R4758" s="1" t="s">
        <v>100</v>
      </c>
      <c r="S4758" s="13" t="s">
        <v>28</v>
      </c>
    </row>
    <row r="4759" spans="1:62" ht="12" customHeight="1" x14ac:dyDescent="0.15">
      <c r="A4759" s="1" t="s">
        <v>15621</v>
      </c>
      <c r="B4759" s="1">
        <v>34</v>
      </c>
      <c r="C4759" s="1" t="s">
        <v>20</v>
      </c>
      <c r="D4759" s="1" t="s">
        <v>37</v>
      </c>
      <c r="E4759" s="1" t="s">
        <v>15622</v>
      </c>
      <c r="F4759" s="72">
        <v>41458</v>
      </c>
      <c r="G4759" s="1" t="s">
        <v>15623</v>
      </c>
      <c r="H4759" s="1" t="s">
        <v>15624</v>
      </c>
      <c r="I4759" s="1" t="s">
        <v>978</v>
      </c>
      <c r="J4759" s="4" t="s">
        <v>15625</v>
      </c>
      <c r="K4759" s="1" t="s">
        <v>15626</v>
      </c>
      <c r="L4759" s="1" t="s">
        <v>15627</v>
      </c>
      <c r="M4759" s="1" t="s">
        <v>27</v>
      </c>
      <c r="N4759" s="1" t="s">
        <v>15628</v>
      </c>
      <c r="O4759" s="1" t="s">
        <v>4684</v>
      </c>
      <c r="P4759" s="1" t="s">
        <v>401</v>
      </c>
      <c r="Q4759" s="63" t="s">
        <v>15629</v>
      </c>
      <c r="R4759" s="1" t="s">
        <v>100</v>
      </c>
      <c r="S4759" s="13" t="s">
        <v>28</v>
      </c>
      <c r="AX4759" s="44"/>
      <c r="AY4759" s="44"/>
      <c r="AZ4759" s="44"/>
      <c r="BC4759" s="44"/>
      <c r="BD4759" s="44"/>
      <c r="BE4759" s="44"/>
      <c r="BF4759" s="44"/>
      <c r="BG4759" s="44"/>
      <c r="BH4759" s="44"/>
      <c r="BI4759" s="44"/>
      <c r="BJ4759" s="44"/>
    </row>
    <row r="4760" spans="1:62" ht="12" customHeight="1" x14ac:dyDescent="0.15">
      <c r="A4760" s="1" t="s">
        <v>15614</v>
      </c>
      <c r="B4760" s="1">
        <v>23</v>
      </c>
      <c r="C4760" s="1" t="s">
        <v>20</v>
      </c>
      <c r="D4760" s="1" t="s">
        <v>37</v>
      </c>
      <c r="E4760" s="1" t="s">
        <v>15615</v>
      </c>
      <c r="F4760" s="72">
        <v>41458</v>
      </c>
      <c r="G4760" s="1" t="s">
        <v>15616</v>
      </c>
      <c r="H4760" s="1" t="s">
        <v>1061</v>
      </c>
      <c r="I4760" s="1" t="s">
        <v>46</v>
      </c>
      <c r="J4760" s="4" t="s">
        <v>15617</v>
      </c>
      <c r="K4760" s="1" t="s">
        <v>1288</v>
      </c>
      <c r="L4760" s="1" t="s">
        <v>15618</v>
      </c>
      <c r="M4760" s="1" t="s">
        <v>27</v>
      </c>
      <c r="N4760" s="1" t="s">
        <v>15619</v>
      </c>
      <c r="O4760" s="1" t="s">
        <v>550</v>
      </c>
      <c r="P4760" s="1" t="s">
        <v>401</v>
      </c>
      <c r="Q4760" s="63" t="s">
        <v>15620</v>
      </c>
      <c r="R4760" s="1" t="s">
        <v>100</v>
      </c>
      <c r="S4760" s="13" t="s">
        <v>28</v>
      </c>
      <c r="AX4760" s="11"/>
      <c r="AY4760" s="11"/>
      <c r="AZ4760" s="11"/>
      <c r="BC4760" s="44"/>
      <c r="BD4760" s="44"/>
      <c r="BE4760" s="44"/>
      <c r="BF4760" s="44"/>
      <c r="BG4760" s="44"/>
      <c r="BH4760" s="44"/>
      <c r="BI4760" s="44"/>
      <c r="BJ4760" s="44"/>
    </row>
    <row r="4761" spans="1:62" ht="12" customHeight="1" x14ac:dyDescent="0.15">
      <c r="A4761" s="1" t="s">
        <v>15606</v>
      </c>
      <c r="B4761" s="1">
        <v>26</v>
      </c>
      <c r="C4761" s="1" t="s">
        <v>20</v>
      </c>
      <c r="D4761" s="1" t="s">
        <v>37</v>
      </c>
      <c r="E4761" s="1" t="s">
        <v>15607</v>
      </c>
      <c r="F4761" s="72">
        <v>41458</v>
      </c>
      <c r="G4761" s="1" t="s">
        <v>15608</v>
      </c>
      <c r="H4761" s="1" t="s">
        <v>15609</v>
      </c>
      <c r="I4761" s="1" t="s">
        <v>4371</v>
      </c>
      <c r="J4761" s="4" t="s">
        <v>15610</v>
      </c>
      <c r="K4761" s="1" t="s">
        <v>118</v>
      </c>
      <c r="L4761" s="1" t="s">
        <v>15611</v>
      </c>
      <c r="M4761" s="1" t="s">
        <v>27</v>
      </c>
      <c r="N4761" s="1" t="s">
        <v>15612</v>
      </c>
      <c r="O4761" s="1" t="s">
        <v>550</v>
      </c>
      <c r="P4761" s="1" t="s">
        <v>401</v>
      </c>
      <c r="Q4761" s="63" t="s">
        <v>15613</v>
      </c>
      <c r="R4761" s="1" t="s">
        <v>100</v>
      </c>
      <c r="S4761" s="13" t="s">
        <v>28</v>
      </c>
      <c r="AX4761" s="11"/>
      <c r="AY4761" s="11"/>
      <c r="AZ4761" s="11"/>
      <c r="BC4761" s="44"/>
      <c r="BD4761" s="44"/>
      <c r="BE4761" s="44"/>
      <c r="BF4761" s="44"/>
      <c r="BG4761" s="44"/>
      <c r="BH4761" s="44"/>
      <c r="BI4761" s="44"/>
      <c r="BJ4761" s="44"/>
    </row>
    <row r="4762" spans="1:62" ht="12" customHeight="1" x14ac:dyDescent="0.15">
      <c r="A4762" s="1" t="s">
        <v>15598</v>
      </c>
      <c r="B4762" s="1">
        <v>30</v>
      </c>
      <c r="C4762" s="1" t="s">
        <v>20</v>
      </c>
      <c r="D4762" s="1" t="s">
        <v>37</v>
      </c>
      <c r="F4762" s="72">
        <v>41458</v>
      </c>
      <c r="G4762" s="1" t="s">
        <v>15599</v>
      </c>
      <c r="H4762" s="1" t="s">
        <v>15600</v>
      </c>
      <c r="I4762" s="1" t="s">
        <v>69</v>
      </c>
      <c r="J4762" s="4" t="s">
        <v>15601</v>
      </c>
      <c r="K4762" s="1" t="s">
        <v>15602</v>
      </c>
      <c r="L4762" s="1" t="s">
        <v>15603</v>
      </c>
      <c r="M4762" s="1" t="s">
        <v>27</v>
      </c>
      <c r="N4762" s="1" t="s">
        <v>15604</v>
      </c>
      <c r="O4762" s="1" t="s">
        <v>400</v>
      </c>
      <c r="P4762" s="1" t="s">
        <v>401</v>
      </c>
      <c r="Q4762" s="63" t="s">
        <v>15605</v>
      </c>
      <c r="R4762" s="1" t="s">
        <v>555</v>
      </c>
      <c r="S4762" s="13" t="s">
        <v>28</v>
      </c>
      <c r="AX4762" s="11"/>
      <c r="AY4762" s="11"/>
      <c r="AZ4762" s="11"/>
      <c r="BA4762" s="44"/>
      <c r="BB4762" s="44"/>
      <c r="BC4762" s="44"/>
      <c r="BD4762" s="44"/>
      <c r="BE4762" s="44"/>
      <c r="BF4762" s="44"/>
      <c r="BG4762" s="44"/>
      <c r="BH4762" s="44"/>
      <c r="BI4762" s="44"/>
      <c r="BJ4762" s="44"/>
    </row>
    <row r="4763" spans="1:62" ht="12" customHeight="1" x14ac:dyDescent="0.15">
      <c r="A4763" s="1" t="s">
        <v>15645</v>
      </c>
      <c r="B4763" s="1" t="s">
        <v>13492</v>
      </c>
      <c r="C4763" s="1" t="s">
        <v>20</v>
      </c>
      <c r="D4763" s="1" t="s">
        <v>37</v>
      </c>
      <c r="F4763" s="72">
        <v>41457</v>
      </c>
      <c r="G4763" s="1" t="s">
        <v>15646</v>
      </c>
      <c r="H4763" s="1" t="s">
        <v>9270</v>
      </c>
      <c r="I4763" s="1" t="s">
        <v>46</v>
      </c>
      <c r="J4763" s="4" t="s">
        <v>15647</v>
      </c>
      <c r="K4763" s="1" t="s">
        <v>42</v>
      </c>
      <c r="L4763" s="1" t="s">
        <v>21197</v>
      </c>
      <c r="M4763" s="1" t="s">
        <v>27</v>
      </c>
      <c r="N4763" s="1" t="s">
        <v>15648</v>
      </c>
      <c r="O4763" s="1" t="s">
        <v>550</v>
      </c>
      <c r="P4763" s="1" t="s">
        <v>401</v>
      </c>
      <c r="Q4763" s="63" t="s">
        <v>15649</v>
      </c>
      <c r="R4763" s="11" t="s">
        <v>964</v>
      </c>
      <c r="S4763" s="13" t="s">
        <v>28</v>
      </c>
      <c r="AX4763" s="11"/>
      <c r="AY4763" s="11"/>
      <c r="AZ4763" s="11"/>
      <c r="BC4763" s="44"/>
      <c r="BD4763" s="44"/>
      <c r="BE4763" s="44"/>
      <c r="BF4763" s="44"/>
      <c r="BG4763" s="44"/>
      <c r="BH4763" s="44"/>
      <c r="BI4763" s="44"/>
      <c r="BJ4763" s="44"/>
    </row>
    <row r="4764" spans="1:62" ht="12" customHeight="1" x14ac:dyDescent="0.15">
      <c r="A4764" s="1" t="s">
        <v>15630</v>
      </c>
      <c r="B4764" s="1">
        <v>37</v>
      </c>
      <c r="C4764" s="1" t="s">
        <v>20</v>
      </c>
      <c r="D4764" s="1" t="s">
        <v>48</v>
      </c>
      <c r="E4764" s="1" t="s">
        <v>15631</v>
      </c>
      <c r="F4764" s="72">
        <v>41457</v>
      </c>
      <c r="G4764" s="1" t="s">
        <v>24563</v>
      </c>
      <c r="H4764" s="1" t="s">
        <v>971</v>
      </c>
      <c r="I4764" s="1" t="s">
        <v>195</v>
      </c>
      <c r="J4764" s="4" t="s">
        <v>7133</v>
      </c>
      <c r="K4764" s="1" t="s">
        <v>972</v>
      </c>
      <c r="L4764" s="1" t="s">
        <v>7134</v>
      </c>
      <c r="M4764" s="1" t="s">
        <v>27</v>
      </c>
      <c r="N4764" s="1" t="s">
        <v>15632</v>
      </c>
      <c r="O4764" s="1" t="s">
        <v>4684</v>
      </c>
      <c r="P4764" s="1" t="s">
        <v>401</v>
      </c>
      <c r="Q4764" s="63" t="s">
        <v>15633</v>
      </c>
      <c r="R4764" s="1" t="s">
        <v>100</v>
      </c>
      <c r="S4764" s="13" t="s">
        <v>28</v>
      </c>
    </row>
    <row r="4765" spans="1:62" ht="12" customHeight="1" x14ac:dyDescent="0.15">
      <c r="A4765" s="1" t="s">
        <v>15634</v>
      </c>
      <c r="B4765" s="1">
        <v>54</v>
      </c>
      <c r="C4765" s="1" t="s">
        <v>114</v>
      </c>
      <c r="D4765" s="1" t="s">
        <v>30</v>
      </c>
      <c r="F4765" s="72">
        <v>41457</v>
      </c>
      <c r="G4765" s="1" t="s">
        <v>24562</v>
      </c>
      <c r="H4765" s="1" t="s">
        <v>15635</v>
      </c>
      <c r="I4765" s="1" t="s">
        <v>117</v>
      </c>
      <c r="J4765" s="4" t="s">
        <v>15636</v>
      </c>
      <c r="K4765" s="1" t="s">
        <v>12908</v>
      </c>
      <c r="L4765" s="1" t="s">
        <v>15637</v>
      </c>
      <c r="M4765" s="1" t="s">
        <v>27</v>
      </c>
      <c r="N4765" s="1" t="s">
        <v>15638</v>
      </c>
      <c r="O4765" s="1" t="s">
        <v>550</v>
      </c>
      <c r="P4765" s="1" t="s">
        <v>401</v>
      </c>
      <c r="Q4765" s="63" t="s">
        <v>15639</v>
      </c>
      <c r="R4765" s="1" t="s">
        <v>100</v>
      </c>
      <c r="S4765" s="13" t="s">
        <v>28</v>
      </c>
    </row>
    <row r="4766" spans="1:62" ht="12" customHeight="1" x14ac:dyDescent="0.15">
      <c r="A4766" s="1" t="s">
        <v>15640</v>
      </c>
      <c r="B4766" s="1">
        <v>33</v>
      </c>
      <c r="C4766" s="1" t="s">
        <v>20</v>
      </c>
      <c r="D4766" s="1" t="s">
        <v>30</v>
      </c>
      <c r="F4766" s="72">
        <v>41457</v>
      </c>
      <c r="G4766" s="1" t="s">
        <v>15641</v>
      </c>
      <c r="H4766" s="1" t="s">
        <v>8718</v>
      </c>
      <c r="I4766" s="1" t="s">
        <v>45</v>
      </c>
      <c r="J4766" s="4" t="s">
        <v>15642</v>
      </c>
      <c r="K4766" s="1" t="s">
        <v>602</v>
      </c>
      <c r="L4766" s="1" t="s">
        <v>8720</v>
      </c>
      <c r="M4766" s="1" t="s">
        <v>14359</v>
      </c>
      <c r="N4766" s="1" t="s">
        <v>15643</v>
      </c>
      <c r="O4766" s="1" t="s">
        <v>1010</v>
      </c>
      <c r="P4766" s="1" t="s">
        <v>401</v>
      </c>
      <c r="Q4766" s="63" t="s">
        <v>15644</v>
      </c>
      <c r="R4766" s="1" t="s">
        <v>100</v>
      </c>
      <c r="S4766" s="13" t="s">
        <v>28</v>
      </c>
    </row>
    <row r="4767" spans="1:62" ht="12" customHeight="1" x14ac:dyDescent="0.15">
      <c r="A4767" s="1" t="s">
        <v>15658</v>
      </c>
      <c r="B4767" s="1" t="s">
        <v>15659</v>
      </c>
      <c r="C4767" s="1" t="s">
        <v>20</v>
      </c>
      <c r="D4767" s="1" t="s">
        <v>30</v>
      </c>
      <c r="F4767" s="72">
        <v>41456</v>
      </c>
      <c r="G4767" s="1" t="s">
        <v>24564</v>
      </c>
      <c r="H4767" s="1" t="s">
        <v>1192</v>
      </c>
      <c r="I4767" s="1" t="s">
        <v>319</v>
      </c>
      <c r="J4767" s="4">
        <v>38117</v>
      </c>
      <c r="K4767" s="1" t="s">
        <v>1193</v>
      </c>
      <c r="L4767" s="1" t="s">
        <v>1194</v>
      </c>
      <c r="M4767" s="1" t="s">
        <v>27</v>
      </c>
      <c r="N4767" s="1" t="s">
        <v>15660</v>
      </c>
      <c r="O4767" s="1" t="s">
        <v>29</v>
      </c>
      <c r="P4767" s="1" t="s">
        <v>401</v>
      </c>
      <c r="Q4767" s="63" t="s">
        <v>15661</v>
      </c>
      <c r="R4767" s="1" t="s">
        <v>555</v>
      </c>
      <c r="S4767" s="13" t="s">
        <v>28</v>
      </c>
      <c r="BA4767" s="11"/>
      <c r="BB4767" s="11"/>
    </row>
    <row r="4768" spans="1:62" ht="12" customHeight="1" x14ac:dyDescent="0.15">
      <c r="A4768" s="1" t="s">
        <v>15650</v>
      </c>
      <c r="B4768" s="1">
        <v>76</v>
      </c>
      <c r="C4768" s="1" t="s">
        <v>20</v>
      </c>
      <c r="D4768" s="1" t="s">
        <v>30</v>
      </c>
      <c r="F4768" s="72">
        <v>41456</v>
      </c>
      <c r="G4768" s="1" t="s">
        <v>15651</v>
      </c>
      <c r="H4768" s="1" t="s">
        <v>15652</v>
      </c>
      <c r="I4768" s="1" t="s">
        <v>438</v>
      </c>
      <c r="J4768" s="4" t="s">
        <v>15653</v>
      </c>
      <c r="K4768" s="1" t="s">
        <v>15654</v>
      </c>
      <c r="L4768" s="1" t="s">
        <v>15655</v>
      </c>
      <c r="M4768" s="1" t="s">
        <v>27</v>
      </c>
      <c r="N4768" s="1" t="s">
        <v>15656</v>
      </c>
      <c r="O4768" s="1" t="s">
        <v>4684</v>
      </c>
      <c r="P4768" s="1" t="s">
        <v>401</v>
      </c>
      <c r="Q4768" s="63" t="s">
        <v>15657</v>
      </c>
      <c r="R4768" s="1" t="s">
        <v>555</v>
      </c>
      <c r="S4768" s="13" t="s">
        <v>28</v>
      </c>
      <c r="BA4768" s="11"/>
      <c r="BB4768" s="11"/>
    </row>
    <row r="4769" spans="1:62" ht="12" customHeight="1" x14ac:dyDescent="0.15">
      <c r="A4769" s="1" t="s">
        <v>15662</v>
      </c>
      <c r="B4769" s="1">
        <v>39</v>
      </c>
      <c r="C4769" s="1" t="s">
        <v>20</v>
      </c>
      <c r="D4769" s="1" t="s">
        <v>85</v>
      </c>
      <c r="E4769" s="1" t="s">
        <v>15663</v>
      </c>
      <c r="F4769" s="72">
        <v>41455</v>
      </c>
      <c r="G4769" s="1" t="s">
        <v>15664</v>
      </c>
      <c r="H4769" s="1" t="s">
        <v>1647</v>
      </c>
      <c r="I4769" s="1" t="s">
        <v>173</v>
      </c>
      <c r="J4769" s="4" t="s">
        <v>1648</v>
      </c>
      <c r="K4769" s="1" t="s">
        <v>874</v>
      </c>
      <c r="L4769" s="1" t="s">
        <v>1649</v>
      </c>
      <c r="M4769" s="1" t="s">
        <v>391</v>
      </c>
      <c r="N4769" s="1" t="s">
        <v>15665</v>
      </c>
      <c r="O4769" s="1" t="s">
        <v>1010</v>
      </c>
      <c r="P4769" s="1" t="s">
        <v>401</v>
      </c>
      <c r="Q4769" s="63" t="s">
        <v>15666</v>
      </c>
      <c r="R4769" s="1" t="s">
        <v>100</v>
      </c>
      <c r="S4769" s="13" t="s">
        <v>28</v>
      </c>
      <c r="AU4769" s="11"/>
      <c r="AV4769" s="11"/>
      <c r="AW4769" s="11"/>
      <c r="AX4769" s="44"/>
      <c r="AY4769" s="44"/>
      <c r="BC4769" s="11"/>
      <c r="BD4769" s="11"/>
      <c r="BE4769" s="11"/>
      <c r="BF4769" s="11"/>
      <c r="BG4769" s="11"/>
      <c r="BH4769" s="11"/>
      <c r="BI4769" s="11"/>
      <c r="BJ4769" s="11"/>
    </row>
    <row r="4770" spans="1:62" ht="12" customHeight="1" x14ac:dyDescent="0.15">
      <c r="A4770" s="1" t="s">
        <v>4641</v>
      </c>
      <c r="B4770" s="1">
        <v>34</v>
      </c>
      <c r="C4770" s="1" t="s">
        <v>20</v>
      </c>
      <c r="D4770" s="1" t="s">
        <v>48</v>
      </c>
      <c r="F4770" s="72">
        <v>41455</v>
      </c>
      <c r="G4770" s="1" t="s">
        <v>24565</v>
      </c>
      <c r="H4770" s="1" t="s">
        <v>15667</v>
      </c>
      <c r="I4770" s="1" t="s">
        <v>45</v>
      </c>
      <c r="J4770" s="4" t="s">
        <v>15668</v>
      </c>
      <c r="K4770" s="1" t="s">
        <v>98</v>
      </c>
      <c r="L4770" s="1" t="s">
        <v>99</v>
      </c>
      <c r="M4770" s="1" t="s">
        <v>27</v>
      </c>
      <c r="N4770" s="1" t="s">
        <v>15669</v>
      </c>
      <c r="O4770" s="1" t="s">
        <v>1010</v>
      </c>
      <c r="P4770" s="1" t="s">
        <v>401</v>
      </c>
      <c r="Q4770" s="63" t="s">
        <v>15670</v>
      </c>
      <c r="R4770" s="1" t="s">
        <v>100</v>
      </c>
      <c r="S4770" s="13" t="s">
        <v>28</v>
      </c>
    </row>
    <row r="4771" spans="1:62" ht="12" customHeight="1" x14ac:dyDescent="0.15">
      <c r="A4771" s="1" t="s">
        <v>15671</v>
      </c>
      <c r="B4771" s="1">
        <v>21</v>
      </c>
      <c r="C4771" s="1" t="s">
        <v>20</v>
      </c>
      <c r="D4771" s="1" t="s">
        <v>85</v>
      </c>
      <c r="E4771" s="1" t="s">
        <v>15672</v>
      </c>
      <c r="F4771" s="72">
        <v>41454</v>
      </c>
      <c r="G4771" s="1" t="s">
        <v>15673</v>
      </c>
      <c r="H4771" s="1" t="s">
        <v>15301</v>
      </c>
      <c r="I4771" s="1" t="s">
        <v>45</v>
      </c>
      <c r="J4771" s="4" t="s">
        <v>15674</v>
      </c>
      <c r="K4771" s="1" t="s">
        <v>3423</v>
      </c>
      <c r="L4771" s="1" t="s">
        <v>15303</v>
      </c>
      <c r="M4771" s="1" t="s">
        <v>27</v>
      </c>
      <c r="N4771" s="1" t="s">
        <v>15675</v>
      </c>
      <c r="O4771" s="1" t="s">
        <v>1010</v>
      </c>
      <c r="P4771" s="1" t="s">
        <v>401</v>
      </c>
      <c r="Q4771" s="63" t="s">
        <v>15676</v>
      </c>
      <c r="R4771" s="1" t="s">
        <v>100</v>
      </c>
      <c r="S4771" s="13" t="s">
        <v>28</v>
      </c>
      <c r="AX4771" s="11"/>
      <c r="AY4771" s="11"/>
      <c r="BC4771" s="44"/>
      <c r="BD4771" s="44"/>
      <c r="BE4771" s="44"/>
      <c r="BF4771" s="44"/>
      <c r="BG4771" s="44"/>
      <c r="BH4771" s="44"/>
      <c r="BI4771" s="44"/>
      <c r="BJ4771" s="44"/>
    </row>
    <row r="4772" spans="1:62" ht="12" customHeight="1" x14ac:dyDescent="0.2">
      <c r="A4772" s="66" t="s">
        <v>30713</v>
      </c>
      <c r="B4772" s="66">
        <v>62</v>
      </c>
      <c r="C4772" s="66" t="s">
        <v>20</v>
      </c>
      <c r="D4772" s="66" t="s">
        <v>48</v>
      </c>
      <c r="E4772" s="66"/>
      <c r="F4772" s="69">
        <v>41454</v>
      </c>
      <c r="G4772" s="66"/>
      <c r="H4772" s="66" t="s">
        <v>213</v>
      </c>
      <c r="I4772" s="66" t="s">
        <v>62</v>
      </c>
      <c r="J4772" s="66"/>
      <c r="K4772" s="66" t="s">
        <v>161</v>
      </c>
      <c r="L4772" s="66" t="s">
        <v>162</v>
      </c>
      <c r="M4772" s="66" t="s">
        <v>27</v>
      </c>
      <c r="N4772" s="66" t="s">
        <v>30714</v>
      </c>
      <c r="O4772" s="66" t="s">
        <v>1010</v>
      </c>
      <c r="P4772" s="66" t="s">
        <v>30375</v>
      </c>
      <c r="Q4772" s="76" t="s">
        <v>30715</v>
      </c>
      <c r="R4772" s="66" t="s">
        <v>100</v>
      </c>
      <c r="S4772" s="66" t="s">
        <v>28</v>
      </c>
      <c r="T4772" s="77"/>
      <c r="U4772" s="77"/>
      <c r="V4772" s="77"/>
      <c r="W4772" s="77"/>
      <c r="X4772" s="77"/>
      <c r="Y4772" s="66"/>
      <c r="Z4772" s="66"/>
      <c r="AA4772" s="66"/>
      <c r="AB4772" s="66"/>
      <c r="AC4772" s="66"/>
      <c r="AD4772" s="66"/>
      <c r="AE4772" s="66"/>
      <c r="AF4772" s="66"/>
      <c r="AG4772" s="66"/>
      <c r="AH4772" s="66"/>
      <c r="AI4772" s="66"/>
      <c r="AJ4772" s="66"/>
      <c r="AK4772" s="66"/>
      <c r="AL4772" s="66"/>
      <c r="AM4772" s="66"/>
      <c r="AN4772" s="66"/>
      <c r="AO4772" s="66"/>
      <c r="AP4772" s="66"/>
      <c r="AQ4772" s="66"/>
      <c r="AR4772" s="66"/>
      <c r="AS4772" s="66"/>
      <c r="AT4772" s="66"/>
      <c r="AU4772" s="66"/>
      <c r="AV4772" s="78"/>
      <c r="AW4772" s="78"/>
      <c r="AX4772" s="78"/>
      <c r="AY4772" s="78"/>
      <c r="AZ4772" s="78"/>
      <c r="BA4772" s="78"/>
      <c r="BB4772" s="78"/>
      <c r="BC4772" s="78"/>
      <c r="BD4772" s="78"/>
      <c r="BE4772" s="78"/>
      <c r="BF4772" s="78"/>
      <c r="BG4772" s="78"/>
      <c r="BH4772" s="78"/>
      <c r="BI4772" s="78"/>
      <c r="BJ4772" s="78"/>
    </row>
    <row r="4773" spans="1:62" ht="12" customHeight="1" x14ac:dyDescent="0.15">
      <c r="A4773" s="1" t="s">
        <v>15683</v>
      </c>
      <c r="B4773" s="1">
        <v>26</v>
      </c>
      <c r="C4773" s="1" t="s">
        <v>20</v>
      </c>
      <c r="D4773" s="1" t="s">
        <v>30</v>
      </c>
      <c r="F4773" s="72">
        <v>41454</v>
      </c>
      <c r="G4773" s="1" t="s">
        <v>24566</v>
      </c>
      <c r="H4773" s="1" t="s">
        <v>15684</v>
      </c>
      <c r="I4773" s="1" t="s">
        <v>45</v>
      </c>
      <c r="J4773" s="4" t="s">
        <v>15685</v>
      </c>
      <c r="K4773" s="1" t="s">
        <v>309</v>
      </c>
      <c r="L4773" s="1" t="s">
        <v>15686</v>
      </c>
      <c r="M4773" s="1" t="s">
        <v>27</v>
      </c>
      <c r="N4773" s="1" t="s">
        <v>15687</v>
      </c>
      <c r="O4773" s="1" t="s">
        <v>550</v>
      </c>
      <c r="P4773" s="1" t="s">
        <v>401</v>
      </c>
      <c r="Q4773" s="63" t="s">
        <v>15688</v>
      </c>
      <c r="R4773" s="1" t="s">
        <v>100</v>
      </c>
      <c r="S4773" s="13" t="s">
        <v>28</v>
      </c>
    </row>
    <row r="4774" spans="1:62" ht="12" customHeight="1" x14ac:dyDescent="0.15">
      <c r="A4774" s="1" t="s">
        <v>15677</v>
      </c>
      <c r="B4774" s="1">
        <v>46</v>
      </c>
      <c r="C4774" s="1" t="s">
        <v>20</v>
      </c>
      <c r="D4774" s="1" t="s">
        <v>30</v>
      </c>
      <c r="F4774" s="72">
        <v>41454</v>
      </c>
      <c r="G4774" s="1" t="s">
        <v>15678</v>
      </c>
      <c r="H4774" s="1" t="s">
        <v>15679</v>
      </c>
      <c r="I4774" s="1" t="s">
        <v>423</v>
      </c>
      <c r="J4774" s="4" t="s">
        <v>15680</v>
      </c>
      <c r="K4774" s="1" t="s">
        <v>1699</v>
      </c>
      <c r="L4774" s="1" t="s">
        <v>3354</v>
      </c>
      <c r="M4774" s="1" t="s">
        <v>27</v>
      </c>
      <c r="N4774" s="1" t="s">
        <v>15681</v>
      </c>
      <c r="O4774" s="1" t="s">
        <v>1010</v>
      </c>
      <c r="P4774" s="1" t="s">
        <v>401</v>
      </c>
      <c r="Q4774" s="63" t="s">
        <v>15682</v>
      </c>
      <c r="R4774" s="1" t="s">
        <v>100</v>
      </c>
      <c r="S4774" s="13" t="s">
        <v>28</v>
      </c>
    </row>
    <row r="4775" spans="1:62" ht="12" customHeight="1" x14ac:dyDescent="0.15">
      <c r="A4775" s="1" t="s">
        <v>15702</v>
      </c>
      <c r="B4775" s="1" t="s">
        <v>15703</v>
      </c>
      <c r="C4775" s="1" t="s">
        <v>20</v>
      </c>
      <c r="D4775" s="1" t="s">
        <v>37</v>
      </c>
      <c r="E4775" s="1" t="s">
        <v>15704</v>
      </c>
      <c r="F4775" s="72">
        <v>41453</v>
      </c>
      <c r="G4775" s="1" t="s">
        <v>15705</v>
      </c>
      <c r="H4775" s="1" t="s">
        <v>651</v>
      </c>
      <c r="I4775" s="1" t="s">
        <v>978</v>
      </c>
      <c r="J4775" s="4" t="s">
        <v>15706</v>
      </c>
      <c r="K4775" s="1" t="s">
        <v>2495</v>
      </c>
      <c r="L4775" s="1" t="s">
        <v>2352</v>
      </c>
      <c r="M4775" s="1" t="s">
        <v>27</v>
      </c>
      <c r="N4775" s="1" t="s">
        <v>15707</v>
      </c>
      <c r="O4775" s="1" t="s">
        <v>29</v>
      </c>
      <c r="P4775" s="1" t="s">
        <v>401</v>
      </c>
      <c r="Q4775" s="63" t="s">
        <v>15708</v>
      </c>
      <c r="R4775" s="1" t="s">
        <v>100</v>
      </c>
      <c r="S4775" s="13" t="s">
        <v>28</v>
      </c>
      <c r="AX4775" s="11"/>
      <c r="AY4775" s="11"/>
      <c r="AZ4775" s="11"/>
      <c r="BC4775" s="44"/>
      <c r="BD4775" s="44"/>
      <c r="BE4775" s="44"/>
      <c r="BF4775" s="44"/>
      <c r="BG4775" s="44"/>
      <c r="BH4775" s="44"/>
      <c r="BI4775" s="44"/>
      <c r="BJ4775" s="44"/>
    </row>
    <row r="4776" spans="1:62" ht="12" customHeight="1" x14ac:dyDescent="0.15">
      <c r="A4776" s="1" t="s">
        <v>15709</v>
      </c>
      <c r="B4776" s="1">
        <v>50</v>
      </c>
      <c r="C4776" s="1" t="s">
        <v>20</v>
      </c>
      <c r="D4776" s="1" t="s">
        <v>37</v>
      </c>
      <c r="E4776" s="1" t="s">
        <v>15710</v>
      </c>
      <c r="F4776" s="72">
        <v>41453</v>
      </c>
      <c r="G4776" s="1" t="s">
        <v>15711</v>
      </c>
      <c r="H4776" s="1" t="s">
        <v>15712</v>
      </c>
      <c r="I4776" s="1" t="s">
        <v>404</v>
      </c>
      <c r="J4776" s="4" t="s">
        <v>15713</v>
      </c>
      <c r="K4776" s="1" t="s">
        <v>1516</v>
      </c>
      <c r="L4776" s="1" t="s">
        <v>9350</v>
      </c>
      <c r="M4776" s="1" t="s">
        <v>27</v>
      </c>
      <c r="N4776" s="1" t="s">
        <v>15714</v>
      </c>
      <c r="O4776" s="1" t="s">
        <v>1010</v>
      </c>
      <c r="P4776" s="1" t="s">
        <v>401</v>
      </c>
      <c r="Q4776" s="63" t="s">
        <v>15715</v>
      </c>
      <c r="R4776" s="1" t="s">
        <v>100</v>
      </c>
      <c r="S4776" s="13" t="s">
        <v>28</v>
      </c>
      <c r="AX4776" s="11"/>
      <c r="AY4776" s="11"/>
      <c r="AZ4776" s="11"/>
    </row>
    <row r="4777" spans="1:62" ht="12" customHeight="1" x14ac:dyDescent="0.15">
      <c r="A4777" s="1" t="s">
        <v>15693</v>
      </c>
      <c r="B4777" s="1" t="s">
        <v>14980</v>
      </c>
      <c r="C4777" s="1" t="s">
        <v>20</v>
      </c>
      <c r="D4777" s="1" t="s">
        <v>37</v>
      </c>
      <c r="E4777" s="1" t="s">
        <v>15694</v>
      </c>
      <c r="F4777" s="72">
        <v>41453</v>
      </c>
      <c r="G4777" s="1" t="s">
        <v>15695</v>
      </c>
      <c r="H4777" s="1" t="s">
        <v>15696</v>
      </c>
      <c r="I4777" s="1" t="s">
        <v>73</v>
      </c>
      <c r="J4777" s="4" t="s">
        <v>15697</v>
      </c>
      <c r="K4777" s="1" t="s">
        <v>15698</v>
      </c>
      <c r="L4777" s="1" t="s">
        <v>15699</v>
      </c>
      <c r="M4777" s="1" t="s">
        <v>27</v>
      </c>
      <c r="N4777" s="1" t="s">
        <v>15700</v>
      </c>
      <c r="O4777" s="1" t="s">
        <v>29</v>
      </c>
      <c r="P4777" s="1" t="s">
        <v>401</v>
      </c>
      <c r="Q4777" s="63" t="s">
        <v>15701</v>
      </c>
      <c r="R4777" s="1" t="s">
        <v>100</v>
      </c>
      <c r="S4777" s="13" t="s">
        <v>28</v>
      </c>
      <c r="AX4777" s="11"/>
      <c r="AY4777" s="11"/>
      <c r="AZ4777" s="11"/>
    </row>
    <row r="4778" spans="1:62" ht="12" customHeight="1" x14ac:dyDescent="0.2">
      <c r="A4778" s="1" t="s">
        <v>15689</v>
      </c>
      <c r="B4778" s="1">
        <v>32</v>
      </c>
      <c r="C4778" s="1" t="s">
        <v>20</v>
      </c>
      <c r="D4778" s="1" t="s">
        <v>21</v>
      </c>
      <c r="E4778" s="1" t="s">
        <v>15690</v>
      </c>
      <c r="F4778" s="72">
        <v>41453</v>
      </c>
      <c r="G4778" s="1" t="s">
        <v>24567</v>
      </c>
      <c r="H4778" s="1" t="s">
        <v>575</v>
      </c>
      <c r="I4778" s="1" t="s">
        <v>73</v>
      </c>
      <c r="J4778" s="4" t="s">
        <v>3018</v>
      </c>
      <c r="K4778" s="1" t="s">
        <v>576</v>
      </c>
      <c r="L4778" s="1" t="s">
        <v>577</v>
      </c>
      <c r="M4778" s="1" t="s">
        <v>27</v>
      </c>
      <c r="N4778" s="1" t="s">
        <v>15691</v>
      </c>
      <c r="O4778" s="1" t="s">
        <v>550</v>
      </c>
      <c r="P4778" s="1" t="s">
        <v>401</v>
      </c>
      <c r="Q4778" s="63" t="s">
        <v>15692</v>
      </c>
      <c r="R4778" s="1" t="s">
        <v>29</v>
      </c>
      <c r="S4778" s="13" t="s">
        <v>28</v>
      </c>
      <c r="AX4778" s="70"/>
      <c r="AY4778" s="70"/>
      <c r="BC4778" s="70"/>
      <c r="BD4778" s="70"/>
      <c r="BE4778" s="70"/>
      <c r="BF4778" s="70"/>
      <c r="BG4778" s="70"/>
      <c r="BH4778" s="70"/>
      <c r="BI4778" s="70"/>
      <c r="BJ4778" s="70"/>
    </row>
    <row r="4779" spans="1:62" ht="12" customHeight="1" x14ac:dyDescent="0.15">
      <c r="A4779" s="1" t="s">
        <v>15716</v>
      </c>
      <c r="B4779" s="1" t="s">
        <v>15717</v>
      </c>
      <c r="C4779" s="1" t="s">
        <v>20</v>
      </c>
      <c r="D4779" s="1" t="s">
        <v>85</v>
      </c>
      <c r="F4779" s="72">
        <v>41452</v>
      </c>
      <c r="G4779" s="1" t="s">
        <v>24568</v>
      </c>
      <c r="H4779" s="1" t="s">
        <v>5191</v>
      </c>
      <c r="I4779" s="1" t="s">
        <v>45</v>
      </c>
      <c r="J4779" s="4" t="s">
        <v>12499</v>
      </c>
      <c r="K4779" s="1" t="s">
        <v>98</v>
      </c>
      <c r="L4779" s="11" t="s">
        <v>414</v>
      </c>
      <c r="M4779" s="1" t="s">
        <v>27</v>
      </c>
      <c r="N4779" s="1" t="s">
        <v>15718</v>
      </c>
      <c r="O4779" s="1" t="s">
        <v>29</v>
      </c>
      <c r="P4779" s="1" t="s">
        <v>401</v>
      </c>
      <c r="Q4779" s="63" t="s">
        <v>15719</v>
      </c>
      <c r="R4779" s="1" t="s">
        <v>100</v>
      </c>
      <c r="S4779" s="13" t="s">
        <v>28</v>
      </c>
      <c r="AX4779" s="11"/>
      <c r="AY4779" s="11"/>
      <c r="BC4779" s="44"/>
      <c r="BD4779" s="44"/>
      <c r="BE4779" s="44"/>
      <c r="BF4779" s="44"/>
      <c r="BG4779" s="44"/>
      <c r="BH4779" s="44"/>
      <c r="BI4779" s="44"/>
      <c r="BJ4779" s="44"/>
    </row>
    <row r="4780" spans="1:62" ht="12" customHeight="1" x14ac:dyDescent="0.15">
      <c r="A4780" s="1" t="s">
        <v>15720</v>
      </c>
      <c r="B4780" s="1" t="s">
        <v>11070</v>
      </c>
      <c r="C4780" s="1" t="s">
        <v>20</v>
      </c>
      <c r="D4780" s="1" t="s">
        <v>30</v>
      </c>
      <c r="F4780" s="72">
        <v>41452</v>
      </c>
      <c r="G4780" s="1" t="s">
        <v>15721</v>
      </c>
      <c r="H4780" s="1" t="s">
        <v>1916</v>
      </c>
      <c r="I4780" s="1" t="s">
        <v>173</v>
      </c>
      <c r="J4780" s="4" t="s">
        <v>15722</v>
      </c>
      <c r="K4780" s="1" t="s">
        <v>1556</v>
      </c>
      <c r="L4780" s="1" t="s">
        <v>2540</v>
      </c>
      <c r="M4780" s="1" t="s">
        <v>27</v>
      </c>
      <c r="N4780" s="1" t="s">
        <v>15723</v>
      </c>
      <c r="O4780" s="1" t="s">
        <v>29</v>
      </c>
      <c r="P4780" s="1" t="s">
        <v>401</v>
      </c>
      <c r="Q4780" s="63" t="s">
        <v>15724</v>
      </c>
      <c r="R4780" s="1" t="s">
        <v>100</v>
      </c>
      <c r="S4780" s="13" t="s">
        <v>28</v>
      </c>
    </row>
    <row r="4781" spans="1:62" ht="12" customHeight="1" x14ac:dyDescent="0.15">
      <c r="A4781" s="1" t="s">
        <v>15725</v>
      </c>
      <c r="B4781" s="1" t="s">
        <v>15726</v>
      </c>
      <c r="C4781" s="1" t="s">
        <v>20</v>
      </c>
      <c r="D4781" s="1" t="s">
        <v>37</v>
      </c>
      <c r="E4781" s="1" t="s">
        <v>15727</v>
      </c>
      <c r="F4781" s="72">
        <v>41452</v>
      </c>
      <c r="G4781" s="1" t="s">
        <v>24569</v>
      </c>
      <c r="H4781" s="1" t="s">
        <v>15728</v>
      </c>
      <c r="I4781" s="1" t="s">
        <v>45</v>
      </c>
      <c r="J4781" s="4" t="s">
        <v>15729</v>
      </c>
      <c r="K4781" s="1" t="s">
        <v>98</v>
      </c>
      <c r="L4781" s="11" t="s">
        <v>414</v>
      </c>
      <c r="M4781" s="1" t="s">
        <v>27</v>
      </c>
      <c r="N4781" s="1" t="s">
        <v>15730</v>
      </c>
      <c r="O4781" s="1" t="s">
        <v>29</v>
      </c>
      <c r="P4781" s="1" t="s">
        <v>401</v>
      </c>
      <c r="Q4781" s="63" t="s">
        <v>15731</v>
      </c>
      <c r="R4781" s="1" t="s">
        <v>100</v>
      </c>
      <c r="S4781" s="13" t="s">
        <v>28</v>
      </c>
      <c r="AX4781" s="44"/>
      <c r="AY4781" s="44"/>
      <c r="AZ4781" s="44"/>
    </row>
    <row r="4782" spans="1:62" ht="12" customHeight="1" x14ac:dyDescent="0.15">
      <c r="A4782" s="1" t="s">
        <v>15736</v>
      </c>
      <c r="B4782" s="1" t="s">
        <v>15540</v>
      </c>
      <c r="C4782" s="1" t="s">
        <v>20</v>
      </c>
      <c r="D4782" s="1" t="s">
        <v>30</v>
      </c>
      <c r="F4782" s="72">
        <v>41451</v>
      </c>
      <c r="G4782" s="1" t="s">
        <v>15737</v>
      </c>
      <c r="H4782" s="1" t="s">
        <v>15738</v>
      </c>
      <c r="I4782" s="1" t="s">
        <v>150</v>
      </c>
      <c r="J4782" s="4" t="s">
        <v>15739</v>
      </c>
      <c r="K4782" s="1" t="s">
        <v>3395</v>
      </c>
      <c r="L4782" s="1" t="s">
        <v>15740</v>
      </c>
      <c r="M4782" s="1" t="s">
        <v>27</v>
      </c>
      <c r="N4782" s="1" t="s">
        <v>15741</v>
      </c>
      <c r="O4782" s="1" t="s">
        <v>29</v>
      </c>
      <c r="P4782" s="1" t="s">
        <v>401</v>
      </c>
      <c r="Q4782" s="63" t="s">
        <v>15742</v>
      </c>
      <c r="R4782" s="1" t="s">
        <v>100</v>
      </c>
      <c r="S4782" s="13" t="s">
        <v>28</v>
      </c>
    </row>
    <row r="4783" spans="1:62" ht="12" customHeight="1" x14ac:dyDescent="0.15">
      <c r="A4783" s="1" t="s">
        <v>15732</v>
      </c>
      <c r="B4783" s="1">
        <v>46</v>
      </c>
      <c r="C4783" s="1" t="s">
        <v>114</v>
      </c>
      <c r="D4783" s="1" t="s">
        <v>30</v>
      </c>
      <c r="F4783" s="72">
        <v>41451</v>
      </c>
      <c r="G4783" s="1" t="s">
        <v>24570</v>
      </c>
      <c r="H4783" s="1" t="s">
        <v>2196</v>
      </c>
      <c r="I4783" s="1" t="s">
        <v>62</v>
      </c>
      <c r="J4783" s="4" t="s">
        <v>15733</v>
      </c>
      <c r="K4783" s="1" t="s">
        <v>1123</v>
      </c>
      <c r="L4783" s="1" t="s">
        <v>4384</v>
      </c>
      <c r="M4783" s="1" t="s">
        <v>379</v>
      </c>
      <c r="N4783" s="1" t="s">
        <v>15734</v>
      </c>
      <c r="O4783" s="1" t="s">
        <v>3381</v>
      </c>
      <c r="P4783" s="1" t="s">
        <v>401</v>
      </c>
      <c r="Q4783" s="63" t="s">
        <v>15735</v>
      </c>
      <c r="R4783" s="1" t="s">
        <v>100</v>
      </c>
      <c r="S4783" s="13" t="s">
        <v>28</v>
      </c>
    </row>
    <row r="4784" spans="1:62" ht="12" customHeight="1" x14ac:dyDescent="0.15">
      <c r="A4784" s="1" t="s">
        <v>15752</v>
      </c>
      <c r="B4784" s="1" t="s">
        <v>10877</v>
      </c>
      <c r="C4784" s="1" t="s">
        <v>20</v>
      </c>
      <c r="D4784" s="1" t="s">
        <v>37</v>
      </c>
      <c r="E4784" s="1" t="s">
        <v>15753</v>
      </c>
      <c r="F4784" s="72">
        <v>41451</v>
      </c>
      <c r="G4784" s="1" t="s">
        <v>24571</v>
      </c>
      <c r="H4784" s="1" t="s">
        <v>782</v>
      </c>
      <c r="I4784" s="1" t="s">
        <v>45</v>
      </c>
      <c r="J4784" s="4" t="s">
        <v>2828</v>
      </c>
      <c r="K4784" s="1" t="s">
        <v>783</v>
      </c>
      <c r="L4784" s="1" t="s">
        <v>4775</v>
      </c>
      <c r="M4784" s="1" t="s">
        <v>27</v>
      </c>
      <c r="N4784" s="1" t="s">
        <v>15754</v>
      </c>
      <c r="O4784" s="1" t="s">
        <v>550</v>
      </c>
      <c r="P4784" s="1" t="s">
        <v>401</v>
      </c>
      <c r="Q4784" s="63" t="s">
        <v>15755</v>
      </c>
      <c r="R4784" s="1" t="s">
        <v>100</v>
      </c>
      <c r="S4784" s="13" t="s">
        <v>28</v>
      </c>
      <c r="AX4784" s="11"/>
      <c r="AY4784" s="11"/>
      <c r="AZ4784" s="11"/>
    </row>
    <row r="4785" spans="1:62" ht="12" customHeight="1" x14ac:dyDescent="0.15">
      <c r="A4785" s="1" t="s">
        <v>15743</v>
      </c>
      <c r="B4785" s="1">
        <v>34</v>
      </c>
      <c r="C4785" s="1" t="s">
        <v>20</v>
      </c>
      <c r="D4785" s="1" t="s">
        <v>37</v>
      </c>
      <c r="E4785" s="1" t="s">
        <v>15744</v>
      </c>
      <c r="F4785" s="72">
        <v>41451</v>
      </c>
      <c r="G4785" s="1" t="s">
        <v>15745</v>
      </c>
      <c r="H4785" s="1" t="s">
        <v>15746</v>
      </c>
      <c r="I4785" s="1" t="s">
        <v>133</v>
      </c>
      <c r="J4785" s="4" t="s">
        <v>15747</v>
      </c>
      <c r="K4785" s="1" t="s">
        <v>15748</v>
      </c>
      <c r="L4785" s="1" t="s">
        <v>15749</v>
      </c>
      <c r="M4785" s="1" t="s">
        <v>27</v>
      </c>
      <c r="N4785" s="1" t="s">
        <v>15750</v>
      </c>
      <c r="O4785" s="1" t="s">
        <v>550</v>
      </c>
      <c r="P4785" s="1" t="s">
        <v>401</v>
      </c>
      <c r="Q4785" s="63" t="s">
        <v>15751</v>
      </c>
      <c r="R4785" s="1" t="s">
        <v>555</v>
      </c>
      <c r="S4785" s="13" t="s">
        <v>28</v>
      </c>
      <c r="AX4785" s="11"/>
      <c r="AY4785" s="11"/>
      <c r="AZ4785" s="11"/>
      <c r="BA4785" s="44"/>
      <c r="BB4785" s="44"/>
    </row>
    <row r="4786" spans="1:62" ht="12" customHeight="1" x14ac:dyDescent="0.15">
      <c r="A4786" s="1" t="s">
        <v>15756</v>
      </c>
      <c r="B4786" s="1" t="s">
        <v>13878</v>
      </c>
      <c r="C4786" s="1" t="s">
        <v>20</v>
      </c>
      <c r="D4786" s="1" t="s">
        <v>30</v>
      </c>
      <c r="F4786" s="72">
        <v>41450</v>
      </c>
      <c r="G4786" s="1" t="s">
        <v>24572</v>
      </c>
      <c r="H4786" s="1" t="s">
        <v>15757</v>
      </c>
      <c r="I4786" s="1" t="s">
        <v>45</v>
      </c>
      <c r="J4786" s="4" t="s">
        <v>15758</v>
      </c>
      <c r="K4786" s="1" t="s">
        <v>783</v>
      </c>
      <c r="L4786" s="1" t="s">
        <v>784</v>
      </c>
      <c r="M4786" s="1" t="s">
        <v>27</v>
      </c>
      <c r="N4786" s="1" t="s">
        <v>15759</v>
      </c>
      <c r="O4786" s="1" t="s">
        <v>29</v>
      </c>
      <c r="P4786" s="1" t="s">
        <v>401</v>
      </c>
      <c r="Q4786" s="63" t="s">
        <v>15760</v>
      </c>
      <c r="R4786" s="1" t="s">
        <v>100</v>
      </c>
      <c r="S4786" s="13" t="s">
        <v>28</v>
      </c>
    </row>
    <row r="4787" spans="1:62" ht="12" customHeight="1" x14ac:dyDescent="0.15">
      <c r="A4787" s="1" t="s">
        <v>15766</v>
      </c>
      <c r="B4787" s="1" t="s">
        <v>13541</v>
      </c>
      <c r="C4787" s="1" t="s">
        <v>20</v>
      </c>
      <c r="D4787" s="1" t="s">
        <v>37</v>
      </c>
      <c r="E4787" s="1" t="s">
        <v>15767</v>
      </c>
      <c r="F4787" s="72">
        <v>41449</v>
      </c>
      <c r="G4787" s="1" t="s">
        <v>24573</v>
      </c>
      <c r="H4787" s="1" t="s">
        <v>7722</v>
      </c>
      <c r="I4787" s="1" t="s">
        <v>62</v>
      </c>
      <c r="J4787" s="4" t="s">
        <v>15768</v>
      </c>
      <c r="K4787" s="1" t="s">
        <v>5538</v>
      </c>
      <c r="L4787" s="1" t="s">
        <v>15769</v>
      </c>
      <c r="M4787" s="1" t="s">
        <v>27</v>
      </c>
      <c r="N4787" s="1" t="s">
        <v>15770</v>
      </c>
      <c r="O4787" s="1" t="s">
        <v>550</v>
      </c>
      <c r="P4787" s="1" t="s">
        <v>401</v>
      </c>
      <c r="Q4787" s="63" t="s">
        <v>15771</v>
      </c>
      <c r="R4787" s="1" t="s">
        <v>100</v>
      </c>
      <c r="S4787" s="13" t="s">
        <v>28</v>
      </c>
      <c r="AX4787" s="11"/>
      <c r="AY4787" s="11"/>
      <c r="AZ4787" s="11"/>
    </row>
    <row r="4788" spans="1:62" ht="12" customHeight="1" x14ac:dyDescent="0.15">
      <c r="A4788" s="1" t="s">
        <v>15761</v>
      </c>
      <c r="B4788" s="1">
        <v>26</v>
      </c>
      <c r="C4788" s="1" t="s">
        <v>20</v>
      </c>
      <c r="D4788" s="1" t="s">
        <v>30</v>
      </c>
      <c r="F4788" s="72">
        <v>41449</v>
      </c>
      <c r="G4788" s="1" t="s">
        <v>15762</v>
      </c>
      <c r="H4788" s="1" t="s">
        <v>8763</v>
      </c>
      <c r="I4788" s="1" t="s">
        <v>330</v>
      </c>
      <c r="J4788" s="4" t="s">
        <v>4418</v>
      </c>
      <c r="K4788" s="1" t="s">
        <v>15763</v>
      </c>
      <c r="L4788" s="1" t="s">
        <v>4419</v>
      </c>
      <c r="M4788" s="1" t="s">
        <v>27</v>
      </c>
      <c r="N4788" s="1" t="s">
        <v>15764</v>
      </c>
      <c r="O4788" s="1" t="s">
        <v>29</v>
      </c>
      <c r="P4788" s="1" t="s">
        <v>401</v>
      </c>
      <c r="Q4788" s="63" t="s">
        <v>15765</v>
      </c>
      <c r="R4788" s="1" t="s">
        <v>29</v>
      </c>
      <c r="S4788" s="13" t="s">
        <v>28</v>
      </c>
      <c r="Y4788" s="64"/>
      <c r="Z4788" s="64"/>
      <c r="AA4788" s="64"/>
      <c r="AB4788" s="64"/>
      <c r="AC4788" s="64"/>
      <c r="AD4788" s="64"/>
      <c r="AE4788" s="64"/>
    </row>
    <row r="4789" spans="1:62" ht="12" customHeight="1" x14ac:dyDescent="0.15">
      <c r="A4789" s="1" t="s">
        <v>15772</v>
      </c>
      <c r="B4789" s="1" t="s">
        <v>8769</v>
      </c>
      <c r="C4789" s="1" t="s">
        <v>20</v>
      </c>
      <c r="D4789" s="1" t="s">
        <v>85</v>
      </c>
      <c r="E4789" s="1" t="s">
        <v>15773</v>
      </c>
      <c r="F4789" s="72">
        <v>41448</v>
      </c>
      <c r="G4789" s="1" t="s">
        <v>15774</v>
      </c>
      <c r="H4789" s="1" t="s">
        <v>1007</v>
      </c>
      <c r="I4789" s="1" t="s">
        <v>669</v>
      </c>
      <c r="J4789" s="4" t="s">
        <v>15775</v>
      </c>
      <c r="K4789" s="1" t="s">
        <v>15776</v>
      </c>
      <c r="L4789" s="1" t="s">
        <v>15777</v>
      </c>
      <c r="M4789" s="1" t="s">
        <v>27</v>
      </c>
      <c r="N4789" s="1" t="s">
        <v>15778</v>
      </c>
      <c r="O4789" s="1" t="s">
        <v>29</v>
      </c>
      <c r="P4789" s="1" t="s">
        <v>401</v>
      </c>
      <c r="Q4789" s="63" t="s">
        <v>15779</v>
      </c>
      <c r="R4789" s="1" t="s">
        <v>100</v>
      </c>
      <c r="S4789" s="13" t="s">
        <v>28</v>
      </c>
      <c r="AX4789" s="11"/>
      <c r="AY4789" s="11"/>
      <c r="BC4789" s="44"/>
      <c r="BD4789" s="44"/>
      <c r="BE4789" s="44"/>
      <c r="BF4789" s="44"/>
      <c r="BG4789" s="44"/>
      <c r="BH4789" s="44"/>
      <c r="BI4789" s="44"/>
      <c r="BJ4789" s="44"/>
    </row>
    <row r="4790" spans="1:62" ht="12" customHeight="1" x14ac:dyDescent="0.15">
      <c r="A4790" s="1" t="s">
        <v>15780</v>
      </c>
      <c r="B4790" s="1" t="s">
        <v>13386</v>
      </c>
      <c r="C4790" s="1" t="s">
        <v>114</v>
      </c>
      <c r="D4790" s="1" t="s">
        <v>48</v>
      </c>
      <c r="E4790" s="1" t="s">
        <v>15781</v>
      </c>
      <c r="F4790" s="72">
        <v>41448</v>
      </c>
      <c r="G4790" s="1" t="s">
        <v>24574</v>
      </c>
      <c r="H4790" s="1" t="s">
        <v>3690</v>
      </c>
      <c r="I4790" s="1" t="s">
        <v>45</v>
      </c>
      <c r="J4790" s="4" t="s">
        <v>15036</v>
      </c>
      <c r="K4790" s="1" t="s">
        <v>1061</v>
      </c>
      <c r="L4790" s="1" t="s">
        <v>3692</v>
      </c>
      <c r="M4790" s="1" t="s">
        <v>27</v>
      </c>
      <c r="N4790" s="1" t="s">
        <v>15782</v>
      </c>
      <c r="O4790" s="1" t="s">
        <v>550</v>
      </c>
      <c r="P4790" s="1" t="s">
        <v>401</v>
      </c>
      <c r="Q4790" s="63" t="s">
        <v>15783</v>
      </c>
      <c r="R4790" s="1" t="s">
        <v>100</v>
      </c>
      <c r="S4790" s="13" t="s">
        <v>28</v>
      </c>
    </row>
    <row r="4791" spans="1:62" ht="12" customHeight="1" x14ac:dyDescent="0.15">
      <c r="A4791" s="1" t="s">
        <v>15784</v>
      </c>
      <c r="B4791" s="1" t="s">
        <v>8724</v>
      </c>
      <c r="C4791" s="1" t="s">
        <v>20</v>
      </c>
      <c r="D4791" s="1" t="s">
        <v>30</v>
      </c>
      <c r="F4791" s="72">
        <v>41448</v>
      </c>
      <c r="G4791" s="1" t="s">
        <v>15785</v>
      </c>
      <c r="H4791" s="1" t="s">
        <v>926</v>
      </c>
      <c r="I4791" s="1" t="s">
        <v>73</v>
      </c>
      <c r="J4791" s="4" t="s">
        <v>6752</v>
      </c>
      <c r="K4791" s="1" t="s">
        <v>74</v>
      </c>
      <c r="L4791" s="1" t="s">
        <v>927</v>
      </c>
      <c r="M4791" s="1" t="s">
        <v>27</v>
      </c>
      <c r="N4791" s="1" t="s">
        <v>15786</v>
      </c>
      <c r="O4791" s="1" t="s">
        <v>29</v>
      </c>
      <c r="P4791" s="1" t="s">
        <v>401</v>
      </c>
      <c r="Q4791" s="63" t="s">
        <v>15787</v>
      </c>
      <c r="R4791" s="1" t="s">
        <v>100</v>
      </c>
      <c r="S4791" s="13" t="s">
        <v>28</v>
      </c>
    </row>
    <row r="4792" spans="1:62" ht="12" customHeight="1" x14ac:dyDescent="0.15">
      <c r="A4792" s="1" t="s">
        <v>15788</v>
      </c>
      <c r="B4792" s="1" t="s">
        <v>8769</v>
      </c>
      <c r="C4792" s="1" t="s">
        <v>20</v>
      </c>
      <c r="D4792" s="1" t="s">
        <v>37</v>
      </c>
      <c r="E4792" s="1" t="s">
        <v>15789</v>
      </c>
      <c r="F4792" s="72">
        <v>41448</v>
      </c>
      <c r="G4792" s="1" t="s">
        <v>15790</v>
      </c>
      <c r="H4792" s="1" t="s">
        <v>723</v>
      </c>
      <c r="I4792" s="1" t="s">
        <v>73</v>
      </c>
      <c r="J4792" s="4" t="s">
        <v>6909</v>
      </c>
      <c r="K4792" s="1" t="s">
        <v>558</v>
      </c>
      <c r="L4792" s="1" t="s">
        <v>15791</v>
      </c>
      <c r="M4792" s="1" t="s">
        <v>27</v>
      </c>
      <c r="N4792" s="1" t="s">
        <v>15792</v>
      </c>
      <c r="O4792" s="1" t="s">
        <v>29</v>
      </c>
      <c r="P4792" s="1" t="s">
        <v>401</v>
      </c>
      <c r="Q4792" s="63" t="s">
        <v>15793</v>
      </c>
      <c r="R4792" s="1" t="s">
        <v>100</v>
      </c>
      <c r="S4792" s="13" t="s">
        <v>28</v>
      </c>
      <c r="AX4792" s="11"/>
      <c r="AY4792" s="11"/>
      <c r="AZ4792" s="11"/>
    </row>
    <row r="4793" spans="1:62" ht="12" customHeight="1" x14ac:dyDescent="0.15">
      <c r="A4793" s="1" t="s">
        <v>15794</v>
      </c>
      <c r="B4793" s="1" t="s">
        <v>10200</v>
      </c>
      <c r="C4793" s="1" t="s">
        <v>114</v>
      </c>
      <c r="D4793" s="1" t="s">
        <v>37</v>
      </c>
      <c r="E4793" s="1" t="s">
        <v>15795</v>
      </c>
      <c r="F4793" s="72">
        <v>41448</v>
      </c>
      <c r="G4793" s="1" t="s">
        <v>15796</v>
      </c>
      <c r="H4793" s="1" t="s">
        <v>10970</v>
      </c>
      <c r="I4793" s="1" t="s">
        <v>73</v>
      </c>
      <c r="J4793" s="4" t="s">
        <v>15797</v>
      </c>
      <c r="K4793" s="1" t="s">
        <v>2583</v>
      </c>
      <c r="L4793" s="1" t="s">
        <v>10972</v>
      </c>
      <c r="M4793" s="1" t="s">
        <v>27</v>
      </c>
      <c r="N4793" s="1" t="s">
        <v>15798</v>
      </c>
      <c r="O4793" s="1" t="s">
        <v>29</v>
      </c>
      <c r="P4793" s="1" t="s">
        <v>401</v>
      </c>
      <c r="Q4793" s="63" t="s">
        <v>15799</v>
      </c>
      <c r="R4793" s="1" t="s">
        <v>29</v>
      </c>
      <c r="S4793" s="13" t="s">
        <v>28</v>
      </c>
      <c r="AX4793" s="11"/>
      <c r="AY4793" s="11"/>
      <c r="AZ4793" s="11"/>
      <c r="BC4793" s="44"/>
      <c r="BD4793" s="44"/>
      <c r="BE4793" s="44"/>
      <c r="BF4793" s="44"/>
      <c r="BG4793" s="44"/>
      <c r="BH4793" s="44"/>
      <c r="BI4793" s="44"/>
      <c r="BJ4793" s="44"/>
    </row>
    <row r="4794" spans="1:62" ht="12" customHeight="1" x14ac:dyDescent="0.15">
      <c r="A4794" s="1" t="s">
        <v>15807</v>
      </c>
      <c r="B4794" s="1">
        <v>56</v>
      </c>
      <c r="C4794" s="1" t="s">
        <v>20</v>
      </c>
      <c r="D4794" s="1" t="s">
        <v>30</v>
      </c>
      <c r="F4794" s="72">
        <v>41447</v>
      </c>
      <c r="G4794" s="1" t="s">
        <v>15808</v>
      </c>
      <c r="H4794" s="1" t="s">
        <v>15809</v>
      </c>
      <c r="I4794" s="1" t="s">
        <v>117</v>
      </c>
      <c r="J4794" s="4" t="s">
        <v>15810</v>
      </c>
      <c r="K4794" s="1" t="s">
        <v>938</v>
      </c>
      <c r="L4794" s="1" t="s">
        <v>1629</v>
      </c>
      <c r="M4794" s="1" t="s">
        <v>391</v>
      </c>
      <c r="N4794" s="1" t="s">
        <v>15811</v>
      </c>
      <c r="O4794" s="1" t="s">
        <v>1010</v>
      </c>
      <c r="P4794" s="1" t="s">
        <v>401</v>
      </c>
      <c r="Q4794" s="63" t="s">
        <v>15812</v>
      </c>
      <c r="R4794" s="1" t="s">
        <v>100</v>
      </c>
      <c r="S4794" s="13" t="s">
        <v>28</v>
      </c>
      <c r="AU4794" s="11"/>
      <c r="AV4794" s="11"/>
      <c r="AW4794" s="11"/>
    </row>
    <row r="4795" spans="1:62" ht="12" customHeight="1" x14ac:dyDescent="0.15">
      <c r="A4795" s="1" t="s">
        <v>15813</v>
      </c>
      <c r="B4795" s="1">
        <v>46</v>
      </c>
      <c r="C4795" s="1" t="s">
        <v>20</v>
      </c>
      <c r="D4795" s="1" t="s">
        <v>37</v>
      </c>
      <c r="F4795" s="72">
        <v>41447</v>
      </c>
      <c r="G4795" s="1" t="s">
        <v>15814</v>
      </c>
      <c r="H4795" s="1" t="s">
        <v>2101</v>
      </c>
      <c r="I4795" s="1" t="s">
        <v>1716</v>
      </c>
      <c r="J4795" s="4" t="s">
        <v>15815</v>
      </c>
      <c r="K4795" s="1" t="s">
        <v>15816</v>
      </c>
      <c r="L4795" s="1" t="s">
        <v>15817</v>
      </c>
      <c r="M4795" s="1" t="s">
        <v>379</v>
      </c>
      <c r="N4795" s="1" t="s">
        <v>15818</v>
      </c>
      <c r="O4795" s="1" t="s">
        <v>400</v>
      </c>
      <c r="P4795" s="1" t="s">
        <v>401</v>
      </c>
      <c r="Q4795" s="63" t="s">
        <v>15819</v>
      </c>
      <c r="R4795" s="1" t="s">
        <v>100</v>
      </c>
      <c r="S4795" s="13" t="s">
        <v>28</v>
      </c>
    </row>
    <row r="4796" spans="1:62" ht="12" customHeight="1" x14ac:dyDescent="0.15">
      <c r="A4796" s="1" t="s">
        <v>15800</v>
      </c>
      <c r="B4796" s="1">
        <v>24</v>
      </c>
      <c r="C4796" s="1" t="s">
        <v>20</v>
      </c>
      <c r="D4796" s="1" t="s">
        <v>48</v>
      </c>
      <c r="E4796" s="1" t="s">
        <v>15801</v>
      </c>
      <c r="F4796" s="72">
        <v>41447</v>
      </c>
      <c r="G4796" s="1" t="s">
        <v>15802</v>
      </c>
      <c r="H4796" s="1" t="s">
        <v>15803</v>
      </c>
      <c r="I4796" s="1" t="s">
        <v>45</v>
      </c>
      <c r="J4796" s="4" t="s">
        <v>15804</v>
      </c>
      <c r="K4796" s="1" t="s">
        <v>98</v>
      </c>
      <c r="L4796" s="11" t="s">
        <v>414</v>
      </c>
      <c r="M4796" s="1" t="s">
        <v>27</v>
      </c>
      <c r="N4796" s="1" t="s">
        <v>15805</v>
      </c>
      <c r="O4796" s="1" t="s">
        <v>550</v>
      </c>
      <c r="P4796" s="1" t="s">
        <v>401</v>
      </c>
      <c r="Q4796" s="63" t="s">
        <v>15806</v>
      </c>
      <c r="R4796" s="1" t="s">
        <v>29</v>
      </c>
      <c r="S4796" s="13" t="s">
        <v>28</v>
      </c>
    </row>
    <row r="4797" spans="1:62" ht="12" customHeight="1" x14ac:dyDescent="0.15">
      <c r="A4797" s="1" t="s">
        <v>15820</v>
      </c>
      <c r="B4797" s="1">
        <v>46</v>
      </c>
      <c r="C4797" s="1" t="s">
        <v>20</v>
      </c>
      <c r="D4797" s="1" t="s">
        <v>37</v>
      </c>
      <c r="E4797" s="1" t="s">
        <v>15821</v>
      </c>
      <c r="F4797" s="72">
        <v>41446</v>
      </c>
      <c r="G4797" s="1" t="s">
        <v>15822</v>
      </c>
      <c r="H4797" s="1" t="s">
        <v>15823</v>
      </c>
      <c r="I4797" s="1" t="s">
        <v>150</v>
      </c>
      <c r="J4797" s="4" t="s">
        <v>15824</v>
      </c>
      <c r="K4797" s="1" t="s">
        <v>151</v>
      </c>
      <c r="L4797" s="1" t="s">
        <v>15825</v>
      </c>
      <c r="M4797" s="1" t="s">
        <v>27</v>
      </c>
      <c r="N4797" s="1" t="s">
        <v>15826</v>
      </c>
      <c r="O4797" s="1" t="s">
        <v>1010</v>
      </c>
      <c r="P4797" s="1" t="s">
        <v>401</v>
      </c>
      <c r="Q4797" s="63" t="s">
        <v>15827</v>
      </c>
      <c r="R4797" s="1" t="s">
        <v>100</v>
      </c>
      <c r="S4797" s="13" t="s">
        <v>28</v>
      </c>
      <c r="AX4797" s="11"/>
      <c r="AY4797" s="11"/>
      <c r="AZ4797" s="11"/>
    </row>
    <row r="4798" spans="1:62" ht="12" customHeight="1" x14ac:dyDescent="0.15">
      <c r="A4798" s="1" t="s">
        <v>15828</v>
      </c>
      <c r="B4798" s="1" t="s">
        <v>8805</v>
      </c>
      <c r="C4798" s="1" t="s">
        <v>20</v>
      </c>
      <c r="D4798" s="1" t="s">
        <v>85</v>
      </c>
      <c r="E4798" s="1" t="s">
        <v>15829</v>
      </c>
      <c r="F4798" s="72">
        <v>41445</v>
      </c>
      <c r="G4798" s="1" t="s">
        <v>24575</v>
      </c>
      <c r="H4798" s="1" t="s">
        <v>3324</v>
      </c>
      <c r="I4798" s="1" t="s">
        <v>123</v>
      </c>
      <c r="J4798" s="4" t="s">
        <v>15830</v>
      </c>
      <c r="K4798" s="1" t="s">
        <v>633</v>
      </c>
      <c r="L4798" s="1" t="s">
        <v>3327</v>
      </c>
      <c r="M4798" s="1" t="s">
        <v>27</v>
      </c>
      <c r="N4798" s="1" t="s">
        <v>15831</v>
      </c>
      <c r="O4798" s="1" t="s">
        <v>29</v>
      </c>
      <c r="P4798" s="1" t="s">
        <v>401</v>
      </c>
      <c r="Q4798" s="63" t="s">
        <v>15832</v>
      </c>
      <c r="R4798" s="1" t="s">
        <v>100</v>
      </c>
      <c r="S4798" s="13" t="s">
        <v>28</v>
      </c>
      <c r="AX4798" s="11"/>
      <c r="AY4798" s="11"/>
      <c r="BC4798" s="44"/>
      <c r="BD4798" s="44"/>
      <c r="BE4798" s="44"/>
      <c r="BF4798" s="44"/>
      <c r="BG4798" s="44"/>
      <c r="BH4798" s="44"/>
      <c r="BI4798" s="44"/>
      <c r="BJ4798" s="44"/>
    </row>
    <row r="4799" spans="1:62" ht="12" customHeight="1" x14ac:dyDescent="0.15">
      <c r="A4799" s="1" t="s">
        <v>15833</v>
      </c>
      <c r="B4799" s="1" t="s">
        <v>15834</v>
      </c>
      <c r="C4799" s="1" t="s">
        <v>20</v>
      </c>
      <c r="D4799" s="1" t="s">
        <v>85</v>
      </c>
      <c r="E4799" s="1" t="s">
        <v>15835</v>
      </c>
      <c r="F4799" s="72">
        <v>41445</v>
      </c>
      <c r="G4799" s="1" t="s">
        <v>15836</v>
      </c>
      <c r="H4799" s="1" t="s">
        <v>887</v>
      </c>
      <c r="I4799" s="1" t="s">
        <v>438</v>
      </c>
      <c r="J4799" s="4" t="s">
        <v>15837</v>
      </c>
      <c r="K4799" s="1" t="s">
        <v>887</v>
      </c>
      <c r="L4799" s="1" t="s">
        <v>3865</v>
      </c>
      <c r="M4799" s="1" t="s">
        <v>27</v>
      </c>
      <c r="N4799" s="1" t="s">
        <v>15838</v>
      </c>
      <c r="O4799" s="1" t="s">
        <v>29</v>
      </c>
      <c r="P4799" s="1" t="s">
        <v>401</v>
      </c>
      <c r="Q4799" s="63" t="s">
        <v>15839</v>
      </c>
      <c r="R4799" s="1" t="s">
        <v>100</v>
      </c>
      <c r="S4799" s="13" t="s">
        <v>28</v>
      </c>
      <c r="AX4799" s="11"/>
      <c r="AY4799" s="11"/>
      <c r="BC4799" s="44"/>
      <c r="BD4799" s="44"/>
      <c r="BE4799" s="44"/>
      <c r="BF4799" s="44"/>
      <c r="BG4799" s="44"/>
      <c r="BH4799" s="44"/>
      <c r="BI4799" s="44"/>
      <c r="BJ4799" s="44"/>
    </row>
    <row r="4800" spans="1:62" ht="12" customHeight="1" x14ac:dyDescent="0.15">
      <c r="A4800" s="1" t="s">
        <v>15840</v>
      </c>
      <c r="B4800" s="1" t="s">
        <v>15841</v>
      </c>
      <c r="C4800" s="1" t="s">
        <v>20</v>
      </c>
      <c r="D4800" s="1" t="s">
        <v>37</v>
      </c>
      <c r="E4800" s="1" t="s">
        <v>15842</v>
      </c>
      <c r="F4800" s="72">
        <v>41445</v>
      </c>
      <c r="G4800" s="1" t="s">
        <v>15843</v>
      </c>
      <c r="H4800" s="1" t="s">
        <v>387</v>
      </c>
      <c r="I4800" s="1" t="s">
        <v>319</v>
      </c>
      <c r="J4800" s="4" t="s">
        <v>15844</v>
      </c>
      <c r="K4800" s="1" t="s">
        <v>2681</v>
      </c>
      <c r="L4800" s="1" t="s">
        <v>2682</v>
      </c>
      <c r="M4800" s="1" t="s">
        <v>27</v>
      </c>
      <c r="N4800" s="1" t="s">
        <v>15845</v>
      </c>
      <c r="O4800" s="1" t="s">
        <v>550</v>
      </c>
      <c r="P4800" s="1" t="s">
        <v>401</v>
      </c>
      <c r="Q4800" s="63" t="s">
        <v>15846</v>
      </c>
      <c r="R4800" s="1" t="s">
        <v>555</v>
      </c>
      <c r="S4800" s="13" t="s">
        <v>28</v>
      </c>
      <c r="AX4800" s="11"/>
      <c r="AY4800" s="11"/>
      <c r="AZ4800" s="11"/>
      <c r="BA4800" s="44"/>
      <c r="BB4800" s="44"/>
    </row>
    <row r="4801" spans="1:63" ht="12" customHeight="1" x14ac:dyDescent="0.15">
      <c r="A4801" s="1" t="s">
        <v>15847</v>
      </c>
      <c r="B4801" s="1">
        <v>45</v>
      </c>
      <c r="C4801" s="1" t="s">
        <v>20</v>
      </c>
      <c r="D4801" s="1" t="s">
        <v>85</v>
      </c>
      <c r="E4801" s="1" t="s">
        <v>15848</v>
      </c>
      <c r="F4801" s="72">
        <v>41444</v>
      </c>
      <c r="G4801" s="1" t="s">
        <v>15849</v>
      </c>
      <c r="H4801" s="1" t="s">
        <v>1094</v>
      </c>
      <c r="I4801" s="1" t="s">
        <v>395</v>
      </c>
      <c r="J4801" s="4" t="s">
        <v>5579</v>
      </c>
      <c r="K4801" s="1" t="s">
        <v>1095</v>
      </c>
      <c r="L4801" s="1" t="s">
        <v>1096</v>
      </c>
      <c r="M4801" s="1" t="s">
        <v>27</v>
      </c>
      <c r="N4801" s="1" t="s">
        <v>15850</v>
      </c>
      <c r="O4801" s="1" t="s">
        <v>29</v>
      </c>
      <c r="P4801" s="1" t="s">
        <v>401</v>
      </c>
      <c r="Q4801" s="63" t="s">
        <v>15851</v>
      </c>
      <c r="R4801" s="1" t="s">
        <v>100</v>
      </c>
      <c r="S4801" s="13" t="s">
        <v>28</v>
      </c>
      <c r="AX4801" s="11"/>
      <c r="AY4801" s="11"/>
      <c r="BC4801" s="44"/>
      <c r="BD4801" s="44"/>
      <c r="BE4801" s="44"/>
      <c r="BF4801" s="44"/>
      <c r="BG4801" s="44"/>
      <c r="BH4801" s="44"/>
      <c r="BI4801" s="44"/>
      <c r="BJ4801" s="44"/>
    </row>
    <row r="4802" spans="1:63" ht="12" customHeight="1" x14ac:dyDescent="0.15">
      <c r="A4802" s="1" t="s">
        <v>15852</v>
      </c>
      <c r="B4802" s="1" t="s">
        <v>15853</v>
      </c>
      <c r="C4802" s="1" t="s">
        <v>20</v>
      </c>
      <c r="D4802" s="1" t="s">
        <v>48</v>
      </c>
      <c r="E4802" s="1" t="s">
        <v>15854</v>
      </c>
      <c r="F4802" s="72">
        <v>41444</v>
      </c>
      <c r="G4802" s="1" t="s">
        <v>24577</v>
      </c>
      <c r="H4802" s="1" t="s">
        <v>6133</v>
      </c>
      <c r="I4802" s="1" t="s">
        <v>73</v>
      </c>
      <c r="J4802" s="4" t="s">
        <v>15855</v>
      </c>
      <c r="K4802" s="1" t="s">
        <v>285</v>
      </c>
      <c r="L4802" s="1" t="s">
        <v>6135</v>
      </c>
      <c r="M4802" s="1" t="s">
        <v>27</v>
      </c>
      <c r="N4802" s="1" t="s">
        <v>15856</v>
      </c>
      <c r="O4802" s="1" t="s">
        <v>29</v>
      </c>
      <c r="P4802" s="1" t="s">
        <v>401</v>
      </c>
      <c r="Q4802" s="63" t="s">
        <v>15857</v>
      </c>
      <c r="R4802" s="1" t="s">
        <v>100</v>
      </c>
      <c r="S4802" s="13" t="s">
        <v>28</v>
      </c>
    </row>
    <row r="4803" spans="1:63" ht="12" customHeight="1" x14ac:dyDescent="0.15">
      <c r="A4803" s="1" t="s">
        <v>15858</v>
      </c>
      <c r="B4803" s="1">
        <v>52</v>
      </c>
      <c r="C4803" s="1" t="s">
        <v>20</v>
      </c>
      <c r="D4803" s="1" t="s">
        <v>48</v>
      </c>
      <c r="F4803" s="72">
        <v>41444</v>
      </c>
      <c r="G4803" s="1" t="s">
        <v>15859</v>
      </c>
      <c r="H4803" s="1" t="s">
        <v>754</v>
      </c>
      <c r="I4803" s="1" t="s">
        <v>423</v>
      </c>
      <c r="J4803" s="4" t="s">
        <v>15860</v>
      </c>
      <c r="K4803" s="1" t="s">
        <v>1844</v>
      </c>
      <c r="L4803" s="1" t="s">
        <v>582</v>
      </c>
      <c r="M4803" s="1" t="s">
        <v>14359</v>
      </c>
      <c r="N4803" s="1" t="s">
        <v>15861</v>
      </c>
      <c r="O4803" s="1" t="s">
        <v>1010</v>
      </c>
      <c r="P4803" s="1" t="s">
        <v>401</v>
      </c>
      <c r="Q4803" s="63" t="s">
        <v>15862</v>
      </c>
      <c r="R4803" s="1" t="s">
        <v>100</v>
      </c>
      <c r="S4803" s="13" t="s">
        <v>28</v>
      </c>
    </row>
    <row r="4804" spans="1:63" ht="12" customHeight="1" x14ac:dyDescent="0.15">
      <c r="A4804" s="1" t="s">
        <v>15863</v>
      </c>
      <c r="B4804" s="1">
        <v>28</v>
      </c>
      <c r="C4804" s="1" t="s">
        <v>20</v>
      </c>
      <c r="D4804" s="1" t="s">
        <v>30</v>
      </c>
      <c r="F4804" s="72">
        <v>41444</v>
      </c>
      <c r="G4804" s="1" t="s">
        <v>24576</v>
      </c>
      <c r="H4804" s="1" t="s">
        <v>459</v>
      </c>
      <c r="I4804" s="1" t="s">
        <v>25</v>
      </c>
      <c r="J4804" s="4" t="s">
        <v>15864</v>
      </c>
      <c r="K4804" s="1" t="s">
        <v>5907</v>
      </c>
      <c r="L4804" s="1" t="s">
        <v>15865</v>
      </c>
      <c r="M4804" s="1" t="s">
        <v>27</v>
      </c>
      <c r="N4804" s="1" t="s">
        <v>15866</v>
      </c>
      <c r="O4804" s="1" t="s">
        <v>550</v>
      </c>
      <c r="P4804" s="1" t="s">
        <v>401</v>
      </c>
      <c r="Q4804" s="63" t="s">
        <v>15867</v>
      </c>
      <c r="R4804" s="1" t="s">
        <v>100</v>
      </c>
      <c r="S4804" s="13" t="s">
        <v>28</v>
      </c>
    </row>
    <row r="4805" spans="1:63" ht="12" customHeight="1" x14ac:dyDescent="0.15">
      <c r="A4805" s="1" t="s">
        <v>15868</v>
      </c>
      <c r="B4805" s="1" t="s">
        <v>13478</v>
      </c>
      <c r="C4805" s="1" t="s">
        <v>20</v>
      </c>
      <c r="D4805" s="1" t="s">
        <v>30</v>
      </c>
      <c r="F4805" s="72">
        <v>41444</v>
      </c>
      <c r="G4805" s="1" t="s">
        <v>24578</v>
      </c>
      <c r="H4805" s="1" t="s">
        <v>15869</v>
      </c>
      <c r="I4805" s="1" t="s">
        <v>303</v>
      </c>
      <c r="J4805" s="4" t="s">
        <v>15870</v>
      </c>
      <c r="K4805" s="1" t="s">
        <v>2150</v>
      </c>
      <c r="L4805" s="1" t="s">
        <v>2152</v>
      </c>
      <c r="M4805" s="1" t="s">
        <v>27</v>
      </c>
      <c r="N4805" s="1" t="s">
        <v>15871</v>
      </c>
      <c r="O4805" s="1" t="s">
        <v>550</v>
      </c>
      <c r="P4805" s="1" t="s">
        <v>401</v>
      </c>
      <c r="Q4805" s="63" t="s">
        <v>15872</v>
      </c>
      <c r="R4805" s="1" t="s">
        <v>100</v>
      </c>
      <c r="S4805" s="13" t="s">
        <v>28</v>
      </c>
      <c r="AZ4805" s="44"/>
    </row>
    <row r="4806" spans="1:63" ht="12" customHeight="1" x14ac:dyDescent="0.15">
      <c r="A4806" s="1" t="s">
        <v>15873</v>
      </c>
      <c r="B4806" s="1" t="s">
        <v>15874</v>
      </c>
      <c r="C4806" s="1" t="s">
        <v>20</v>
      </c>
      <c r="D4806" s="1" t="s">
        <v>85</v>
      </c>
      <c r="E4806" s="1" t="s">
        <v>15875</v>
      </c>
      <c r="F4806" s="72">
        <v>41443</v>
      </c>
      <c r="G4806" s="1" t="s">
        <v>15876</v>
      </c>
      <c r="H4806" s="1" t="s">
        <v>4191</v>
      </c>
      <c r="I4806" s="1" t="s">
        <v>366</v>
      </c>
      <c r="J4806" s="4" t="s">
        <v>15877</v>
      </c>
      <c r="K4806" s="1" t="s">
        <v>4193</v>
      </c>
      <c r="L4806" s="1" t="s">
        <v>4194</v>
      </c>
      <c r="M4806" s="1" t="s">
        <v>27</v>
      </c>
      <c r="N4806" s="1" t="s">
        <v>15878</v>
      </c>
      <c r="O4806" s="1" t="s">
        <v>550</v>
      </c>
      <c r="P4806" s="1" t="s">
        <v>401</v>
      </c>
      <c r="Q4806" s="63" t="s">
        <v>15879</v>
      </c>
      <c r="R4806" s="1" t="s">
        <v>100</v>
      </c>
      <c r="S4806" s="13" t="s">
        <v>28</v>
      </c>
      <c r="AX4806" s="11"/>
      <c r="AY4806" s="11"/>
      <c r="BC4806" s="44"/>
      <c r="BD4806" s="44"/>
      <c r="BE4806" s="44"/>
      <c r="BF4806" s="44"/>
      <c r="BG4806" s="44"/>
      <c r="BH4806" s="44"/>
      <c r="BI4806" s="44"/>
      <c r="BJ4806" s="44"/>
    </row>
    <row r="4807" spans="1:63" ht="12" customHeight="1" x14ac:dyDescent="0.15">
      <c r="A4807" s="1" t="s">
        <v>15880</v>
      </c>
      <c r="B4807" s="1">
        <v>41</v>
      </c>
      <c r="C4807" s="1" t="s">
        <v>20</v>
      </c>
      <c r="D4807" s="1" t="s">
        <v>85</v>
      </c>
      <c r="E4807" s="1" t="s">
        <v>15881</v>
      </c>
      <c r="F4807" s="72">
        <v>41443</v>
      </c>
      <c r="G4807" s="1" t="s">
        <v>24579</v>
      </c>
      <c r="H4807" s="1" t="s">
        <v>8387</v>
      </c>
      <c r="I4807" s="1" t="s">
        <v>244</v>
      </c>
      <c r="J4807" s="4" t="s">
        <v>15882</v>
      </c>
      <c r="K4807" s="1" t="s">
        <v>15883</v>
      </c>
      <c r="L4807" s="1" t="s">
        <v>15884</v>
      </c>
      <c r="M4807" s="1" t="s">
        <v>14359</v>
      </c>
      <c r="N4807" s="1" t="s">
        <v>15885</v>
      </c>
      <c r="O4807" s="1" t="s">
        <v>1010</v>
      </c>
      <c r="P4807" s="1" t="s">
        <v>401</v>
      </c>
      <c r="Q4807" s="63" t="s">
        <v>15886</v>
      </c>
      <c r="R4807" s="1" t="s">
        <v>100</v>
      </c>
      <c r="S4807" s="13" t="s">
        <v>28</v>
      </c>
      <c r="AX4807" s="44"/>
      <c r="AY4807" s="44"/>
      <c r="BC4807" s="44"/>
      <c r="BD4807" s="44"/>
      <c r="BE4807" s="44"/>
      <c r="BF4807" s="44"/>
      <c r="BG4807" s="44"/>
      <c r="BH4807" s="44"/>
      <c r="BI4807" s="44"/>
      <c r="BJ4807" s="44"/>
    </row>
    <row r="4808" spans="1:63" ht="12" customHeight="1" x14ac:dyDescent="0.15">
      <c r="A4808" s="1" t="s">
        <v>15887</v>
      </c>
      <c r="B4808" s="1" t="s">
        <v>10109</v>
      </c>
      <c r="C4808" s="1" t="s">
        <v>20</v>
      </c>
      <c r="D4808" s="1" t="s">
        <v>30</v>
      </c>
      <c r="F4808" s="72">
        <v>41443</v>
      </c>
      <c r="G4808" s="1" t="s">
        <v>15888</v>
      </c>
      <c r="H4808" s="1" t="s">
        <v>754</v>
      </c>
      <c r="I4808" s="1" t="s">
        <v>423</v>
      </c>
      <c r="J4808" s="4" t="s">
        <v>2139</v>
      </c>
      <c r="K4808" s="1" t="s">
        <v>754</v>
      </c>
      <c r="L4808" s="1" t="s">
        <v>582</v>
      </c>
      <c r="M4808" s="1" t="s">
        <v>27</v>
      </c>
      <c r="N4808" s="1" t="s">
        <v>15889</v>
      </c>
      <c r="O4808" s="1" t="s">
        <v>29</v>
      </c>
      <c r="P4808" s="1" t="s">
        <v>401</v>
      </c>
      <c r="Q4808" s="63" t="s">
        <v>15890</v>
      </c>
      <c r="R4808" s="1" t="s">
        <v>100</v>
      </c>
      <c r="S4808" s="13" t="s">
        <v>28</v>
      </c>
    </row>
    <row r="4809" spans="1:63" ht="12" customHeight="1" x14ac:dyDescent="0.15">
      <c r="A4809" s="1" t="s">
        <v>15891</v>
      </c>
      <c r="B4809" s="1" t="s">
        <v>9368</v>
      </c>
      <c r="C4809" s="1" t="s">
        <v>20</v>
      </c>
      <c r="D4809" s="1" t="s">
        <v>37</v>
      </c>
      <c r="F4809" s="72">
        <v>41443</v>
      </c>
      <c r="G4809" s="1" t="s">
        <v>24580</v>
      </c>
      <c r="H4809" s="1" t="s">
        <v>1433</v>
      </c>
      <c r="I4809" s="1" t="s">
        <v>303</v>
      </c>
      <c r="J4809" s="4" t="s">
        <v>15892</v>
      </c>
      <c r="K4809" s="1" t="s">
        <v>883</v>
      </c>
      <c r="L4809" s="1" t="s">
        <v>2743</v>
      </c>
      <c r="M4809" s="1" t="s">
        <v>27</v>
      </c>
      <c r="N4809" s="1" t="s">
        <v>15893</v>
      </c>
      <c r="O4809" s="1" t="s">
        <v>550</v>
      </c>
      <c r="P4809" s="1" t="s">
        <v>401</v>
      </c>
      <c r="Q4809" s="63" t="s">
        <v>15894</v>
      </c>
      <c r="R4809" s="1" t="s">
        <v>100</v>
      </c>
      <c r="S4809" s="13" t="s">
        <v>28</v>
      </c>
      <c r="AX4809" s="11"/>
      <c r="AY4809" s="11"/>
      <c r="AZ4809" s="11"/>
    </row>
    <row r="4810" spans="1:63" ht="12" customHeight="1" x14ac:dyDescent="0.15">
      <c r="A4810" s="1" t="s">
        <v>15895</v>
      </c>
      <c r="B4810" s="1" t="s">
        <v>13878</v>
      </c>
      <c r="C4810" s="1" t="s">
        <v>20</v>
      </c>
      <c r="D4810" s="1" t="s">
        <v>85</v>
      </c>
      <c r="E4810" s="1" t="s">
        <v>15896</v>
      </c>
      <c r="F4810" s="72">
        <v>41442</v>
      </c>
      <c r="G4810" s="1" t="s">
        <v>24582</v>
      </c>
      <c r="H4810" s="1" t="s">
        <v>575</v>
      </c>
      <c r="I4810" s="1" t="s">
        <v>73</v>
      </c>
      <c r="J4810" s="4" t="s">
        <v>3018</v>
      </c>
      <c r="K4810" s="1" t="s">
        <v>576</v>
      </c>
      <c r="L4810" s="1" t="s">
        <v>577</v>
      </c>
      <c r="M4810" s="1" t="s">
        <v>27</v>
      </c>
      <c r="N4810" s="1" t="s">
        <v>15897</v>
      </c>
      <c r="O4810" s="1" t="s">
        <v>29</v>
      </c>
      <c r="P4810" s="1" t="s">
        <v>401</v>
      </c>
      <c r="Q4810" s="63" t="s">
        <v>15898</v>
      </c>
      <c r="R4810" s="1" t="s">
        <v>100</v>
      </c>
      <c r="S4810" s="13" t="s">
        <v>28</v>
      </c>
      <c r="AX4810" s="11"/>
      <c r="AY4810" s="11"/>
      <c r="BC4810" s="44"/>
      <c r="BD4810" s="44"/>
      <c r="BE4810" s="44"/>
      <c r="BF4810" s="44"/>
      <c r="BG4810" s="44"/>
      <c r="BH4810" s="44"/>
      <c r="BI4810" s="44"/>
      <c r="BJ4810" s="44"/>
    </row>
    <row r="4811" spans="1:63" ht="12" customHeight="1" x14ac:dyDescent="0.2">
      <c r="A4811" s="1" t="s">
        <v>15899</v>
      </c>
      <c r="B4811" s="1">
        <v>25</v>
      </c>
      <c r="C4811" s="1" t="s">
        <v>20</v>
      </c>
      <c r="D4811" s="1" t="s">
        <v>48</v>
      </c>
      <c r="E4811" s="1" t="s">
        <v>15900</v>
      </c>
      <c r="F4811" s="72">
        <v>41442</v>
      </c>
      <c r="G4811" s="1" t="s">
        <v>24581</v>
      </c>
      <c r="H4811" s="1" t="s">
        <v>679</v>
      </c>
      <c r="I4811" s="1" t="s">
        <v>45</v>
      </c>
      <c r="J4811" s="4" t="s">
        <v>15901</v>
      </c>
      <c r="K4811" s="1" t="s">
        <v>680</v>
      </c>
      <c r="L4811" s="1" t="s">
        <v>15902</v>
      </c>
      <c r="M4811" s="1" t="s">
        <v>15903</v>
      </c>
      <c r="N4811" s="1" t="s">
        <v>15904</v>
      </c>
      <c r="O4811" s="1" t="s">
        <v>3381</v>
      </c>
      <c r="P4811" s="1" t="s">
        <v>401</v>
      </c>
      <c r="Q4811" s="63" t="s">
        <v>15905</v>
      </c>
      <c r="R4811" s="1" t="s">
        <v>100</v>
      </c>
      <c r="S4811" s="13" t="s">
        <v>28</v>
      </c>
      <c r="AT4811" s="70"/>
      <c r="AU4811" s="70"/>
      <c r="BJ4811" s="78"/>
      <c r="BK4811" s="78"/>
    </row>
    <row r="4812" spans="1:63" ht="12" customHeight="1" x14ac:dyDescent="0.15">
      <c r="A4812" s="1" t="s">
        <v>15917</v>
      </c>
      <c r="B4812" s="1">
        <v>41</v>
      </c>
      <c r="C4812" s="1" t="s">
        <v>20</v>
      </c>
      <c r="D4812" s="1" t="s">
        <v>37</v>
      </c>
      <c r="E4812" s="1" t="s">
        <v>15918</v>
      </c>
      <c r="F4812" s="72">
        <v>41442</v>
      </c>
      <c r="G4812" s="1" t="s">
        <v>15919</v>
      </c>
      <c r="H4812" s="1" t="s">
        <v>10298</v>
      </c>
      <c r="I4812" s="1" t="s">
        <v>73</v>
      </c>
      <c r="J4812" s="4" t="s">
        <v>15920</v>
      </c>
      <c r="K4812" s="1" t="s">
        <v>10298</v>
      </c>
      <c r="L4812" s="1" t="s">
        <v>10299</v>
      </c>
      <c r="M4812" s="1" t="s">
        <v>27</v>
      </c>
      <c r="N4812" s="1" t="s">
        <v>15921</v>
      </c>
      <c r="O4812" s="1" t="s">
        <v>550</v>
      </c>
      <c r="P4812" s="1" t="s">
        <v>401</v>
      </c>
      <c r="Q4812" s="63" t="s">
        <v>15922</v>
      </c>
      <c r="R4812" s="1" t="s">
        <v>29</v>
      </c>
      <c r="S4812" s="13" t="s">
        <v>28</v>
      </c>
      <c r="AX4812" s="11"/>
      <c r="AY4812" s="11"/>
      <c r="AZ4812" s="11"/>
      <c r="BC4812" s="11"/>
      <c r="BD4812" s="11"/>
      <c r="BE4812" s="11"/>
      <c r="BF4812" s="11"/>
      <c r="BG4812" s="11"/>
      <c r="BH4812" s="11"/>
      <c r="BI4812" s="11"/>
      <c r="BJ4812" s="11"/>
    </row>
    <row r="4813" spans="1:63" ht="12" customHeight="1" x14ac:dyDescent="0.15">
      <c r="A4813" s="1" t="s">
        <v>15906</v>
      </c>
      <c r="B4813" s="1" t="s">
        <v>15907</v>
      </c>
      <c r="C4813" s="1" t="s">
        <v>20</v>
      </c>
      <c r="D4813" s="1" t="s">
        <v>30</v>
      </c>
      <c r="F4813" s="72">
        <v>41442</v>
      </c>
      <c r="G4813" s="1" t="s">
        <v>15908</v>
      </c>
      <c r="H4813" s="1" t="s">
        <v>2651</v>
      </c>
      <c r="I4813" s="1" t="s">
        <v>41</v>
      </c>
      <c r="J4813" s="4" t="s">
        <v>15909</v>
      </c>
      <c r="K4813" s="1" t="s">
        <v>6851</v>
      </c>
      <c r="L4813" s="1" t="s">
        <v>43</v>
      </c>
      <c r="M4813" s="1" t="s">
        <v>27</v>
      </c>
      <c r="N4813" s="1" t="s">
        <v>15910</v>
      </c>
      <c r="O4813" s="1" t="s">
        <v>29</v>
      </c>
      <c r="P4813" s="1" t="s">
        <v>401</v>
      </c>
      <c r="Q4813" s="63" t="s">
        <v>15911</v>
      </c>
      <c r="R4813" s="1" t="s">
        <v>555</v>
      </c>
      <c r="S4813" s="13" t="s">
        <v>28</v>
      </c>
      <c r="BA4813" s="11"/>
      <c r="BB4813" s="11"/>
    </row>
    <row r="4814" spans="1:63" ht="12" customHeight="1" x14ac:dyDescent="0.15">
      <c r="A4814" s="1" t="s">
        <v>15912</v>
      </c>
      <c r="B4814" s="1">
        <v>45</v>
      </c>
      <c r="C4814" s="1" t="s">
        <v>20</v>
      </c>
      <c r="D4814" s="1" t="s">
        <v>30</v>
      </c>
      <c r="F4814" s="72">
        <v>41442</v>
      </c>
      <c r="G4814" s="1" t="s">
        <v>15913</v>
      </c>
      <c r="H4814" s="1" t="s">
        <v>430</v>
      </c>
      <c r="I4814" s="1" t="s">
        <v>431</v>
      </c>
      <c r="J4814" s="4" t="s">
        <v>15914</v>
      </c>
      <c r="K4814" s="1" t="s">
        <v>3395</v>
      </c>
      <c r="L4814" s="1" t="s">
        <v>434</v>
      </c>
      <c r="M4814" s="1" t="s">
        <v>391</v>
      </c>
      <c r="N4814" s="1" t="s">
        <v>15915</v>
      </c>
      <c r="O4814" s="1" t="s">
        <v>4684</v>
      </c>
      <c r="P4814" s="1" t="s">
        <v>401</v>
      </c>
      <c r="Q4814" s="63" t="s">
        <v>15916</v>
      </c>
      <c r="R4814" s="1" t="s">
        <v>555</v>
      </c>
      <c r="S4814" s="13" t="s">
        <v>28</v>
      </c>
      <c r="AU4814" s="11"/>
      <c r="AV4814" s="11"/>
      <c r="AW4814" s="11"/>
      <c r="BA4814" s="11"/>
      <c r="BB4814" s="11"/>
    </row>
    <row r="4815" spans="1:63" ht="12" customHeight="1" x14ac:dyDescent="0.15">
      <c r="A4815" s="1" t="s">
        <v>15933</v>
      </c>
      <c r="B4815" s="1" t="s">
        <v>15934</v>
      </c>
      <c r="C4815" s="1" t="s">
        <v>20</v>
      </c>
      <c r="D4815" s="1" t="s">
        <v>85</v>
      </c>
      <c r="E4815" s="1" t="s">
        <v>15935</v>
      </c>
      <c r="F4815" s="72">
        <v>41441</v>
      </c>
      <c r="G4815" s="1" t="s">
        <v>15936</v>
      </c>
      <c r="H4815" s="1" t="s">
        <v>213</v>
      </c>
      <c r="I4815" s="1" t="s">
        <v>62</v>
      </c>
      <c r="J4815" s="4" t="s">
        <v>11318</v>
      </c>
      <c r="K4815" s="1" t="s">
        <v>161</v>
      </c>
      <c r="L4815" s="1" t="s">
        <v>162</v>
      </c>
      <c r="M4815" s="1" t="s">
        <v>27</v>
      </c>
      <c r="N4815" s="1" t="s">
        <v>15937</v>
      </c>
      <c r="O4815" s="1" t="s">
        <v>29</v>
      </c>
      <c r="P4815" s="1" t="s">
        <v>401</v>
      </c>
      <c r="Q4815" s="63" t="s">
        <v>15938</v>
      </c>
      <c r="R4815" s="1" t="s">
        <v>100</v>
      </c>
      <c r="S4815" s="13" t="s">
        <v>28</v>
      </c>
      <c r="AX4815" s="11"/>
      <c r="AY4815" s="11"/>
      <c r="BC4815" s="44"/>
      <c r="BD4815" s="44"/>
      <c r="BE4815" s="44"/>
      <c r="BF4815" s="44"/>
      <c r="BG4815" s="44"/>
      <c r="BH4815" s="44"/>
      <c r="BI4815" s="44"/>
      <c r="BJ4815" s="44"/>
    </row>
    <row r="4816" spans="1:63" ht="12" customHeight="1" x14ac:dyDescent="0.15">
      <c r="A4816" s="1" t="s">
        <v>15928</v>
      </c>
      <c r="B4816" s="1" t="s">
        <v>10011</v>
      </c>
      <c r="C4816" s="1" t="s">
        <v>20</v>
      </c>
      <c r="D4816" s="1" t="s">
        <v>85</v>
      </c>
      <c r="F4816" s="72">
        <v>41441</v>
      </c>
      <c r="G4816" s="1" t="s">
        <v>15929</v>
      </c>
      <c r="H4816" s="1" t="s">
        <v>87</v>
      </c>
      <c r="I4816" s="1" t="s">
        <v>44</v>
      </c>
      <c r="J4816" s="4" t="s">
        <v>15930</v>
      </c>
      <c r="K4816" s="1" t="s">
        <v>88</v>
      </c>
      <c r="L4816" s="1" t="s">
        <v>89</v>
      </c>
      <c r="M4816" s="1" t="s">
        <v>27</v>
      </c>
      <c r="N4816" s="1" t="s">
        <v>15931</v>
      </c>
      <c r="O4816" s="1" t="s">
        <v>29</v>
      </c>
      <c r="P4816" s="1" t="s">
        <v>401</v>
      </c>
      <c r="Q4816" s="63" t="s">
        <v>15932</v>
      </c>
      <c r="R4816" s="1" t="s">
        <v>100</v>
      </c>
      <c r="S4816" s="13" t="s">
        <v>28</v>
      </c>
      <c r="AX4816" s="11"/>
      <c r="AY4816" s="11"/>
      <c r="BC4816" s="44"/>
      <c r="BD4816" s="44"/>
      <c r="BE4816" s="44"/>
      <c r="BF4816" s="44"/>
      <c r="BG4816" s="44"/>
      <c r="BH4816" s="44"/>
      <c r="BI4816" s="44"/>
      <c r="BJ4816" s="44"/>
    </row>
    <row r="4817" spans="1:63" ht="12" customHeight="1" x14ac:dyDescent="0.15">
      <c r="A4817" s="1" t="s">
        <v>15923</v>
      </c>
      <c r="B4817" s="1">
        <v>15</v>
      </c>
      <c r="C4817" s="1" t="s">
        <v>20</v>
      </c>
      <c r="D4817" s="1" t="s">
        <v>85</v>
      </c>
      <c r="E4817" s="1" t="s">
        <v>15924</v>
      </c>
      <c r="F4817" s="72">
        <v>41441</v>
      </c>
      <c r="G4817" s="1" t="s">
        <v>15925</v>
      </c>
      <c r="H4817" s="1" t="s">
        <v>87</v>
      </c>
      <c r="I4817" s="1" t="s">
        <v>44</v>
      </c>
      <c r="J4817" s="4" t="s">
        <v>15571</v>
      </c>
      <c r="K4817" s="1" t="s">
        <v>88</v>
      </c>
      <c r="L4817" s="1" t="s">
        <v>89</v>
      </c>
      <c r="M4817" s="1" t="s">
        <v>27</v>
      </c>
      <c r="N4817" s="1" t="s">
        <v>15926</v>
      </c>
      <c r="O4817" s="1" t="s">
        <v>1010</v>
      </c>
      <c r="P4817" s="1" t="s">
        <v>401</v>
      </c>
      <c r="Q4817" s="63" t="s">
        <v>15927</v>
      </c>
      <c r="R4817" s="1" t="s">
        <v>100</v>
      </c>
      <c r="S4817" s="13" t="s">
        <v>28</v>
      </c>
      <c r="AX4817" s="11"/>
      <c r="AY4817" s="11"/>
      <c r="BC4817" s="44"/>
      <c r="BD4817" s="44"/>
      <c r="BE4817" s="44"/>
      <c r="BF4817" s="44"/>
      <c r="BG4817" s="44"/>
      <c r="BH4817" s="44"/>
      <c r="BI4817" s="44"/>
      <c r="BJ4817" s="44"/>
    </row>
    <row r="4818" spans="1:63" ht="12" customHeight="1" x14ac:dyDescent="0.15">
      <c r="A4818" s="1" t="s">
        <v>15946</v>
      </c>
      <c r="B4818" s="1" t="s">
        <v>15934</v>
      </c>
      <c r="C4818" s="1" t="s">
        <v>20</v>
      </c>
      <c r="D4818" s="1" t="s">
        <v>85</v>
      </c>
      <c r="E4818" s="1" t="s">
        <v>15947</v>
      </c>
      <c r="F4818" s="72">
        <v>41441</v>
      </c>
      <c r="G4818" s="1" t="s">
        <v>15948</v>
      </c>
      <c r="H4818" s="1" t="s">
        <v>15949</v>
      </c>
      <c r="I4818" s="1" t="s">
        <v>32</v>
      </c>
      <c r="J4818" s="4" t="s">
        <v>15950</v>
      </c>
      <c r="K4818" s="1" t="s">
        <v>1007</v>
      </c>
      <c r="L4818" s="1" t="s">
        <v>15951</v>
      </c>
      <c r="M4818" s="1" t="s">
        <v>27</v>
      </c>
      <c r="N4818" s="1" t="s">
        <v>15952</v>
      </c>
      <c r="O4818" s="1" t="s">
        <v>29</v>
      </c>
      <c r="P4818" s="1" t="s">
        <v>401</v>
      </c>
      <c r="Q4818" s="63" t="s">
        <v>15953</v>
      </c>
      <c r="R4818" s="1" t="s">
        <v>100</v>
      </c>
      <c r="S4818" s="13" t="s">
        <v>28</v>
      </c>
      <c r="AX4818" s="11"/>
      <c r="AY4818" s="11"/>
      <c r="BC4818" s="44"/>
      <c r="BD4818" s="44"/>
      <c r="BE4818" s="44"/>
      <c r="BF4818" s="44"/>
      <c r="BG4818" s="44"/>
      <c r="BH4818" s="44"/>
      <c r="BI4818" s="44"/>
      <c r="BJ4818" s="44"/>
    </row>
    <row r="4819" spans="1:63" ht="12" customHeight="1" x14ac:dyDescent="0.15">
      <c r="A4819" s="1" t="s">
        <v>15954</v>
      </c>
      <c r="B4819" s="1" t="s">
        <v>15955</v>
      </c>
      <c r="C4819" s="1" t="s">
        <v>20</v>
      </c>
      <c r="D4819" s="1" t="s">
        <v>48</v>
      </c>
      <c r="E4819" s="1" t="s">
        <v>15956</v>
      </c>
      <c r="F4819" s="72">
        <v>41441</v>
      </c>
      <c r="G4819" s="1" t="s">
        <v>24585</v>
      </c>
      <c r="H4819" s="1" t="s">
        <v>10970</v>
      </c>
      <c r="I4819" s="1" t="s">
        <v>73</v>
      </c>
      <c r="J4819" s="4" t="s">
        <v>15797</v>
      </c>
      <c r="K4819" s="1" t="s">
        <v>2583</v>
      </c>
      <c r="L4819" s="1" t="s">
        <v>10972</v>
      </c>
      <c r="M4819" s="1" t="s">
        <v>27</v>
      </c>
      <c r="N4819" s="1" t="s">
        <v>15957</v>
      </c>
      <c r="O4819" s="1" t="s">
        <v>29</v>
      </c>
      <c r="P4819" s="1" t="s">
        <v>401</v>
      </c>
      <c r="Q4819" s="63" t="s">
        <v>15958</v>
      </c>
      <c r="R4819" s="1" t="s">
        <v>100</v>
      </c>
      <c r="S4819" s="13" t="s">
        <v>28</v>
      </c>
    </row>
    <row r="4820" spans="1:63" ht="12" customHeight="1" x14ac:dyDescent="0.15">
      <c r="A4820" s="1" t="s">
        <v>15963</v>
      </c>
      <c r="B4820" s="1" t="s">
        <v>15964</v>
      </c>
      <c r="C4820" s="1" t="s">
        <v>20</v>
      </c>
      <c r="D4820" s="1" t="s">
        <v>30</v>
      </c>
      <c r="F4820" s="72">
        <v>41441</v>
      </c>
      <c r="G4820" s="1" t="s">
        <v>15965</v>
      </c>
      <c r="H4820" s="1" t="s">
        <v>1056</v>
      </c>
      <c r="I4820" s="1" t="s">
        <v>217</v>
      </c>
      <c r="J4820" s="4" t="s">
        <v>15966</v>
      </c>
      <c r="K4820" s="1" t="s">
        <v>2210</v>
      </c>
      <c r="L4820" s="1" t="s">
        <v>5418</v>
      </c>
      <c r="M4820" s="1" t="s">
        <v>27</v>
      </c>
      <c r="N4820" s="1" t="s">
        <v>15967</v>
      </c>
      <c r="O4820" s="1" t="s">
        <v>29</v>
      </c>
      <c r="P4820" s="1" t="s">
        <v>401</v>
      </c>
      <c r="Q4820" s="63" t="s">
        <v>15968</v>
      </c>
      <c r="R4820" s="1" t="s">
        <v>100</v>
      </c>
      <c r="S4820" s="13" t="s">
        <v>28</v>
      </c>
    </row>
    <row r="4821" spans="1:63" ht="12" customHeight="1" x14ac:dyDescent="0.15">
      <c r="A4821" s="1" t="s">
        <v>15969</v>
      </c>
      <c r="B4821" s="1">
        <v>33</v>
      </c>
      <c r="C4821" s="1" t="s">
        <v>20</v>
      </c>
      <c r="D4821" s="1" t="s">
        <v>37</v>
      </c>
      <c r="E4821" s="1" t="s">
        <v>15970</v>
      </c>
      <c r="F4821" s="72">
        <v>41441</v>
      </c>
      <c r="G4821" s="1" t="s">
        <v>24583</v>
      </c>
      <c r="H4821" s="1" t="s">
        <v>679</v>
      </c>
      <c r="I4821" s="1" t="s">
        <v>45</v>
      </c>
      <c r="J4821" s="4" t="s">
        <v>3479</v>
      </c>
      <c r="K4821" s="1" t="s">
        <v>680</v>
      </c>
      <c r="L4821" s="1" t="s">
        <v>747</v>
      </c>
      <c r="M4821" s="1" t="s">
        <v>27</v>
      </c>
      <c r="N4821" s="1" t="s">
        <v>15971</v>
      </c>
      <c r="O4821" s="1" t="s">
        <v>1010</v>
      </c>
      <c r="P4821" s="1" t="s">
        <v>401</v>
      </c>
      <c r="Q4821" s="63" t="s">
        <v>15972</v>
      </c>
      <c r="R4821" s="1" t="s">
        <v>100</v>
      </c>
      <c r="S4821" s="13" t="s">
        <v>28</v>
      </c>
      <c r="AX4821" s="11"/>
      <c r="AY4821" s="11"/>
      <c r="AZ4821" s="11"/>
    </row>
    <row r="4822" spans="1:63" ht="12" customHeight="1" x14ac:dyDescent="0.15">
      <c r="A4822" s="1" t="s">
        <v>15973</v>
      </c>
      <c r="B4822" s="1">
        <v>54</v>
      </c>
      <c r="C4822" s="1" t="s">
        <v>20</v>
      </c>
      <c r="D4822" s="1" t="s">
        <v>37</v>
      </c>
      <c r="E4822" s="1" t="s">
        <v>15974</v>
      </c>
      <c r="F4822" s="72">
        <v>41441</v>
      </c>
      <c r="G4822" s="1" t="s">
        <v>24584</v>
      </c>
      <c r="H4822" s="1" t="s">
        <v>1060</v>
      </c>
      <c r="I4822" s="1" t="s">
        <v>62</v>
      </c>
      <c r="J4822" s="4" t="s">
        <v>12845</v>
      </c>
      <c r="K4822" s="1" t="s">
        <v>1061</v>
      </c>
      <c r="L4822" s="1" t="s">
        <v>4424</v>
      </c>
      <c r="M4822" s="1" t="s">
        <v>27</v>
      </c>
      <c r="N4822" s="1" t="s">
        <v>15975</v>
      </c>
      <c r="O4822" s="1" t="s">
        <v>4684</v>
      </c>
      <c r="P4822" s="1" t="s">
        <v>401</v>
      </c>
      <c r="Q4822" s="63" t="s">
        <v>15976</v>
      </c>
      <c r="R4822" s="1" t="s">
        <v>100</v>
      </c>
      <c r="S4822" s="13" t="s">
        <v>28</v>
      </c>
      <c r="AX4822" s="11"/>
      <c r="AY4822" s="11"/>
      <c r="AZ4822" s="11"/>
    </row>
    <row r="4823" spans="1:63" ht="12" customHeight="1" x14ac:dyDescent="0.15">
      <c r="A4823" s="1" t="s">
        <v>15939</v>
      </c>
      <c r="B4823" s="1" t="s">
        <v>8724</v>
      </c>
      <c r="C4823" s="1" t="s">
        <v>20</v>
      </c>
      <c r="D4823" s="1" t="s">
        <v>85</v>
      </c>
      <c r="E4823" s="1" t="s">
        <v>15940</v>
      </c>
      <c r="F4823" s="72">
        <v>41441</v>
      </c>
      <c r="G4823" s="1" t="s">
        <v>15941</v>
      </c>
      <c r="H4823" s="1" t="s">
        <v>15942</v>
      </c>
      <c r="I4823" s="1" t="s">
        <v>395</v>
      </c>
      <c r="J4823" s="4" t="s">
        <v>15943</v>
      </c>
      <c r="K4823" s="1" t="s">
        <v>1095</v>
      </c>
      <c r="L4823" s="1" t="s">
        <v>1146</v>
      </c>
      <c r="M4823" s="1" t="s">
        <v>27</v>
      </c>
      <c r="N4823" s="1" t="s">
        <v>15944</v>
      </c>
      <c r="O4823" s="1" t="s">
        <v>550</v>
      </c>
      <c r="P4823" s="1" t="s">
        <v>401</v>
      </c>
      <c r="Q4823" s="63" t="s">
        <v>15945</v>
      </c>
      <c r="R4823" s="1" t="s">
        <v>555</v>
      </c>
      <c r="S4823" s="13" t="s">
        <v>28</v>
      </c>
      <c r="AX4823" s="11"/>
      <c r="AY4823" s="11"/>
      <c r="BC4823" s="44"/>
      <c r="BD4823" s="44"/>
      <c r="BE4823" s="44"/>
      <c r="BF4823" s="44"/>
      <c r="BG4823" s="44"/>
      <c r="BH4823" s="44"/>
      <c r="BI4823" s="44"/>
      <c r="BJ4823" s="44"/>
    </row>
    <row r="4824" spans="1:63" ht="12" customHeight="1" x14ac:dyDescent="0.15">
      <c r="A4824" s="1" t="s">
        <v>3252</v>
      </c>
      <c r="B4824" s="1">
        <v>53</v>
      </c>
      <c r="C4824" s="1" t="s">
        <v>20</v>
      </c>
      <c r="D4824" s="1" t="s">
        <v>30</v>
      </c>
      <c r="F4824" s="72">
        <v>41441</v>
      </c>
      <c r="G4824" s="1" t="s">
        <v>15959</v>
      </c>
      <c r="H4824" s="1" t="s">
        <v>1141</v>
      </c>
      <c r="I4824" s="1" t="s">
        <v>45</v>
      </c>
      <c r="J4824" s="4" t="s">
        <v>15960</v>
      </c>
      <c r="K4824" s="1" t="s">
        <v>602</v>
      </c>
      <c r="L4824" s="1" t="s">
        <v>1142</v>
      </c>
      <c r="M4824" s="1" t="s">
        <v>27</v>
      </c>
      <c r="N4824" s="1" t="s">
        <v>15961</v>
      </c>
      <c r="O4824" s="1" t="s">
        <v>4684</v>
      </c>
      <c r="P4824" s="1" t="s">
        <v>401</v>
      </c>
      <c r="Q4824" s="63" t="s">
        <v>15962</v>
      </c>
      <c r="R4824" s="1" t="s">
        <v>555</v>
      </c>
      <c r="S4824" s="13" t="s">
        <v>28</v>
      </c>
      <c r="BA4824" s="11"/>
      <c r="BB4824" s="11"/>
    </row>
    <row r="4825" spans="1:63" s="70" customFormat="1" ht="12" customHeight="1" x14ac:dyDescent="0.2">
      <c r="A4825" s="1" t="s">
        <v>15977</v>
      </c>
      <c r="B4825" s="1" t="s">
        <v>15659</v>
      </c>
      <c r="C4825" s="1" t="s">
        <v>20</v>
      </c>
      <c r="D4825" s="1" t="s">
        <v>85</v>
      </c>
      <c r="E4825" s="1" t="s">
        <v>15978</v>
      </c>
      <c r="F4825" s="72">
        <v>41440</v>
      </c>
      <c r="G4825" s="1" t="s">
        <v>15979</v>
      </c>
      <c r="H4825" s="1" t="s">
        <v>11351</v>
      </c>
      <c r="I4825" s="1" t="s">
        <v>62</v>
      </c>
      <c r="J4825" s="4" t="s">
        <v>15980</v>
      </c>
      <c r="K4825" s="1" t="s">
        <v>1024</v>
      </c>
      <c r="L4825" s="1" t="s">
        <v>15981</v>
      </c>
      <c r="M4825" s="1" t="s">
        <v>27</v>
      </c>
      <c r="N4825" s="1" t="s">
        <v>15982</v>
      </c>
      <c r="O4825" s="1" t="s">
        <v>29</v>
      </c>
      <c r="P4825" s="1" t="s">
        <v>401</v>
      </c>
      <c r="Q4825" s="63" t="s">
        <v>15983</v>
      </c>
      <c r="R4825" s="1" t="s">
        <v>100</v>
      </c>
      <c r="S4825" s="13" t="s">
        <v>28</v>
      </c>
      <c r="T4825" s="1"/>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c r="AQ4825" s="1"/>
      <c r="AR4825" s="1"/>
      <c r="AS4825" s="1"/>
      <c r="AT4825" s="1"/>
      <c r="AU4825" s="1"/>
      <c r="AV4825" s="1"/>
      <c r="AW4825" s="1"/>
      <c r="AX4825" s="11"/>
      <c r="AY4825" s="11"/>
      <c r="AZ4825" s="1"/>
      <c r="BA4825" s="1"/>
      <c r="BB4825" s="1"/>
      <c r="BC4825" s="44"/>
      <c r="BD4825" s="44"/>
      <c r="BE4825" s="44"/>
      <c r="BF4825" s="44"/>
      <c r="BG4825" s="44"/>
      <c r="BH4825" s="44"/>
      <c r="BI4825" s="44"/>
      <c r="BJ4825" s="44"/>
      <c r="BK4825" s="1"/>
    </row>
    <row r="4826" spans="1:63" s="70" customFormat="1" ht="12" customHeight="1" x14ac:dyDescent="0.2">
      <c r="A4826" s="1" t="s">
        <v>15984</v>
      </c>
      <c r="B4826" s="1" t="s">
        <v>15985</v>
      </c>
      <c r="C4826" s="1" t="s">
        <v>20</v>
      </c>
      <c r="D4826" s="1" t="s">
        <v>48</v>
      </c>
      <c r="E4826" s="1"/>
      <c r="F4826" s="72">
        <v>41440</v>
      </c>
      <c r="G4826" s="1" t="s">
        <v>15986</v>
      </c>
      <c r="H4826" s="1" t="s">
        <v>1627</v>
      </c>
      <c r="I4826" s="1" t="s">
        <v>463</v>
      </c>
      <c r="J4826" s="4" t="s">
        <v>15987</v>
      </c>
      <c r="K4826" s="1" t="s">
        <v>938</v>
      </c>
      <c r="L4826" s="1" t="s">
        <v>2253</v>
      </c>
      <c r="M4826" s="1" t="s">
        <v>27</v>
      </c>
      <c r="N4826" s="1" t="s">
        <v>15988</v>
      </c>
      <c r="O4826" s="1" t="s">
        <v>550</v>
      </c>
      <c r="P4826" s="1" t="s">
        <v>401</v>
      </c>
      <c r="Q4826" s="63" t="s">
        <v>15989</v>
      </c>
      <c r="R4826" s="1" t="s">
        <v>100</v>
      </c>
      <c r="S4826" s="13" t="s">
        <v>28</v>
      </c>
      <c r="T4826" s="1"/>
      <c r="U4826" s="1"/>
      <c r="V4826" s="1"/>
      <c r="W4826" s="1"/>
      <c r="X4826" s="1"/>
      <c r="Y4826" s="1"/>
      <c r="Z4826" s="1"/>
      <c r="AA4826" s="1"/>
      <c r="AB4826" s="1"/>
      <c r="AC4826" s="1"/>
      <c r="AD4826" s="1"/>
      <c r="AE4826" s="1"/>
      <c r="AF4826" s="1"/>
      <c r="AG4826" s="1"/>
      <c r="AH4826" s="1"/>
      <c r="AI4826" s="1"/>
      <c r="AJ4826" s="1"/>
      <c r="AK4826" s="1"/>
      <c r="AL4826" s="1"/>
      <c r="AM4826" s="1"/>
      <c r="AN4826" s="1"/>
      <c r="AO4826" s="1"/>
      <c r="AP4826" s="1"/>
      <c r="AQ4826" s="1"/>
      <c r="AR4826" s="1"/>
      <c r="AS4826" s="1"/>
      <c r="AT4826" s="1"/>
      <c r="AU4826" s="1"/>
      <c r="AV4826" s="1"/>
      <c r="AW4826" s="1"/>
      <c r="AX4826" s="1"/>
      <c r="AY4826" s="1"/>
      <c r="AZ4826" s="1"/>
      <c r="BA4826" s="1"/>
      <c r="BB4826" s="1"/>
      <c r="BC4826" s="1"/>
      <c r="BD4826" s="1"/>
      <c r="BE4826" s="1"/>
      <c r="BF4826" s="1"/>
      <c r="BG4826" s="1"/>
      <c r="BH4826" s="1"/>
      <c r="BI4826" s="1"/>
      <c r="BJ4826" s="1"/>
      <c r="BK4826" s="1"/>
    </row>
    <row r="4827" spans="1:63" s="70" customFormat="1" ht="12" customHeight="1" x14ac:dyDescent="0.2">
      <c r="A4827" s="1" t="s">
        <v>3252</v>
      </c>
      <c r="B4827" s="1" t="s">
        <v>11070</v>
      </c>
      <c r="C4827" s="1" t="s">
        <v>20</v>
      </c>
      <c r="D4827" s="1" t="s">
        <v>30</v>
      </c>
      <c r="E4827" s="1"/>
      <c r="F4827" s="72">
        <v>41440</v>
      </c>
      <c r="G4827" s="1" t="s">
        <v>15990</v>
      </c>
      <c r="H4827" s="1" t="s">
        <v>213</v>
      </c>
      <c r="I4827" s="1" t="s">
        <v>62</v>
      </c>
      <c r="J4827" s="4" t="s">
        <v>9078</v>
      </c>
      <c r="K4827" s="1" t="s">
        <v>161</v>
      </c>
      <c r="L4827" s="1" t="s">
        <v>162</v>
      </c>
      <c r="M4827" s="1" t="s">
        <v>27</v>
      </c>
      <c r="N4827" s="1" t="s">
        <v>15991</v>
      </c>
      <c r="O4827" s="1" t="s">
        <v>29</v>
      </c>
      <c r="P4827" s="1" t="s">
        <v>401</v>
      </c>
      <c r="Q4827" s="63" t="s">
        <v>15992</v>
      </c>
      <c r="R4827" s="1" t="s">
        <v>100</v>
      </c>
      <c r="S4827" s="13" t="s">
        <v>28</v>
      </c>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c r="AR4827" s="1"/>
      <c r="AS4827" s="1"/>
      <c r="AT4827" s="1"/>
      <c r="AU4827" s="1"/>
      <c r="AV4827" s="1"/>
      <c r="AW4827" s="1"/>
      <c r="AX4827" s="1"/>
      <c r="AY4827" s="1"/>
      <c r="AZ4827" s="1"/>
      <c r="BA4827" s="1"/>
      <c r="BB4827" s="1"/>
      <c r="BC4827" s="1"/>
      <c r="BD4827" s="1"/>
      <c r="BE4827" s="1"/>
      <c r="BF4827" s="1"/>
      <c r="BG4827" s="1"/>
      <c r="BH4827" s="1"/>
      <c r="BI4827" s="1"/>
      <c r="BJ4827" s="1"/>
      <c r="BK4827" s="1"/>
    </row>
    <row r="4828" spans="1:63" s="70" customFormat="1" ht="12" customHeight="1" x14ac:dyDescent="0.2">
      <c r="A4828" s="1" t="s">
        <v>15993</v>
      </c>
      <c r="B4828" s="1" t="s">
        <v>15994</v>
      </c>
      <c r="C4828" s="1" t="s">
        <v>20</v>
      </c>
      <c r="D4828" s="1" t="s">
        <v>37</v>
      </c>
      <c r="E4828" s="1" t="s">
        <v>15995</v>
      </c>
      <c r="F4828" s="72">
        <v>41440</v>
      </c>
      <c r="G4828" s="1" t="s">
        <v>15996</v>
      </c>
      <c r="H4828" s="1" t="s">
        <v>15997</v>
      </c>
      <c r="I4828" s="1" t="s">
        <v>209</v>
      </c>
      <c r="J4828" s="4" t="s">
        <v>15998</v>
      </c>
      <c r="K4828" s="1" t="s">
        <v>1428</v>
      </c>
      <c r="L4828" s="1" t="s">
        <v>15999</v>
      </c>
      <c r="M4828" s="1" t="s">
        <v>27</v>
      </c>
      <c r="N4828" s="1" t="s">
        <v>16000</v>
      </c>
      <c r="O4828" s="1" t="s">
        <v>550</v>
      </c>
      <c r="P4828" s="1" t="s">
        <v>401</v>
      </c>
      <c r="Q4828" s="63" t="s">
        <v>16001</v>
      </c>
      <c r="R4828" s="1" t="s">
        <v>100</v>
      </c>
      <c r="S4828" s="13" t="s">
        <v>28</v>
      </c>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c r="AQ4828" s="1"/>
      <c r="AR4828" s="1"/>
      <c r="AS4828" s="1"/>
      <c r="AT4828" s="1"/>
      <c r="AU4828" s="1"/>
      <c r="AV4828" s="1"/>
      <c r="AW4828" s="1"/>
      <c r="AX4828" s="11"/>
      <c r="AY4828" s="11"/>
      <c r="AZ4828" s="11"/>
      <c r="BA4828" s="1"/>
      <c r="BB4828" s="1"/>
      <c r="BC4828" s="1"/>
      <c r="BD4828" s="1"/>
      <c r="BE4828" s="1"/>
      <c r="BF4828" s="1"/>
      <c r="BG4828" s="1"/>
      <c r="BH4828" s="1"/>
      <c r="BI4828" s="1"/>
      <c r="BJ4828" s="1"/>
      <c r="BK4828" s="1"/>
    </row>
    <row r="4829" spans="1:63" s="70" customFormat="1" ht="12" customHeight="1" x14ac:dyDescent="0.2">
      <c r="A4829" s="1" t="s">
        <v>16002</v>
      </c>
      <c r="B4829" s="1">
        <v>32</v>
      </c>
      <c r="C4829" s="1" t="s">
        <v>20</v>
      </c>
      <c r="D4829" s="1" t="s">
        <v>85</v>
      </c>
      <c r="E4829" s="1" t="s">
        <v>16003</v>
      </c>
      <c r="F4829" s="72">
        <v>41439</v>
      </c>
      <c r="G4829" s="1" t="s">
        <v>16004</v>
      </c>
      <c r="H4829" s="1" t="s">
        <v>16005</v>
      </c>
      <c r="I4829" s="1" t="s">
        <v>45</v>
      </c>
      <c r="J4829" s="4" t="s">
        <v>16006</v>
      </c>
      <c r="K4829" s="1" t="s">
        <v>602</v>
      </c>
      <c r="L4829" s="1" t="s">
        <v>249</v>
      </c>
      <c r="M4829" s="1" t="s">
        <v>27</v>
      </c>
      <c r="N4829" s="1" t="s">
        <v>16007</v>
      </c>
      <c r="O4829" s="1" t="s">
        <v>550</v>
      </c>
      <c r="P4829" s="1" t="s">
        <v>401</v>
      </c>
      <c r="Q4829" s="63" t="s">
        <v>16008</v>
      </c>
      <c r="R4829" s="1" t="s">
        <v>555</v>
      </c>
      <c r="S4829" s="13" t="s">
        <v>28</v>
      </c>
      <c r="T4829" s="1"/>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c r="AQ4829" s="1"/>
      <c r="AR4829" s="1"/>
      <c r="AS4829" s="1"/>
      <c r="AT4829" s="1"/>
      <c r="AU4829" s="1"/>
      <c r="AV4829" s="1"/>
      <c r="AW4829" s="1"/>
      <c r="AX4829" s="11"/>
      <c r="AY4829" s="11"/>
      <c r="AZ4829" s="1"/>
      <c r="BA4829" s="1"/>
      <c r="BB4829" s="1"/>
      <c r="BC4829" s="44"/>
      <c r="BD4829" s="44"/>
      <c r="BE4829" s="44"/>
      <c r="BF4829" s="44"/>
      <c r="BG4829" s="44"/>
      <c r="BH4829" s="44"/>
      <c r="BI4829" s="44"/>
      <c r="BJ4829" s="44"/>
      <c r="BK4829" s="1"/>
    </row>
    <row r="4830" spans="1:63" s="70" customFormat="1" ht="12" customHeight="1" x14ac:dyDescent="0.2">
      <c r="A4830" s="1" t="s">
        <v>16009</v>
      </c>
      <c r="B4830" s="1" t="s">
        <v>16010</v>
      </c>
      <c r="C4830" s="1" t="s">
        <v>20</v>
      </c>
      <c r="D4830" s="1" t="s">
        <v>37</v>
      </c>
      <c r="E4830" s="1" t="s">
        <v>16011</v>
      </c>
      <c r="F4830" s="72">
        <v>41439</v>
      </c>
      <c r="G4830" s="1" t="s">
        <v>16012</v>
      </c>
      <c r="H4830" s="1" t="s">
        <v>16013</v>
      </c>
      <c r="I4830" s="1" t="s">
        <v>46</v>
      </c>
      <c r="J4830" s="4" t="s">
        <v>16014</v>
      </c>
      <c r="K4830" s="1" t="s">
        <v>3317</v>
      </c>
      <c r="L4830" s="1" t="s">
        <v>16424</v>
      </c>
      <c r="M4830" s="1" t="s">
        <v>27</v>
      </c>
      <c r="N4830" s="1" t="s">
        <v>16015</v>
      </c>
      <c r="O4830" s="1" t="s">
        <v>550</v>
      </c>
      <c r="P4830" s="1" t="s">
        <v>401</v>
      </c>
      <c r="Q4830" s="63" t="s">
        <v>16016</v>
      </c>
      <c r="R4830" s="1" t="s">
        <v>555</v>
      </c>
      <c r="S4830" s="13" t="s">
        <v>28</v>
      </c>
      <c r="T4830" s="1"/>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c r="AR4830" s="1"/>
      <c r="AS4830" s="1"/>
      <c r="AT4830" s="1"/>
      <c r="AU4830" s="1"/>
      <c r="AV4830" s="1"/>
      <c r="AW4830" s="1"/>
      <c r="AX4830" s="11"/>
      <c r="AY4830" s="11"/>
      <c r="AZ4830" s="11"/>
      <c r="BA4830" s="44"/>
      <c r="BB4830" s="44"/>
      <c r="BC4830" s="1"/>
      <c r="BD4830" s="1"/>
      <c r="BE4830" s="1"/>
      <c r="BF4830" s="1"/>
      <c r="BG4830" s="1"/>
      <c r="BH4830" s="1"/>
      <c r="BI4830" s="1"/>
      <c r="BJ4830" s="1"/>
      <c r="BK4830" s="1"/>
    </row>
    <row r="4831" spans="1:63" s="70" customFormat="1" ht="12" customHeight="1" x14ac:dyDescent="0.2">
      <c r="A4831" s="1" t="s">
        <v>16017</v>
      </c>
      <c r="B4831" s="1">
        <v>17</v>
      </c>
      <c r="C4831" s="1" t="s">
        <v>20</v>
      </c>
      <c r="D4831" s="1" t="s">
        <v>30</v>
      </c>
      <c r="E4831" s="1"/>
      <c r="F4831" s="72">
        <v>41438</v>
      </c>
      <c r="G4831" s="1" t="s">
        <v>16018</v>
      </c>
      <c r="H4831" s="1" t="s">
        <v>2158</v>
      </c>
      <c r="I4831" s="1" t="s">
        <v>94</v>
      </c>
      <c r="J4831" s="4" t="s">
        <v>6811</v>
      </c>
      <c r="K4831" s="1" t="s">
        <v>2160</v>
      </c>
      <c r="L4831" s="1" t="s">
        <v>2161</v>
      </c>
      <c r="M4831" s="1" t="s">
        <v>3154</v>
      </c>
      <c r="N4831" s="1" t="s">
        <v>16019</v>
      </c>
      <c r="O4831" s="1" t="s">
        <v>400</v>
      </c>
      <c r="P4831" s="1" t="s">
        <v>401</v>
      </c>
      <c r="Q4831" s="63" t="s">
        <v>16020</v>
      </c>
      <c r="R4831" s="11" t="s">
        <v>964</v>
      </c>
      <c r="S4831" s="13" t="s">
        <v>28</v>
      </c>
      <c r="T4831" s="1"/>
      <c r="U4831" s="1"/>
      <c r="V4831" s="1"/>
      <c r="W4831" s="1"/>
      <c r="X4831" s="1"/>
      <c r="Y4831" s="1"/>
      <c r="Z4831" s="1"/>
      <c r="AA4831" s="1"/>
      <c r="AB4831" s="1"/>
      <c r="AC4831" s="1"/>
      <c r="AD4831" s="1"/>
      <c r="AE4831" s="1"/>
      <c r="AF4831" s="1"/>
      <c r="AG4831" s="1"/>
      <c r="AH4831" s="1"/>
      <c r="AI4831" s="1"/>
      <c r="AJ4831" s="1"/>
      <c r="AK4831" s="1"/>
      <c r="AL4831" s="1"/>
      <c r="AM4831" s="1"/>
      <c r="AN4831" s="1"/>
      <c r="AO4831" s="1"/>
      <c r="AP4831" s="1"/>
      <c r="AQ4831" s="1"/>
      <c r="AR4831" s="1"/>
      <c r="AS4831" s="1"/>
      <c r="AV4831" s="1"/>
      <c r="AW4831" s="1"/>
      <c r="AX4831" s="1"/>
      <c r="AY4831" s="1"/>
      <c r="AZ4831" s="1"/>
      <c r="BA4831" s="1"/>
      <c r="BB4831" s="1"/>
      <c r="BC4831" s="1"/>
      <c r="BD4831" s="1"/>
      <c r="BE4831" s="1"/>
      <c r="BF4831" s="1"/>
      <c r="BG4831" s="1"/>
      <c r="BH4831" s="1"/>
      <c r="BI4831" s="1"/>
      <c r="BJ4831" s="78"/>
      <c r="BK4831" s="78"/>
    </row>
    <row r="4832" spans="1:63" s="70" customFormat="1" ht="12" customHeight="1" x14ac:dyDescent="0.2">
      <c r="A4832" s="1" t="s">
        <v>16021</v>
      </c>
      <c r="B4832" s="1">
        <v>34</v>
      </c>
      <c r="C4832" s="1" t="s">
        <v>20</v>
      </c>
      <c r="D4832" s="1" t="s">
        <v>37</v>
      </c>
      <c r="E4832" s="1" t="s">
        <v>16022</v>
      </c>
      <c r="F4832" s="72">
        <v>41438</v>
      </c>
      <c r="G4832" s="1" t="s">
        <v>16023</v>
      </c>
      <c r="H4832" s="1" t="s">
        <v>838</v>
      </c>
      <c r="I4832" s="1" t="s">
        <v>303</v>
      </c>
      <c r="J4832" s="4" t="s">
        <v>16024</v>
      </c>
      <c r="K4832" s="1" t="s">
        <v>838</v>
      </c>
      <c r="L4832" s="1" t="s">
        <v>11484</v>
      </c>
      <c r="M4832" s="1" t="s">
        <v>12821</v>
      </c>
      <c r="N4832" s="1" t="s">
        <v>16025</v>
      </c>
      <c r="O4832" s="1" t="s">
        <v>550</v>
      </c>
      <c r="P4832" s="1" t="s">
        <v>401</v>
      </c>
      <c r="Q4832" s="63" t="s">
        <v>16026</v>
      </c>
      <c r="R4832" s="1" t="s">
        <v>100</v>
      </c>
      <c r="S4832" s="13" t="s">
        <v>28</v>
      </c>
      <c r="T4832" s="1"/>
      <c r="U4832" s="1"/>
      <c r="V4832" s="1"/>
      <c r="W4832" s="1"/>
      <c r="X4832" s="1"/>
      <c r="Y4832" s="1"/>
      <c r="Z4832" s="1"/>
      <c r="AA4832" s="1"/>
      <c r="AB4832" s="1"/>
      <c r="AC4832" s="1"/>
      <c r="AD4832" s="1"/>
      <c r="AE4832" s="1"/>
      <c r="AF4832" s="1"/>
      <c r="AG4832" s="1"/>
      <c r="AH4832" s="1"/>
      <c r="AI4832" s="1"/>
      <c r="AJ4832" s="1"/>
      <c r="AK4832" s="1"/>
      <c r="AL4832" s="1"/>
      <c r="AM4832" s="1"/>
      <c r="AN4832" s="1"/>
      <c r="AO4832" s="1"/>
      <c r="AP4832" s="1"/>
      <c r="AQ4832" s="1"/>
      <c r="AR4832" s="1"/>
      <c r="AS4832" s="1"/>
      <c r="AT4832" s="1"/>
      <c r="AX4832" s="44"/>
      <c r="AY4832" s="44"/>
      <c r="AZ4832" s="44"/>
      <c r="BA4832" s="1"/>
      <c r="BB4832" s="1"/>
      <c r="BC4832" s="1"/>
      <c r="BD4832" s="1"/>
      <c r="BE4832" s="1"/>
      <c r="BF4832" s="1"/>
      <c r="BG4832" s="1"/>
      <c r="BH4832" s="1"/>
      <c r="BI4832" s="1"/>
      <c r="BJ4832" s="1"/>
      <c r="BK4832" s="78"/>
    </row>
    <row r="4833" spans="1:63" s="70" customFormat="1" ht="12" customHeight="1" x14ac:dyDescent="0.2">
      <c r="A4833" s="1" t="s">
        <v>16027</v>
      </c>
      <c r="B4833" s="1" t="s">
        <v>15834</v>
      </c>
      <c r="C4833" s="1" t="s">
        <v>20</v>
      </c>
      <c r="D4833" s="1" t="s">
        <v>37</v>
      </c>
      <c r="E4833" s="1" t="s">
        <v>16028</v>
      </c>
      <c r="F4833" s="72">
        <v>41438</v>
      </c>
      <c r="G4833" s="1" t="s">
        <v>16029</v>
      </c>
      <c r="H4833" s="1" t="s">
        <v>16030</v>
      </c>
      <c r="I4833" s="1" t="s">
        <v>438</v>
      </c>
      <c r="J4833" s="4" t="s">
        <v>16031</v>
      </c>
      <c r="K4833" s="1" t="s">
        <v>16032</v>
      </c>
      <c r="L4833" s="1" t="s">
        <v>16033</v>
      </c>
      <c r="M4833" s="1" t="s">
        <v>27</v>
      </c>
      <c r="N4833" s="1" t="s">
        <v>16034</v>
      </c>
      <c r="O4833" s="1" t="s">
        <v>550</v>
      </c>
      <c r="P4833" s="1" t="s">
        <v>401</v>
      </c>
      <c r="Q4833" s="63" t="s">
        <v>16035</v>
      </c>
      <c r="R4833" s="1" t="s">
        <v>100</v>
      </c>
      <c r="S4833" s="13" t="s">
        <v>28</v>
      </c>
      <c r="T4833" s="1"/>
      <c r="U4833" s="1"/>
      <c r="V4833" s="1"/>
      <c r="W4833" s="1"/>
      <c r="X4833" s="1"/>
      <c r="Y4833" s="1"/>
      <c r="Z4833" s="1"/>
      <c r="AA4833" s="1"/>
      <c r="AB4833" s="1"/>
      <c r="AC4833" s="1"/>
      <c r="AD4833" s="1"/>
      <c r="AE4833" s="1"/>
      <c r="AF4833" s="1"/>
      <c r="AG4833" s="1"/>
      <c r="AH4833" s="1"/>
      <c r="AI4833" s="1"/>
      <c r="AJ4833" s="1"/>
      <c r="AK4833" s="1"/>
      <c r="AL4833" s="1"/>
      <c r="AM4833" s="1"/>
      <c r="AN4833" s="1"/>
      <c r="AO4833" s="1"/>
      <c r="AP4833" s="1"/>
      <c r="AQ4833" s="1"/>
      <c r="AR4833" s="1"/>
      <c r="AS4833" s="1"/>
      <c r="AT4833" s="1"/>
      <c r="AU4833" s="1"/>
      <c r="AV4833" s="1"/>
      <c r="AW4833" s="1"/>
      <c r="AX4833" s="11"/>
      <c r="AY4833" s="11"/>
      <c r="AZ4833" s="11"/>
      <c r="BA4833" s="1"/>
      <c r="BB4833" s="1"/>
      <c r="BC4833" s="1"/>
      <c r="BD4833" s="1"/>
      <c r="BE4833" s="1"/>
      <c r="BF4833" s="1"/>
      <c r="BG4833" s="1"/>
      <c r="BH4833" s="1"/>
      <c r="BI4833" s="1"/>
      <c r="BJ4833" s="1"/>
      <c r="BK4833" s="1"/>
    </row>
    <row r="4834" spans="1:63" s="70" customFormat="1" ht="12" customHeight="1" x14ac:dyDescent="0.2">
      <c r="A4834" s="1" t="s">
        <v>16036</v>
      </c>
      <c r="B4834" s="1">
        <v>54</v>
      </c>
      <c r="C4834" s="1" t="s">
        <v>20</v>
      </c>
      <c r="D4834" s="1" t="s">
        <v>30</v>
      </c>
      <c r="E4834" s="1"/>
      <c r="F4834" s="72">
        <v>41437</v>
      </c>
      <c r="G4834" s="1" t="s">
        <v>24587</v>
      </c>
      <c r="H4834" s="1" t="s">
        <v>1061</v>
      </c>
      <c r="I4834" s="1" t="s">
        <v>45</v>
      </c>
      <c r="J4834" s="4" t="s">
        <v>16037</v>
      </c>
      <c r="K4834" s="1" t="s">
        <v>1061</v>
      </c>
      <c r="L4834" s="1" t="s">
        <v>16038</v>
      </c>
      <c r="M4834" s="1" t="s">
        <v>27</v>
      </c>
      <c r="N4834" s="1" t="s">
        <v>16039</v>
      </c>
      <c r="O4834" s="1" t="s">
        <v>550</v>
      </c>
      <c r="P4834" s="1" t="s">
        <v>401</v>
      </c>
      <c r="Q4834" s="63" t="s">
        <v>16040</v>
      </c>
      <c r="R4834" s="1" t="s">
        <v>100</v>
      </c>
      <c r="S4834" s="13" t="s">
        <v>28</v>
      </c>
      <c r="T4834" s="1"/>
      <c r="U4834" s="1"/>
      <c r="V4834" s="1"/>
      <c r="W4834" s="1"/>
      <c r="X4834" s="1"/>
      <c r="Y4834" s="1"/>
      <c r="Z4834" s="1"/>
      <c r="AA4834" s="1"/>
      <c r="AB4834" s="1"/>
      <c r="AC4834" s="1"/>
      <c r="AD4834" s="1"/>
      <c r="AE4834" s="1"/>
      <c r="AF4834" s="1"/>
      <c r="AG4834" s="1"/>
      <c r="AH4834" s="1"/>
      <c r="AI4834" s="1"/>
      <c r="AJ4834" s="1"/>
      <c r="AK4834" s="1"/>
      <c r="AL4834" s="1"/>
      <c r="AM4834" s="1"/>
      <c r="AN4834" s="1"/>
      <c r="AO4834" s="1"/>
      <c r="AP4834" s="1"/>
      <c r="AQ4834" s="1"/>
      <c r="AR4834" s="1"/>
      <c r="AS4834" s="1"/>
      <c r="AT4834" s="1"/>
      <c r="AU4834" s="1"/>
      <c r="AV4834" s="1"/>
      <c r="AW4834" s="1"/>
      <c r="AX4834" s="1"/>
      <c r="AY4834" s="1"/>
      <c r="AZ4834" s="1"/>
      <c r="BA4834" s="1"/>
      <c r="BB4834" s="1"/>
      <c r="BC4834" s="1"/>
      <c r="BD4834" s="1"/>
      <c r="BE4834" s="1"/>
      <c r="BF4834" s="1"/>
      <c r="BG4834" s="1"/>
      <c r="BH4834" s="1"/>
      <c r="BI4834" s="1"/>
      <c r="BJ4834" s="1"/>
      <c r="BK4834" s="1"/>
    </row>
    <row r="4835" spans="1:63" s="70" customFormat="1" ht="12" customHeight="1" x14ac:dyDescent="0.2">
      <c r="A4835" s="1" t="s">
        <v>16041</v>
      </c>
      <c r="B4835" s="1" t="s">
        <v>13492</v>
      </c>
      <c r="C4835" s="1" t="s">
        <v>20</v>
      </c>
      <c r="D4835" s="1" t="s">
        <v>37</v>
      </c>
      <c r="E4835" s="1" t="s">
        <v>16042</v>
      </c>
      <c r="F4835" s="72">
        <v>41437</v>
      </c>
      <c r="G4835" s="1" t="s">
        <v>24586</v>
      </c>
      <c r="H4835" s="1" t="s">
        <v>16043</v>
      </c>
      <c r="I4835" s="1" t="s">
        <v>45</v>
      </c>
      <c r="J4835" s="4" t="s">
        <v>16044</v>
      </c>
      <c r="K4835" s="1" t="s">
        <v>1061</v>
      </c>
      <c r="L4835" s="1" t="s">
        <v>16045</v>
      </c>
      <c r="M4835" s="1" t="s">
        <v>27</v>
      </c>
      <c r="N4835" s="1" t="s">
        <v>16046</v>
      </c>
      <c r="O4835" s="1" t="s">
        <v>613</v>
      </c>
      <c r="P4835" s="1" t="s">
        <v>401</v>
      </c>
      <c r="Q4835" s="63" t="s">
        <v>16047</v>
      </c>
      <c r="R4835" s="1" t="s">
        <v>100</v>
      </c>
      <c r="S4835" s="13" t="s">
        <v>28</v>
      </c>
      <c r="T4835" s="1"/>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c r="AQ4835" s="1"/>
      <c r="AR4835" s="1"/>
      <c r="AS4835" s="1"/>
      <c r="AT4835" s="1"/>
      <c r="AU4835" s="1"/>
      <c r="AV4835" s="1"/>
      <c r="AW4835" s="1"/>
      <c r="AX4835" s="1"/>
      <c r="AY4835" s="1"/>
      <c r="AZ4835" s="1"/>
      <c r="BA4835" s="1"/>
      <c r="BB4835" s="1"/>
      <c r="BC4835" s="1"/>
      <c r="BD4835" s="1"/>
      <c r="BE4835" s="1"/>
      <c r="BF4835" s="1"/>
      <c r="BG4835" s="1"/>
      <c r="BH4835" s="1"/>
      <c r="BI4835" s="1"/>
      <c r="BJ4835" s="1"/>
      <c r="BK4835" s="1"/>
    </row>
    <row r="4836" spans="1:63" s="70" customFormat="1" ht="12" customHeight="1" x14ac:dyDescent="0.2">
      <c r="A4836" s="1" t="s">
        <v>16048</v>
      </c>
      <c r="B4836" s="1" t="s">
        <v>8769</v>
      </c>
      <c r="C4836" s="1" t="s">
        <v>20</v>
      </c>
      <c r="D4836" s="1" t="s">
        <v>37</v>
      </c>
      <c r="E4836" s="1" t="s">
        <v>16049</v>
      </c>
      <c r="F4836" s="72">
        <v>41437</v>
      </c>
      <c r="G4836" s="1" t="s">
        <v>16050</v>
      </c>
      <c r="H4836" s="1" t="s">
        <v>16051</v>
      </c>
      <c r="I4836" s="1" t="s">
        <v>790</v>
      </c>
      <c r="J4836" s="4" t="s">
        <v>16052</v>
      </c>
      <c r="K4836" s="1" t="s">
        <v>16053</v>
      </c>
      <c r="L4836" s="1" t="s">
        <v>16054</v>
      </c>
      <c r="M4836" s="1" t="s">
        <v>27</v>
      </c>
      <c r="N4836" s="1" t="s">
        <v>16055</v>
      </c>
      <c r="O4836" s="1" t="s">
        <v>550</v>
      </c>
      <c r="P4836" s="1" t="s">
        <v>401</v>
      </c>
      <c r="Q4836" s="63" t="s">
        <v>16056</v>
      </c>
      <c r="R4836" s="1" t="s">
        <v>100</v>
      </c>
      <c r="S4836" s="13" t="s">
        <v>28</v>
      </c>
      <c r="T4836" s="1"/>
      <c r="U4836" s="1"/>
      <c r="V4836" s="1"/>
      <c r="W4836" s="1"/>
      <c r="X4836" s="1"/>
      <c r="Y4836" s="1"/>
      <c r="Z4836" s="1"/>
      <c r="AA4836" s="1"/>
      <c r="AB4836" s="1"/>
      <c r="AC4836" s="1"/>
      <c r="AD4836" s="1"/>
      <c r="AE4836" s="1"/>
      <c r="AF4836" s="1"/>
      <c r="AG4836" s="1"/>
      <c r="AH4836" s="1"/>
      <c r="AI4836" s="1"/>
      <c r="AJ4836" s="1"/>
      <c r="AK4836" s="1"/>
      <c r="AL4836" s="1"/>
      <c r="AM4836" s="1"/>
      <c r="AN4836" s="1"/>
      <c r="AO4836" s="1"/>
      <c r="AP4836" s="1"/>
      <c r="AQ4836" s="1"/>
      <c r="AR4836" s="1"/>
      <c r="AS4836" s="1"/>
      <c r="AT4836" s="1"/>
      <c r="AU4836" s="1"/>
      <c r="AV4836" s="1"/>
      <c r="AW4836" s="1"/>
      <c r="AX4836" s="11"/>
      <c r="AY4836" s="11"/>
      <c r="AZ4836" s="11"/>
      <c r="BA4836" s="1"/>
      <c r="BB4836" s="1"/>
      <c r="BC4836" s="1"/>
      <c r="BD4836" s="1"/>
      <c r="BE4836" s="1"/>
      <c r="BF4836" s="1"/>
      <c r="BG4836" s="1"/>
      <c r="BH4836" s="1"/>
      <c r="BI4836" s="1"/>
      <c r="BJ4836" s="1"/>
      <c r="BK4836" s="1"/>
    </row>
    <row r="4837" spans="1:63" s="70" customFormat="1" ht="12" customHeight="1" x14ac:dyDescent="0.2">
      <c r="A4837" s="1" t="s">
        <v>16057</v>
      </c>
      <c r="B4837" s="1" t="s">
        <v>15955</v>
      </c>
      <c r="C4837" s="1" t="s">
        <v>20</v>
      </c>
      <c r="D4837" s="1" t="s">
        <v>85</v>
      </c>
      <c r="E4837" s="1" t="s">
        <v>16058</v>
      </c>
      <c r="F4837" s="72">
        <v>41436</v>
      </c>
      <c r="G4837" s="1" t="s">
        <v>16059</v>
      </c>
      <c r="H4837" s="1" t="s">
        <v>16060</v>
      </c>
      <c r="I4837" s="1" t="s">
        <v>438</v>
      </c>
      <c r="J4837" s="4" t="s">
        <v>16061</v>
      </c>
      <c r="K4837" s="1" t="s">
        <v>16062</v>
      </c>
      <c r="L4837" s="1" t="s">
        <v>16063</v>
      </c>
      <c r="M4837" s="1" t="s">
        <v>27</v>
      </c>
      <c r="N4837" s="1" t="s">
        <v>16064</v>
      </c>
      <c r="O4837" s="1" t="s">
        <v>550</v>
      </c>
      <c r="P4837" s="1" t="s">
        <v>401</v>
      </c>
      <c r="Q4837" s="63" t="s">
        <v>16065</v>
      </c>
      <c r="R4837" s="1" t="s">
        <v>100</v>
      </c>
      <c r="S4837" s="13" t="s">
        <v>28</v>
      </c>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c r="AQ4837" s="1"/>
      <c r="AR4837" s="1"/>
      <c r="AS4837" s="1"/>
      <c r="AT4837" s="1"/>
      <c r="AU4837" s="1"/>
      <c r="AV4837" s="1"/>
      <c r="AW4837" s="1"/>
      <c r="AX4837" s="11"/>
      <c r="AY4837" s="11"/>
      <c r="AZ4837" s="1"/>
      <c r="BA4837" s="1"/>
      <c r="BB4837" s="1"/>
      <c r="BC4837" s="44"/>
      <c r="BD4837" s="44"/>
      <c r="BE4837" s="44"/>
      <c r="BF4837" s="44"/>
      <c r="BG4837" s="44"/>
      <c r="BH4837" s="44"/>
      <c r="BI4837" s="44"/>
      <c r="BJ4837" s="44"/>
      <c r="BK4837" s="1"/>
    </row>
    <row r="4838" spans="1:63" s="70" customFormat="1" ht="12" customHeight="1" x14ac:dyDescent="0.2">
      <c r="A4838" s="1" t="s">
        <v>16066</v>
      </c>
      <c r="B4838" s="1">
        <v>26</v>
      </c>
      <c r="C4838" s="1" t="s">
        <v>20</v>
      </c>
      <c r="D4838" s="1" t="s">
        <v>37</v>
      </c>
      <c r="E4838" s="1" t="s">
        <v>16067</v>
      </c>
      <c r="F4838" s="72">
        <v>41436</v>
      </c>
      <c r="G4838" s="1" t="s">
        <v>16068</v>
      </c>
      <c r="H4838" s="1" t="s">
        <v>16069</v>
      </c>
      <c r="I4838" s="1" t="s">
        <v>133</v>
      </c>
      <c r="J4838" s="4" t="s">
        <v>16070</v>
      </c>
      <c r="K4838" s="1" t="s">
        <v>709</v>
      </c>
      <c r="L4838" s="1" t="s">
        <v>16071</v>
      </c>
      <c r="M4838" s="1" t="s">
        <v>27</v>
      </c>
      <c r="N4838" s="1" t="s">
        <v>16072</v>
      </c>
      <c r="O4838" s="1" t="s">
        <v>550</v>
      </c>
      <c r="P4838" s="1" t="s">
        <v>401</v>
      </c>
      <c r="Q4838" s="63" t="s">
        <v>16073</v>
      </c>
      <c r="R4838" s="1" t="s">
        <v>100</v>
      </c>
      <c r="S4838" s="13" t="s">
        <v>28</v>
      </c>
      <c r="T4838" s="1"/>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c r="AQ4838" s="1"/>
      <c r="AR4838" s="1"/>
      <c r="AS4838" s="1"/>
      <c r="AT4838" s="1"/>
      <c r="AU4838" s="1"/>
      <c r="AV4838" s="1"/>
      <c r="AW4838" s="1"/>
      <c r="AX4838" s="11"/>
      <c r="AY4838" s="11"/>
      <c r="AZ4838" s="11"/>
      <c r="BA4838" s="1"/>
      <c r="BB4838" s="1"/>
      <c r="BC4838" s="1"/>
      <c r="BD4838" s="1"/>
      <c r="BE4838" s="1"/>
      <c r="BF4838" s="1"/>
      <c r="BG4838" s="1"/>
      <c r="BH4838" s="1"/>
      <c r="BI4838" s="1"/>
      <c r="BJ4838" s="1"/>
      <c r="BK4838" s="1"/>
    </row>
    <row r="4839" spans="1:63" s="70" customFormat="1" ht="12" customHeight="1" x14ac:dyDescent="0.2">
      <c r="A4839" s="1" t="s">
        <v>16074</v>
      </c>
      <c r="B4839" s="1" t="s">
        <v>10011</v>
      </c>
      <c r="C4839" s="1" t="s">
        <v>20</v>
      </c>
      <c r="D4839" s="1" t="s">
        <v>85</v>
      </c>
      <c r="E4839" s="1" t="s">
        <v>16075</v>
      </c>
      <c r="F4839" s="72">
        <v>41435</v>
      </c>
      <c r="G4839" s="1" t="s">
        <v>16076</v>
      </c>
      <c r="H4839" s="1" t="s">
        <v>1060</v>
      </c>
      <c r="I4839" s="1" t="s">
        <v>62</v>
      </c>
      <c r="J4839" s="4" t="s">
        <v>7767</v>
      </c>
      <c r="K4839" s="1" t="s">
        <v>1061</v>
      </c>
      <c r="L4839" s="1" t="s">
        <v>1062</v>
      </c>
      <c r="M4839" s="1" t="s">
        <v>27</v>
      </c>
      <c r="N4839" s="1" t="s">
        <v>16077</v>
      </c>
      <c r="O4839" s="1" t="s">
        <v>29</v>
      </c>
      <c r="P4839" s="1" t="s">
        <v>401</v>
      </c>
      <c r="Q4839" s="63" t="s">
        <v>16078</v>
      </c>
      <c r="R4839" s="1" t="s">
        <v>100</v>
      </c>
      <c r="S4839" s="13" t="s">
        <v>28</v>
      </c>
      <c r="T4839" s="1"/>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c r="AQ4839" s="1"/>
      <c r="AR4839" s="1"/>
      <c r="AS4839" s="1"/>
      <c r="AT4839" s="1"/>
      <c r="AU4839" s="1"/>
      <c r="AV4839" s="1"/>
      <c r="AW4839" s="1"/>
      <c r="AX4839" s="11"/>
      <c r="AY4839" s="11"/>
      <c r="AZ4839" s="1"/>
      <c r="BA4839" s="1"/>
      <c r="BB4839" s="1"/>
      <c r="BC4839" s="44"/>
      <c r="BD4839" s="44"/>
      <c r="BE4839" s="44"/>
      <c r="BF4839" s="44"/>
      <c r="BG4839" s="44"/>
      <c r="BH4839" s="44"/>
      <c r="BI4839" s="44"/>
      <c r="BJ4839" s="44"/>
      <c r="BK4839" s="1"/>
    </row>
    <row r="4840" spans="1:63" s="70" customFormat="1" ht="12" customHeight="1" x14ac:dyDescent="0.2">
      <c r="A4840" s="1" t="s">
        <v>16084</v>
      </c>
      <c r="B4840" s="1" t="s">
        <v>13878</v>
      </c>
      <c r="C4840" s="1" t="s">
        <v>20</v>
      </c>
      <c r="D4840" s="1" t="s">
        <v>37</v>
      </c>
      <c r="E4840" s="1" t="s">
        <v>16085</v>
      </c>
      <c r="F4840" s="72">
        <v>41435</v>
      </c>
      <c r="G4840" s="1" t="s">
        <v>16086</v>
      </c>
      <c r="H4840" s="1" t="s">
        <v>16087</v>
      </c>
      <c r="I4840" s="1" t="s">
        <v>173</v>
      </c>
      <c r="J4840" s="4" t="s">
        <v>16088</v>
      </c>
      <c r="K4840" s="1" t="s">
        <v>11112</v>
      </c>
      <c r="L4840" s="1" t="s">
        <v>16089</v>
      </c>
      <c r="M4840" s="1" t="s">
        <v>27</v>
      </c>
      <c r="N4840" s="1" t="s">
        <v>16090</v>
      </c>
      <c r="O4840" s="1" t="s">
        <v>29</v>
      </c>
      <c r="P4840" s="1" t="s">
        <v>401</v>
      </c>
      <c r="Q4840" s="63" t="s">
        <v>16091</v>
      </c>
      <c r="R4840" s="1" t="s">
        <v>100</v>
      </c>
      <c r="S4840" s="13" t="s">
        <v>28</v>
      </c>
      <c r="T4840" s="1"/>
      <c r="U4840" s="1"/>
      <c r="V4840" s="1"/>
      <c r="W4840" s="1"/>
      <c r="X4840" s="1"/>
      <c r="Y4840" s="1"/>
      <c r="Z4840" s="1"/>
      <c r="AA4840" s="1"/>
      <c r="AB4840" s="1"/>
      <c r="AC4840" s="1"/>
      <c r="AD4840" s="1"/>
      <c r="AE4840" s="1"/>
      <c r="AF4840" s="1"/>
      <c r="AG4840" s="1"/>
      <c r="AH4840" s="1"/>
      <c r="AI4840" s="1"/>
      <c r="AJ4840" s="1"/>
      <c r="AK4840" s="1"/>
      <c r="AL4840" s="1"/>
      <c r="AM4840" s="1"/>
      <c r="AN4840" s="1"/>
      <c r="AO4840" s="1"/>
      <c r="AP4840" s="1"/>
      <c r="AQ4840" s="1"/>
      <c r="AR4840" s="1"/>
      <c r="AS4840" s="1"/>
      <c r="AT4840" s="1"/>
      <c r="AU4840" s="1"/>
      <c r="AV4840" s="1"/>
      <c r="AW4840" s="1"/>
      <c r="AX4840" s="11"/>
      <c r="AY4840" s="11"/>
      <c r="AZ4840" s="11"/>
      <c r="BA4840" s="1"/>
      <c r="BB4840" s="1"/>
      <c r="BC4840" s="1"/>
      <c r="BD4840" s="1"/>
      <c r="BE4840" s="1"/>
      <c r="BF4840" s="1"/>
      <c r="BG4840" s="1"/>
      <c r="BH4840" s="1"/>
      <c r="BI4840" s="1"/>
      <c r="BJ4840" s="1"/>
      <c r="BK4840" s="1"/>
    </row>
    <row r="4841" spans="1:63" s="70" customFormat="1" ht="12" customHeight="1" x14ac:dyDescent="0.2">
      <c r="A4841" s="1" t="s">
        <v>16079</v>
      </c>
      <c r="B4841" s="1" t="s">
        <v>13386</v>
      </c>
      <c r="C4841" s="1" t="s">
        <v>20</v>
      </c>
      <c r="D4841" s="1" t="s">
        <v>37</v>
      </c>
      <c r="E4841" s="1" t="s">
        <v>16080</v>
      </c>
      <c r="F4841" s="72">
        <v>41435</v>
      </c>
      <c r="G4841" s="1" t="s">
        <v>24588</v>
      </c>
      <c r="H4841" s="1" t="s">
        <v>1492</v>
      </c>
      <c r="I4841" s="1" t="s">
        <v>404</v>
      </c>
      <c r="J4841" s="4" t="s">
        <v>16081</v>
      </c>
      <c r="K4841" s="1" t="s">
        <v>1492</v>
      </c>
      <c r="L4841" s="1" t="s">
        <v>2274</v>
      </c>
      <c r="M4841" s="1" t="s">
        <v>27</v>
      </c>
      <c r="N4841" s="1" t="s">
        <v>16082</v>
      </c>
      <c r="O4841" s="1" t="s">
        <v>550</v>
      </c>
      <c r="P4841" s="1" t="s">
        <v>401</v>
      </c>
      <c r="Q4841" s="63" t="s">
        <v>16083</v>
      </c>
      <c r="R4841" s="1" t="s">
        <v>555</v>
      </c>
      <c r="S4841" s="13" t="s">
        <v>28</v>
      </c>
      <c r="T4841" s="1"/>
      <c r="U4841" s="1"/>
      <c r="V4841" s="1"/>
      <c r="W4841" s="1"/>
      <c r="X4841" s="1"/>
      <c r="Y4841" s="1"/>
      <c r="Z4841" s="1"/>
      <c r="AA4841" s="1"/>
      <c r="AB4841" s="1"/>
      <c r="AC4841" s="1"/>
      <c r="AD4841" s="1"/>
      <c r="AE4841" s="1"/>
      <c r="AF4841" s="1"/>
      <c r="AG4841" s="1"/>
      <c r="AH4841" s="1"/>
      <c r="AI4841" s="1"/>
      <c r="AJ4841" s="1"/>
      <c r="AK4841" s="1"/>
      <c r="AL4841" s="1"/>
      <c r="AM4841" s="1"/>
      <c r="AN4841" s="1"/>
      <c r="AO4841" s="1"/>
      <c r="AP4841" s="1"/>
      <c r="AQ4841" s="1"/>
      <c r="AR4841" s="1"/>
      <c r="AS4841" s="1"/>
      <c r="AT4841" s="1"/>
      <c r="AU4841" s="1"/>
      <c r="AV4841" s="1"/>
      <c r="AW4841" s="1"/>
      <c r="AX4841" s="11"/>
      <c r="AY4841" s="11"/>
      <c r="AZ4841" s="11"/>
      <c r="BA4841" s="44"/>
      <c r="BB4841" s="44"/>
      <c r="BC4841" s="1"/>
      <c r="BD4841" s="1"/>
      <c r="BE4841" s="1"/>
      <c r="BF4841" s="1"/>
      <c r="BG4841" s="1"/>
      <c r="BH4841" s="1"/>
      <c r="BI4841" s="1"/>
      <c r="BJ4841" s="1"/>
      <c r="BK4841" s="1"/>
    </row>
    <row r="4842" spans="1:63" ht="12" customHeight="1" x14ac:dyDescent="0.15">
      <c r="A4842" s="1" t="s">
        <v>16092</v>
      </c>
      <c r="B4842" s="1">
        <v>43</v>
      </c>
      <c r="C4842" s="1" t="s">
        <v>20</v>
      </c>
      <c r="D4842" s="1" t="s">
        <v>48</v>
      </c>
      <c r="E4842" s="1" t="s">
        <v>16093</v>
      </c>
      <c r="F4842" s="72">
        <v>41434</v>
      </c>
      <c r="G4842" s="1" t="s">
        <v>16094</v>
      </c>
      <c r="H4842" s="1" t="s">
        <v>16095</v>
      </c>
      <c r="I4842" s="1" t="s">
        <v>41</v>
      </c>
      <c r="J4842" s="4" t="s">
        <v>16096</v>
      </c>
      <c r="K4842" s="1" t="s">
        <v>3601</v>
      </c>
      <c r="L4842" s="1" t="s">
        <v>16097</v>
      </c>
      <c r="M4842" s="1" t="s">
        <v>391</v>
      </c>
      <c r="N4842" s="1" t="s">
        <v>16098</v>
      </c>
      <c r="O4842" s="1" t="s">
        <v>29</v>
      </c>
      <c r="P4842" s="1" t="s">
        <v>401</v>
      </c>
      <c r="Q4842" s="63" t="s">
        <v>16099</v>
      </c>
      <c r="R4842" s="1" t="s">
        <v>100</v>
      </c>
      <c r="S4842" s="13" t="s">
        <v>28</v>
      </c>
      <c r="AU4842" s="11"/>
      <c r="AV4842" s="11"/>
      <c r="AW4842" s="11"/>
    </row>
    <row r="4843" spans="1:63" ht="12" customHeight="1" x14ac:dyDescent="0.15">
      <c r="A4843" s="1" t="s">
        <v>16107</v>
      </c>
      <c r="B4843" s="1">
        <v>48</v>
      </c>
      <c r="C4843" s="1" t="s">
        <v>20</v>
      </c>
      <c r="D4843" s="1" t="s">
        <v>37</v>
      </c>
      <c r="E4843" s="1" t="s">
        <v>16108</v>
      </c>
      <c r="F4843" s="72">
        <v>41434</v>
      </c>
      <c r="G4843" s="1" t="s">
        <v>2879</v>
      </c>
      <c r="H4843" s="1" t="s">
        <v>16109</v>
      </c>
      <c r="I4843" s="1" t="s">
        <v>395</v>
      </c>
      <c r="J4843" s="4" t="s">
        <v>16110</v>
      </c>
      <c r="K4843" s="1" t="s">
        <v>16111</v>
      </c>
      <c r="L4843" s="1" t="s">
        <v>16112</v>
      </c>
      <c r="M4843" s="1" t="s">
        <v>27</v>
      </c>
      <c r="N4843" s="1" t="s">
        <v>16113</v>
      </c>
      <c r="O4843" s="1" t="s">
        <v>400</v>
      </c>
      <c r="P4843" s="1" t="s">
        <v>401</v>
      </c>
      <c r="Q4843" s="63" t="s">
        <v>16114</v>
      </c>
      <c r="R4843" s="1" t="s">
        <v>100</v>
      </c>
      <c r="S4843" s="13" t="s">
        <v>28</v>
      </c>
      <c r="AX4843" s="11"/>
      <c r="AY4843" s="11"/>
      <c r="AZ4843" s="11"/>
    </row>
    <row r="4844" spans="1:63" ht="12" customHeight="1" x14ac:dyDescent="0.15">
      <c r="A4844" s="1" t="s">
        <v>16115</v>
      </c>
      <c r="B4844" s="1">
        <v>28</v>
      </c>
      <c r="C4844" s="1" t="s">
        <v>20</v>
      </c>
      <c r="D4844" s="1" t="s">
        <v>37</v>
      </c>
      <c r="F4844" s="72">
        <v>41434</v>
      </c>
      <c r="G4844" s="1" t="s">
        <v>24589</v>
      </c>
      <c r="H4844" s="1" t="s">
        <v>12215</v>
      </c>
      <c r="I4844" s="1" t="s">
        <v>44</v>
      </c>
      <c r="J4844" s="4" t="s">
        <v>16116</v>
      </c>
      <c r="K4844" s="1" t="s">
        <v>88</v>
      </c>
      <c r="L4844" s="1" t="s">
        <v>12217</v>
      </c>
      <c r="M4844" s="1" t="s">
        <v>391</v>
      </c>
      <c r="N4844" s="1" t="s">
        <v>16117</v>
      </c>
      <c r="O4844" s="1" t="s">
        <v>400</v>
      </c>
      <c r="P4844" s="1" t="s">
        <v>401</v>
      </c>
      <c r="Q4844" s="63" t="s">
        <v>16118</v>
      </c>
      <c r="R4844" s="1" t="s">
        <v>29</v>
      </c>
      <c r="S4844" s="13" t="s">
        <v>28</v>
      </c>
      <c r="AU4844" s="11"/>
      <c r="AV4844" s="11"/>
      <c r="AW4844" s="11"/>
    </row>
    <row r="4845" spans="1:63" ht="12" customHeight="1" x14ac:dyDescent="0.15">
      <c r="A4845" s="1" t="s">
        <v>16100</v>
      </c>
      <c r="B4845" s="1">
        <v>21</v>
      </c>
      <c r="C4845" s="1" t="s">
        <v>20</v>
      </c>
      <c r="D4845" s="1" t="s">
        <v>37</v>
      </c>
      <c r="E4845" s="1" t="s">
        <v>16101</v>
      </c>
      <c r="F4845" s="72">
        <v>41434</v>
      </c>
      <c r="G4845" s="1" t="s">
        <v>16102</v>
      </c>
      <c r="H4845" s="1" t="s">
        <v>8933</v>
      </c>
      <c r="I4845" s="1" t="s">
        <v>4371</v>
      </c>
      <c r="J4845" s="4" t="s">
        <v>16103</v>
      </c>
      <c r="K4845" s="1" t="s">
        <v>6987</v>
      </c>
      <c r="L4845" s="1" t="s">
        <v>16104</v>
      </c>
      <c r="M4845" s="1" t="s">
        <v>27</v>
      </c>
      <c r="N4845" s="1" t="s">
        <v>16105</v>
      </c>
      <c r="O4845" s="1" t="s">
        <v>550</v>
      </c>
      <c r="P4845" s="1" t="s">
        <v>401</v>
      </c>
      <c r="Q4845" s="63" t="s">
        <v>16106</v>
      </c>
      <c r="R4845" s="1" t="s">
        <v>555</v>
      </c>
      <c r="S4845" s="13" t="s">
        <v>28</v>
      </c>
      <c r="AX4845" s="11"/>
      <c r="AY4845" s="11"/>
      <c r="AZ4845" s="11"/>
      <c r="BA4845" s="44"/>
      <c r="BB4845" s="44"/>
    </row>
    <row r="4846" spans="1:63" ht="12" customHeight="1" x14ac:dyDescent="0.2">
      <c r="A4846" s="1" t="s">
        <v>16119</v>
      </c>
      <c r="B4846" s="1">
        <v>21</v>
      </c>
      <c r="C4846" s="1" t="s">
        <v>20</v>
      </c>
      <c r="D4846" s="1" t="s">
        <v>21</v>
      </c>
      <c r="E4846" s="1" t="s">
        <v>16120</v>
      </c>
      <c r="F4846" s="72">
        <v>41433</v>
      </c>
      <c r="G4846" s="1" t="s">
        <v>16121</v>
      </c>
      <c r="H4846" s="1" t="s">
        <v>16122</v>
      </c>
      <c r="I4846" s="1" t="s">
        <v>94</v>
      </c>
      <c r="J4846" s="4" t="s">
        <v>16123</v>
      </c>
      <c r="K4846" s="1" t="s">
        <v>13964</v>
      </c>
      <c r="L4846" s="1" t="s">
        <v>16124</v>
      </c>
      <c r="M4846" s="1" t="s">
        <v>27</v>
      </c>
      <c r="N4846" s="1" t="s">
        <v>16125</v>
      </c>
      <c r="O4846" s="1" t="s">
        <v>400</v>
      </c>
      <c r="P4846" s="1" t="s">
        <v>401</v>
      </c>
      <c r="Q4846" s="63" t="s">
        <v>16126</v>
      </c>
      <c r="R4846" s="1" t="s">
        <v>100</v>
      </c>
      <c r="S4846" s="13" t="s">
        <v>28</v>
      </c>
      <c r="AX4846" s="70"/>
      <c r="AY4846" s="70"/>
      <c r="BC4846" s="70"/>
      <c r="BD4846" s="70"/>
      <c r="BE4846" s="70"/>
      <c r="BF4846" s="70"/>
      <c r="BG4846" s="70"/>
      <c r="BH4846" s="70"/>
      <c r="BI4846" s="70"/>
      <c r="BJ4846" s="70"/>
    </row>
    <row r="4847" spans="1:63" ht="12" customHeight="1" x14ac:dyDescent="0.2">
      <c r="A4847" s="1" t="s">
        <v>16127</v>
      </c>
      <c r="B4847" s="1" t="s">
        <v>16128</v>
      </c>
      <c r="C4847" s="1" t="s">
        <v>20</v>
      </c>
      <c r="D4847" s="1" t="s">
        <v>21</v>
      </c>
      <c r="F4847" s="72">
        <v>41433</v>
      </c>
      <c r="G4847" s="1" t="s">
        <v>16129</v>
      </c>
      <c r="H4847" s="1" t="s">
        <v>3421</v>
      </c>
      <c r="I4847" s="1" t="s">
        <v>45</v>
      </c>
      <c r="J4847" s="4" t="s">
        <v>10604</v>
      </c>
      <c r="K4847" s="1" t="s">
        <v>3423</v>
      </c>
      <c r="L4847" s="1" t="s">
        <v>3424</v>
      </c>
      <c r="M4847" s="1" t="s">
        <v>27</v>
      </c>
      <c r="N4847" s="1" t="s">
        <v>16130</v>
      </c>
      <c r="O4847" s="1" t="s">
        <v>29</v>
      </c>
      <c r="P4847" s="1" t="s">
        <v>401</v>
      </c>
      <c r="Q4847" s="63" t="s">
        <v>16131</v>
      </c>
      <c r="R4847" s="1" t="s">
        <v>100</v>
      </c>
      <c r="S4847" s="13" t="s">
        <v>28</v>
      </c>
      <c r="AX4847" s="70"/>
      <c r="AY4847" s="70"/>
      <c r="BC4847" s="70"/>
      <c r="BD4847" s="70"/>
      <c r="BE4847" s="70"/>
      <c r="BF4847" s="70"/>
      <c r="BG4847" s="70"/>
      <c r="BH4847" s="70"/>
      <c r="BI4847" s="70"/>
      <c r="BJ4847" s="70"/>
    </row>
    <row r="4848" spans="1:63" ht="12" customHeight="1" x14ac:dyDescent="0.15">
      <c r="A4848" s="1" t="s">
        <v>16132</v>
      </c>
      <c r="B4848" s="1" t="s">
        <v>10335</v>
      </c>
      <c r="C4848" s="1" t="s">
        <v>20</v>
      </c>
      <c r="D4848" s="1" t="s">
        <v>85</v>
      </c>
      <c r="F4848" s="72">
        <v>41433</v>
      </c>
      <c r="G4848" s="1" t="s">
        <v>20979</v>
      </c>
      <c r="H4848" s="1" t="s">
        <v>5492</v>
      </c>
      <c r="I4848" s="1" t="s">
        <v>45</v>
      </c>
      <c r="J4848" s="4" t="s">
        <v>16133</v>
      </c>
      <c r="K4848" s="1" t="s">
        <v>783</v>
      </c>
      <c r="L4848" s="1" t="s">
        <v>784</v>
      </c>
      <c r="M4848" s="1" t="s">
        <v>27</v>
      </c>
      <c r="N4848" s="1" t="s">
        <v>16134</v>
      </c>
      <c r="O4848" s="1" t="s">
        <v>29</v>
      </c>
      <c r="P4848" s="1" t="s">
        <v>401</v>
      </c>
      <c r="Q4848" s="63" t="s">
        <v>16135</v>
      </c>
      <c r="R4848" s="1" t="s">
        <v>100</v>
      </c>
      <c r="S4848" s="13" t="s">
        <v>28</v>
      </c>
      <c r="AX4848" s="11"/>
      <c r="AY4848" s="11"/>
      <c r="BC4848" s="44"/>
      <c r="BD4848" s="44"/>
      <c r="BE4848" s="44"/>
      <c r="BF4848" s="44"/>
      <c r="BG4848" s="44"/>
      <c r="BH4848" s="44"/>
      <c r="BI4848" s="44"/>
      <c r="BJ4848" s="44"/>
    </row>
    <row r="4849" spans="1:63" ht="12" customHeight="1" x14ac:dyDescent="0.15">
      <c r="A4849" s="1" t="s">
        <v>16148</v>
      </c>
      <c r="B4849" s="1" t="s">
        <v>9182</v>
      </c>
      <c r="C4849" s="1" t="s">
        <v>20</v>
      </c>
      <c r="D4849" s="1" t="s">
        <v>30</v>
      </c>
      <c r="F4849" s="72">
        <v>41433</v>
      </c>
      <c r="G4849" s="1" t="s">
        <v>16149</v>
      </c>
      <c r="H4849" s="1" t="s">
        <v>3572</v>
      </c>
      <c r="I4849" s="1" t="s">
        <v>62</v>
      </c>
      <c r="J4849" s="4" t="s">
        <v>3573</v>
      </c>
      <c r="K4849" s="1" t="s">
        <v>3574</v>
      </c>
      <c r="L4849" s="1" t="s">
        <v>5828</v>
      </c>
      <c r="M4849" s="1" t="s">
        <v>27</v>
      </c>
      <c r="N4849" s="1" t="s">
        <v>16150</v>
      </c>
      <c r="O4849" s="1" t="s">
        <v>550</v>
      </c>
      <c r="P4849" s="1" t="s">
        <v>401</v>
      </c>
      <c r="Q4849" s="63" t="s">
        <v>16151</v>
      </c>
      <c r="R4849" s="1" t="s">
        <v>100</v>
      </c>
      <c r="S4849" s="13" t="s">
        <v>28</v>
      </c>
    </row>
    <row r="4850" spans="1:63" ht="12" customHeight="1" x14ac:dyDescent="0.15">
      <c r="A4850" s="1" t="s">
        <v>16160</v>
      </c>
      <c r="B4850" s="1" t="s">
        <v>11691</v>
      </c>
      <c r="C4850" s="1" t="s">
        <v>20</v>
      </c>
      <c r="D4850" s="1" t="s">
        <v>37</v>
      </c>
      <c r="E4850" s="1" t="s">
        <v>16161</v>
      </c>
      <c r="F4850" s="72">
        <v>41433</v>
      </c>
      <c r="G4850" s="1" t="s">
        <v>16162</v>
      </c>
      <c r="H4850" s="1" t="s">
        <v>16163</v>
      </c>
      <c r="I4850" s="1" t="s">
        <v>52</v>
      </c>
      <c r="J4850" s="4" t="s">
        <v>16164</v>
      </c>
      <c r="K4850" s="1" t="s">
        <v>3182</v>
      </c>
      <c r="L4850" s="1" t="s">
        <v>16165</v>
      </c>
      <c r="M4850" s="1" t="s">
        <v>27</v>
      </c>
      <c r="N4850" s="1" t="s">
        <v>16166</v>
      </c>
      <c r="O4850" s="1" t="s">
        <v>7727</v>
      </c>
      <c r="P4850" s="1" t="s">
        <v>20489</v>
      </c>
      <c r="Q4850" s="6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4850" s="1" t="s">
        <v>100</v>
      </c>
      <c r="S4850" s="13" t="s">
        <v>28</v>
      </c>
      <c r="AX4850" s="11"/>
      <c r="AY4850" s="11"/>
      <c r="AZ4850" s="11"/>
    </row>
    <row r="4851" spans="1:63" ht="12" customHeight="1" x14ac:dyDescent="0.15">
      <c r="A4851" s="1" t="s">
        <v>16152</v>
      </c>
      <c r="B4851" s="1" t="s">
        <v>15841</v>
      </c>
      <c r="C4851" s="1" t="s">
        <v>20</v>
      </c>
      <c r="D4851" s="1" t="s">
        <v>37</v>
      </c>
      <c r="E4851" s="1" t="s">
        <v>16153</v>
      </c>
      <c r="F4851" s="72">
        <v>41433</v>
      </c>
      <c r="G4851" s="1" t="s">
        <v>24590</v>
      </c>
      <c r="H4851" s="1" t="s">
        <v>16154</v>
      </c>
      <c r="I4851" s="1" t="s">
        <v>244</v>
      </c>
      <c r="J4851" s="4" t="s">
        <v>16155</v>
      </c>
      <c r="K4851" s="1" t="s">
        <v>16156</v>
      </c>
      <c r="L4851" s="1" t="s">
        <v>16157</v>
      </c>
      <c r="M4851" s="1" t="s">
        <v>27</v>
      </c>
      <c r="N4851" s="1" t="s">
        <v>16158</v>
      </c>
      <c r="O4851" s="1" t="s">
        <v>550</v>
      </c>
      <c r="P4851" s="1" t="s">
        <v>401</v>
      </c>
      <c r="Q4851" s="63" t="s">
        <v>16159</v>
      </c>
      <c r="R4851" s="1" t="s">
        <v>100</v>
      </c>
      <c r="S4851" s="13" t="s">
        <v>28</v>
      </c>
      <c r="AX4851" s="11"/>
      <c r="AY4851" s="11"/>
      <c r="AZ4851" s="11"/>
    </row>
    <row r="4852" spans="1:63" ht="12" customHeight="1" x14ac:dyDescent="0.15">
      <c r="A4852" s="1" t="s">
        <v>16136</v>
      </c>
      <c r="B4852" s="1">
        <v>24</v>
      </c>
      <c r="C4852" s="1" t="s">
        <v>20</v>
      </c>
      <c r="D4852" s="1" t="s">
        <v>85</v>
      </c>
      <c r="E4852" s="1" t="s">
        <v>16137</v>
      </c>
      <c r="F4852" s="72">
        <v>41433</v>
      </c>
      <c r="G4852" s="1" t="s">
        <v>16138</v>
      </c>
      <c r="H4852" s="1" t="s">
        <v>7299</v>
      </c>
      <c r="I4852" s="1" t="s">
        <v>73</v>
      </c>
      <c r="J4852" s="4" t="s">
        <v>7300</v>
      </c>
      <c r="K4852" s="1" t="s">
        <v>7301</v>
      </c>
      <c r="L4852" s="1" t="s">
        <v>7302</v>
      </c>
      <c r="M4852" s="1" t="s">
        <v>14359</v>
      </c>
      <c r="N4852" s="1" t="s">
        <v>16139</v>
      </c>
      <c r="O4852" s="1" t="s">
        <v>1010</v>
      </c>
      <c r="P4852" s="1" t="s">
        <v>401</v>
      </c>
      <c r="Q4852" s="63" t="s">
        <v>16140</v>
      </c>
      <c r="R4852" s="1" t="s">
        <v>29</v>
      </c>
      <c r="S4852" s="13" t="s">
        <v>28</v>
      </c>
      <c r="AX4852" s="44"/>
      <c r="AY4852" s="44"/>
      <c r="BC4852" s="11"/>
      <c r="BD4852" s="11"/>
      <c r="BE4852" s="11"/>
      <c r="BF4852" s="11"/>
      <c r="BG4852" s="11"/>
      <c r="BH4852" s="11"/>
      <c r="BI4852" s="11"/>
      <c r="BJ4852" s="11"/>
    </row>
    <row r="4853" spans="1:63" ht="12" customHeight="1" x14ac:dyDescent="0.15">
      <c r="A4853" s="1" t="s">
        <v>16141</v>
      </c>
      <c r="B4853" s="1">
        <v>48</v>
      </c>
      <c r="C4853" s="1" t="s">
        <v>20</v>
      </c>
      <c r="D4853" s="1" t="s">
        <v>48</v>
      </c>
      <c r="F4853" s="72">
        <v>41433</v>
      </c>
      <c r="G4853" s="1" t="s">
        <v>16142</v>
      </c>
      <c r="H4853" s="1" t="s">
        <v>16143</v>
      </c>
      <c r="I4853" s="1" t="s">
        <v>45</v>
      </c>
      <c r="J4853" s="4" t="s">
        <v>16144</v>
      </c>
      <c r="K4853" s="1" t="s">
        <v>2669</v>
      </c>
      <c r="L4853" s="1" t="s">
        <v>16145</v>
      </c>
      <c r="M4853" s="1" t="s">
        <v>27</v>
      </c>
      <c r="N4853" s="1" t="s">
        <v>16146</v>
      </c>
      <c r="O4853" s="1" t="s">
        <v>29</v>
      </c>
      <c r="P4853" s="1" t="s">
        <v>401</v>
      </c>
      <c r="Q4853" s="63" t="s">
        <v>16147</v>
      </c>
      <c r="R4853" s="1" t="s">
        <v>29</v>
      </c>
      <c r="S4853" s="13" t="s">
        <v>28</v>
      </c>
    </row>
    <row r="4854" spans="1:63" ht="12" customHeight="1" x14ac:dyDescent="0.15">
      <c r="A4854" s="1" t="s">
        <v>16167</v>
      </c>
      <c r="B4854" s="1">
        <v>24</v>
      </c>
      <c r="C4854" s="1" t="s">
        <v>114</v>
      </c>
      <c r="D4854" s="1" t="s">
        <v>37</v>
      </c>
      <c r="E4854" s="1" t="s">
        <v>16168</v>
      </c>
      <c r="F4854" s="72">
        <v>41433</v>
      </c>
      <c r="G4854" s="1" t="s">
        <v>16169</v>
      </c>
      <c r="H4854" s="1" t="s">
        <v>561</v>
      </c>
      <c r="I4854" s="1" t="s">
        <v>123</v>
      </c>
      <c r="J4854" s="4" t="s">
        <v>7405</v>
      </c>
      <c r="K4854" s="1" t="s">
        <v>562</v>
      </c>
      <c r="L4854" s="1" t="s">
        <v>563</v>
      </c>
      <c r="M4854" s="1" t="s">
        <v>27</v>
      </c>
      <c r="N4854" s="1" t="s">
        <v>16170</v>
      </c>
      <c r="O4854" s="1" t="s">
        <v>29</v>
      </c>
      <c r="P4854" s="1" t="s">
        <v>401</v>
      </c>
      <c r="Q4854" s="63" t="s">
        <v>16171</v>
      </c>
      <c r="R4854" s="1" t="s">
        <v>555</v>
      </c>
      <c r="S4854" s="13" t="s">
        <v>28</v>
      </c>
      <c r="AX4854" s="11"/>
      <c r="AY4854" s="11"/>
      <c r="AZ4854" s="11"/>
      <c r="BA4854" s="44"/>
      <c r="BB4854" s="44"/>
    </row>
    <row r="4855" spans="1:63" ht="12" customHeight="1" x14ac:dyDescent="0.2">
      <c r="A4855" s="1" t="s">
        <v>16172</v>
      </c>
      <c r="B4855" s="1" t="s">
        <v>15955</v>
      </c>
      <c r="C4855" s="1" t="s">
        <v>20</v>
      </c>
      <c r="D4855" s="1" t="s">
        <v>21</v>
      </c>
      <c r="E4855" s="1" t="s">
        <v>16173</v>
      </c>
      <c r="F4855" s="72">
        <v>41432</v>
      </c>
      <c r="G4855" s="1" t="s">
        <v>16174</v>
      </c>
      <c r="H4855" s="1" t="s">
        <v>16175</v>
      </c>
      <c r="I4855" s="1" t="s">
        <v>45</v>
      </c>
      <c r="J4855" s="4" t="s">
        <v>16176</v>
      </c>
      <c r="K4855" s="1" t="s">
        <v>98</v>
      </c>
      <c r="L4855" s="1" t="s">
        <v>16177</v>
      </c>
      <c r="M4855" s="1" t="s">
        <v>27</v>
      </c>
      <c r="N4855" s="1" t="s">
        <v>16178</v>
      </c>
      <c r="O4855" s="1" t="s">
        <v>29</v>
      </c>
      <c r="P4855" s="1" t="s">
        <v>401</v>
      </c>
      <c r="Q4855" s="63" t="s">
        <v>16179</v>
      </c>
      <c r="R4855" s="1" t="s">
        <v>100</v>
      </c>
      <c r="S4855" s="13" t="s">
        <v>28</v>
      </c>
      <c r="AX4855" s="70"/>
      <c r="AY4855" s="70"/>
      <c r="BC4855" s="70"/>
      <c r="BD4855" s="70"/>
      <c r="BE4855" s="70"/>
      <c r="BF4855" s="70"/>
      <c r="BG4855" s="70"/>
      <c r="BH4855" s="70"/>
      <c r="BI4855" s="70"/>
      <c r="BJ4855" s="70"/>
    </row>
    <row r="4856" spans="1:63" ht="12" customHeight="1" x14ac:dyDescent="0.15">
      <c r="A4856" s="1" t="s">
        <v>16180</v>
      </c>
      <c r="B4856" s="1" t="s">
        <v>13878</v>
      </c>
      <c r="C4856" s="1" t="s">
        <v>20</v>
      </c>
      <c r="D4856" s="1" t="s">
        <v>30</v>
      </c>
      <c r="F4856" s="72">
        <v>41432</v>
      </c>
      <c r="G4856" s="1" t="s">
        <v>16181</v>
      </c>
      <c r="H4856" s="1" t="s">
        <v>2880</v>
      </c>
      <c r="I4856" s="1" t="s">
        <v>173</v>
      </c>
      <c r="J4856" s="4" t="s">
        <v>16182</v>
      </c>
      <c r="K4856" s="1" t="s">
        <v>1790</v>
      </c>
      <c r="L4856" s="1" t="s">
        <v>13467</v>
      </c>
      <c r="M4856" s="1" t="s">
        <v>27</v>
      </c>
      <c r="N4856" s="1" t="s">
        <v>16183</v>
      </c>
      <c r="O4856" s="1" t="s">
        <v>29</v>
      </c>
      <c r="P4856" s="1" t="s">
        <v>401</v>
      </c>
      <c r="Q4856" s="63" t="s">
        <v>16184</v>
      </c>
      <c r="R4856" s="1" t="s">
        <v>100</v>
      </c>
      <c r="S4856" s="13" t="s">
        <v>28</v>
      </c>
    </row>
    <row r="4857" spans="1:63" ht="12" customHeight="1" x14ac:dyDescent="0.15">
      <c r="A4857" s="1" t="s">
        <v>16185</v>
      </c>
      <c r="B4857" s="1" t="s">
        <v>13386</v>
      </c>
      <c r="C4857" s="1" t="s">
        <v>20</v>
      </c>
      <c r="D4857" s="1" t="s">
        <v>37</v>
      </c>
      <c r="E4857" s="1" t="s">
        <v>16186</v>
      </c>
      <c r="F4857" s="72">
        <v>41432</v>
      </c>
      <c r="G4857" s="1" t="s">
        <v>16187</v>
      </c>
      <c r="H4857" s="1" t="s">
        <v>11099</v>
      </c>
      <c r="I4857" s="1" t="s">
        <v>45</v>
      </c>
      <c r="J4857" s="4" t="s">
        <v>11933</v>
      </c>
      <c r="K4857" s="1" t="s">
        <v>7576</v>
      </c>
      <c r="L4857" s="1" t="s">
        <v>16188</v>
      </c>
      <c r="M4857" s="1" t="s">
        <v>27</v>
      </c>
      <c r="N4857" s="1" t="s">
        <v>16189</v>
      </c>
      <c r="O4857" s="1" t="s">
        <v>550</v>
      </c>
      <c r="P4857" s="1" t="s">
        <v>401</v>
      </c>
      <c r="Q4857" s="63" t="s">
        <v>16190</v>
      </c>
      <c r="R4857" s="1" t="s">
        <v>100</v>
      </c>
      <c r="S4857" s="13" t="s">
        <v>28</v>
      </c>
    </row>
    <row r="4858" spans="1:63" ht="12" customHeight="1" x14ac:dyDescent="0.15">
      <c r="A4858" s="1" t="s">
        <v>16198</v>
      </c>
      <c r="B4858" s="1">
        <v>39</v>
      </c>
      <c r="C4858" s="1" t="s">
        <v>20</v>
      </c>
      <c r="D4858" s="1" t="s">
        <v>37</v>
      </c>
      <c r="F4858" s="72">
        <v>41432</v>
      </c>
      <c r="G4858" s="1" t="s">
        <v>16199</v>
      </c>
      <c r="H4858" s="1" t="s">
        <v>16200</v>
      </c>
      <c r="I4858" s="1" t="s">
        <v>62</v>
      </c>
      <c r="J4858" s="4" t="s">
        <v>16201</v>
      </c>
      <c r="K4858" s="1" t="s">
        <v>16202</v>
      </c>
      <c r="L4858" s="1" t="s">
        <v>16203</v>
      </c>
      <c r="M4858" s="1" t="s">
        <v>27</v>
      </c>
      <c r="N4858" s="1" t="s">
        <v>16204</v>
      </c>
      <c r="O4858" s="1" t="s">
        <v>1010</v>
      </c>
      <c r="P4858" s="1" t="s">
        <v>401</v>
      </c>
      <c r="Q4858" s="63" t="s">
        <v>16205</v>
      </c>
      <c r="R4858" s="1" t="s">
        <v>100</v>
      </c>
      <c r="S4858" s="13" t="s">
        <v>28</v>
      </c>
      <c r="AX4858" s="11"/>
      <c r="AY4858" s="11"/>
      <c r="AZ4858" s="11"/>
    </row>
    <row r="4859" spans="1:63" ht="12" customHeight="1" x14ac:dyDescent="0.15">
      <c r="A4859" s="1" t="s">
        <v>16206</v>
      </c>
      <c r="B4859" s="1" t="s">
        <v>9182</v>
      </c>
      <c r="C4859" s="1" t="s">
        <v>20</v>
      </c>
      <c r="D4859" s="1" t="s">
        <v>37</v>
      </c>
      <c r="F4859" s="72">
        <v>41432</v>
      </c>
      <c r="G4859" s="1" t="s">
        <v>16207</v>
      </c>
      <c r="H4859" s="1" t="s">
        <v>1611</v>
      </c>
      <c r="I4859" s="1" t="s">
        <v>269</v>
      </c>
      <c r="J4859" s="4" t="s">
        <v>16208</v>
      </c>
      <c r="K4859" s="1" t="s">
        <v>6245</v>
      </c>
      <c r="L4859" s="1" t="s">
        <v>16209</v>
      </c>
      <c r="M4859" s="1" t="s">
        <v>27</v>
      </c>
      <c r="N4859" s="1" t="s">
        <v>16210</v>
      </c>
      <c r="O4859" s="1" t="s">
        <v>550</v>
      </c>
      <c r="P4859" s="1" t="s">
        <v>401</v>
      </c>
      <c r="Q4859" s="63" t="s">
        <v>16211</v>
      </c>
      <c r="R4859" s="1" t="s">
        <v>100</v>
      </c>
      <c r="S4859" s="13" t="s">
        <v>28</v>
      </c>
      <c r="AX4859" s="11"/>
      <c r="AY4859" s="11"/>
      <c r="AZ4859" s="11"/>
    </row>
    <row r="4860" spans="1:63" ht="12" customHeight="1" x14ac:dyDescent="0.15">
      <c r="A4860" s="1" t="s">
        <v>16191</v>
      </c>
      <c r="B4860" s="1" t="s">
        <v>8724</v>
      </c>
      <c r="C4860" s="1" t="s">
        <v>20</v>
      </c>
      <c r="D4860" s="1" t="s">
        <v>37</v>
      </c>
      <c r="E4860" s="1" t="s">
        <v>16192</v>
      </c>
      <c r="F4860" s="72">
        <v>41432</v>
      </c>
      <c r="G4860" s="1" t="s">
        <v>16193</v>
      </c>
      <c r="H4860" s="1" t="s">
        <v>16194</v>
      </c>
      <c r="I4860" s="1" t="s">
        <v>173</v>
      </c>
      <c r="J4860" s="4" t="s">
        <v>16195</v>
      </c>
      <c r="K4860" s="1" t="s">
        <v>3309</v>
      </c>
      <c r="L4860" s="1" t="s">
        <v>3310</v>
      </c>
      <c r="M4860" s="1" t="s">
        <v>27</v>
      </c>
      <c r="N4860" s="1" t="s">
        <v>16196</v>
      </c>
      <c r="O4860" s="1" t="s">
        <v>29</v>
      </c>
      <c r="P4860" s="1" t="s">
        <v>401</v>
      </c>
      <c r="Q4860" s="63" t="s">
        <v>16197</v>
      </c>
      <c r="R4860" s="1" t="s">
        <v>555</v>
      </c>
      <c r="S4860" s="13" t="s">
        <v>28</v>
      </c>
      <c r="AX4860" s="11"/>
      <c r="AY4860" s="11"/>
      <c r="AZ4860" s="11"/>
      <c r="BA4860" s="44"/>
      <c r="BB4860" s="44"/>
    </row>
    <row r="4861" spans="1:63" ht="12" customHeight="1" x14ac:dyDescent="0.15">
      <c r="A4861" s="1" t="s">
        <v>16212</v>
      </c>
      <c r="B4861" s="1">
        <v>67</v>
      </c>
      <c r="C4861" s="1" t="s">
        <v>20</v>
      </c>
      <c r="D4861" s="1" t="s">
        <v>37</v>
      </c>
      <c r="E4861" s="1" t="s">
        <v>16213</v>
      </c>
      <c r="F4861" s="72">
        <v>41431</v>
      </c>
      <c r="G4861" s="1" t="s">
        <v>16214</v>
      </c>
      <c r="H4861" s="1" t="s">
        <v>9439</v>
      </c>
      <c r="I4861" s="1" t="s">
        <v>366</v>
      </c>
      <c r="J4861" s="4" t="s">
        <v>9440</v>
      </c>
      <c r="K4861" s="1" t="s">
        <v>9441</v>
      </c>
      <c r="L4861" s="1" t="s">
        <v>16215</v>
      </c>
      <c r="M4861" s="1" t="s">
        <v>27</v>
      </c>
      <c r="N4861" s="1" t="s">
        <v>16216</v>
      </c>
      <c r="O4861" s="1" t="s">
        <v>1010</v>
      </c>
      <c r="P4861" s="1" t="s">
        <v>401</v>
      </c>
      <c r="Q4861" s="63" t="s">
        <v>16217</v>
      </c>
      <c r="R4861" s="1" t="s">
        <v>100</v>
      </c>
      <c r="S4861" s="13" t="s">
        <v>28</v>
      </c>
      <c r="AX4861" s="11"/>
      <c r="AY4861" s="11"/>
      <c r="AZ4861" s="11"/>
    </row>
    <row r="4862" spans="1:63" ht="12" customHeight="1" x14ac:dyDescent="0.15">
      <c r="A4862" s="1" t="s">
        <v>16218</v>
      </c>
      <c r="B4862" s="1">
        <v>27</v>
      </c>
      <c r="C4862" s="1" t="s">
        <v>20</v>
      </c>
      <c r="D4862" s="1" t="s">
        <v>37</v>
      </c>
      <c r="E4862" s="1" t="s">
        <v>16219</v>
      </c>
      <c r="F4862" s="72">
        <v>41431</v>
      </c>
      <c r="G4862" s="1" t="s">
        <v>24591</v>
      </c>
      <c r="H4862" s="1" t="s">
        <v>16220</v>
      </c>
      <c r="I4862" s="1" t="s">
        <v>73</v>
      </c>
      <c r="J4862" s="4" t="s">
        <v>16221</v>
      </c>
      <c r="K4862" s="1" t="s">
        <v>16222</v>
      </c>
      <c r="L4862" s="1" t="s">
        <v>16223</v>
      </c>
      <c r="M4862" s="1" t="s">
        <v>27</v>
      </c>
      <c r="N4862" s="1" t="s">
        <v>16224</v>
      </c>
      <c r="O4862" s="1" t="s">
        <v>550</v>
      </c>
      <c r="P4862" s="1" t="s">
        <v>401</v>
      </c>
      <c r="Q4862" s="63" t="s">
        <v>16225</v>
      </c>
      <c r="R4862" s="1" t="s">
        <v>100</v>
      </c>
      <c r="S4862" s="13" t="s">
        <v>28</v>
      </c>
      <c r="AX4862" s="11"/>
      <c r="AY4862" s="11"/>
      <c r="AZ4862" s="11"/>
    </row>
    <row r="4863" spans="1:63" s="11" customFormat="1" ht="12" customHeight="1" x14ac:dyDescent="0.2">
      <c r="A4863" s="1" t="s">
        <v>16237</v>
      </c>
      <c r="B4863" s="1">
        <v>36</v>
      </c>
      <c r="C4863" s="1" t="s">
        <v>20</v>
      </c>
      <c r="D4863" s="1" t="s">
        <v>30</v>
      </c>
      <c r="E4863" s="1"/>
      <c r="F4863" s="72">
        <v>41430</v>
      </c>
      <c r="G4863" s="1" t="s">
        <v>16238</v>
      </c>
      <c r="H4863" s="1" t="s">
        <v>16239</v>
      </c>
      <c r="I4863" s="1" t="s">
        <v>45</v>
      </c>
      <c r="J4863" s="4" t="s">
        <v>16240</v>
      </c>
      <c r="K4863" s="1" t="s">
        <v>156</v>
      </c>
      <c r="L4863" s="1" t="s">
        <v>2115</v>
      </c>
      <c r="M4863" s="1" t="s">
        <v>3154</v>
      </c>
      <c r="N4863" s="1" t="s">
        <v>16241</v>
      </c>
      <c r="O4863" s="1" t="s">
        <v>1010</v>
      </c>
      <c r="P4863" s="1" t="s">
        <v>401</v>
      </c>
      <c r="Q4863" s="63" t="s">
        <v>16242</v>
      </c>
      <c r="R4863" s="1" t="s">
        <v>100</v>
      </c>
      <c r="S4863" s="13" t="s">
        <v>28</v>
      </c>
      <c r="T4863" s="1"/>
      <c r="U4863" s="1"/>
      <c r="V4863" s="1"/>
      <c r="W4863" s="1"/>
      <c r="X4863" s="1"/>
      <c r="Y4863" s="1"/>
      <c r="Z4863" s="1"/>
      <c r="AA4863" s="1"/>
      <c r="AB4863" s="1"/>
      <c r="AC4863" s="1"/>
      <c r="AD4863" s="1"/>
      <c r="AE4863" s="1"/>
      <c r="AF4863" s="1"/>
      <c r="AG4863" s="1"/>
      <c r="AH4863" s="1"/>
      <c r="AI4863" s="1"/>
      <c r="AJ4863" s="1"/>
      <c r="AK4863" s="1"/>
      <c r="AL4863" s="1"/>
      <c r="AM4863" s="1"/>
      <c r="AN4863" s="1"/>
      <c r="AO4863" s="1"/>
      <c r="AP4863" s="1"/>
      <c r="AQ4863" s="1"/>
      <c r="AR4863" s="1"/>
      <c r="AS4863" s="1"/>
      <c r="AT4863" s="70"/>
      <c r="AU4863" s="70"/>
      <c r="AV4863" s="1"/>
      <c r="AW4863" s="1"/>
      <c r="AX4863" s="1"/>
      <c r="AY4863" s="1"/>
      <c r="AZ4863" s="1"/>
      <c r="BA4863" s="1"/>
      <c r="BB4863" s="1"/>
      <c r="BC4863" s="1"/>
      <c r="BD4863" s="1"/>
      <c r="BE4863" s="1"/>
      <c r="BF4863" s="1"/>
      <c r="BG4863" s="1"/>
      <c r="BH4863" s="1"/>
      <c r="BI4863" s="1"/>
      <c r="BJ4863" s="78"/>
      <c r="BK4863" s="78"/>
    </row>
    <row r="4864" spans="1:63" s="11" customFormat="1" ht="12" customHeight="1" x14ac:dyDescent="0.15">
      <c r="A4864" s="1" t="s">
        <v>16249</v>
      </c>
      <c r="B4864" s="1" t="s">
        <v>8724</v>
      </c>
      <c r="C4864" s="1" t="s">
        <v>20</v>
      </c>
      <c r="D4864" s="1" t="s">
        <v>37</v>
      </c>
      <c r="E4864" s="1" t="s">
        <v>16250</v>
      </c>
      <c r="F4864" s="72">
        <v>41430</v>
      </c>
      <c r="G4864" s="1" t="s">
        <v>16251</v>
      </c>
      <c r="H4864" s="1" t="s">
        <v>11900</v>
      </c>
      <c r="I4864" s="1" t="s">
        <v>45</v>
      </c>
      <c r="J4864" s="4" t="s">
        <v>16252</v>
      </c>
      <c r="K4864" s="1" t="s">
        <v>156</v>
      </c>
      <c r="L4864" s="1" t="s">
        <v>157</v>
      </c>
      <c r="M4864" s="1" t="s">
        <v>27</v>
      </c>
      <c r="N4864" s="1" t="s">
        <v>16253</v>
      </c>
      <c r="O4864" s="1" t="s">
        <v>29</v>
      </c>
      <c r="P4864" s="1" t="s">
        <v>401</v>
      </c>
      <c r="Q4864" s="63" t="s">
        <v>16254</v>
      </c>
      <c r="R4864" s="1" t="s">
        <v>100</v>
      </c>
      <c r="S4864" s="13" t="s">
        <v>28</v>
      </c>
      <c r="T4864" s="1"/>
      <c r="U4864" s="1"/>
      <c r="V4864" s="1"/>
      <c r="W4864" s="1"/>
      <c r="X4864" s="1"/>
      <c r="Y4864" s="1"/>
      <c r="Z4864" s="1"/>
      <c r="AA4864" s="1"/>
      <c r="AB4864" s="1"/>
      <c r="AC4864" s="1"/>
      <c r="AD4864" s="1"/>
      <c r="AE4864" s="1"/>
      <c r="AF4864" s="1"/>
      <c r="AG4864" s="1"/>
      <c r="AH4864" s="1"/>
      <c r="AI4864" s="1"/>
      <c r="AJ4864" s="1"/>
      <c r="AK4864" s="1"/>
      <c r="AL4864" s="1"/>
      <c r="AM4864" s="1"/>
      <c r="AN4864" s="1"/>
      <c r="AO4864" s="1"/>
      <c r="AP4864" s="1"/>
      <c r="AQ4864" s="1"/>
      <c r="AR4864" s="1"/>
      <c r="AS4864" s="1"/>
      <c r="AT4864" s="1"/>
      <c r="AU4864" s="1"/>
      <c r="AV4864" s="1"/>
      <c r="AW4864" s="1"/>
      <c r="BA4864" s="1"/>
      <c r="BB4864" s="1"/>
      <c r="BC4864" s="1"/>
      <c r="BD4864" s="1"/>
      <c r="BE4864" s="1"/>
      <c r="BF4864" s="1"/>
      <c r="BG4864" s="1"/>
      <c r="BH4864" s="1"/>
      <c r="BI4864" s="1"/>
      <c r="BJ4864" s="1"/>
      <c r="BK4864" s="1"/>
    </row>
    <row r="4865" spans="1:63" ht="12" customHeight="1" x14ac:dyDescent="0.15">
      <c r="A4865" s="1" t="s">
        <v>16243</v>
      </c>
      <c r="B4865" s="1" t="s">
        <v>13656</v>
      </c>
      <c r="C4865" s="1" t="s">
        <v>20</v>
      </c>
      <c r="D4865" s="1" t="s">
        <v>37</v>
      </c>
      <c r="E4865" s="1" t="s">
        <v>16244</v>
      </c>
      <c r="F4865" s="72">
        <v>41430</v>
      </c>
      <c r="G4865" s="1" t="s">
        <v>16245</v>
      </c>
      <c r="H4865" s="1" t="s">
        <v>6266</v>
      </c>
      <c r="I4865" s="1" t="s">
        <v>73</v>
      </c>
      <c r="J4865" s="4" t="s">
        <v>16246</v>
      </c>
      <c r="K4865" s="1" t="s">
        <v>285</v>
      </c>
      <c r="L4865" s="1" t="s">
        <v>6268</v>
      </c>
      <c r="M4865" s="1" t="s">
        <v>27</v>
      </c>
      <c r="N4865" s="1" t="s">
        <v>16247</v>
      </c>
      <c r="O4865" s="1" t="s">
        <v>29</v>
      </c>
      <c r="P4865" s="1" t="s">
        <v>401</v>
      </c>
      <c r="Q4865" s="63" t="s">
        <v>16248</v>
      </c>
      <c r="R4865" s="1" t="s">
        <v>100</v>
      </c>
      <c r="S4865" s="13" t="s">
        <v>28</v>
      </c>
      <c r="AX4865" s="11"/>
      <c r="AY4865" s="11"/>
      <c r="AZ4865" s="11"/>
    </row>
    <row r="4866" spans="1:63" s="11" customFormat="1" ht="12" customHeight="1" x14ac:dyDescent="0.15">
      <c r="A4866" s="1" t="s">
        <v>16230</v>
      </c>
      <c r="B4866" s="1" t="s">
        <v>13478</v>
      </c>
      <c r="C4866" s="1" t="s">
        <v>114</v>
      </c>
      <c r="D4866" s="1" t="s">
        <v>85</v>
      </c>
      <c r="E4866" s="1" t="s">
        <v>16231</v>
      </c>
      <c r="F4866" s="72">
        <v>41430</v>
      </c>
      <c r="G4866" s="1" t="s">
        <v>16232</v>
      </c>
      <c r="H4866" s="1" t="s">
        <v>16226</v>
      </c>
      <c r="I4866" s="1" t="s">
        <v>423</v>
      </c>
      <c r="J4866" s="4" t="s">
        <v>16227</v>
      </c>
      <c r="K4866" s="1" t="s">
        <v>754</v>
      </c>
      <c r="L4866" s="1" t="s">
        <v>582</v>
      </c>
      <c r="M4866" s="1" t="s">
        <v>27</v>
      </c>
      <c r="N4866" s="1" t="s">
        <v>16228</v>
      </c>
      <c r="O4866" s="1" t="s">
        <v>613</v>
      </c>
      <c r="P4866" s="1" t="s">
        <v>401</v>
      </c>
      <c r="Q4866" s="63" t="s">
        <v>16229</v>
      </c>
      <c r="R4866" s="1" t="s">
        <v>100</v>
      </c>
      <c r="S4866" s="13" t="s">
        <v>18</v>
      </c>
      <c r="T4866" s="1"/>
      <c r="U4866" s="1"/>
      <c r="V4866" s="1"/>
      <c r="W4866" s="1"/>
      <c r="X4866" s="1"/>
      <c r="Y4866" s="1"/>
      <c r="Z4866" s="1"/>
      <c r="AA4866" s="1"/>
      <c r="AB4866" s="1"/>
      <c r="AC4866" s="1"/>
      <c r="AD4866" s="1"/>
      <c r="AE4866" s="1"/>
      <c r="AF4866" s="1"/>
      <c r="AG4866" s="1"/>
      <c r="AH4866" s="1"/>
      <c r="AI4866" s="1"/>
      <c r="AJ4866" s="1"/>
      <c r="AK4866" s="1"/>
      <c r="AL4866" s="1"/>
      <c r="AM4866" s="1"/>
      <c r="AN4866" s="1"/>
      <c r="AO4866" s="1"/>
      <c r="AP4866" s="1"/>
      <c r="AQ4866" s="1"/>
      <c r="AR4866" s="1"/>
      <c r="AS4866" s="1"/>
      <c r="AT4866" s="1"/>
      <c r="AU4866" s="1"/>
      <c r="AV4866" s="1"/>
      <c r="AW4866" s="1"/>
      <c r="AZ4866" s="1"/>
      <c r="BA4866" s="1"/>
      <c r="BB4866" s="1"/>
      <c r="BK4866" s="1"/>
    </row>
    <row r="4867" spans="1:63" s="11" customFormat="1" ht="12" customHeight="1" x14ac:dyDescent="0.15">
      <c r="A4867" s="1" t="s">
        <v>16233</v>
      </c>
      <c r="B4867" s="1" t="s">
        <v>16128</v>
      </c>
      <c r="C4867" s="1" t="s">
        <v>20</v>
      </c>
      <c r="D4867" s="1" t="s">
        <v>30</v>
      </c>
      <c r="E4867" s="1"/>
      <c r="F4867" s="72">
        <v>41430</v>
      </c>
      <c r="G4867" s="1" t="s">
        <v>16234</v>
      </c>
      <c r="H4867" s="1" t="s">
        <v>8426</v>
      </c>
      <c r="I4867" s="1" t="s">
        <v>52</v>
      </c>
      <c r="J4867" s="4" t="s">
        <v>8427</v>
      </c>
      <c r="K4867" s="1" t="s">
        <v>1592</v>
      </c>
      <c r="L4867" s="1" t="s">
        <v>231</v>
      </c>
      <c r="M4867" s="1" t="s">
        <v>27</v>
      </c>
      <c r="N4867" s="1" t="s">
        <v>16235</v>
      </c>
      <c r="O4867" s="1" t="s">
        <v>29</v>
      </c>
      <c r="P4867" s="1" t="s">
        <v>401</v>
      </c>
      <c r="Q4867" s="63" t="s">
        <v>16236</v>
      </c>
      <c r="R4867" s="1" t="s">
        <v>29</v>
      </c>
      <c r="S4867" s="13" t="s">
        <v>28</v>
      </c>
      <c r="T4867" s="1"/>
      <c r="U4867" s="1"/>
      <c r="V4867" s="1"/>
      <c r="W4867" s="1"/>
      <c r="X4867" s="1"/>
      <c r="Y4867" s="1"/>
      <c r="Z4867" s="1"/>
      <c r="AA4867" s="1"/>
      <c r="AB4867" s="1"/>
      <c r="AC4867" s="1"/>
      <c r="AD4867" s="1"/>
      <c r="AE4867" s="1"/>
      <c r="AF4867" s="1"/>
      <c r="AG4867" s="1"/>
      <c r="AH4867" s="1"/>
      <c r="AI4867" s="1"/>
      <c r="AJ4867" s="1"/>
      <c r="AK4867" s="1"/>
      <c r="AL4867" s="1"/>
      <c r="AM4867" s="1"/>
      <c r="AN4867" s="1"/>
      <c r="AO4867" s="1"/>
      <c r="AP4867" s="1"/>
      <c r="AQ4867" s="1"/>
      <c r="AR4867" s="1"/>
      <c r="AS4867" s="1"/>
      <c r="AT4867" s="1"/>
      <c r="AU4867" s="1"/>
      <c r="AV4867" s="1"/>
      <c r="AW4867" s="1"/>
      <c r="AX4867" s="1"/>
      <c r="AY4867" s="1"/>
      <c r="AZ4867" s="1"/>
      <c r="BA4867" s="1"/>
      <c r="BB4867" s="1"/>
      <c r="BC4867" s="1"/>
      <c r="BD4867" s="1"/>
      <c r="BE4867" s="1"/>
      <c r="BF4867" s="1"/>
      <c r="BG4867" s="1"/>
      <c r="BH4867" s="1"/>
      <c r="BI4867" s="1"/>
      <c r="BJ4867" s="1"/>
      <c r="BK4867" s="1"/>
    </row>
    <row r="4868" spans="1:63" s="11" customFormat="1" ht="12" customHeight="1" x14ac:dyDescent="0.15">
      <c r="A4868" s="1" t="s">
        <v>16255</v>
      </c>
      <c r="B4868" s="1" t="s">
        <v>15985</v>
      </c>
      <c r="C4868" s="1" t="s">
        <v>20</v>
      </c>
      <c r="D4868" s="1" t="s">
        <v>48</v>
      </c>
      <c r="E4868" s="1"/>
      <c r="F4868" s="72">
        <v>41429</v>
      </c>
      <c r="G4868" s="1" t="s">
        <v>16256</v>
      </c>
      <c r="H4868" s="1" t="s">
        <v>16257</v>
      </c>
      <c r="I4868" s="1" t="s">
        <v>45</v>
      </c>
      <c r="J4868" s="4" t="s">
        <v>16258</v>
      </c>
      <c r="K4868" s="1" t="s">
        <v>783</v>
      </c>
      <c r="L4868" s="1" t="s">
        <v>4775</v>
      </c>
      <c r="M4868" s="1" t="s">
        <v>27</v>
      </c>
      <c r="N4868" s="1" t="s">
        <v>16259</v>
      </c>
      <c r="O4868" s="1" t="s">
        <v>29</v>
      </c>
      <c r="P4868" s="1" t="s">
        <v>401</v>
      </c>
      <c r="Q4868" s="63" t="s">
        <v>16260</v>
      </c>
      <c r="R4868" s="1" t="s">
        <v>100</v>
      </c>
      <c r="S4868" s="13" t="s">
        <v>28</v>
      </c>
      <c r="T4868" s="1"/>
      <c r="U4868" s="1"/>
      <c r="V4868" s="1"/>
      <c r="W4868" s="1"/>
      <c r="X4868" s="1"/>
      <c r="Y4868" s="1"/>
      <c r="Z4868" s="1"/>
      <c r="AA4868" s="1"/>
      <c r="AB4868" s="1"/>
      <c r="AC4868" s="1"/>
      <c r="AD4868" s="1"/>
      <c r="AE4868" s="1"/>
      <c r="AF4868" s="1"/>
      <c r="AG4868" s="1"/>
      <c r="AH4868" s="1"/>
      <c r="AI4868" s="1"/>
      <c r="AJ4868" s="1"/>
      <c r="AK4868" s="1"/>
      <c r="AL4868" s="1"/>
      <c r="AM4868" s="1"/>
      <c r="AN4868" s="1"/>
      <c r="AO4868" s="1"/>
      <c r="AP4868" s="1"/>
      <c r="AQ4868" s="1"/>
      <c r="AR4868" s="1"/>
      <c r="AS4868" s="1"/>
      <c r="AT4868" s="1"/>
      <c r="AU4868" s="1"/>
      <c r="AV4868" s="1"/>
      <c r="AW4868" s="1"/>
      <c r="AX4868" s="1"/>
      <c r="AY4868" s="1"/>
      <c r="AZ4868" s="1"/>
      <c r="BA4868" s="1"/>
      <c r="BB4868" s="1"/>
      <c r="BC4868" s="1"/>
      <c r="BD4868" s="1"/>
      <c r="BE4868" s="1"/>
      <c r="BF4868" s="1"/>
      <c r="BG4868" s="1"/>
      <c r="BH4868" s="1"/>
      <c r="BI4868" s="1"/>
      <c r="BJ4868" s="1"/>
      <c r="BK4868" s="1"/>
    </row>
    <row r="4869" spans="1:63" s="11" customFormat="1" ht="12" customHeight="1" x14ac:dyDescent="0.15">
      <c r="A4869" s="1" t="s">
        <v>16265</v>
      </c>
      <c r="B4869" s="1">
        <v>51</v>
      </c>
      <c r="C4869" s="1" t="s">
        <v>114</v>
      </c>
      <c r="D4869" s="1" t="s">
        <v>30</v>
      </c>
      <c r="E4869" s="1"/>
      <c r="F4869" s="72">
        <v>41429</v>
      </c>
      <c r="G4869" s="1" t="s">
        <v>16266</v>
      </c>
      <c r="H4869" s="1" t="s">
        <v>16267</v>
      </c>
      <c r="I4869" s="1" t="s">
        <v>45</v>
      </c>
      <c r="J4869" s="4" t="s">
        <v>16268</v>
      </c>
      <c r="K4869" s="1" t="s">
        <v>16269</v>
      </c>
      <c r="L4869" s="1" t="s">
        <v>16270</v>
      </c>
      <c r="M4869" s="1" t="s">
        <v>27</v>
      </c>
      <c r="N4869" s="1" t="s">
        <v>16271</v>
      </c>
      <c r="O4869" s="1" t="s">
        <v>29</v>
      </c>
      <c r="P4869" s="1" t="s">
        <v>401</v>
      </c>
      <c r="Q4869" s="63" t="s">
        <v>16272</v>
      </c>
      <c r="R4869" s="1" t="s">
        <v>100</v>
      </c>
      <c r="S4869" s="13" t="s">
        <v>28</v>
      </c>
      <c r="T4869" s="1"/>
      <c r="U4869" s="1"/>
      <c r="V4869" s="1"/>
      <c r="W4869" s="1"/>
      <c r="X4869" s="1"/>
      <c r="Y4869" s="1"/>
      <c r="Z4869" s="1"/>
      <c r="AA4869" s="1"/>
      <c r="AB4869" s="1"/>
      <c r="AC4869" s="1"/>
      <c r="AD4869" s="1"/>
      <c r="AE4869" s="1"/>
      <c r="AF4869" s="1"/>
      <c r="AG4869" s="1"/>
      <c r="AH4869" s="1"/>
      <c r="AI4869" s="1"/>
      <c r="AJ4869" s="1"/>
      <c r="AK4869" s="1"/>
      <c r="AL4869" s="1"/>
      <c r="AM4869" s="1"/>
      <c r="AN4869" s="1"/>
      <c r="AO4869" s="1"/>
      <c r="AP4869" s="1"/>
      <c r="AQ4869" s="1"/>
      <c r="AR4869" s="1"/>
      <c r="AS4869" s="1"/>
      <c r="AT4869" s="1"/>
      <c r="AU4869" s="1"/>
      <c r="AV4869" s="1"/>
      <c r="AW4869" s="1"/>
      <c r="AX4869" s="1"/>
      <c r="AY4869" s="1"/>
      <c r="AZ4869" s="1"/>
      <c r="BA4869" s="1"/>
      <c r="BB4869" s="1"/>
      <c r="BC4869" s="1"/>
      <c r="BD4869" s="1"/>
      <c r="BE4869" s="1"/>
      <c r="BF4869" s="1"/>
      <c r="BG4869" s="1"/>
      <c r="BH4869" s="1"/>
      <c r="BI4869" s="1"/>
      <c r="BJ4869" s="1"/>
      <c r="BK4869" s="1"/>
    </row>
    <row r="4870" spans="1:63" s="11" customFormat="1" ht="12" customHeight="1" x14ac:dyDescent="0.15">
      <c r="A4870" s="1" t="s">
        <v>16273</v>
      </c>
      <c r="B4870" s="1" t="s">
        <v>9182</v>
      </c>
      <c r="C4870" s="1" t="s">
        <v>20</v>
      </c>
      <c r="D4870" s="1" t="s">
        <v>30</v>
      </c>
      <c r="E4870" s="1"/>
      <c r="F4870" s="72">
        <v>41429</v>
      </c>
      <c r="G4870" s="1" t="s">
        <v>16274</v>
      </c>
      <c r="H4870" s="1" t="s">
        <v>3421</v>
      </c>
      <c r="I4870" s="1" t="s">
        <v>45</v>
      </c>
      <c r="J4870" s="4" t="s">
        <v>10604</v>
      </c>
      <c r="K4870" s="1" t="s">
        <v>3423</v>
      </c>
      <c r="L4870" s="1" t="s">
        <v>3424</v>
      </c>
      <c r="M4870" s="1" t="s">
        <v>27</v>
      </c>
      <c r="N4870" s="1" t="s">
        <v>16275</v>
      </c>
      <c r="O4870" s="1" t="s">
        <v>29</v>
      </c>
      <c r="P4870" s="1" t="s">
        <v>401</v>
      </c>
      <c r="Q4870" s="63" t="s">
        <v>16276</v>
      </c>
      <c r="R4870" s="1" t="s">
        <v>100</v>
      </c>
      <c r="S4870" s="13" t="s">
        <v>28</v>
      </c>
      <c r="T4870" s="1"/>
      <c r="U4870" s="1"/>
      <c r="V4870" s="1"/>
      <c r="W4870" s="1"/>
      <c r="X4870" s="1"/>
      <c r="Y4870" s="1"/>
      <c r="Z4870" s="1"/>
      <c r="AA4870" s="1"/>
      <c r="AB4870" s="1"/>
      <c r="AC4870" s="1"/>
      <c r="AD4870" s="1"/>
      <c r="AE4870" s="1"/>
      <c r="AF4870" s="1"/>
      <c r="AG4870" s="1"/>
      <c r="AH4870" s="1"/>
      <c r="AI4870" s="1"/>
      <c r="AJ4870" s="1"/>
      <c r="AK4870" s="1"/>
      <c r="AL4870" s="1"/>
      <c r="AM4870" s="1"/>
      <c r="AN4870" s="1"/>
      <c r="AO4870" s="1"/>
      <c r="AP4870" s="1"/>
      <c r="AQ4870" s="1"/>
      <c r="AR4870" s="1"/>
      <c r="AS4870" s="1"/>
      <c r="AT4870" s="1"/>
      <c r="AU4870" s="1"/>
      <c r="AV4870" s="1"/>
      <c r="AW4870" s="1"/>
      <c r="AX4870" s="1"/>
      <c r="AY4870" s="1"/>
      <c r="AZ4870" s="1"/>
      <c r="BA4870" s="1"/>
      <c r="BB4870" s="1"/>
      <c r="BC4870" s="1"/>
      <c r="BD4870" s="1"/>
      <c r="BE4870" s="1"/>
      <c r="BF4870" s="1"/>
      <c r="BG4870" s="1"/>
      <c r="BH4870" s="1"/>
      <c r="BI4870" s="1"/>
      <c r="BJ4870" s="1"/>
      <c r="BK4870" s="1"/>
    </row>
    <row r="4871" spans="1:63" s="11" customFormat="1" ht="12" customHeight="1" x14ac:dyDescent="0.15">
      <c r="A4871" s="1" t="s">
        <v>16261</v>
      </c>
      <c r="B4871" s="1" t="s">
        <v>13656</v>
      </c>
      <c r="C4871" s="1" t="s">
        <v>20</v>
      </c>
      <c r="D4871" s="1" t="s">
        <v>30</v>
      </c>
      <c r="E4871" s="1"/>
      <c r="F4871" s="72">
        <v>41429</v>
      </c>
      <c r="G4871" s="1" t="s">
        <v>16262</v>
      </c>
      <c r="H4871" s="1" t="s">
        <v>1192</v>
      </c>
      <c r="I4871" s="1" t="s">
        <v>319</v>
      </c>
      <c r="J4871" s="4">
        <v>38120</v>
      </c>
      <c r="K4871" s="1" t="s">
        <v>1193</v>
      </c>
      <c r="L4871" s="1" t="s">
        <v>1194</v>
      </c>
      <c r="M4871" s="1" t="s">
        <v>27</v>
      </c>
      <c r="N4871" s="1" t="s">
        <v>16263</v>
      </c>
      <c r="O4871" s="1" t="s">
        <v>29</v>
      </c>
      <c r="P4871" s="1" t="s">
        <v>401</v>
      </c>
      <c r="Q4871" s="63" t="s">
        <v>16264</v>
      </c>
      <c r="R4871" s="1" t="s">
        <v>100</v>
      </c>
      <c r="S4871" s="13" t="s">
        <v>28</v>
      </c>
      <c r="T4871" s="1"/>
      <c r="U4871" s="1"/>
      <c r="V4871" s="1"/>
      <c r="W4871" s="1"/>
      <c r="X4871" s="1"/>
      <c r="Y4871" s="1"/>
      <c r="Z4871" s="1"/>
      <c r="AA4871" s="1"/>
      <c r="AB4871" s="1"/>
      <c r="AC4871" s="1"/>
      <c r="AD4871" s="1"/>
      <c r="AE4871" s="1"/>
      <c r="AF4871" s="1"/>
      <c r="AG4871" s="1"/>
      <c r="AH4871" s="1"/>
      <c r="AI4871" s="1"/>
      <c r="AJ4871" s="1"/>
      <c r="AK4871" s="1"/>
      <c r="AL4871" s="1"/>
      <c r="AM4871" s="1"/>
      <c r="AN4871" s="1"/>
      <c r="AO4871" s="1"/>
      <c r="AP4871" s="1"/>
      <c r="AQ4871" s="1"/>
      <c r="AR4871" s="1"/>
      <c r="AS4871" s="1"/>
      <c r="AT4871" s="1"/>
      <c r="AU4871" s="1"/>
      <c r="AV4871" s="1"/>
      <c r="AW4871" s="1"/>
      <c r="AX4871" s="1"/>
      <c r="AY4871" s="1"/>
      <c r="AZ4871" s="1"/>
      <c r="BA4871" s="1"/>
      <c r="BB4871" s="1"/>
      <c r="BC4871" s="1"/>
      <c r="BD4871" s="1"/>
      <c r="BE4871" s="1"/>
      <c r="BF4871" s="1"/>
      <c r="BG4871" s="1"/>
      <c r="BH4871" s="1"/>
      <c r="BI4871" s="1"/>
      <c r="BJ4871" s="1"/>
      <c r="BK4871" s="1"/>
    </row>
    <row r="4872" spans="1:63" s="11" customFormat="1" ht="12" customHeight="1" x14ac:dyDescent="0.15">
      <c r="A4872" s="1" t="s">
        <v>16277</v>
      </c>
      <c r="B4872" s="1" t="s">
        <v>16278</v>
      </c>
      <c r="C4872" s="1" t="s">
        <v>20</v>
      </c>
      <c r="D4872" s="1" t="s">
        <v>37</v>
      </c>
      <c r="E4872" s="1" t="s">
        <v>16279</v>
      </c>
      <c r="F4872" s="72">
        <v>41429</v>
      </c>
      <c r="G4872" s="1" t="s">
        <v>16280</v>
      </c>
      <c r="H4872" s="1" t="s">
        <v>430</v>
      </c>
      <c r="I4872" s="1" t="s">
        <v>431</v>
      </c>
      <c r="J4872" s="4" t="s">
        <v>16281</v>
      </c>
      <c r="K4872" s="1" t="s">
        <v>433</v>
      </c>
      <c r="L4872" s="1" t="s">
        <v>434</v>
      </c>
      <c r="M4872" s="1" t="s">
        <v>27</v>
      </c>
      <c r="N4872" s="1" t="s">
        <v>16282</v>
      </c>
      <c r="O4872" s="1" t="s">
        <v>29</v>
      </c>
      <c r="P4872" s="1" t="s">
        <v>401</v>
      </c>
      <c r="Q4872" s="63" t="s">
        <v>16283</v>
      </c>
      <c r="R4872" s="1" t="s">
        <v>100</v>
      </c>
      <c r="S4872" s="13" t="s">
        <v>28</v>
      </c>
      <c r="T4872" s="1"/>
      <c r="U4872" s="1"/>
      <c r="V4872" s="1"/>
      <c r="W4872" s="1"/>
      <c r="X4872" s="1"/>
      <c r="Y4872" s="1"/>
      <c r="Z4872" s="1"/>
      <c r="AA4872" s="1"/>
      <c r="AB4872" s="1"/>
      <c r="AC4872" s="1"/>
      <c r="AD4872" s="1"/>
      <c r="AE4872" s="1"/>
      <c r="AF4872" s="1"/>
      <c r="AG4872" s="1"/>
      <c r="AH4872" s="1"/>
      <c r="AI4872" s="1"/>
      <c r="AJ4872" s="1"/>
      <c r="AK4872" s="1"/>
      <c r="AL4872" s="1"/>
      <c r="AM4872" s="1"/>
      <c r="AN4872" s="1"/>
      <c r="AO4872" s="1"/>
      <c r="AP4872" s="1"/>
      <c r="AQ4872" s="1"/>
      <c r="AR4872" s="1"/>
      <c r="AS4872" s="1"/>
      <c r="AT4872" s="1"/>
      <c r="AU4872" s="1"/>
      <c r="AV4872" s="1"/>
      <c r="AW4872" s="1"/>
      <c r="BA4872" s="1"/>
      <c r="BB4872" s="1"/>
      <c r="BC4872" s="1"/>
      <c r="BD4872" s="1"/>
      <c r="BE4872" s="1"/>
      <c r="BF4872" s="1"/>
      <c r="BG4872" s="1"/>
      <c r="BH4872" s="1"/>
      <c r="BI4872" s="1"/>
      <c r="BJ4872" s="1"/>
      <c r="BK4872" s="1"/>
    </row>
    <row r="4873" spans="1:63" s="11" customFormat="1" ht="12" customHeight="1" x14ac:dyDescent="0.15">
      <c r="A4873" s="1" t="s">
        <v>16298</v>
      </c>
      <c r="B4873" s="1">
        <v>60</v>
      </c>
      <c r="C4873" s="1" t="s">
        <v>20</v>
      </c>
      <c r="D4873" s="1" t="s">
        <v>37</v>
      </c>
      <c r="E4873" s="1" t="s">
        <v>16299</v>
      </c>
      <c r="F4873" s="72">
        <v>41428</v>
      </c>
      <c r="G4873" s="1" t="s">
        <v>16300</v>
      </c>
      <c r="H4873" s="1" t="s">
        <v>16301</v>
      </c>
      <c r="I4873" s="1" t="s">
        <v>209</v>
      </c>
      <c r="J4873" s="4" t="s">
        <v>16302</v>
      </c>
      <c r="K4873" s="1" t="s">
        <v>553</v>
      </c>
      <c r="L4873" s="1" t="s">
        <v>16303</v>
      </c>
      <c r="M4873" s="1" t="s">
        <v>27</v>
      </c>
      <c r="N4873" s="1" t="s">
        <v>16304</v>
      </c>
      <c r="O4873" s="1" t="s">
        <v>550</v>
      </c>
      <c r="P4873" s="1" t="s">
        <v>401</v>
      </c>
      <c r="Q4873" s="63" t="s">
        <v>16305</v>
      </c>
      <c r="R4873" s="11" t="s">
        <v>964</v>
      </c>
      <c r="S4873" s="13" t="s">
        <v>28</v>
      </c>
      <c r="T4873" s="1"/>
      <c r="U4873" s="1"/>
      <c r="V4873" s="1"/>
      <c r="W4873" s="1"/>
      <c r="X4873" s="1"/>
      <c r="Y4873" s="1"/>
      <c r="Z4873" s="1"/>
      <c r="AA4873" s="1"/>
      <c r="AB4873" s="1"/>
      <c r="AC4873" s="1"/>
      <c r="AD4873" s="1"/>
      <c r="AE4873" s="1"/>
      <c r="AF4873" s="1"/>
      <c r="AG4873" s="1"/>
      <c r="AH4873" s="1"/>
      <c r="AI4873" s="1"/>
      <c r="AJ4873" s="1"/>
      <c r="AK4873" s="1"/>
      <c r="AL4873" s="1"/>
      <c r="AM4873" s="1"/>
      <c r="AN4873" s="1"/>
      <c r="AO4873" s="1"/>
      <c r="AP4873" s="1"/>
      <c r="AQ4873" s="1"/>
      <c r="AR4873" s="1"/>
      <c r="AS4873" s="1"/>
      <c r="AT4873" s="1"/>
      <c r="AU4873" s="1"/>
      <c r="AV4873" s="1"/>
      <c r="AW4873" s="1"/>
      <c r="BA4873" s="1"/>
      <c r="BB4873" s="1"/>
      <c r="BC4873" s="1"/>
      <c r="BD4873" s="1"/>
      <c r="BE4873" s="1"/>
      <c r="BF4873" s="1"/>
      <c r="BG4873" s="1"/>
      <c r="BH4873" s="1"/>
      <c r="BI4873" s="1"/>
      <c r="BJ4873" s="1"/>
      <c r="BK4873" s="1"/>
    </row>
    <row r="4874" spans="1:63" s="11" customFormat="1" ht="12" customHeight="1" x14ac:dyDescent="0.15">
      <c r="A4874" s="1" t="s">
        <v>16284</v>
      </c>
      <c r="B4874" s="1" t="s">
        <v>15985</v>
      </c>
      <c r="C4874" s="1" t="s">
        <v>20</v>
      </c>
      <c r="D4874" s="1" t="s">
        <v>48</v>
      </c>
      <c r="E4874" s="1"/>
      <c r="F4874" s="72">
        <v>41428</v>
      </c>
      <c r="G4874" s="1" t="s">
        <v>16285</v>
      </c>
      <c r="H4874" s="1" t="s">
        <v>16286</v>
      </c>
      <c r="I4874" s="1" t="s">
        <v>45</v>
      </c>
      <c r="J4874" s="4" t="s">
        <v>16287</v>
      </c>
      <c r="K4874" s="1" t="s">
        <v>200</v>
      </c>
      <c r="L4874" s="1" t="s">
        <v>16288</v>
      </c>
      <c r="M4874" s="1" t="s">
        <v>27</v>
      </c>
      <c r="N4874" s="1" t="s">
        <v>16289</v>
      </c>
      <c r="O4874" s="1" t="s">
        <v>29</v>
      </c>
      <c r="P4874" s="1" t="s">
        <v>401</v>
      </c>
      <c r="Q4874" s="63" t="s">
        <v>16290</v>
      </c>
      <c r="R4874" s="1" t="s">
        <v>100</v>
      </c>
      <c r="S4874" s="13" t="s">
        <v>28</v>
      </c>
      <c r="T4874" s="1"/>
      <c r="U4874" s="1"/>
      <c r="V4874" s="1"/>
      <c r="W4874" s="1"/>
      <c r="X4874" s="1"/>
      <c r="Y4874" s="1"/>
      <c r="Z4874" s="1"/>
      <c r="AA4874" s="1"/>
      <c r="AB4874" s="1"/>
      <c r="AC4874" s="1"/>
      <c r="AD4874" s="1"/>
      <c r="AE4874" s="1"/>
      <c r="AF4874" s="1"/>
      <c r="AG4874" s="1"/>
      <c r="AH4874" s="1"/>
      <c r="AI4874" s="1"/>
      <c r="AJ4874" s="1"/>
      <c r="AK4874" s="1"/>
      <c r="AL4874" s="1"/>
      <c r="AM4874" s="1"/>
      <c r="AN4874" s="1"/>
      <c r="AO4874" s="1"/>
      <c r="AP4874" s="1"/>
      <c r="AQ4874" s="1"/>
      <c r="AR4874" s="1"/>
      <c r="AS4874" s="1"/>
      <c r="AT4874" s="1"/>
      <c r="AU4874" s="1"/>
      <c r="AV4874" s="1"/>
      <c r="AW4874" s="1"/>
      <c r="AX4874" s="1"/>
      <c r="AY4874" s="1"/>
      <c r="AZ4874" s="1"/>
      <c r="BA4874" s="1"/>
      <c r="BB4874" s="1"/>
      <c r="BC4874" s="1"/>
      <c r="BD4874" s="1"/>
      <c r="BE4874" s="1"/>
      <c r="BF4874" s="1"/>
      <c r="BG4874" s="1"/>
      <c r="BH4874" s="1"/>
      <c r="BI4874" s="1"/>
      <c r="BJ4874" s="1"/>
      <c r="BK4874" s="1"/>
    </row>
    <row r="4875" spans="1:63" s="11" customFormat="1" ht="12" customHeight="1" x14ac:dyDescent="0.2">
      <c r="A4875" s="1" t="s">
        <v>16291</v>
      </c>
      <c r="B4875" s="1">
        <v>35</v>
      </c>
      <c r="C4875" s="1" t="s">
        <v>20</v>
      </c>
      <c r="D4875" s="1" t="s">
        <v>37</v>
      </c>
      <c r="E4875" s="1" t="s">
        <v>16292</v>
      </c>
      <c r="F4875" s="72">
        <v>41428</v>
      </c>
      <c r="G4875" s="1" t="s">
        <v>16293</v>
      </c>
      <c r="H4875" s="1" t="s">
        <v>16294</v>
      </c>
      <c r="I4875" s="1" t="s">
        <v>870</v>
      </c>
      <c r="J4875" s="4" t="s">
        <v>16295</v>
      </c>
      <c r="K4875" s="1" t="s">
        <v>2362</v>
      </c>
      <c r="L4875" s="1" t="s">
        <v>3582</v>
      </c>
      <c r="M4875" s="1" t="s">
        <v>12821</v>
      </c>
      <c r="N4875" s="1" t="s">
        <v>16296</v>
      </c>
      <c r="O4875" s="1" t="s">
        <v>1010</v>
      </c>
      <c r="P4875" s="1" t="s">
        <v>401</v>
      </c>
      <c r="Q4875" s="63" t="s">
        <v>16297</v>
      </c>
      <c r="R4875" s="1" t="s">
        <v>100</v>
      </c>
      <c r="S4875" s="13" t="s">
        <v>28</v>
      </c>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c r="AQ4875" s="1"/>
      <c r="AR4875" s="1"/>
      <c r="AS4875" s="1"/>
      <c r="AT4875" s="1"/>
      <c r="AU4875" s="70"/>
      <c r="AV4875" s="70"/>
      <c r="AW4875" s="70"/>
      <c r="AX4875" s="44"/>
      <c r="AY4875" s="44"/>
      <c r="AZ4875" s="44"/>
      <c r="BA4875" s="1"/>
      <c r="BB4875" s="1"/>
      <c r="BC4875" s="1"/>
      <c r="BD4875" s="1"/>
      <c r="BE4875" s="1"/>
      <c r="BF4875" s="1"/>
      <c r="BG4875" s="1"/>
      <c r="BH4875" s="1"/>
      <c r="BI4875" s="1"/>
      <c r="BJ4875" s="1"/>
      <c r="BK4875" s="78"/>
    </row>
    <row r="4876" spans="1:63" s="11" customFormat="1" ht="12" customHeight="1" x14ac:dyDescent="0.15">
      <c r="A4876" s="1" t="s">
        <v>16313</v>
      </c>
      <c r="B4876" s="1" t="s">
        <v>15907</v>
      </c>
      <c r="C4876" s="1" t="s">
        <v>20</v>
      </c>
      <c r="D4876" s="1" t="s">
        <v>85</v>
      </c>
      <c r="E4876" s="1"/>
      <c r="F4876" s="72">
        <v>41427</v>
      </c>
      <c r="G4876" s="1" t="s">
        <v>24593</v>
      </c>
      <c r="H4876" s="1" t="s">
        <v>12702</v>
      </c>
      <c r="I4876" s="1" t="s">
        <v>94</v>
      </c>
      <c r="J4876" s="4" t="s">
        <v>12703</v>
      </c>
      <c r="K4876" s="1" t="s">
        <v>285</v>
      </c>
      <c r="L4876" s="1" t="s">
        <v>12704</v>
      </c>
      <c r="M4876" s="1" t="s">
        <v>27</v>
      </c>
      <c r="N4876" s="1" t="s">
        <v>16314</v>
      </c>
      <c r="O4876" s="1" t="s">
        <v>25470</v>
      </c>
      <c r="P4876" s="1" t="s">
        <v>401</v>
      </c>
      <c r="Q4876" s="6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4876" s="1" t="s">
        <v>100</v>
      </c>
      <c r="S4876" s="13" t="s">
        <v>28</v>
      </c>
      <c r="T4876" s="1"/>
      <c r="U4876" s="1"/>
      <c r="V4876" s="1"/>
      <c r="W4876" s="1"/>
      <c r="X4876" s="1"/>
      <c r="Y4876" s="1"/>
      <c r="Z4876" s="1"/>
      <c r="AA4876" s="1"/>
      <c r="AB4876" s="1"/>
      <c r="AC4876" s="1"/>
      <c r="AD4876" s="1"/>
      <c r="AE4876" s="1"/>
      <c r="AF4876" s="1"/>
      <c r="AG4876" s="1"/>
      <c r="AH4876" s="1"/>
      <c r="AI4876" s="1"/>
      <c r="AJ4876" s="1"/>
      <c r="AK4876" s="1"/>
      <c r="AL4876" s="1"/>
      <c r="AM4876" s="1"/>
      <c r="AN4876" s="1"/>
      <c r="AO4876" s="1"/>
      <c r="AP4876" s="1"/>
      <c r="AQ4876" s="1"/>
      <c r="AR4876" s="1"/>
      <c r="AS4876" s="1"/>
      <c r="AT4876" s="1"/>
      <c r="AU4876" s="1"/>
      <c r="AV4876" s="1"/>
      <c r="AW4876" s="1"/>
      <c r="AZ4876" s="1"/>
      <c r="BA4876" s="1"/>
      <c r="BB4876" s="1"/>
      <c r="BK4876" s="1"/>
    </row>
    <row r="4877" spans="1:63" s="11" customFormat="1" ht="12" customHeight="1" x14ac:dyDescent="0.15">
      <c r="A4877" s="1" t="s">
        <v>16327</v>
      </c>
      <c r="B4877" s="1" t="s">
        <v>13878</v>
      </c>
      <c r="C4877" s="1" t="s">
        <v>20</v>
      </c>
      <c r="D4877" s="1" t="s">
        <v>48</v>
      </c>
      <c r="E4877" s="1"/>
      <c r="F4877" s="72">
        <v>41427</v>
      </c>
      <c r="G4877" s="1" t="s">
        <v>16328</v>
      </c>
      <c r="H4877" s="1" t="s">
        <v>16329</v>
      </c>
      <c r="I4877" s="1" t="s">
        <v>45</v>
      </c>
      <c r="J4877" s="4" t="s">
        <v>16330</v>
      </c>
      <c r="K4877" s="1" t="s">
        <v>98</v>
      </c>
      <c r="L4877" s="1" t="s">
        <v>16331</v>
      </c>
      <c r="M4877" s="1" t="s">
        <v>27</v>
      </c>
      <c r="N4877" s="1" t="s">
        <v>16332</v>
      </c>
      <c r="O4877" s="1" t="s">
        <v>29</v>
      </c>
      <c r="P4877" s="1" t="s">
        <v>401</v>
      </c>
      <c r="Q4877" s="63" t="s">
        <v>16333</v>
      </c>
      <c r="R4877" s="1" t="s">
        <v>100</v>
      </c>
      <c r="S4877" s="13" t="s">
        <v>28</v>
      </c>
      <c r="T4877" s="1"/>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c r="AQ4877" s="1"/>
      <c r="AR4877" s="1"/>
      <c r="AS4877" s="1"/>
      <c r="AT4877" s="1"/>
      <c r="AU4877" s="1"/>
      <c r="AV4877" s="1"/>
      <c r="AW4877" s="1"/>
      <c r="AX4877" s="1"/>
      <c r="AY4877" s="1"/>
      <c r="AZ4877" s="1"/>
      <c r="BA4877" s="1"/>
      <c r="BB4877" s="1"/>
      <c r="BC4877" s="1"/>
      <c r="BD4877" s="1"/>
      <c r="BE4877" s="1"/>
      <c r="BF4877" s="1"/>
      <c r="BG4877" s="1"/>
      <c r="BH4877" s="1"/>
      <c r="BI4877" s="1"/>
      <c r="BJ4877" s="1"/>
      <c r="BK4877" s="1"/>
    </row>
    <row r="4878" spans="1:63" s="11" customFormat="1" ht="12" customHeight="1" x14ac:dyDescent="0.15">
      <c r="A4878" s="1" t="s">
        <v>16310</v>
      </c>
      <c r="B4878" s="1" t="s">
        <v>9368</v>
      </c>
      <c r="C4878" s="1" t="s">
        <v>114</v>
      </c>
      <c r="D4878" s="1" t="s">
        <v>85</v>
      </c>
      <c r="E4878" s="1"/>
      <c r="F4878" s="72">
        <v>41427</v>
      </c>
      <c r="G4878" s="1" t="s">
        <v>24592</v>
      </c>
      <c r="H4878" s="1" t="s">
        <v>12702</v>
      </c>
      <c r="I4878" s="1" t="s">
        <v>94</v>
      </c>
      <c r="J4878" s="4" t="s">
        <v>12703</v>
      </c>
      <c r="K4878" s="1" t="s">
        <v>285</v>
      </c>
      <c r="L4878" s="1" t="s">
        <v>12704</v>
      </c>
      <c r="M4878" s="1" t="s">
        <v>27</v>
      </c>
      <c r="N4878" s="1" t="s">
        <v>16311</v>
      </c>
      <c r="O4878" s="1" t="s">
        <v>25470</v>
      </c>
      <c r="P4878" s="1" t="s">
        <v>401</v>
      </c>
      <c r="Q4878" s="63" t="s">
        <v>16312</v>
      </c>
      <c r="R4878" s="1" t="s">
        <v>29</v>
      </c>
      <c r="S4878" s="13" t="s">
        <v>28</v>
      </c>
      <c r="T4878" s="1"/>
      <c r="U4878" s="1"/>
      <c r="V4878" s="1"/>
      <c r="W4878" s="1"/>
      <c r="X4878" s="1"/>
      <c r="Y4878" s="1"/>
      <c r="Z4878" s="1"/>
      <c r="AA4878" s="1"/>
      <c r="AB4878" s="1"/>
      <c r="AC4878" s="1"/>
      <c r="AD4878" s="1"/>
      <c r="AE4878" s="1"/>
      <c r="AF4878" s="1"/>
      <c r="AG4878" s="1"/>
      <c r="AH4878" s="1"/>
      <c r="AI4878" s="1"/>
      <c r="AJ4878" s="1"/>
      <c r="AK4878" s="1"/>
      <c r="AL4878" s="1"/>
      <c r="AM4878" s="1"/>
      <c r="AN4878" s="1"/>
      <c r="AO4878" s="1"/>
      <c r="AP4878" s="1"/>
      <c r="AQ4878" s="1"/>
      <c r="AR4878" s="1"/>
      <c r="AS4878" s="1"/>
      <c r="AT4878" s="1"/>
      <c r="AU4878" s="1"/>
      <c r="AV4878" s="1"/>
      <c r="AW4878" s="1"/>
      <c r="AZ4878" s="1"/>
      <c r="BA4878" s="1"/>
      <c r="BB4878" s="1"/>
      <c r="BK4878" s="1"/>
    </row>
    <row r="4879" spans="1:63" s="11" customFormat="1" ht="12" customHeight="1" x14ac:dyDescent="0.15">
      <c r="A4879" s="1" t="s">
        <v>16306</v>
      </c>
      <c r="B4879" s="1" t="s">
        <v>9368</v>
      </c>
      <c r="C4879" s="1" t="s">
        <v>20</v>
      </c>
      <c r="D4879" s="1" t="s">
        <v>85</v>
      </c>
      <c r="E4879" s="1" t="s">
        <v>16307</v>
      </c>
      <c r="F4879" s="72">
        <v>41427</v>
      </c>
      <c r="G4879" s="1" t="s">
        <v>24592</v>
      </c>
      <c r="H4879" s="1" t="s">
        <v>12702</v>
      </c>
      <c r="I4879" s="1" t="s">
        <v>94</v>
      </c>
      <c r="J4879" s="4" t="s">
        <v>12703</v>
      </c>
      <c r="K4879" s="1" t="s">
        <v>285</v>
      </c>
      <c r="L4879" s="1" t="s">
        <v>12704</v>
      </c>
      <c r="M4879" s="1" t="s">
        <v>27</v>
      </c>
      <c r="N4879" s="1" t="s">
        <v>16308</v>
      </c>
      <c r="O4879" s="1" t="s">
        <v>613</v>
      </c>
      <c r="P4879" s="1" t="s">
        <v>401</v>
      </c>
      <c r="Q4879" s="63" t="s">
        <v>16309</v>
      </c>
      <c r="R4879" s="1" t="s">
        <v>29</v>
      </c>
      <c r="S4879" s="13" t="s">
        <v>28</v>
      </c>
      <c r="T4879" s="1"/>
      <c r="U4879" s="1"/>
      <c r="V4879" s="1"/>
      <c r="W4879" s="1"/>
      <c r="X4879" s="1"/>
      <c r="Y4879" s="1"/>
      <c r="Z4879" s="1"/>
      <c r="AA4879" s="1"/>
      <c r="AB4879" s="1"/>
      <c r="AC4879" s="1"/>
      <c r="AD4879" s="1"/>
      <c r="AE4879" s="1"/>
      <c r="AF4879" s="1"/>
      <c r="AG4879" s="1"/>
      <c r="AH4879" s="1"/>
      <c r="AI4879" s="1"/>
      <c r="AJ4879" s="1"/>
      <c r="AK4879" s="1"/>
      <c r="AL4879" s="1"/>
      <c r="AM4879" s="1"/>
      <c r="AN4879" s="1"/>
      <c r="AO4879" s="1"/>
      <c r="AP4879" s="1"/>
      <c r="AQ4879" s="1"/>
      <c r="AR4879" s="1"/>
      <c r="AS4879" s="1"/>
      <c r="AT4879" s="1"/>
      <c r="AU4879" s="1"/>
      <c r="AV4879" s="1"/>
      <c r="AW4879" s="1"/>
      <c r="AZ4879" s="1"/>
      <c r="BA4879" s="1"/>
      <c r="BB4879" s="1"/>
      <c r="BK4879" s="1"/>
    </row>
    <row r="4880" spans="1:63" s="11" customFormat="1" ht="12" customHeight="1" x14ac:dyDescent="0.15">
      <c r="A4880" s="1" t="s">
        <v>16315</v>
      </c>
      <c r="B4880" s="1" t="s">
        <v>15659</v>
      </c>
      <c r="C4880" s="1" t="s">
        <v>20</v>
      </c>
      <c r="D4880" s="1" t="s">
        <v>85</v>
      </c>
      <c r="E4880" s="1" t="s">
        <v>16316</v>
      </c>
      <c r="F4880" s="72">
        <v>41427</v>
      </c>
      <c r="G4880" s="1" t="s">
        <v>16317</v>
      </c>
      <c r="H4880" s="1" t="s">
        <v>16318</v>
      </c>
      <c r="I4880" s="1" t="s">
        <v>217</v>
      </c>
      <c r="J4880" s="4" t="s">
        <v>16319</v>
      </c>
      <c r="K4880" s="1" t="s">
        <v>11152</v>
      </c>
      <c r="L4880" s="1" t="s">
        <v>16320</v>
      </c>
      <c r="M4880" s="1" t="s">
        <v>27</v>
      </c>
      <c r="N4880" s="1" t="s">
        <v>16321</v>
      </c>
      <c r="O4880" s="1" t="s">
        <v>550</v>
      </c>
      <c r="P4880" s="1" t="s">
        <v>401</v>
      </c>
      <c r="Q4880" s="63" t="s">
        <v>16322</v>
      </c>
      <c r="R4880" s="1" t="s">
        <v>29</v>
      </c>
      <c r="S4880" s="13" t="s">
        <v>28</v>
      </c>
      <c r="T4880" s="1"/>
      <c r="U4880" s="1"/>
      <c r="V4880" s="1"/>
      <c r="W4880" s="1"/>
      <c r="X4880" s="1"/>
      <c r="Y4880" s="1"/>
      <c r="Z4880" s="1"/>
      <c r="AA4880" s="1"/>
      <c r="AB4880" s="1"/>
      <c r="AC4880" s="1"/>
      <c r="AD4880" s="1"/>
      <c r="AE4880" s="1"/>
      <c r="AF4880" s="1"/>
      <c r="AG4880" s="1"/>
      <c r="AH4880" s="1"/>
      <c r="AI4880" s="1"/>
      <c r="AJ4880" s="1"/>
      <c r="AK4880" s="1"/>
      <c r="AL4880" s="1"/>
      <c r="AM4880" s="1"/>
      <c r="AN4880" s="1"/>
      <c r="AO4880" s="1"/>
      <c r="AP4880" s="1"/>
      <c r="AQ4880" s="1"/>
      <c r="AR4880" s="1"/>
      <c r="AS4880" s="1"/>
      <c r="AT4880" s="1"/>
      <c r="AU4880" s="1"/>
      <c r="AV4880" s="1"/>
      <c r="AW4880" s="1"/>
      <c r="AZ4880" s="1"/>
      <c r="BA4880" s="1"/>
      <c r="BB4880" s="1"/>
      <c r="BK4880" s="1"/>
    </row>
    <row r="4881" spans="1:63" s="11" customFormat="1" ht="12" customHeight="1" x14ac:dyDescent="0.15">
      <c r="A4881" s="1" t="s">
        <v>21201</v>
      </c>
      <c r="B4881" s="1" t="s">
        <v>11070</v>
      </c>
      <c r="C4881" s="1" t="s">
        <v>20</v>
      </c>
      <c r="D4881" s="1" t="s">
        <v>48</v>
      </c>
      <c r="E4881" s="1" t="s">
        <v>16323</v>
      </c>
      <c r="F4881" s="72">
        <v>41427</v>
      </c>
      <c r="G4881" s="1" t="s">
        <v>16324</v>
      </c>
      <c r="H4881" s="1" t="s">
        <v>822</v>
      </c>
      <c r="I4881" s="1" t="s">
        <v>46</v>
      </c>
      <c r="J4881" s="4" t="s">
        <v>12662</v>
      </c>
      <c r="K4881" s="1" t="s">
        <v>1699</v>
      </c>
      <c r="L4881" s="1" t="s">
        <v>3230</v>
      </c>
      <c r="M4881" s="1" t="s">
        <v>27</v>
      </c>
      <c r="N4881" s="1" t="s">
        <v>16325</v>
      </c>
      <c r="O4881" s="1" t="s">
        <v>29</v>
      </c>
      <c r="P4881" s="1" t="s">
        <v>401</v>
      </c>
      <c r="Q4881" s="63" t="s">
        <v>16326</v>
      </c>
      <c r="R4881" s="1" t="s">
        <v>29</v>
      </c>
      <c r="S4881" s="13" t="s">
        <v>28</v>
      </c>
      <c r="T4881" s="1"/>
      <c r="U4881" s="1"/>
      <c r="V4881" s="1"/>
      <c r="W4881" s="1"/>
      <c r="X4881" s="1"/>
      <c r="Y4881" s="1"/>
      <c r="Z4881" s="1"/>
      <c r="AA4881" s="1"/>
      <c r="AB4881" s="1"/>
      <c r="AC4881" s="1"/>
      <c r="AD4881" s="1"/>
      <c r="AE4881" s="1"/>
      <c r="AF4881" s="1"/>
      <c r="AG4881" s="1"/>
      <c r="AH4881" s="1"/>
      <c r="AI4881" s="1"/>
      <c r="AJ4881" s="1"/>
      <c r="AK4881" s="1"/>
      <c r="AL4881" s="1"/>
      <c r="AM4881" s="1"/>
      <c r="AN4881" s="1"/>
      <c r="AO4881" s="1"/>
      <c r="AP4881" s="1"/>
      <c r="AQ4881" s="1"/>
      <c r="AR4881" s="1"/>
      <c r="AS4881" s="1"/>
      <c r="AT4881" s="1"/>
      <c r="AU4881" s="1"/>
      <c r="AV4881" s="1"/>
      <c r="AW4881" s="1"/>
      <c r="AX4881" s="1"/>
      <c r="AY4881" s="1"/>
      <c r="AZ4881" s="1"/>
      <c r="BA4881" s="1"/>
      <c r="BB4881" s="1"/>
      <c r="BC4881" s="1"/>
      <c r="BD4881" s="1"/>
      <c r="BE4881" s="1"/>
      <c r="BF4881" s="1"/>
      <c r="BG4881" s="1"/>
      <c r="BH4881" s="1"/>
      <c r="BI4881" s="1"/>
      <c r="BJ4881" s="1"/>
      <c r="BK4881" s="1"/>
    </row>
    <row r="4882" spans="1:63" s="11" customFormat="1" ht="12" customHeight="1" x14ac:dyDescent="0.15">
      <c r="A4882" s="1" t="s">
        <v>16334</v>
      </c>
      <c r="B4882" s="1">
        <v>55</v>
      </c>
      <c r="C4882" s="1" t="s">
        <v>20</v>
      </c>
      <c r="D4882" s="1" t="s">
        <v>30</v>
      </c>
      <c r="E4882" s="1"/>
      <c r="F4882" s="72">
        <v>41427</v>
      </c>
      <c r="G4882" s="1" t="s">
        <v>16335</v>
      </c>
      <c r="H4882" s="1" t="s">
        <v>7138</v>
      </c>
      <c r="I4882" s="1" t="s">
        <v>209</v>
      </c>
      <c r="J4882" s="4" t="s">
        <v>16336</v>
      </c>
      <c r="K4882" s="1" t="s">
        <v>1778</v>
      </c>
      <c r="L4882" s="1" t="s">
        <v>7259</v>
      </c>
      <c r="M4882" s="1" t="s">
        <v>391</v>
      </c>
      <c r="N4882" s="1" t="s">
        <v>16337</v>
      </c>
      <c r="O4882" s="1" t="s">
        <v>1010</v>
      </c>
      <c r="P4882" s="1" t="s">
        <v>401</v>
      </c>
      <c r="Q4882" s="63" t="s">
        <v>16338</v>
      </c>
      <c r="R4882" s="1" t="s">
        <v>555</v>
      </c>
      <c r="S4882" s="13" t="s">
        <v>28</v>
      </c>
      <c r="T4882" s="1"/>
      <c r="U4882" s="1"/>
      <c r="V4882" s="1"/>
      <c r="W4882" s="1"/>
      <c r="X4882" s="1"/>
      <c r="Y4882" s="1"/>
      <c r="Z4882" s="1"/>
      <c r="AA4882" s="1"/>
      <c r="AB4882" s="1"/>
      <c r="AC4882" s="1"/>
      <c r="AD4882" s="1"/>
      <c r="AE4882" s="1"/>
      <c r="AF4882" s="1"/>
      <c r="AG4882" s="1"/>
      <c r="AH4882" s="1"/>
      <c r="AI4882" s="1"/>
      <c r="AJ4882" s="1"/>
      <c r="AK4882" s="1"/>
      <c r="AL4882" s="1"/>
      <c r="AM4882" s="1"/>
      <c r="AN4882" s="1"/>
      <c r="AO4882" s="1"/>
      <c r="AP4882" s="1"/>
      <c r="AQ4882" s="1"/>
      <c r="AR4882" s="1"/>
      <c r="AS4882" s="1"/>
      <c r="AT4882" s="1"/>
      <c r="AX4882" s="1"/>
      <c r="AY4882" s="1"/>
      <c r="AZ4882" s="1"/>
      <c r="BC4882" s="1"/>
      <c r="BD4882" s="1"/>
      <c r="BE4882" s="1"/>
      <c r="BF4882" s="1"/>
      <c r="BG4882" s="1"/>
      <c r="BH4882" s="1"/>
      <c r="BI4882" s="1"/>
      <c r="BJ4882" s="1"/>
      <c r="BK4882" s="1"/>
    </row>
    <row r="4883" spans="1:63" s="11" customFormat="1" ht="12" customHeight="1" x14ac:dyDescent="0.15">
      <c r="A4883" s="1" t="s">
        <v>16356</v>
      </c>
      <c r="B4883" s="1" t="s">
        <v>15934</v>
      </c>
      <c r="C4883" s="1" t="s">
        <v>20</v>
      </c>
      <c r="D4883" s="1" t="s">
        <v>37</v>
      </c>
      <c r="E4883" s="1" t="s">
        <v>16357</v>
      </c>
      <c r="F4883" s="72">
        <v>41426</v>
      </c>
      <c r="G4883" s="1" t="s">
        <v>24595</v>
      </c>
      <c r="H4883" s="1" t="s">
        <v>838</v>
      </c>
      <c r="I4883" s="1" t="s">
        <v>303</v>
      </c>
      <c r="J4883" s="4" t="s">
        <v>11641</v>
      </c>
      <c r="K4883" s="1" t="s">
        <v>838</v>
      </c>
      <c r="L4883" s="1" t="s">
        <v>11484</v>
      </c>
      <c r="M4883" s="1" t="s">
        <v>27</v>
      </c>
      <c r="N4883" s="1" t="s">
        <v>16358</v>
      </c>
      <c r="O4883" s="1" t="s">
        <v>550</v>
      </c>
      <c r="P4883" s="1" t="s">
        <v>401</v>
      </c>
      <c r="Q4883" s="63" t="s">
        <v>16359</v>
      </c>
      <c r="R4883" s="11" t="s">
        <v>964</v>
      </c>
      <c r="S4883" s="13" t="s">
        <v>28</v>
      </c>
      <c r="T4883" s="1"/>
      <c r="U4883" s="1"/>
      <c r="V4883" s="1"/>
      <c r="W4883" s="1"/>
      <c r="X4883" s="1"/>
      <c r="Y4883" s="1"/>
      <c r="Z4883" s="1"/>
      <c r="AA4883" s="1"/>
      <c r="AB4883" s="1"/>
      <c r="AC4883" s="1"/>
      <c r="AD4883" s="1"/>
      <c r="AE4883" s="1"/>
      <c r="AF4883" s="1"/>
      <c r="AG4883" s="1"/>
      <c r="AH4883" s="1"/>
      <c r="AI4883" s="1"/>
      <c r="AJ4883" s="1"/>
      <c r="AK4883" s="1"/>
      <c r="AL4883" s="1"/>
      <c r="AM4883" s="1"/>
      <c r="AN4883" s="1"/>
      <c r="AO4883" s="1"/>
      <c r="AP4883" s="1"/>
      <c r="AQ4883" s="1"/>
      <c r="AR4883" s="1"/>
      <c r="AS4883" s="1"/>
      <c r="AT4883" s="1"/>
      <c r="AU4883" s="1"/>
      <c r="AV4883" s="1"/>
      <c r="AW4883" s="1"/>
      <c r="BA4883" s="1"/>
      <c r="BB4883" s="1"/>
      <c r="BC4883" s="1"/>
      <c r="BD4883" s="1"/>
      <c r="BE4883" s="1"/>
      <c r="BF4883" s="1"/>
      <c r="BG4883" s="1"/>
      <c r="BH4883" s="1"/>
      <c r="BI4883" s="1"/>
      <c r="BJ4883" s="1"/>
      <c r="BK4883" s="1"/>
    </row>
    <row r="4884" spans="1:63" ht="12" customHeight="1" x14ac:dyDescent="0.15">
      <c r="A4884" s="1" t="s">
        <v>16345</v>
      </c>
      <c r="B4884" s="1" t="s">
        <v>8769</v>
      </c>
      <c r="C4884" s="1" t="s">
        <v>20</v>
      </c>
      <c r="D4884" s="1" t="s">
        <v>30</v>
      </c>
      <c r="F4884" s="72">
        <v>41426</v>
      </c>
      <c r="G4884" s="1" t="s">
        <v>16346</v>
      </c>
      <c r="H4884" s="1" t="s">
        <v>632</v>
      </c>
      <c r="I4884" s="1" t="s">
        <v>123</v>
      </c>
      <c r="J4884" s="4" t="s">
        <v>16347</v>
      </c>
      <c r="K4884" s="1" t="s">
        <v>633</v>
      </c>
      <c r="L4884" s="1" t="s">
        <v>634</v>
      </c>
      <c r="M4884" s="1" t="s">
        <v>27</v>
      </c>
      <c r="N4884" s="1" t="s">
        <v>16348</v>
      </c>
      <c r="O4884" s="1" t="s">
        <v>29</v>
      </c>
      <c r="P4884" s="1" t="s">
        <v>401</v>
      </c>
      <c r="Q4884" s="63" t="s">
        <v>16349</v>
      </c>
      <c r="R4884" s="1" t="s">
        <v>100</v>
      </c>
      <c r="S4884" s="13" t="s">
        <v>28</v>
      </c>
    </row>
    <row r="4885" spans="1:63" s="11" customFormat="1" ht="12" customHeight="1" x14ac:dyDescent="0.15">
      <c r="A4885" s="1" t="s">
        <v>16350</v>
      </c>
      <c r="B4885" s="1" t="s">
        <v>15841</v>
      </c>
      <c r="C4885" s="1" t="s">
        <v>20</v>
      </c>
      <c r="D4885" s="1" t="s">
        <v>37</v>
      </c>
      <c r="E4885" s="1" t="s">
        <v>16351</v>
      </c>
      <c r="F4885" s="72">
        <v>41426</v>
      </c>
      <c r="G4885" s="1" t="s">
        <v>16352</v>
      </c>
      <c r="H4885" s="1" t="s">
        <v>156</v>
      </c>
      <c r="I4885" s="1" t="s">
        <v>45</v>
      </c>
      <c r="J4885" s="4" t="s">
        <v>16353</v>
      </c>
      <c r="K4885" s="1" t="s">
        <v>156</v>
      </c>
      <c r="L4885" s="1" t="s">
        <v>157</v>
      </c>
      <c r="M4885" s="1" t="s">
        <v>27</v>
      </c>
      <c r="N4885" s="1" t="s">
        <v>16354</v>
      </c>
      <c r="O4885" s="1" t="s">
        <v>29</v>
      </c>
      <c r="P4885" s="1" t="s">
        <v>401</v>
      </c>
      <c r="Q4885" s="63" t="s">
        <v>16355</v>
      </c>
      <c r="R4885" s="1" t="s">
        <v>100</v>
      </c>
      <c r="S4885" s="13" t="s">
        <v>28</v>
      </c>
      <c r="T4885" s="1"/>
      <c r="U4885" s="1"/>
      <c r="V4885" s="1"/>
      <c r="W4885" s="1"/>
      <c r="X4885" s="1"/>
      <c r="Y4885" s="1"/>
      <c r="Z4885" s="1"/>
      <c r="AA4885" s="1"/>
      <c r="AB4885" s="1"/>
      <c r="AC4885" s="1"/>
      <c r="AD4885" s="1"/>
      <c r="AE4885" s="1"/>
      <c r="AF4885" s="1"/>
      <c r="AG4885" s="1"/>
      <c r="AH4885" s="1"/>
      <c r="AI4885" s="1"/>
      <c r="AJ4885" s="1"/>
      <c r="AK4885" s="1"/>
      <c r="AL4885" s="1"/>
      <c r="AM4885" s="1"/>
      <c r="AN4885" s="1"/>
      <c r="AO4885" s="1"/>
      <c r="AP4885" s="1"/>
      <c r="AQ4885" s="1"/>
      <c r="AR4885" s="1"/>
      <c r="AS4885" s="1"/>
      <c r="AT4885" s="1"/>
      <c r="AU4885" s="1"/>
      <c r="AV4885" s="1"/>
      <c r="AW4885" s="1"/>
      <c r="BA4885" s="1"/>
      <c r="BB4885" s="1"/>
      <c r="BC4885" s="1"/>
      <c r="BD4885" s="1"/>
      <c r="BE4885" s="1"/>
      <c r="BF4885" s="1"/>
      <c r="BG4885" s="1"/>
      <c r="BH4885" s="1"/>
      <c r="BI4885" s="1"/>
      <c r="BJ4885" s="1"/>
      <c r="BK4885" s="1"/>
    </row>
    <row r="4886" spans="1:63" s="11" customFormat="1" ht="12" customHeight="1" x14ac:dyDescent="0.15">
      <c r="A4886" s="1" t="s">
        <v>16339</v>
      </c>
      <c r="B4886" s="1">
        <v>21</v>
      </c>
      <c r="C4886" s="1" t="s">
        <v>20</v>
      </c>
      <c r="D4886" s="1" t="s">
        <v>48</v>
      </c>
      <c r="E4886" s="1"/>
      <c r="F4886" s="72">
        <v>41426</v>
      </c>
      <c r="G4886" s="1" t="s">
        <v>24594</v>
      </c>
      <c r="H4886" s="1" t="s">
        <v>16340</v>
      </c>
      <c r="I4886" s="1" t="s">
        <v>73</v>
      </c>
      <c r="J4886" s="4" t="s">
        <v>16341</v>
      </c>
      <c r="K4886" s="1" t="s">
        <v>12584</v>
      </c>
      <c r="L4886" s="1" t="s">
        <v>16342</v>
      </c>
      <c r="M4886" s="1" t="s">
        <v>27</v>
      </c>
      <c r="N4886" s="1" t="s">
        <v>16343</v>
      </c>
      <c r="O4886" s="1" t="s">
        <v>613</v>
      </c>
      <c r="P4886" s="1" t="s">
        <v>401</v>
      </c>
      <c r="Q4886" s="63" t="s">
        <v>16344</v>
      </c>
      <c r="R4886" s="1" t="s">
        <v>29</v>
      </c>
      <c r="S4886" s="13" t="s">
        <v>28</v>
      </c>
      <c r="T4886" s="1"/>
      <c r="U4886" s="1"/>
      <c r="V4886" s="1"/>
      <c r="W4886" s="1"/>
      <c r="X4886" s="1"/>
      <c r="Y4886" s="1"/>
      <c r="Z4886" s="1"/>
      <c r="AA4886" s="1"/>
      <c r="AB4886" s="1"/>
      <c r="AC4886" s="1"/>
      <c r="AD4886" s="1"/>
      <c r="AE4886" s="1"/>
      <c r="AF4886" s="1"/>
      <c r="AG4886" s="1"/>
      <c r="AH4886" s="1"/>
      <c r="AI4886" s="1"/>
      <c r="AJ4886" s="1"/>
      <c r="AK4886" s="1"/>
      <c r="AL4886" s="1"/>
      <c r="AM4886" s="1"/>
      <c r="AN4886" s="1"/>
      <c r="AO4886" s="1"/>
      <c r="AP4886" s="1"/>
      <c r="AQ4886" s="1"/>
      <c r="AR4886" s="1"/>
      <c r="AS4886" s="1"/>
      <c r="AT4886" s="1"/>
      <c r="AU4886" s="1"/>
      <c r="AV4886" s="1"/>
      <c r="AW4886" s="1"/>
      <c r="AX4886" s="1"/>
      <c r="AY4886" s="1"/>
      <c r="AZ4886" s="1"/>
      <c r="BA4886" s="1"/>
      <c r="BB4886" s="1"/>
      <c r="BC4886" s="1"/>
      <c r="BD4886" s="1"/>
      <c r="BE4886" s="1"/>
      <c r="BF4886" s="1"/>
      <c r="BG4886" s="1"/>
      <c r="BH4886" s="1"/>
      <c r="BI4886" s="1"/>
      <c r="BJ4886" s="1"/>
      <c r="BK4886" s="1"/>
    </row>
    <row r="4887" spans="1:63" s="11" customFormat="1" ht="12" customHeight="1" x14ac:dyDescent="0.15">
      <c r="A4887" s="1" t="s">
        <v>16360</v>
      </c>
      <c r="B4887" s="1">
        <v>18</v>
      </c>
      <c r="C4887" s="1" t="s">
        <v>20</v>
      </c>
      <c r="D4887" s="1" t="s">
        <v>85</v>
      </c>
      <c r="E4887" s="1"/>
      <c r="F4887" s="72">
        <v>41425</v>
      </c>
      <c r="G4887" s="1" t="s">
        <v>16361</v>
      </c>
      <c r="H4887" s="1" t="s">
        <v>6047</v>
      </c>
      <c r="I4887" s="1" t="s">
        <v>366</v>
      </c>
      <c r="J4887" s="4" t="s">
        <v>16362</v>
      </c>
      <c r="K4887" s="1" t="s">
        <v>16363</v>
      </c>
      <c r="L4887" s="1" t="s">
        <v>16364</v>
      </c>
      <c r="M4887" s="1" t="s">
        <v>379</v>
      </c>
      <c r="N4887" s="1" t="s">
        <v>16365</v>
      </c>
      <c r="O4887" s="1" t="s">
        <v>1010</v>
      </c>
      <c r="P4887" s="1" t="s">
        <v>401</v>
      </c>
      <c r="Q4887" s="63" t="s">
        <v>16366</v>
      </c>
      <c r="R4887" s="1" t="s">
        <v>100</v>
      </c>
      <c r="S4887" s="13" t="s">
        <v>28</v>
      </c>
      <c r="T4887" s="1"/>
      <c r="U4887" s="1"/>
      <c r="V4887" s="1"/>
      <c r="W4887" s="1"/>
      <c r="X4887" s="1"/>
      <c r="Y4887" s="1"/>
      <c r="Z4887" s="1"/>
      <c r="AA4887" s="1"/>
      <c r="AB4887" s="1"/>
      <c r="AC4887" s="1"/>
      <c r="AD4887" s="1"/>
      <c r="AE4887" s="1"/>
      <c r="AF4887" s="1"/>
      <c r="AG4887" s="1"/>
      <c r="AH4887" s="1"/>
      <c r="AI4887" s="1"/>
      <c r="AJ4887" s="1"/>
      <c r="AK4887" s="1"/>
      <c r="AL4887" s="1"/>
      <c r="AM4887" s="1"/>
      <c r="AN4887" s="1"/>
      <c r="AO4887" s="1"/>
      <c r="AP4887" s="1"/>
      <c r="AQ4887" s="1"/>
      <c r="AR4887" s="1"/>
      <c r="AS4887" s="1"/>
      <c r="AT4887" s="1"/>
      <c r="AU4887" s="1"/>
      <c r="AV4887" s="1"/>
      <c r="AW4887" s="1"/>
      <c r="AX4887" s="1"/>
      <c r="AY4887" s="1"/>
      <c r="AZ4887" s="1"/>
      <c r="BA4887" s="1"/>
      <c r="BB4887" s="1"/>
      <c r="BC4887" s="44"/>
      <c r="BD4887" s="44"/>
      <c r="BE4887" s="44"/>
      <c r="BF4887" s="44"/>
      <c r="BG4887" s="44"/>
      <c r="BH4887" s="44"/>
      <c r="BI4887" s="44"/>
      <c r="BJ4887" s="44"/>
      <c r="BK4887" s="1"/>
    </row>
    <row r="4888" spans="1:63" s="11" customFormat="1" ht="12" customHeight="1" x14ac:dyDescent="0.15">
      <c r="A4888" s="1" t="s">
        <v>16367</v>
      </c>
      <c r="B4888" s="1">
        <v>54</v>
      </c>
      <c r="C4888" s="1" t="s">
        <v>20</v>
      </c>
      <c r="D4888" s="1" t="s">
        <v>37</v>
      </c>
      <c r="E4888" s="1" t="s">
        <v>16368</v>
      </c>
      <c r="F4888" s="72">
        <v>41425</v>
      </c>
      <c r="G4888" s="1" t="s">
        <v>24596</v>
      </c>
      <c r="H4888" s="1" t="s">
        <v>16369</v>
      </c>
      <c r="I4888" s="1" t="s">
        <v>366</v>
      </c>
      <c r="J4888" s="4" t="s">
        <v>16370</v>
      </c>
      <c r="K4888" s="1" t="s">
        <v>13226</v>
      </c>
      <c r="L4888" s="1" t="s">
        <v>16371</v>
      </c>
      <c r="M4888" s="1" t="s">
        <v>27</v>
      </c>
      <c r="N4888" s="1" t="s">
        <v>16372</v>
      </c>
      <c r="O4888" s="1" t="s">
        <v>550</v>
      </c>
      <c r="P4888" s="1" t="s">
        <v>401</v>
      </c>
      <c r="Q4888" s="63" t="s">
        <v>16373</v>
      </c>
      <c r="R4888" s="1" t="s">
        <v>555</v>
      </c>
      <c r="S4888" s="13" t="s">
        <v>28</v>
      </c>
      <c r="T4888" s="1"/>
      <c r="U4888" s="1"/>
      <c r="V4888" s="1"/>
      <c r="W4888" s="1"/>
      <c r="X4888" s="1"/>
      <c r="Y4888" s="1"/>
      <c r="Z4888" s="1"/>
      <c r="AA4888" s="1"/>
      <c r="AB4888" s="1"/>
      <c r="AC4888" s="1"/>
      <c r="AD4888" s="1"/>
      <c r="AE4888" s="1"/>
      <c r="AF4888" s="1"/>
      <c r="AG4888" s="1"/>
      <c r="AH4888" s="1"/>
      <c r="AI4888" s="1"/>
      <c r="AJ4888" s="1"/>
      <c r="AK4888" s="1"/>
      <c r="AL4888" s="1"/>
      <c r="AM4888" s="1"/>
      <c r="AN4888" s="1"/>
      <c r="AO4888" s="1"/>
      <c r="AP4888" s="1"/>
      <c r="AQ4888" s="1"/>
      <c r="AR4888" s="1"/>
      <c r="AS4888" s="1"/>
      <c r="AT4888" s="1"/>
      <c r="AU4888" s="1"/>
      <c r="AV4888" s="1"/>
      <c r="AW4888" s="1"/>
      <c r="BA4888" s="44"/>
      <c r="BB4888" s="44"/>
      <c r="BC4888" s="1"/>
      <c r="BD4888" s="1"/>
      <c r="BE4888" s="1"/>
      <c r="BF4888" s="1"/>
      <c r="BG4888" s="1"/>
      <c r="BH4888" s="1"/>
      <c r="BI4888" s="1"/>
      <c r="BJ4888" s="1"/>
      <c r="BK4888" s="1"/>
    </row>
    <row r="4889" spans="1:63" s="11" customFormat="1" ht="12" customHeight="1" x14ac:dyDescent="0.15">
      <c r="A4889" s="1" t="s">
        <v>16386</v>
      </c>
      <c r="B4889" s="1">
        <v>24</v>
      </c>
      <c r="C4889" s="1" t="s">
        <v>20</v>
      </c>
      <c r="D4889" s="1" t="s">
        <v>48</v>
      </c>
      <c r="E4889" s="1" t="s">
        <v>16387</v>
      </c>
      <c r="F4889" s="72">
        <v>41424</v>
      </c>
      <c r="G4889" s="1" t="s">
        <v>16388</v>
      </c>
      <c r="H4889" s="1" t="s">
        <v>1428</v>
      </c>
      <c r="I4889" s="1" t="s">
        <v>123</v>
      </c>
      <c r="J4889" s="4" t="s">
        <v>16389</v>
      </c>
      <c r="K4889" s="1" t="s">
        <v>633</v>
      </c>
      <c r="L4889" s="11" t="s">
        <v>5634</v>
      </c>
      <c r="M4889" s="1" t="s">
        <v>391</v>
      </c>
      <c r="N4889" s="1" t="s">
        <v>16390</v>
      </c>
      <c r="O4889" s="1" t="s">
        <v>400</v>
      </c>
      <c r="P4889" s="1" t="s">
        <v>401</v>
      </c>
      <c r="Q4889" s="63" t="s">
        <v>16391</v>
      </c>
      <c r="R4889" s="11" t="s">
        <v>964</v>
      </c>
      <c r="S4889" s="13" t="s">
        <v>28</v>
      </c>
      <c r="T4889" s="1"/>
      <c r="U4889" s="1"/>
      <c r="V4889" s="1"/>
      <c r="W4889" s="1"/>
      <c r="X4889" s="1"/>
      <c r="Y4889" s="1"/>
      <c r="Z4889" s="1"/>
      <c r="AA4889" s="1"/>
      <c r="AB4889" s="1"/>
      <c r="AC4889" s="1"/>
      <c r="AD4889" s="1"/>
      <c r="AE4889" s="1"/>
      <c r="AF4889" s="1"/>
      <c r="AG4889" s="1"/>
      <c r="AH4889" s="1"/>
      <c r="AI4889" s="1"/>
      <c r="AJ4889" s="1"/>
      <c r="AK4889" s="1"/>
      <c r="AL4889" s="1"/>
      <c r="AM4889" s="1"/>
      <c r="AN4889" s="1"/>
      <c r="AO4889" s="1"/>
      <c r="AP4889" s="1"/>
      <c r="AQ4889" s="1"/>
      <c r="AR4889" s="1"/>
      <c r="AS4889" s="1"/>
      <c r="AT4889" s="1"/>
      <c r="AX4889" s="1"/>
      <c r="AY4889" s="1"/>
      <c r="AZ4889" s="1"/>
      <c r="BA4889" s="1"/>
      <c r="BB4889" s="1"/>
      <c r="BC4889" s="1"/>
      <c r="BD4889" s="1"/>
      <c r="BE4889" s="1"/>
      <c r="BF4889" s="1"/>
      <c r="BG4889" s="1"/>
      <c r="BH4889" s="1"/>
      <c r="BI4889" s="1"/>
      <c r="BJ4889" s="1"/>
      <c r="BK4889" s="1"/>
    </row>
    <row r="4890" spans="1:63" s="11" customFormat="1" ht="12" customHeight="1" x14ac:dyDescent="0.15">
      <c r="A4890" s="1" t="s">
        <v>16382</v>
      </c>
      <c r="B4890" s="1" t="s">
        <v>8769</v>
      </c>
      <c r="C4890" s="1" t="s">
        <v>20</v>
      </c>
      <c r="D4890" s="1" t="s">
        <v>48</v>
      </c>
      <c r="E4890" s="1"/>
      <c r="F4890" s="72">
        <v>41424</v>
      </c>
      <c r="G4890" s="1" t="s">
        <v>24597</v>
      </c>
      <c r="H4890" s="1" t="s">
        <v>3690</v>
      </c>
      <c r="I4890" s="1" t="s">
        <v>45</v>
      </c>
      <c r="J4890" s="4" t="s">
        <v>16383</v>
      </c>
      <c r="K4890" s="1" t="s">
        <v>1061</v>
      </c>
      <c r="L4890" s="1" t="s">
        <v>3692</v>
      </c>
      <c r="M4890" s="1" t="s">
        <v>27</v>
      </c>
      <c r="N4890" s="1" t="s">
        <v>16384</v>
      </c>
      <c r="O4890" s="1" t="s">
        <v>29</v>
      </c>
      <c r="P4890" s="1" t="s">
        <v>401</v>
      </c>
      <c r="Q4890" s="63" t="s">
        <v>16385</v>
      </c>
      <c r="R4890" s="1" t="s">
        <v>100</v>
      </c>
      <c r="S4890" s="13" t="s">
        <v>28</v>
      </c>
      <c r="T4890" s="1"/>
      <c r="U4890" s="1"/>
      <c r="V4890" s="1"/>
      <c r="W4890" s="1"/>
      <c r="X4890" s="1"/>
      <c r="Y4890" s="1"/>
      <c r="Z4890" s="1"/>
      <c r="AA4890" s="1"/>
      <c r="AB4890" s="1"/>
      <c r="AC4890" s="1"/>
      <c r="AD4890" s="1"/>
      <c r="AE4890" s="1"/>
      <c r="AF4890" s="1"/>
      <c r="AG4890" s="1"/>
      <c r="AH4890" s="1"/>
      <c r="AI4890" s="1"/>
      <c r="AJ4890" s="1"/>
      <c r="AK4890" s="1"/>
      <c r="AL4890" s="1"/>
      <c r="AM4890" s="1"/>
      <c r="AN4890" s="1"/>
      <c r="AO4890" s="1"/>
      <c r="AP4890" s="1"/>
      <c r="AQ4890" s="1"/>
      <c r="AR4890" s="1"/>
      <c r="AS4890" s="1"/>
      <c r="AT4890" s="1"/>
      <c r="AU4890" s="1"/>
      <c r="AV4890" s="1"/>
      <c r="AW4890" s="1"/>
      <c r="AX4890" s="1"/>
      <c r="AY4890" s="1"/>
      <c r="AZ4890" s="1"/>
      <c r="BA4890" s="1"/>
      <c r="BB4890" s="1"/>
      <c r="BC4890" s="1"/>
      <c r="BD4890" s="1"/>
      <c r="BE4890" s="1"/>
      <c r="BF4890" s="1"/>
      <c r="BG4890" s="1"/>
      <c r="BH4890" s="1"/>
      <c r="BI4890" s="1"/>
      <c r="BJ4890" s="1"/>
      <c r="BK4890" s="1"/>
    </row>
    <row r="4891" spans="1:63" s="11" customFormat="1" ht="12" customHeight="1" x14ac:dyDescent="0.15">
      <c r="A4891" s="1" t="s">
        <v>16392</v>
      </c>
      <c r="B4891" s="1" t="s">
        <v>15659</v>
      </c>
      <c r="C4891" s="1" t="s">
        <v>20</v>
      </c>
      <c r="D4891" s="1" t="s">
        <v>37</v>
      </c>
      <c r="E4891" s="1" t="s">
        <v>16393</v>
      </c>
      <c r="F4891" s="72">
        <v>41424</v>
      </c>
      <c r="G4891" s="1" t="s">
        <v>16394</v>
      </c>
      <c r="H4891" s="1" t="s">
        <v>3690</v>
      </c>
      <c r="I4891" s="1" t="s">
        <v>45</v>
      </c>
      <c r="J4891" s="4" t="s">
        <v>16383</v>
      </c>
      <c r="K4891" s="1" t="s">
        <v>1061</v>
      </c>
      <c r="L4891" s="1" t="s">
        <v>3692</v>
      </c>
      <c r="M4891" s="1" t="s">
        <v>379</v>
      </c>
      <c r="N4891" s="1" t="s">
        <v>16395</v>
      </c>
      <c r="O4891" s="1" t="s">
        <v>550</v>
      </c>
      <c r="P4891" s="1" t="s">
        <v>401</v>
      </c>
      <c r="Q4891" s="63" t="s">
        <v>16396</v>
      </c>
      <c r="R4891" s="1" t="s">
        <v>100</v>
      </c>
      <c r="S4891" s="13" t="s">
        <v>28</v>
      </c>
      <c r="T4891" s="1"/>
      <c r="U4891" s="1"/>
      <c r="V4891" s="1"/>
      <c r="W4891" s="1"/>
      <c r="X4891" s="1"/>
      <c r="Y4891" s="1"/>
      <c r="Z4891" s="1"/>
      <c r="AA4891" s="1"/>
      <c r="AB4891" s="1"/>
      <c r="AC4891" s="1"/>
      <c r="AD4891" s="1"/>
      <c r="AE4891" s="1"/>
      <c r="AF4891" s="1"/>
      <c r="AG4891" s="1"/>
      <c r="AH4891" s="1"/>
      <c r="AI4891" s="1"/>
      <c r="AJ4891" s="1"/>
      <c r="AK4891" s="1"/>
      <c r="AL4891" s="1"/>
      <c r="AM4891" s="1"/>
      <c r="AN4891" s="1"/>
      <c r="AO4891" s="1"/>
      <c r="AP4891" s="1"/>
      <c r="AQ4891" s="1"/>
      <c r="AR4891" s="1"/>
      <c r="AS4891" s="1"/>
      <c r="AT4891" s="1"/>
      <c r="AU4891" s="1"/>
      <c r="AV4891" s="1"/>
      <c r="AW4891" s="1"/>
      <c r="AX4891" s="1"/>
      <c r="AY4891" s="1"/>
      <c r="AZ4891" s="1"/>
      <c r="BA4891" s="1"/>
      <c r="BB4891" s="1"/>
      <c r="BC4891" s="1"/>
      <c r="BD4891" s="1"/>
      <c r="BE4891" s="1"/>
      <c r="BF4891" s="1"/>
      <c r="BG4891" s="1"/>
      <c r="BH4891" s="1"/>
      <c r="BI4891" s="1"/>
      <c r="BJ4891" s="1"/>
      <c r="BK4891" s="1"/>
    </row>
    <row r="4892" spans="1:63" s="11" customFormat="1" ht="12" customHeight="1" x14ac:dyDescent="0.2">
      <c r="A4892" s="1" t="s">
        <v>16374</v>
      </c>
      <c r="B4892" s="1" t="s">
        <v>11070</v>
      </c>
      <c r="C4892" s="1" t="s">
        <v>114</v>
      </c>
      <c r="D4892" s="1" t="s">
        <v>21</v>
      </c>
      <c r="E4892" s="1" t="s">
        <v>16375</v>
      </c>
      <c r="F4892" s="72">
        <v>41424</v>
      </c>
      <c r="G4892" s="1" t="s">
        <v>16376</v>
      </c>
      <c r="H4892" s="1" t="s">
        <v>16377</v>
      </c>
      <c r="I4892" s="1" t="s">
        <v>244</v>
      </c>
      <c r="J4892" s="4" t="s">
        <v>16378</v>
      </c>
      <c r="K4892" s="1" t="s">
        <v>9634</v>
      </c>
      <c r="L4892" s="1" t="s">
        <v>16379</v>
      </c>
      <c r="M4892" s="1" t="s">
        <v>27</v>
      </c>
      <c r="N4892" s="1" t="s">
        <v>16380</v>
      </c>
      <c r="O4892" s="1" t="s">
        <v>550</v>
      </c>
      <c r="P4892" s="1" t="s">
        <v>401</v>
      </c>
      <c r="Q4892" s="63" t="s">
        <v>16381</v>
      </c>
      <c r="R4892" s="1" t="s">
        <v>555</v>
      </c>
      <c r="S4892" s="13" t="s">
        <v>28</v>
      </c>
      <c r="T4892" s="1"/>
      <c r="U4892" s="1"/>
      <c r="V4892" s="1"/>
      <c r="W4892" s="1"/>
      <c r="X4892" s="1"/>
      <c r="Y4892" s="1"/>
      <c r="Z4892" s="1"/>
      <c r="AA4892" s="1"/>
      <c r="AB4892" s="1"/>
      <c r="AC4892" s="1"/>
      <c r="AD4892" s="1"/>
      <c r="AE4892" s="1"/>
      <c r="AF4892" s="1"/>
      <c r="AG4892" s="1"/>
      <c r="AH4892" s="1"/>
      <c r="AI4892" s="1"/>
      <c r="AJ4892" s="1"/>
      <c r="AK4892" s="1"/>
      <c r="AL4892" s="1"/>
      <c r="AM4892" s="1"/>
      <c r="AN4892" s="1"/>
      <c r="AO4892" s="1"/>
      <c r="AP4892" s="1"/>
      <c r="AQ4892" s="1"/>
      <c r="AR4892" s="1"/>
      <c r="AS4892" s="1"/>
      <c r="AT4892" s="1"/>
      <c r="AU4892" s="1"/>
      <c r="AV4892" s="1"/>
      <c r="AW4892" s="1"/>
      <c r="AX4892" s="70"/>
      <c r="AY4892" s="70"/>
      <c r="AZ4892" s="1"/>
      <c r="BA4892" s="1"/>
      <c r="BB4892" s="1"/>
      <c r="BC4892" s="70"/>
      <c r="BD4892" s="70"/>
      <c r="BE4892" s="70"/>
      <c r="BF4892" s="70"/>
      <c r="BG4892" s="70"/>
      <c r="BH4892" s="70"/>
      <c r="BI4892" s="70"/>
      <c r="BJ4892" s="70"/>
      <c r="BK4892" s="1"/>
    </row>
    <row r="4893" spans="1:63" s="11" customFormat="1" ht="12" customHeight="1" x14ac:dyDescent="0.15">
      <c r="A4893" s="1" t="s">
        <v>16402</v>
      </c>
      <c r="B4893" s="1">
        <v>22</v>
      </c>
      <c r="C4893" s="1" t="s">
        <v>20</v>
      </c>
      <c r="D4893" s="1" t="s">
        <v>85</v>
      </c>
      <c r="E4893" s="1" t="s">
        <v>16403</v>
      </c>
      <c r="F4893" s="72">
        <v>41423</v>
      </c>
      <c r="G4893" s="1" t="s">
        <v>24598</v>
      </c>
      <c r="H4893" s="1" t="s">
        <v>601</v>
      </c>
      <c r="I4893" s="1" t="s">
        <v>45</v>
      </c>
      <c r="J4893" s="4" t="s">
        <v>16404</v>
      </c>
      <c r="K4893" s="1" t="s">
        <v>602</v>
      </c>
      <c r="L4893" s="1" t="s">
        <v>603</v>
      </c>
      <c r="M4893" s="1" t="s">
        <v>27</v>
      </c>
      <c r="N4893" s="1" t="s">
        <v>16405</v>
      </c>
      <c r="O4893" s="1" t="s">
        <v>1010</v>
      </c>
      <c r="P4893" s="1" t="s">
        <v>401</v>
      </c>
      <c r="Q4893" s="63" t="s">
        <v>16406</v>
      </c>
      <c r="R4893" s="1" t="s">
        <v>100</v>
      </c>
      <c r="S4893" s="13" t="s">
        <v>28</v>
      </c>
      <c r="T4893" s="1"/>
      <c r="U4893" s="1"/>
      <c r="V4893" s="1"/>
      <c r="W4893" s="1"/>
      <c r="X4893" s="1"/>
      <c r="Y4893" s="1"/>
      <c r="Z4893" s="1"/>
      <c r="AA4893" s="1"/>
      <c r="AB4893" s="1"/>
      <c r="AC4893" s="1"/>
      <c r="AD4893" s="1"/>
      <c r="AE4893" s="1"/>
      <c r="AF4893" s="1"/>
      <c r="AG4893" s="1"/>
      <c r="AH4893" s="1"/>
      <c r="AI4893" s="1"/>
      <c r="AJ4893" s="1"/>
      <c r="AK4893" s="1"/>
      <c r="AL4893" s="1"/>
      <c r="AM4893" s="1"/>
      <c r="AN4893" s="1"/>
      <c r="AO4893" s="1"/>
      <c r="AP4893" s="1"/>
      <c r="AQ4893" s="1"/>
      <c r="AR4893" s="1"/>
      <c r="AS4893" s="1"/>
      <c r="AT4893" s="1"/>
      <c r="AU4893" s="1"/>
      <c r="AV4893" s="1"/>
      <c r="AW4893" s="1"/>
      <c r="AZ4893" s="1"/>
      <c r="BA4893" s="1"/>
      <c r="BB4893" s="1"/>
      <c r="BC4893" s="44"/>
      <c r="BD4893" s="44"/>
      <c r="BE4893" s="44"/>
      <c r="BF4893" s="44"/>
      <c r="BG4893" s="44"/>
      <c r="BH4893" s="44"/>
      <c r="BI4893" s="44"/>
      <c r="BJ4893" s="44"/>
      <c r="BK4893" s="1"/>
    </row>
    <row r="4894" spans="1:63" s="44" customFormat="1" ht="12" customHeight="1" x14ac:dyDescent="0.15">
      <c r="A4894" s="1" t="s">
        <v>16397</v>
      </c>
      <c r="B4894" s="1">
        <v>34</v>
      </c>
      <c r="C4894" s="1" t="s">
        <v>20</v>
      </c>
      <c r="D4894" s="1" t="s">
        <v>85</v>
      </c>
      <c r="E4894" s="1" t="s">
        <v>16398</v>
      </c>
      <c r="F4894" s="72">
        <v>41423</v>
      </c>
      <c r="G4894" s="1" t="s">
        <v>16399</v>
      </c>
      <c r="H4894" s="1" t="s">
        <v>118</v>
      </c>
      <c r="I4894" s="1" t="s">
        <v>3664</v>
      </c>
      <c r="J4894" s="4" t="s">
        <v>6858</v>
      </c>
      <c r="K4894" s="1" t="s">
        <v>3666</v>
      </c>
      <c r="L4894" s="1" t="s">
        <v>19405</v>
      </c>
      <c r="M4894" s="1" t="s">
        <v>27</v>
      </c>
      <c r="N4894" s="1" t="s">
        <v>16400</v>
      </c>
      <c r="O4894" s="1" t="s">
        <v>1010</v>
      </c>
      <c r="P4894" s="1" t="s">
        <v>401</v>
      </c>
      <c r="Q4894" s="63" t="s">
        <v>16401</v>
      </c>
      <c r="R4894" s="1" t="s">
        <v>100</v>
      </c>
      <c r="S4894" s="13" t="s">
        <v>28</v>
      </c>
      <c r="T4894" s="1"/>
      <c r="U4894" s="1"/>
      <c r="V4894" s="1"/>
      <c r="W4894" s="1"/>
      <c r="X4894" s="1"/>
      <c r="Y4894" s="1"/>
      <c r="Z4894" s="1"/>
      <c r="AA4894" s="1"/>
      <c r="AB4894" s="1"/>
      <c r="AC4894" s="1"/>
      <c r="AD4894" s="1"/>
      <c r="AE4894" s="1"/>
      <c r="AF4894" s="1"/>
      <c r="AG4894" s="1"/>
      <c r="AH4894" s="1"/>
      <c r="AI4894" s="1"/>
      <c r="AJ4894" s="1"/>
      <c r="AK4894" s="1"/>
      <c r="AL4894" s="1"/>
      <c r="AM4894" s="1"/>
      <c r="AN4894" s="1"/>
      <c r="AO4894" s="1"/>
      <c r="AP4894" s="1"/>
      <c r="AQ4894" s="1"/>
      <c r="AR4894" s="1"/>
      <c r="AS4894" s="1"/>
      <c r="AT4894" s="1"/>
      <c r="AU4894" s="1"/>
      <c r="AV4894" s="1"/>
      <c r="AW4894" s="1"/>
      <c r="AX4894" s="11"/>
      <c r="AY4894" s="11"/>
      <c r="AZ4894" s="1"/>
      <c r="BA4894" s="1"/>
      <c r="BB4894" s="1"/>
      <c r="BK4894" s="1"/>
    </row>
    <row r="4895" spans="1:63" s="11" customFormat="1" ht="12" customHeight="1" x14ac:dyDescent="0.15">
      <c r="A4895" s="1" t="s">
        <v>16407</v>
      </c>
      <c r="B4895" s="1" t="s">
        <v>15717</v>
      </c>
      <c r="C4895" s="1" t="s">
        <v>20</v>
      </c>
      <c r="D4895" s="1" t="s">
        <v>85</v>
      </c>
      <c r="E4895" s="1"/>
      <c r="F4895" s="72">
        <v>41423</v>
      </c>
      <c r="G4895" s="1" t="s">
        <v>16408</v>
      </c>
      <c r="H4895" s="1" t="s">
        <v>1100</v>
      </c>
      <c r="I4895" s="1" t="s">
        <v>404</v>
      </c>
      <c r="J4895" s="4" t="s">
        <v>16409</v>
      </c>
      <c r="K4895" s="1" t="s">
        <v>1100</v>
      </c>
      <c r="L4895" s="1" t="s">
        <v>1101</v>
      </c>
      <c r="M4895" s="1" t="s">
        <v>27</v>
      </c>
      <c r="N4895" s="1" t="s">
        <v>16410</v>
      </c>
      <c r="O4895" s="1" t="s">
        <v>29</v>
      </c>
      <c r="P4895" s="1" t="s">
        <v>401</v>
      </c>
      <c r="Q4895" s="63" t="s">
        <v>16411</v>
      </c>
      <c r="R4895" s="1" t="s">
        <v>100</v>
      </c>
      <c r="S4895" s="13" t="s">
        <v>28</v>
      </c>
      <c r="T4895" s="1"/>
      <c r="U4895" s="1"/>
      <c r="V4895" s="1"/>
      <c r="W4895" s="1"/>
      <c r="X4895" s="1"/>
      <c r="Y4895" s="1"/>
      <c r="Z4895" s="1"/>
      <c r="AA4895" s="1"/>
      <c r="AB4895" s="1"/>
      <c r="AC4895" s="1"/>
      <c r="AD4895" s="1"/>
      <c r="AE4895" s="1"/>
      <c r="AF4895" s="1"/>
      <c r="AG4895" s="1"/>
      <c r="AH4895" s="1"/>
      <c r="AI4895" s="1"/>
      <c r="AJ4895" s="1"/>
      <c r="AK4895" s="1"/>
      <c r="AL4895" s="1"/>
      <c r="AM4895" s="1"/>
      <c r="AN4895" s="1"/>
      <c r="AO4895" s="1"/>
      <c r="AP4895" s="1"/>
      <c r="AQ4895" s="1"/>
      <c r="AR4895" s="1"/>
      <c r="AS4895" s="1"/>
      <c r="AT4895" s="1"/>
      <c r="AU4895" s="1"/>
      <c r="AV4895" s="1"/>
      <c r="AW4895" s="1"/>
      <c r="AZ4895" s="1"/>
      <c r="BA4895" s="1"/>
      <c r="BB4895" s="1"/>
      <c r="BC4895" s="44"/>
      <c r="BD4895" s="44"/>
      <c r="BE4895" s="44"/>
      <c r="BF4895" s="44"/>
      <c r="BG4895" s="44"/>
      <c r="BH4895" s="44"/>
      <c r="BI4895" s="44"/>
      <c r="BJ4895" s="44"/>
      <c r="BK4895" s="1"/>
    </row>
    <row r="4896" spans="1:63" s="11" customFormat="1" ht="12" customHeight="1" x14ac:dyDescent="0.15">
      <c r="A4896" s="1" t="s">
        <v>16420</v>
      </c>
      <c r="B4896" s="1">
        <v>48</v>
      </c>
      <c r="C4896" s="1" t="s">
        <v>20</v>
      </c>
      <c r="D4896" s="1" t="s">
        <v>30</v>
      </c>
      <c r="E4896" s="1"/>
      <c r="F4896" s="72">
        <v>41423</v>
      </c>
      <c r="G4896" s="1" t="s">
        <v>16421</v>
      </c>
      <c r="H4896" s="1" t="s">
        <v>16422</v>
      </c>
      <c r="I4896" s="1" t="s">
        <v>46</v>
      </c>
      <c r="J4896" s="4" t="s">
        <v>16423</v>
      </c>
      <c r="K4896" s="1" t="s">
        <v>1699</v>
      </c>
      <c r="L4896" s="1" t="s">
        <v>16424</v>
      </c>
      <c r="M4896" s="1" t="s">
        <v>14359</v>
      </c>
      <c r="N4896" s="1" t="s">
        <v>16425</v>
      </c>
      <c r="O4896" s="1" t="s">
        <v>1010</v>
      </c>
      <c r="P4896" s="1" t="s">
        <v>401</v>
      </c>
      <c r="Q4896" s="63" t="s">
        <v>16426</v>
      </c>
      <c r="R4896" s="1" t="s">
        <v>29</v>
      </c>
      <c r="S4896" s="13" t="s">
        <v>28</v>
      </c>
      <c r="T4896" s="1"/>
      <c r="U4896" s="1"/>
      <c r="V4896" s="1"/>
      <c r="W4896" s="1"/>
      <c r="X4896" s="1"/>
      <c r="Y4896" s="1"/>
      <c r="Z4896" s="1"/>
      <c r="AA4896" s="1"/>
      <c r="AB4896" s="1"/>
      <c r="AC4896" s="1"/>
      <c r="AD4896" s="1"/>
      <c r="AE4896" s="1"/>
      <c r="AF4896" s="1"/>
      <c r="AG4896" s="1"/>
      <c r="AH4896" s="1"/>
      <c r="AI4896" s="1"/>
      <c r="AJ4896" s="1"/>
      <c r="AK4896" s="1"/>
      <c r="AL4896" s="1"/>
      <c r="AM4896" s="1"/>
      <c r="AN4896" s="1"/>
      <c r="AO4896" s="1"/>
      <c r="AP4896" s="1"/>
      <c r="AQ4896" s="1"/>
      <c r="AR4896" s="1"/>
      <c r="AS4896" s="1"/>
      <c r="AT4896" s="1"/>
      <c r="AU4896" s="1"/>
      <c r="AV4896" s="1"/>
      <c r="AW4896" s="1"/>
      <c r="AX4896" s="1"/>
      <c r="AY4896" s="1"/>
      <c r="AZ4896" s="1"/>
      <c r="BA4896" s="1"/>
      <c r="BB4896" s="1"/>
      <c r="BC4896" s="1"/>
      <c r="BD4896" s="1"/>
      <c r="BE4896" s="1"/>
      <c r="BF4896" s="1"/>
      <c r="BG4896" s="1"/>
      <c r="BH4896" s="1"/>
      <c r="BI4896" s="1"/>
      <c r="BJ4896" s="1"/>
      <c r="BK4896" s="1"/>
    </row>
    <row r="4897" spans="1:63" s="11" customFormat="1" ht="12" customHeight="1" x14ac:dyDescent="0.15">
      <c r="A4897" s="1" t="s">
        <v>16412</v>
      </c>
      <c r="B4897" s="1" t="s">
        <v>15264</v>
      </c>
      <c r="C4897" s="1" t="s">
        <v>20</v>
      </c>
      <c r="D4897" s="1" t="s">
        <v>30</v>
      </c>
      <c r="E4897" s="1"/>
      <c r="F4897" s="72">
        <v>41423</v>
      </c>
      <c r="G4897" s="1" t="s">
        <v>16413</v>
      </c>
      <c r="H4897" s="1" t="s">
        <v>16414</v>
      </c>
      <c r="I4897" s="1" t="s">
        <v>854</v>
      </c>
      <c r="J4897" s="4" t="s">
        <v>16415</v>
      </c>
      <c r="K4897" s="1" t="s">
        <v>16416</v>
      </c>
      <c r="L4897" s="1" t="s">
        <v>16417</v>
      </c>
      <c r="M4897" s="1" t="s">
        <v>27</v>
      </c>
      <c r="N4897" s="1" t="s">
        <v>16418</v>
      </c>
      <c r="O4897" s="1" t="s">
        <v>550</v>
      </c>
      <c r="P4897" s="1" t="s">
        <v>401</v>
      </c>
      <c r="Q4897" s="63" t="s">
        <v>16419</v>
      </c>
      <c r="R4897" s="1" t="s">
        <v>555</v>
      </c>
      <c r="S4897" s="13" t="s">
        <v>28</v>
      </c>
      <c r="T4897" s="1"/>
      <c r="U4897" s="1"/>
      <c r="V4897" s="1"/>
      <c r="W4897" s="1"/>
      <c r="X4897" s="1"/>
      <c r="Y4897" s="1"/>
      <c r="Z4897" s="1"/>
      <c r="AA4897" s="1"/>
      <c r="AB4897" s="1"/>
      <c r="AC4897" s="1"/>
      <c r="AD4897" s="1"/>
      <c r="AE4897" s="1"/>
      <c r="AF4897" s="1"/>
      <c r="AG4897" s="1"/>
      <c r="AH4897" s="1"/>
      <c r="AI4897" s="1"/>
      <c r="AJ4897" s="1"/>
      <c r="AK4897" s="1"/>
      <c r="AL4897" s="1"/>
      <c r="AM4897" s="1"/>
      <c r="AN4897" s="1"/>
      <c r="AO4897" s="1"/>
      <c r="AP4897" s="1"/>
      <c r="AQ4897" s="1"/>
      <c r="AR4897" s="1"/>
      <c r="AS4897" s="1"/>
      <c r="AT4897" s="1"/>
      <c r="AU4897" s="1"/>
      <c r="AV4897" s="1"/>
      <c r="AW4897" s="1"/>
      <c r="AX4897" s="1"/>
      <c r="AY4897" s="1"/>
      <c r="AZ4897" s="1"/>
      <c r="BC4897" s="1"/>
      <c r="BD4897" s="1"/>
      <c r="BE4897" s="1"/>
      <c r="BF4897" s="1"/>
      <c r="BG4897" s="1"/>
      <c r="BH4897" s="1"/>
      <c r="BI4897" s="1"/>
      <c r="BJ4897" s="1"/>
      <c r="BK4897" s="1"/>
    </row>
    <row r="4898" spans="1:63" s="11" customFormat="1" ht="12" customHeight="1" x14ac:dyDescent="0.15">
      <c r="A4898" s="1" t="s">
        <v>16427</v>
      </c>
      <c r="B4898" s="1">
        <v>37</v>
      </c>
      <c r="C4898" s="1" t="s">
        <v>114</v>
      </c>
      <c r="D4898" s="1" t="s">
        <v>37</v>
      </c>
      <c r="E4898" s="1" t="s">
        <v>16428</v>
      </c>
      <c r="F4898" s="72">
        <v>41422</v>
      </c>
      <c r="G4898" s="1" t="s">
        <v>16429</v>
      </c>
      <c r="H4898" s="1" t="s">
        <v>16430</v>
      </c>
      <c r="I4898" s="1" t="s">
        <v>319</v>
      </c>
      <c r="J4898" s="4" t="s">
        <v>16431</v>
      </c>
      <c r="K4898" s="1" t="s">
        <v>3152</v>
      </c>
      <c r="L4898" s="1" t="s">
        <v>6495</v>
      </c>
      <c r="M4898" s="1" t="s">
        <v>27</v>
      </c>
      <c r="N4898" s="1" t="s">
        <v>16432</v>
      </c>
      <c r="O4898" s="1" t="s">
        <v>550</v>
      </c>
      <c r="P4898" s="1" t="s">
        <v>401</v>
      </c>
      <c r="Q4898" s="63" t="s">
        <v>16433</v>
      </c>
      <c r="R4898" s="1" t="s">
        <v>100</v>
      </c>
      <c r="S4898" s="13" t="s">
        <v>28</v>
      </c>
      <c r="T4898" s="1"/>
      <c r="U4898" s="1"/>
      <c r="V4898" s="1"/>
      <c r="W4898" s="1"/>
      <c r="X4898" s="1"/>
      <c r="Y4898" s="1"/>
      <c r="Z4898" s="1"/>
      <c r="AA4898" s="1"/>
      <c r="AB4898" s="1"/>
      <c r="AC4898" s="1"/>
      <c r="AD4898" s="1"/>
      <c r="AE4898" s="1"/>
      <c r="AF4898" s="1"/>
      <c r="AG4898" s="1"/>
      <c r="AH4898" s="1"/>
      <c r="AI4898" s="1"/>
      <c r="AJ4898" s="1"/>
      <c r="AK4898" s="1"/>
      <c r="AL4898" s="1"/>
      <c r="AM4898" s="1"/>
      <c r="AN4898" s="1"/>
      <c r="AO4898" s="1"/>
      <c r="AP4898" s="1"/>
      <c r="AQ4898" s="1"/>
      <c r="AR4898" s="1"/>
      <c r="AS4898" s="1"/>
      <c r="AT4898" s="1"/>
      <c r="AU4898" s="1"/>
      <c r="AV4898" s="1"/>
      <c r="AW4898" s="1"/>
      <c r="BA4898" s="1"/>
      <c r="BB4898" s="1"/>
      <c r="BC4898" s="1"/>
      <c r="BD4898" s="1"/>
      <c r="BE4898" s="1"/>
      <c r="BF4898" s="1"/>
      <c r="BG4898" s="1"/>
      <c r="BH4898" s="1"/>
      <c r="BI4898" s="1"/>
      <c r="BJ4898" s="1"/>
      <c r="BK4898" s="1"/>
    </row>
    <row r="4899" spans="1:63" s="11" customFormat="1" ht="12" customHeight="1" x14ac:dyDescent="0.15">
      <c r="A4899" s="1" t="s">
        <v>16434</v>
      </c>
      <c r="B4899" s="1">
        <v>72</v>
      </c>
      <c r="C4899" s="1" t="s">
        <v>20</v>
      </c>
      <c r="D4899" s="1" t="s">
        <v>37</v>
      </c>
      <c r="E4899" s="1" t="s">
        <v>16435</v>
      </c>
      <c r="F4899" s="72">
        <v>41422</v>
      </c>
      <c r="G4899" s="1" t="s">
        <v>16436</v>
      </c>
      <c r="H4899" s="1" t="s">
        <v>926</v>
      </c>
      <c r="I4899" s="1" t="s">
        <v>73</v>
      </c>
      <c r="J4899" s="4" t="s">
        <v>6752</v>
      </c>
      <c r="K4899" s="1" t="s">
        <v>74</v>
      </c>
      <c r="L4899" s="1" t="s">
        <v>927</v>
      </c>
      <c r="M4899" s="1" t="s">
        <v>27</v>
      </c>
      <c r="N4899" s="1" t="s">
        <v>16437</v>
      </c>
      <c r="O4899" s="1" t="s">
        <v>550</v>
      </c>
      <c r="P4899" s="1" t="s">
        <v>401</v>
      </c>
      <c r="Q4899" s="63" t="s">
        <v>16438</v>
      </c>
      <c r="R4899" s="1" t="s">
        <v>100</v>
      </c>
      <c r="S4899" s="13" t="s">
        <v>28</v>
      </c>
      <c r="T4899" s="1"/>
      <c r="U4899" s="1"/>
      <c r="V4899" s="1"/>
      <c r="W4899" s="1"/>
      <c r="X4899" s="1"/>
      <c r="Y4899" s="1"/>
      <c r="Z4899" s="1"/>
      <c r="AA4899" s="1"/>
      <c r="AB4899" s="1"/>
      <c r="AC4899" s="1"/>
      <c r="AD4899" s="1"/>
      <c r="AE4899" s="1"/>
      <c r="AF4899" s="1"/>
      <c r="AG4899" s="1"/>
      <c r="AH4899" s="1"/>
      <c r="AI4899" s="1"/>
      <c r="AJ4899" s="1"/>
      <c r="AK4899" s="1"/>
      <c r="AL4899" s="1"/>
      <c r="AM4899" s="1"/>
      <c r="AN4899" s="1"/>
      <c r="AO4899" s="1"/>
      <c r="AP4899" s="1"/>
      <c r="AQ4899" s="1"/>
      <c r="AR4899" s="1"/>
      <c r="AS4899" s="1"/>
      <c r="AT4899" s="1"/>
      <c r="AU4899" s="1"/>
      <c r="AV4899" s="1"/>
      <c r="AW4899" s="1"/>
      <c r="BA4899" s="1"/>
      <c r="BB4899" s="1"/>
      <c r="BC4899" s="1"/>
      <c r="BD4899" s="1"/>
      <c r="BE4899" s="1"/>
      <c r="BF4899" s="1"/>
      <c r="BG4899" s="1"/>
      <c r="BH4899" s="1"/>
      <c r="BI4899" s="1"/>
      <c r="BJ4899" s="1"/>
      <c r="BK4899" s="1"/>
    </row>
    <row r="4900" spans="1:63" s="11" customFormat="1" ht="12" customHeight="1" x14ac:dyDescent="0.15">
      <c r="A4900" s="1" t="s">
        <v>16439</v>
      </c>
      <c r="B4900" s="1" t="s">
        <v>13656</v>
      </c>
      <c r="C4900" s="1" t="s">
        <v>20</v>
      </c>
      <c r="D4900" s="1" t="s">
        <v>85</v>
      </c>
      <c r="E4900" s="1" t="s">
        <v>16440</v>
      </c>
      <c r="F4900" s="72">
        <v>41421</v>
      </c>
      <c r="G4900" s="1" t="s">
        <v>24599</v>
      </c>
      <c r="H4900" s="1" t="s">
        <v>709</v>
      </c>
      <c r="I4900" s="1" t="s">
        <v>431</v>
      </c>
      <c r="J4900" s="4" t="s">
        <v>5392</v>
      </c>
      <c r="K4900" s="1" t="s">
        <v>709</v>
      </c>
      <c r="L4900" s="1" t="s">
        <v>16441</v>
      </c>
      <c r="M4900" s="1" t="s">
        <v>27</v>
      </c>
      <c r="N4900" s="1" t="s">
        <v>16442</v>
      </c>
      <c r="O4900" s="1" t="s">
        <v>30996</v>
      </c>
      <c r="P4900" s="1" t="s">
        <v>20489</v>
      </c>
      <c r="Q4900" s="63" t="s">
        <v>16443</v>
      </c>
      <c r="R4900" s="1" t="s">
        <v>100</v>
      </c>
      <c r="S4900" s="13" t="s">
        <v>28</v>
      </c>
      <c r="T4900" s="1"/>
      <c r="U4900" s="1"/>
      <c r="V4900" s="1"/>
      <c r="W4900" s="1"/>
      <c r="X4900" s="1"/>
      <c r="Y4900" s="1"/>
      <c r="Z4900" s="1"/>
      <c r="AA4900" s="1"/>
      <c r="AB4900" s="1"/>
      <c r="AC4900" s="1"/>
      <c r="AD4900" s="1"/>
      <c r="AE4900" s="1"/>
      <c r="AF4900" s="1"/>
      <c r="AG4900" s="1"/>
      <c r="AH4900" s="1"/>
      <c r="AI4900" s="1"/>
      <c r="AJ4900" s="1"/>
      <c r="AK4900" s="1"/>
      <c r="AL4900" s="1"/>
      <c r="AM4900" s="1"/>
      <c r="AN4900" s="1"/>
      <c r="AO4900" s="1"/>
      <c r="AP4900" s="1"/>
      <c r="AQ4900" s="1"/>
      <c r="AR4900" s="1"/>
      <c r="AS4900" s="1"/>
      <c r="AT4900" s="1"/>
      <c r="AU4900" s="1"/>
      <c r="AV4900" s="1"/>
      <c r="AW4900" s="1"/>
      <c r="AZ4900" s="1"/>
      <c r="BA4900" s="1"/>
      <c r="BB4900" s="1"/>
      <c r="BC4900" s="44"/>
      <c r="BD4900" s="44"/>
      <c r="BE4900" s="44"/>
      <c r="BF4900" s="44"/>
      <c r="BG4900" s="44"/>
      <c r="BH4900" s="44"/>
      <c r="BI4900" s="44"/>
      <c r="BJ4900" s="44"/>
      <c r="BK4900" s="1"/>
    </row>
    <row r="4901" spans="1:63" s="11" customFormat="1" ht="12" customHeight="1" x14ac:dyDescent="0.15">
      <c r="A4901" s="1" t="s">
        <v>16444</v>
      </c>
      <c r="B4901" s="1" t="s">
        <v>15955</v>
      </c>
      <c r="C4901" s="1" t="s">
        <v>20</v>
      </c>
      <c r="D4901" s="1" t="s">
        <v>48</v>
      </c>
      <c r="E4901" s="1" t="s">
        <v>16445</v>
      </c>
      <c r="F4901" s="72">
        <v>41420</v>
      </c>
      <c r="G4901" s="1" t="s">
        <v>16446</v>
      </c>
      <c r="H4901" s="1" t="s">
        <v>16447</v>
      </c>
      <c r="I4901" s="1" t="s">
        <v>73</v>
      </c>
      <c r="J4901" s="4" t="s">
        <v>16448</v>
      </c>
      <c r="K4901" s="1" t="s">
        <v>16449</v>
      </c>
      <c r="L4901" s="1" t="s">
        <v>16450</v>
      </c>
      <c r="M4901" s="1" t="s">
        <v>27</v>
      </c>
      <c r="N4901" s="1" t="s">
        <v>16451</v>
      </c>
      <c r="O4901" s="1" t="s">
        <v>29</v>
      </c>
      <c r="P4901" s="1" t="s">
        <v>401</v>
      </c>
      <c r="Q4901" s="63" t="s">
        <v>16452</v>
      </c>
      <c r="R4901" s="1" t="s">
        <v>100</v>
      </c>
      <c r="S4901" s="13" t="s">
        <v>28</v>
      </c>
      <c r="T4901" s="1"/>
      <c r="U4901" s="1"/>
      <c r="V4901" s="1"/>
      <c r="W4901" s="1"/>
      <c r="X4901" s="1"/>
      <c r="Y4901" s="1"/>
      <c r="Z4901" s="1"/>
      <c r="AA4901" s="1"/>
      <c r="AB4901" s="1"/>
      <c r="AC4901" s="1"/>
      <c r="AD4901" s="1"/>
      <c r="AE4901" s="1"/>
      <c r="AF4901" s="1"/>
      <c r="AG4901" s="1"/>
      <c r="AH4901" s="1"/>
      <c r="AI4901" s="1"/>
      <c r="AJ4901" s="1"/>
      <c r="AK4901" s="1"/>
      <c r="AL4901" s="1"/>
      <c r="AM4901" s="1"/>
      <c r="AN4901" s="1"/>
      <c r="AO4901" s="1"/>
      <c r="AP4901" s="1"/>
      <c r="AQ4901" s="1"/>
      <c r="AR4901" s="1"/>
      <c r="AS4901" s="1"/>
      <c r="AT4901" s="1"/>
      <c r="AU4901" s="1"/>
      <c r="AV4901" s="1"/>
      <c r="AW4901" s="1"/>
      <c r="AX4901" s="1"/>
      <c r="AY4901" s="1"/>
      <c r="AZ4901" s="1"/>
      <c r="BA4901" s="1"/>
      <c r="BB4901" s="1"/>
      <c r="BC4901" s="1"/>
      <c r="BD4901" s="1"/>
      <c r="BE4901" s="1"/>
      <c r="BF4901" s="1"/>
      <c r="BG4901" s="1"/>
      <c r="BH4901" s="1"/>
      <c r="BI4901" s="1"/>
      <c r="BJ4901" s="1"/>
      <c r="BK4901" s="1"/>
    </row>
    <row r="4902" spans="1:63" s="44" customFormat="1" ht="12" customHeight="1" x14ac:dyDescent="0.15">
      <c r="A4902" s="1" t="s">
        <v>16461</v>
      </c>
      <c r="B4902" s="1" t="s">
        <v>11691</v>
      </c>
      <c r="C4902" s="1" t="s">
        <v>20</v>
      </c>
      <c r="D4902" s="1" t="s">
        <v>37</v>
      </c>
      <c r="E4902" s="1"/>
      <c r="F4902" s="72">
        <v>41420</v>
      </c>
      <c r="G4902" s="1" t="s">
        <v>24600</v>
      </c>
      <c r="H4902" s="1" t="s">
        <v>16462</v>
      </c>
      <c r="I4902" s="1" t="s">
        <v>209</v>
      </c>
      <c r="J4902" s="4" t="s">
        <v>16463</v>
      </c>
      <c r="K4902" s="1" t="s">
        <v>16464</v>
      </c>
      <c r="L4902" s="1" t="s">
        <v>16465</v>
      </c>
      <c r="M4902" s="1" t="s">
        <v>27</v>
      </c>
      <c r="N4902" s="1" t="s">
        <v>16466</v>
      </c>
      <c r="O4902" s="1" t="s">
        <v>550</v>
      </c>
      <c r="P4902" s="1" t="s">
        <v>401</v>
      </c>
      <c r="Q4902" s="63" t="s">
        <v>16467</v>
      </c>
      <c r="R4902" s="1" t="s">
        <v>100</v>
      </c>
      <c r="S4902" s="13" t="s">
        <v>28</v>
      </c>
      <c r="T4902" s="1"/>
      <c r="U4902" s="1"/>
      <c r="V4902" s="1"/>
      <c r="W4902" s="1"/>
      <c r="X4902" s="1"/>
      <c r="Y4902" s="1"/>
      <c r="Z4902" s="1"/>
      <c r="AA4902" s="1"/>
      <c r="AB4902" s="1"/>
      <c r="AC4902" s="1"/>
      <c r="AD4902" s="1"/>
      <c r="AE4902" s="1"/>
      <c r="AF4902" s="1"/>
      <c r="AG4902" s="1"/>
      <c r="AH4902" s="1"/>
      <c r="AI4902" s="1"/>
      <c r="AJ4902" s="1"/>
      <c r="AK4902" s="1"/>
      <c r="AL4902" s="1"/>
      <c r="AM4902" s="1"/>
      <c r="AN4902" s="1"/>
      <c r="AO4902" s="1"/>
      <c r="AP4902" s="1"/>
      <c r="AQ4902" s="1"/>
      <c r="AR4902" s="1"/>
      <c r="AS4902" s="1"/>
      <c r="AT4902" s="1"/>
      <c r="AU4902" s="1"/>
      <c r="AV4902" s="1"/>
      <c r="AW4902" s="1"/>
      <c r="AX4902" s="11"/>
      <c r="AY4902" s="11"/>
      <c r="AZ4902" s="11"/>
      <c r="BA4902" s="1"/>
      <c r="BB4902" s="1"/>
      <c r="BC4902" s="1"/>
      <c r="BD4902" s="1"/>
      <c r="BE4902" s="1"/>
      <c r="BF4902" s="1"/>
      <c r="BG4902" s="1"/>
      <c r="BH4902" s="1"/>
      <c r="BI4902" s="1"/>
      <c r="BJ4902" s="1"/>
      <c r="BK4902" s="1"/>
    </row>
    <row r="4903" spans="1:63" s="11" customFormat="1" ht="12" customHeight="1" x14ac:dyDescent="0.15">
      <c r="A4903" s="1" t="s">
        <v>16468</v>
      </c>
      <c r="B4903" s="1" t="s">
        <v>13656</v>
      </c>
      <c r="C4903" s="1" t="s">
        <v>20</v>
      </c>
      <c r="D4903" s="1" t="s">
        <v>37</v>
      </c>
      <c r="E4903" s="1" t="s">
        <v>16469</v>
      </c>
      <c r="F4903" s="72">
        <v>41420</v>
      </c>
      <c r="G4903" s="1" t="s">
        <v>16470</v>
      </c>
      <c r="H4903" s="1" t="s">
        <v>16471</v>
      </c>
      <c r="I4903" s="1" t="s">
        <v>404</v>
      </c>
      <c r="J4903" s="4" t="s">
        <v>16472</v>
      </c>
      <c r="K4903" s="1" t="s">
        <v>906</v>
      </c>
      <c r="L4903" s="1" t="s">
        <v>16473</v>
      </c>
      <c r="M4903" s="1" t="s">
        <v>27</v>
      </c>
      <c r="N4903" s="1" t="s">
        <v>16474</v>
      </c>
      <c r="O4903" s="1" t="s">
        <v>29</v>
      </c>
      <c r="P4903" s="1" t="s">
        <v>401</v>
      </c>
      <c r="Q4903" s="63" t="s">
        <v>16475</v>
      </c>
      <c r="R4903" s="1" t="s">
        <v>100</v>
      </c>
      <c r="S4903" s="13" t="s">
        <v>28</v>
      </c>
      <c r="T4903" s="1"/>
      <c r="U4903" s="1"/>
      <c r="V4903" s="1"/>
      <c r="W4903" s="1"/>
      <c r="X4903" s="1"/>
      <c r="Y4903" s="1"/>
      <c r="Z4903" s="1"/>
      <c r="AA4903" s="1"/>
      <c r="AB4903" s="1"/>
      <c r="AC4903" s="1"/>
      <c r="AD4903" s="1"/>
      <c r="AE4903" s="1"/>
      <c r="AF4903" s="1"/>
      <c r="AG4903" s="1"/>
      <c r="AH4903" s="1"/>
      <c r="AI4903" s="1"/>
      <c r="AJ4903" s="1"/>
      <c r="AK4903" s="1"/>
      <c r="AL4903" s="1"/>
      <c r="AM4903" s="1"/>
      <c r="AN4903" s="1"/>
      <c r="AO4903" s="1"/>
      <c r="AP4903" s="1"/>
      <c r="AQ4903" s="1"/>
      <c r="AR4903" s="1"/>
      <c r="AS4903" s="1"/>
      <c r="AT4903" s="1"/>
      <c r="AU4903" s="1"/>
      <c r="AV4903" s="1"/>
      <c r="AW4903" s="1"/>
      <c r="BA4903" s="1"/>
      <c r="BB4903" s="1"/>
      <c r="BC4903" s="1"/>
      <c r="BD4903" s="1"/>
      <c r="BE4903" s="1"/>
      <c r="BF4903" s="1"/>
      <c r="BG4903" s="1"/>
      <c r="BH4903" s="1"/>
      <c r="BI4903" s="1"/>
      <c r="BJ4903" s="1"/>
      <c r="BK4903" s="1"/>
    </row>
    <row r="4904" spans="1:63" s="11" customFormat="1" ht="12" customHeight="1" x14ac:dyDescent="0.15">
      <c r="A4904" s="1" t="s">
        <v>16453</v>
      </c>
      <c r="B4904" s="1" t="s">
        <v>15934</v>
      </c>
      <c r="C4904" s="1" t="s">
        <v>20</v>
      </c>
      <c r="D4904" s="1" t="s">
        <v>48</v>
      </c>
      <c r="E4904" s="1" t="s">
        <v>16454</v>
      </c>
      <c r="F4904" s="72">
        <v>41420</v>
      </c>
      <c r="G4904" s="1" t="s">
        <v>16455</v>
      </c>
      <c r="H4904" s="1" t="s">
        <v>16456</v>
      </c>
      <c r="I4904" s="1" t="s">
        <v>423</v>
      </c>
      <c r="J4904" s="4" t="s">
        <v>16457</v>
      </c>
      <c r="K4904" s="1" t="s">
        <v>581</v>
      </c>
      <c r="L4904" s="1" t="s">
        <v>16458</v>
      </c>
      <c r="M4904" s="1" t="s">
        <v>27</v>
      </c>
      <c r="N4904" s="1" t="s">
        <v>16459</v>
      </c>
      <c r="O4904" s="1" t="s">
        <v>550</v>
      </c>
      <c r="P4904" s="1" t="s">
        <v>401</v>
      </c>
      <c r="Q4904" s="63" t="s">
        <v>16460</v>
      </c>
      <c r="R4904" s="1" t="s">
        <v>555</v>
      </c>
      <c r="S4904" s="13" t="s">
        <v>28</v>
      </c>
      <c r="T4904" s="1"/>
      <c r="U4904" s="1"/>
      <c r="V4904" s="1"/>
      <c r="W4904" s="1"/>
      <c r="X4904" s="1"/>
      <c r="Y4904" s="1"/>
      <c r="Z4904" s="1"/>
      <c r="AA4904" s="1"/>
      <c r="AB4904" s="1"/>
      <c r="AC4904" s="1"/>
      <c r="AD4904" s="1"/>
      <c r="AE4904" s="1"/>
      <c r="AF4904" s="1"/>
      <c r="AG4904" s="1"/>
      <c r="AH4904" s="1"/>
      <c r="AI4904" s="1"/>
      <c r="AJ4904" s="1"/>
      <c r="AK4904" s="1"/>
      <c r="AL4904" s="1"/>
      <c r="AM4904" s="1"/>
      <c r="AN4904" s="1"/>
      <c r="AO4904" s="1"/>
      <c r="AP4904" s="1"/>
      <c r="AQ4904" s="1"/>
      <c r="AR4904" s="1"/>
      <c r="AS4904" s="1"/>
      <c r="AT4904" s="1"/>
      <c r="AU4904" s="1"/>
      <c r="AV4904" s="1"/>
      <c r="AW4904" s="1"/>
      <c r="AX4904" s="1"/>
      <c r="AY4904" s="1"/>
      <c r="AZ4904" s="1"/>
      <c r="BC4904" s="1"/>
      <c r="BD4904" s="1"/>
      <c r="BE4904" s="1"/>
      <c r="BF4904" s="1"/>
      <c r="BG4904" s="1"/>
      <c r="BH4904" s="1"/>
      <c r="BI4904" s="1"/>
      <c r="BJ4904" s="1"/>
      <c r="BK4904" s="1"/>
    </row>
    <row r="4905" spans="1:63" s="11" customFormat="1" ht="12" customHeight="1" x14ac:dyDescent="0.15">
      <c r="A4905" s="1" t="s">
        <v>16482</v>
      </c>
      <c r="B4905" s="1" t="s">
        <v>8769</v>
      </c>
      <c r="C4905" s="1" t="s">
        <v>20</v>
      </c>
      <c r="D4905" s="1" t="s">
        <v>85</v>
      </c>
      <c r="E4905" s="1" t="s">
        <v>16483</v>
      </c>
      <c r="F4905" s="72">
        <v>41419</v>
      </c>
      <c r="G4905" s="1" t="s">
        <v>16484</v>
      </c>
      <c r="H4905" s="1" t="s">
        <v>16485</v>
      </c>
      <c r="I4905" s="1" t="s">
        <v>57</v>
      </c>
      <c r="J4905" s="4" t="s">
        <v>8508</v>
      </c>
      <c r="K4905" s="1" t="s">
        <v>8509</v>
      </c>
      <c r="L4905" s="1" t="s">
        <v>3953</v>
      </c>
      <c r="M4905" s="1" t="s">
        <v>27</v>
      </c>
      <c r="N4905" s="1" t="s">
        <v>16486</v>
      </c>
      <c r="O4905" s="1" t="s">
        <v>550</v>
      </c>
      <c r="P4905" s="1" t="s">
        <v>401</v>
      </c>
      <c r="Q4905" s="63" t="s">
        <v>16487</v>
      </c>
      <c r="R4905" s="1" t="s">
        <v>100</v>
      </c>
      <c r="S4905" s="13" t="s">
        <v>28</v>
      </c>
      <c r="T4905" s="1"/>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c r="AQ4905" s="1"/>
      <c r="AR4905" s="1"/>
      <c r="AS4905" s="1"/>
      <c r="AT4905" s="1"/>
      <c r="AU4905" s="1"/>
      <c r="AV4905" s="1"/>
      <c r="AW4905" s="1"/>
      <c r="AZ4905" s="1"/>
      <c r="BA4905" s="1"/>
      <c r="BB4905" s="1"/>
      <c r="BC4905" s="44"/>
      <c r="BD4905" s="44"/>
      <c r="BE4905" s="44"/>
      <c r="BF4905" s="44"/>
      <c r="BG4905" s="44"/>
      <c r="BH4905" s="44"/>
      <c r="BI4905" s="44"/>
      <c r="BJ4905" s="44"/>
      <c r="BK4905" s="1"/>
    </row>
    <row r="4906" spans="1:63" s="11" customFormat="1" ht="12" customHeight="1" x14ac:dyDescent="0.15">
      <c r="A4906" s="1" t="s">
        <v>3252</v>
      </c>
      <c r="B4906" s="1">
        <v>25</v>
      </c>
      <c r="C4906" s="1" t="s">
        <v>20</v>
      </c>
      <c r="D4906" s="1" t="s">
        <v>30</v>
      </c>
      <c r="E4906" s="1"/>
      <c r="F4906" s="72">
        <v>41419</v>
      </c>
      <c r="G4906" s="1" t="s">
        <v>24601</v>
      </c>
      <c r="H4906" s="1" t="s">
        <v>489</v>
      </c>
      <c r="I4906" s="1" t="s">
        <v>45</v>
      </c>
      <c r="J4906" s="4" t="s">
        <v>16488</v>
      </c>
      <c r="K4906" s="1" t="s">
        <v>98</v>
      </c>
      <c r="L4906" s="1" t="s">
        <v>490</v>
      </c>
      <c r="M4906" s="1" t="s">
        <v>14359</v>
      </c>
      <c r="N4906" s="1" t="s">
        <v>16489</v>
      </c>
      <c r="O4906" s="1" t="s">
        <v>1010</v>
      </c>
      <c r="P4906" s="1" t="s">
        <v>401</v>
      </c>
      <c r="Q4906" s="63" t="s">
        <v>16490</v>
      </c>
      <c r="R4906" s="1" t="s">
        <v>100</v>
      </c>
      <c r="S4906" s="13" t="s">
        <v>28</v>
      </c>
      <c r="T4906" s="1"/>
      <c r="U4906" s="1"/>
      <c r="V4906" s="1"/>
      <c r="W4906" s="1"/>
      <c r="X4906" s="1"/>
      <c r="Y4906" s="1"/>
      <c r="Z4906" s="1"/>
      <c r="AA4906" s="1"/>
      <c r="AB4906" s="1"/>
      <c r="AC4906" s="1"/>
      <c r="AD4906" s="1"/>
      <c r="AE4906" s="1"/>
      <c r="AF4906" s="1"/>
      <c r="AG4906" s="1"/>
      <c r="AH4906" s="1"/>
      <c r="AI4906" s="1"/>
      <c r="AJ4906" s="1"/>
      <c r="AK4906" s="1"/>
      <c r="AL4906" s="1"/>
      <c r="AM4906" s="1"/>
      <c r="AN4906" s="1"/>
      <c r="AO4906" s="1"/>
      <c r="AP4906" s="1"/>
      <c r="AQ4906" s="1"/>
      <c r="AR4906" s="1"/>
      <c r="AS4906" s="1"/>
      <c r="AT4906" s="1"/>
      <c r="AU4906" s="1"/>
      <c r="AV4906" s="1"/>
      <c r="AW4906" s="1"/>
      <c r="AX4906" s="1"/>
      <c r="AY4906" s="1"/>
      <c r="AZ4906" s="1"/>
      <c r="BA4906" s="1"/>
      <c r="BB4906" s="1"/>
      <c r="BC4906" s="1"/>
      <c r="BD4906" s="1"/>
      <c r="BE4906" s="1"/>
      <c r="BF4906" s="1"/>
      <c r="BG4906" s="1"/>
      <c r="BH4906" s="1"/>
      <c r="BI4906" s="1"/>
      <c r="BJ4906" s="1"/>
      <c r="BK4906" s="1"/>
    </row>
    <row r="4907" spans="1:63" s="11" customFormat="1" ht="12" customHeight="1" x14ac:dyDescent="0.15">
      <c r="A4907" s="1" t="s">
        <v>16476</v>
      </c>
      <c r="B4907" s="1" t="s">
        <v>15841</v>
      </c>
      <c r="C4907" s="1" t="s">
        <v>20</v>
      </c>
      <c r="D4907" s="1" t="s">
        <v>85</v>
      </c>
      <c r="E4907" s="1" t="s">
        <v>16477</v>
      </c>
      <c r="F4907" s="72">
        <v>41419</v>
      </c>
      <c r="G4907" s="1" t="s">
        <v>16478</v>
      </c>
      <c r="H4907" s="1" t="s">
        <v>51</v>
      </c>
      <c r="I4907" s="1" t="s">
        <v>32</v>
      </c>
      <c r="J4907" s="4" t="s">
        <v>16479</v>
      </c>
      <c r="K4907" s="1" t="s">
        <v>2589</v>
      </c>
      <c r="L4907" s="1" t="s">
        <v>1840</v>
      </c>
      <c r="M4907" s="1" t="s">
        <v>27</v>
      </c>
      <c r="N4907" s="1" t="s">
        <v>16480</v>
      </c>
      <c r="O4907" s="1" t="s">
        <v>550</v>
      </c>
      <c r="P4907" s="1" t="s">
        <v>401</v>
      </c>
      <c r="Q4907" s="63" t="s">
        <v>16481</v>
      </c>
      <c r="R4907" s="1" t="s">
        <v>29</v>
      </c>
      <c r="S4907" s="13" t="s">
        <v>28</v>
      </c>
      <c r="T4907" s="44"/>
      <c r="U4907" s="1"/>
      <c r="V4907" s="1"/>
      <c r="W4907" s="1"/>
      <c r="X4907" s="1"/>
      <c r="Y4907" s="1"/>
      <c r="Z4907" s="1"/>
      <c r="AA4907" s="1"/>
      <c r="AB4907" s="1"/>
      <c r="AC4907" s="1"/>
      <c r="AD4907" s="1"/>
      <c r="AE4907" s="1"/>
      <c r="AF4907" s="1"/>
      <c r="AG4907" s="1"/>
      <c r="AH4907" s="1"/>
      <c r="AI4907" s="1"/>
      <c r="AJ4907" s="1"/>
      <c r="AK4907" s="1"/>
      <c r="AL4907" s="1"/>
      <c r="AM4907" s="1"/>
      <c r="AN4907" s="1"/>
      <c r="AO4907" s="1"/>
      <c r="AP4907" s="1"/>
      <c r="AQ4907" s="1"/>
      <c r="AR4907" s="1"/>
      <c r="AS4907" s="1"/>
      <c r="AT4907" s="1"/>
      <c r="AU4907" s="1"/>
      <c r="AV4907" s="1"/>
      <c r="AW4907" s="1"/>
      <c r="AZ4907" s="1"/>
      <c r="BA4907" s="1"/>
      <c r="BB4907" s="1"/>
      <c r="BC4907" s="44"/>
      <c r="BD4907" s="44"/>
      <c r="BE4907" s="44"/>
      <c r="BF4907" s="44"/>
      <c r="BG4907" s="44"/>
      <c r="BH4907" s="44"/>
      <c r="BI4907" s="44"/>
      <c r="BJ4907" s="44"/>
      <c r="BK4907" s="1"/>
    </row>
    <row r="4908" spans="1:63" s="11" customFormat="1" ht="12" customHeight="1" x14ac:dyDescent="0.15">
      <c r="A4908" s="1" t="s">
        <v>3252</v>
      </c>
      <c r="B4908" s="1">
        <v>23</v>
      </c>
      <c r="C4908" s="1" t="s">
        <v>20</v>
      </c>
      <c r="D4908" s="1" t="s">
        <v>30</v>
      </c>
      <c r="E4908" s="1"/>
      <c r="F4908" s="72">
        <v>41419</v>
      </c>
      <c r="G4908" s="1" t="s">
        <v>16491</v>
      </c>
      <c r="H4908" s="1" t="s">
        <v>1100</v>
      </c>
      <c r="I4908" s="1" t="s">
        <v>404</v>
      </c>
      <c r="J4908" s="4" t="s">
        <v>11755</v>
      </c>
      <c r="K4908" s="1" t="s">
        <v>1100</v>
      </c>
      <c r="L4908" s="1" t="s">
        <v>1101</v>
      </c>
      <c r="M4908" s="1" t="s">
        <v>27</v>
      </c>
      <c r="N4908" s="1" t="s">
        <v>16492</v>
      </c>
      <c r="O4908" s="1" t="s">
        <v>400</v>
      </c>
      <c r="P4908" s="1" t="s">
        <v>401</v>
      </c>
      <c r="Q4908" s="63" t="s">
        <v>16493</v>
      </c>
      <c r="R4908" s="1" t="s">
        <v>29</v>
      </c>
      <c r="S4908" s="13" t="s">
        <v>28</v>
      </c>
      <c r="T4908" s="1"/>
      <c r="U4908" s="1"/>
      <c r="V4908" s="1"/>
      <c r="W4908" s="1"/>
      <c r="X4908" s="1"/>
      <c r="Y4908" s="1"/>
      <c r="Z4908" s="1"/>
      <c r="AA4908" s="1"/>
      <c r="AB4908" s="1"/>
      <c r="AC4908" s="1"/>
      <c r="AD4908" s="1"/>
      <c r="AE4908" s="1"/>
      <c r="AF4908" s="1"/>
      <c r="AG4908" s="1"/>
      <c r="AH4908" s="1"/>
      <c r="AI4908" s="1"/>
      <c r="AJ4908" s="1"/>
      <c r="AK4908" s="1"/>
      <c r="AL4908" s="1"/>
      <c r="AM4908" s="1"/>
      <c r="AN4908" s="1"/>
      <c r="AO4908" s="1"/>
      <c r="AP4908" s="1"/>
      <c r="AQ4908" s="1"/>
      <c r="AR4908" s="1"/>
      <c r="AS4908" s="1"/>
      <c r="AT4908" s="1"/>
      <c r="AU4908" s="1"/>
      <c r="AV4908" s="1"/>
      <c r="AW4908" s="1"/>
      <c r="AX4908" s="1"/>
      <c r="AY4908" s="1"/>
      <c r="AZ4908" s="1"/>
      <c r="BA4908" s="1"/>
      <c r="BB4908" s="1"/>
      <c r="BC4908" s="1"/>
      <c r="BD4908" s="1"/>
      <c r="BE4908" s="1"/>
      <c r="BF4908" s="1"/>
      <c r="BG4908" s="1"/>
      <c r="BH4908" s="1"/>
      <c r="BI4908" s="1"/>
      <c r="BJ4908" s="1"/>
      <c r="BK4908" s="1"/>
    </row>
    <row r="4909" spans="1:63" s="11" customFormat="1" ht="12" customHeight="1" x14ac:dyDescent="0.2">
      <c r="A4909" s="1" t="s">
        <v>16494</v>
      </c>
      <c r="B4909" s="1">
        <v>42</v>
      </c>
      <c r="C4909" s="1" t="s">
        <v>20</v>
      </c>
      <c r="D4909" s="1" t="s">
        <v>37</v>
      </c>
      <c r="E4909" s="1" t="s">
        <v>16495</v>
      </c>
      <c r="F4909" s="72">
        <v>41419</v>
      </c>
      <c r="G4909" s="1" t="s">
        <v>24602</v>
      </c>
      <c r="H4909" s="1" t="s">
        <v>1642</v>
      </c>
      <c r="I4909" s="1" t="s">
        <v>45</v>
      </c>
      <c r="J4909" s="4" t="s">
        <v>16496</v>
      </c>
      <c r="K4909" s="1" t="s">
        <v>1642</v>
      </c>
      <c r="L4909" s="1" t="s">
        <v>2323</v>
      </c>
      <c r="M4909" s="1" t="s">
        <v>3154</v>
      </c>
      <c r="N4909" s="1" t="s">
        <v>16497</v>
      </c>
      <c r="O4909" s="1" t="s">
        <v>29</v>
      </c>
      <c r="P4909" s="1" t="s">
        <v>401</v>
      </c>
      <c r="Q4909" s="63" t="s">
        <v>16498</v>
      </c>
      <c r="R4909" s="1" t="s">
        <v>29</v>
      </c>
      <c r="S4909" s="13" t="s">
        <v>28</v>
      </c>
      <c r="T4909" s="1"/>
      <c r="U4909" s="1"/>
      <c r="V4909" s="1"/>
      <c r="W4909" s="1"/>
      <c r="X4909" s="1"/>
      <c r="Y4909" s="1"/>
      <c r="Z4909" s="1"/>
      <c r="AA4909" s="1"/>
      <c r="AB4909" s="1"/>
      <c r="AC4909" s="1"/>
      <c r="AD4909" s="1"/>
      <c r="AE4909" s="1"/>
      <c r="AF4909" s="1"/>
      <c r="AG4909" s="1"/>
      <c r="AH4909" s="1"/>
      <c r="AI4909" s="1"/>
      <c r="AJ4909" s="1"/>
      <c r="AK4909" s="1"/>
      <c r="AL4909" s="1"/>
      <c r="AM4909" s="1"/>
      <c r="AN4909" s="1"/>
      <c r="AO4909" s="1"/>
      <c r="AP4909" s="1"/>
      <c r="AQ4909" s="1"/>
      <c r="AR4909" s="1"/>
      <c r="AS4909" s="1"/>
      <c r="AT4909" s="70"/>
      <c r="AU4909" s="70"/>
      <c r="AV4909" s="1"/>
      <c r="AW4909" s="44"/>
      <c r="AX4909" s="44"/>
      <c r="AY4909" s="44"/>
      <c r="AZ4909" s="1"/>
      <c r="BA4909" s="1"/>
      <c r="BB4909" s="1"/>
      <c r="BC4909" s="1"/>
      <c r="BD4909" s="1"/>
      <c r="BE4909" s="1"/>
      <c r="BF4909" s="1"/>
      <c r="BG4909" s="1"/>
      <c r="BH4909" s="1"/>
      <c r="BI4909" s="1"/>
      <c r="BJ4909" s="78"/>
      <c r="BK4909" s="78"/>
    </row>
    <row r="4910" spans="1:63" s="11" customFormat="1" ht="12" customHeight="1" x14ac:dyDescent="0.15">
      <c r="A4910" s="1" t="s">
        <v>16499</v>
      </c>
      <c r="B4910" s="1" t="s">
        <v>15834</v>
      </c>
      <c r="C4910" s="1" t="s">
        <v>20</v>
      </c>
      <c r="D4910" s="1" t="s">
        <v>37</v>
      </c>
      <c r="E4910" s="1" t="s">
        <v>16500</v>
      </c>
      <c r="F4910" s="72">
        <v>41419</v>
      </c>
      <c r="G4910" s="1" t="s">
        <v>16501</v>
      </c>
      <c r="H4910" s="1" t="s">
        <v>16502</v>
      </c>
      <c r="I4910" s="1" t="s">
        <v>240</v>
      </c>
      <c r="J4910" s="4" t="s">
        <v>16503</v>
      </c>
      <c r="K4910" s="1" t="s">
        <v>1447</v>
      </c>
      <c r="L4910" s="1" t="s">
        <v>16504</v>
      </c>
      <c r="M4910" s="1" t="s">
        <v>27</v>
      </c>
      <c r="N4910" s="1" t="s">
        <v>16505</v>
      </c>
      <c r="O4910" s="1" t="s">
        <v>550</v>
      </c>
      <c r="P4910" s="1" t="s">
        <v>401</v>
      </c>
      <c r="Q4910" s="63" t="s">
        <v>16506</v>
      </c>
      <c r="R4910" s="1" t="s">
        <v>555</v>
      </c>
      <c r="S4910" s="13" t="s">
        <v>28</v>
      </c>
      <c r="T4910" s="1"/>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c r="AQ4910" s="1"/>
      <c r="AR4910" s="1"/>
      <c r="AS4910" s="1"/>
      <c r="AT4910" s="1"/>
      <c r="AU4910" s="1"/>
      <c r="AV4910" s="1"/>
      <c r="AW4910" s="1"/>
      <c r="BA4910" s="44"/>
      <c r="BB4910" s="44"/>
      <c r="BC4910" s="1"/>
      <c r="BD4910" s="1"/>
      <c r="BE4910" s="1"/>
      <c r="BF4910" s="1"/>
      <c r="BG4910" s="1"/>
      <c r="BH4910" s="1"/>
      <c r="BI4910" s="1"/>
      <c r="BJ4910" s="1"/>
      <c r="BK4910" s="1"/>
    </row>
    <row r="4911" spans="1:63" s="11" customFormat="1" ht="12" customHeight="1" x14ac:dyDescent="0.15">
      <c r="A4911" s="1" t="s">
        <v>16524</v>
      </c>
      <c r="B4911" s="1" t="s">
        <v>10877</v>
      </c>
      <c r="C4911" s="1" t="s">
        <v>20</v>
      </c>
      <c r="D4911" s="1" t="s">
        <v>37</v>
      </c>
      <c r="E4911" s="1"/>
      <c r="F4911" s="72">
        <v>41418</v>
      </c>
      <c r="G4911" s="1" t="s">
        <v>24603</v>
      </c>
      <c r="H4911" s="1" t="s">
        <v>1208</v>
      </c>
      <c r="I4911" s="1" t="s">
        <v>303</v>
      </c>
      <c r="J4911" s="4" t="s">
        <v>16525</v>
      </c>
      <c r="K4911" s="1" t="s">
        <v>1209</v>
      </c>
      <c r="L4911" s="1" t="s">
        <v>16526</v>
      </c>
      <c r="M4911" s="1" t="s">
        <v>27</v>
      </c>
      <c r="N4911" s="1" t="s">
        <v>16527</v>
      </c>
      <c r="O4911" s="1" t="s">
        <v>29</v>
      </c>
      <c r="P4911" s="1" t="s">
        <v>401</v>
      </c>
      <c r="Q4911" s="63" t="s">
        <v>16528</v>
      </c>
      <c r="R4911" s="11" t="s">
        <v>964</v>
      </c>
      <c r="S4911" s="13" t="s">
        <v>28</v>
      </c>
      <c r="T4911" s="1"/>
      <c r="U4911" s="1"/>
      <c r="V4911" s="1"/>
      <c r="W4911" s="1"/>
      <c r="X4911" s="1"/>
      <c r="Y4911" s="1"/>
      <c r="Z4911" s="1"/>
      <c r="AA4911" s="1"/>
      <c r="AB4911" s="1"/>
      <c r="AC4911" s="1"/>
      <c r="AD4911" s="1"/>
      <c r="AE4911" s="1"/>
      <c r="AF4911" s="1"/>
      <c r="AG4911" s="1"/>
      <c r="AH4911" s="1"/>
      <c r="AI4911" s="1"/>
      <c r="AJ4911" s="1"/>
      <c r="AK4911" s="1"/>
      <c r="AL4911" s="1"/>
      <c r="AM4911" s="1"/>
      <c r="AN4911" s="1"/>
      <c r="AO4911" s="1"/>
      <c r="AP4911" s="1"/>
      <c r="AQ4911" s="1"/>
      <c r="AR4911" s="1"/>
      <c r="AS4911" s="1"/>
      <c r="AT4911" s="1"/>
      <c r="AU4911" s="1"/>
      <c r="AV4911" s="1"/>
      <c r="AW4911" s="1"/>
      <c r="BA4911" s="1"/>
      <c r="BB4911" s="1"/>
      <c r="BC4911" s="1"/>
      <c r="BD4911" s="1"/>
      <c r="BE4911" s="1"/>
      <c r="BF4911" s="1"/>
      <c r="BG4911" s="1"/>
      <c r="BH4911" s="1"/>
      <c r="BI4911" s="1"/>
      <c r="BJ4911" s="1"/>
      <c r="BK4911" s="1"/>
    </row>
    <row r="4912" spans="1:63" s="11" customFormat="1" ht="12" customHeight="1" x14ac:dyDescent="0.15">
      <c r="A4912" s="1" t="s">
        <v>16507</v>
      </c>
      <c r="B4912" s="1">
        <v>47</v>
      </c>
      <c r="C4912" s="1" t="s">
        <v>20</v>
      </c>
      <c r="D4912" s="1" t="s">
        <v>48</v>
      </c>
      <c r="E4912" s="1"/>
      <c r="F4912" s="72">
        <v>41418</v>
      </c>
      <c r="G4912" s="1" t="s">
        <v>24605</v>
      </c>
      <c r="H4912" s="1" t="s">
        <v>156</v>
      </c>
      <c r="I4912" s="1" t="s">
        <v>45</v>
      </c>
      <c r="J4912" s="4" t="s">
        <v>16508</v>
      </c>
      <c r="K4912" s="1" t="s">
        <v>156</v>
      </c>
      <c r="L4912" s="1" t="s">
        <v>157</v>
      </c>
      <c r="M4912" s="1" t="s">
        <v>27</v>
      </c>
      <c r="N4912" s="1" t="s">
        <v>16509</v>
      </c>
      <c r="O4912" s="1" t="s">
        <v>29</v>
      </c>
      <c r="P4912" s="1" t="s">
        <v>401</v>
      </c>
      <c r="Q4912" s="63" t="s">
        <v>16510</v>
      </c>
      <c r="R4912" s="1" t="s">
        <v>100</v>
      </c>
      <c r="S4912" s="13" t="s">
        <v>28</v>
      </c>
      <c r="T4912" s="1"/>
      <c r="U4912" s="1"/>
      <c r="V4912" s="1"/>
      <c r="W4912" s="1"/>
      <c r="X4912" s="1"/>
      <c r="Y4912" s="1"/>
      <c r="Z4912" s="1"/>
      <c r="AA4912" s="1"/>
      <c r="AB4912" s="1"/>
      <c r="AC4912" s="1"/>
      <c r="AD4912" s="1"/>
      <c r="AE4912" s="1"/>
      <c r="AF4912" s="1"/>
      <c r="AG4912" s="1"/>
      <c r="AH4912" s="1"/>
      <c r="AI4912" s="1"/>
      <c r="AJ4912" s="1"/>
      <c r="AK4912" s="1"/>
      <c r="AL4912" s="1"/>
      <c r="AM4912" s="1"/>
      <c r="AN4912" s="1"/>
      <c r="AO4912" s="1"/>
      <c r="AP4912" s="1"/>
      <c r="AQ4912" s="1"/>
      <c r="AR4912" s="1"/>
      <c r="AS4912" s="1"/>
      <c r="AT4912" s="1"/>
      <c r="AU4912" s="1"/>
      <c r="AV4912" s="1"/>
      <c r="AW4912" s="1"/>
      <c r="AX4912" s="1"/>
      <c r="AY4912" s="1"/>
      <c r="AZ4912" s="1"/>
      <c r="BA4912" s="1"/>
      <c r="BB4912" s="1"/>
      <c r="BC4912" s="1"/>
      <c r="BD4912" s="1"/>
      <c r="BE4912" s="1"/>
      <c r="BF4912" s="1"/>
      <c r="BG4912" s="1"/>
      <c r="BH4912" s="1"/>
      <c r="BI4912" s="1"/>
      <c r="BJ4912" s="1"/>
      <c r="BK4912" s="1"/>
    </row>
    <row r="4913" spans="1:63" s="11" customFormat="1" ht="12" customHeight="1" x14ac:dyDescent="0.15">
      <c r="A4913" s="1" t="s">
        <v>16518</v>
      </c>
      <c r="B4913" s="1">
        <v>49</v>
      </c>
      <c r="C4913" s="1" t="s">
        <v>20</v>
      </c>
      <c r="D4913" s="1" t="s">
        <v>30</v>
      </c>
      <c r="E4913" s="1"/>
      <c r="F4913" s="72">
        <v>41418</v>
      </c>
      <c r="G4913" s="1" t="s">
        <v>16519</v>
      </c>
      <c r="H4913" s="1" t="s">
        <v>16520</v>
      </c>
      <c r="I4913" s="1" t="s">
        <v>854</v>
      </c>
      <c r="J4913" s="4" t="s">
        <v>16521</v>
      </c>
      <c r="K4913" s="1" t="s">
        <v>4575</v>
      </c>
      <c r="L4913" s="1" t="s">
        <v>5024</v>
      </c>
      <c r="M4913" s="1" t="s">
        <v>27</v>
      </c>
      <c r="N4913" s="1" t="s">
        <v>16522</v>
      </c>
      <c r="O4913" s="1" t="s">
        <v>550</v>
      </c>
      <c r="P4913" s="1" t="s">
        <v>401</v>
      </c>
      <c r="Q4913" s="63" t="s">
        <v>16523</v>
      </c>
      <c r="R4913" s="1" t="s">
        <v>100</v>
      </c>
      <c r="S4913" s="13" t="s">
        <v>28</v>
      </c>
      <c r="T4913" s="1"/>
      <c r="U4913" s="1"/>
      <c r="V4913" s="1"/>
      <c r="W4913" s="1"/>
      <c r="X4913" s="1"/>
      <c r="Y4913" s="1"/>
      <c r="Z4913" s="1"/>
      <c r="AA4913" s="1"/>
      <c r="AB4913" s="1"/>
      <c r="AC4913" s="1"/>
      <c r="AD4913" s="1"/>
      <c r="AE4913" s="1"/>
      <c r="AF4913" s="1"/>
      <c r="AG4913" s="1"/>
      <c r="AH4913" s="1"/>
      <c r="AI4913" s="1"/>
      <c r="AJ4913" s="1"/>
      <c r="AK4913" s="1"/>
      <c r="AL4913" s="1"/>
      <c r="AM4913" s="1"/>
      <c r="AN4913" s="1"/>
      <c r="AO4913" s="1"/>
      <c r="AP4913" s="1"/>
      <c r="AQ4913" s="1"/>
      <c r="AR4913" s="1"/>
      <c r="AS4913" s="1"/>
      <c r="AT4913" s="1"/>
      <c r="AU4913" s="1"/>
      <c r="AV4913" s="1"/>
      <c r="AW4913" s="1"/>
      <c r="AX4913" s="1"/>
      <c r="AY4913" s="1"/>
      <c r="AZ4913" s="1"/>
      <c r="BA4913" s="1"/>
      <c r="BB4913" s="1"/>
      <c r="BC4913" s="1"/>
      <c r="BD4913" s="1"/>
      <c r="BE4913" s="1"/>
      <c r="BF4913" s="1"/>
      <c r="BG4913" s="1"/>
      <c r="BH4913" s="1"/>
      <c r="BI4913" s="1"/>
      <c r="BJ4913" s="1"/>
      <c r="BK4913" s="1"/>
    </row>
    <row r="4914" spans="1:63" s="11" customFormat="1" ht="12" customHeight="1" x14ac:dyDescent="0.15">
      <c r="A4914" s="1" t="s">
        <v>16511</v>
      </c>
      <c r="B4914" s="1">
        <v>72</v>
      </c>
      <c r="C4914" s="1" t="s">
        <v>20</v>
      </c>
      <c r="D4914" s="1" t="s">
        <v>30</v>
      </c>
      <c r="E4914" s="1"/>
      <c r="F4914" s="72">
        <v>41418</v>
      </c>
      <c r="G4914" s="1" t="s">
        <v>16512</v>
      </c>
      <c r="H4914" s="1" t="s">
        <v>16513</v>
      </c>
      <c r="I4914" s="1" t="s">
        <v>303</v>
      </c>
      <c r="J4914" s="4" t="s">
        <v>16514</v>
      </c>
      <c r="K4914" s="1" t="s">
        <v>2150</v>
      </c>
      <c r="L4914" s="1" t="s">
        <v>16515</v>
      </c>
      <c r="M4914" s="1" t="s">
        <v>379</v>
      </c>
      <c r="N4914" s="1" t="s">
        <v>16516</v>
      </c>
      <c r="O4914" s="1" t="s">
        <v>1010</v>
      </c>
      <c r="P4914" s="1" t="s">
        <v>401</v>
      </c>
      <c r="Q4914" s="63" t="s">
        <v>16517</v>
      </c>
      <c r="R4914" s="1" t="s">
        <v>100</v>
      </c>
      <c r="S4914" s="13" t="s">
        <v>28</v>
      </c>
      <c r="T4914" s="1"/>
      <c r="U4914" s="1"/>
      <c r="V4914" s="1"/>
      <c r="W4914" s="1"/>
      <c r="X4914" s="1"/>
      <c r="Y4914" s="1"/>
      <c r="Z4914" s="1"/>
      <c r="AA4914" s="1"/>
      <c r="AB4914" s="1"/>
      <c r="AC4914" s="1"/>
      <c r="AD4914" s="1"/>
      <c r="AE4914" s="1"/>
      <c r="AF4914" s="1"/>
      <c r="AG4914" s="1"/>
      <c r="AH4914" s="1"/>
      <c r="AI4914" s="1"/>
      <c r="AJ4914" s="1"/>
      <c r="AK4914" s="1"/>
      <c r="AL4914" s="1"/>
      <c r="AM4914" s="1"/>
      <c r="AN4914" s="1"/>
      <c r="AO4914" s="1"/>
      <c r="AP4914" s="1"/>
      <c r="AQ4914" s="1"/>
      <c r="AR4914" s="1"/>
      <c r="AS4914" s="1"/>
      <c r="AT4914" s="1"/>
      <c r="AU4914" s="1"/>
      <c r="AV4914" s="1"/>
      <c r="AW4914" s="1"/>
      <c r="AX4914" s="1"/>
      <c r="AY4914" s="1"/>
      <c r="AZ4914" s="1"/>
      <c r="BA4914" s="1"/>
      <c r="BB4914" s="1"/>
      <c r="BC4914" s="1"/>
      <c r="BD4914" s="1"/>
      <c r="BE4914" s="1"/>
      <c r="BF4914" s="1"/>
      <c r="BG4914" s="1"/>
      <c r="BH4914" s="1"/>
      <c r="BI4914" s="1"/>
      <c r="BJ4914" s="1"/>
      <c r="BK4914" s="1"/>
    </row>
    <row r="4915" spans="1:63" s="11" customFormat="1" ht="12" customHeight="1" x14ac:dyDescent="0.15">
      <c r="A4915" s="1" t="s">
        <v>16537</v>
      </c>
      <c r="B4915" s="1">
        <v>42</v>
      </c>
      <c r="C4915" s="1" t="s">
        <v>20</v>
      </c>
      <c r="D4915" s="1" t="s">
        <v>37</v>
      </c>
      <c r="E4915" s="1" t="s">
        <v>16538</v>
      </c>
      <c r="F4915" s="72">
        <v>41418</v>
      </c>
      <c r="G4915" s="1" t="s">
        <v>24604</v>
      </c>
      <c r="H4915" s="1" t="s">
        <v>1642</v>
      </c>
      <c r="I4915" s="1" t="s">
        <v>45</v>
      </c>
      <c r="J4915" s="4" t="s">
        <v>16496</v>
      </c>
      <c r="K4915" s="1" t="s">
        <v>1642</v>
      </c>
      <c r="L4915" s="1" t="s">
        <v>2323</v>
      </c>
      <c r="M4915" s="1" t="s">
        <v>27</v>
      </c>
      <c r="N4915" s="1" t="s">
        <v>16497</v>
      </c>
      <c r="O4915" s="1" t="s">
        <v>1010</v>
      </c>
      <c r="P4915" s="1" t="s">
        <v>401</v>
      </c>
      <c r="Q4915" s="63" t="s">
        <v>16539</v>
      </c>
      <c r="R4915" s="1" t="s">
        <v>100</v>
      </c>
      <c r="S4915" s="13" t="s">
        <v>28</v>
      </c>
      <c r="T4915" s="1"/>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c r="AQ4915" s="1"/>
      <c r="AR4915" s="1"/>
      <c r="AS4915" s="1"/>
      <c r="AT4915" s="1"/>
      <c r="AU4915" s="1"/>
      <c r="AV4915" s="1"/>
      <c r="AW4915" s="1"/>
      <c r="BA4915" s="1"/>
      <c r="BB4915" s="1"/>
      <c r="BC4915" s="1"/>
      <c r="BD4915" s="1"/>
      <c r="BE4915" s="1"/>
      <c r="BF4915" s="1"/>
      <c r="BG4915" s="1"/>
      <c r="BH4915" s="1"/>
      <c r="BI4915" s="1"/>
      <c r="BJ4915" s="1"/>
      <c r="BK4915" s="1"/>
    </row>
    <row r="4916" spans="1:63" s="11" customFormat="1" ht="12" customHeight="1" x14ac:dyDescent="0.15">
      <c r="A4916" s="1" t="s">
        <v>16529</v>
      </c>
      <c r="B4916" s="1" t="s">
        <v>16530</v>
      </c>
      <c r="C4916" s="1" t="s">
        <v>20</v>
      </c>
      <c r="D4916" s="1" t="s">
        <v>37</v>
      </c>
      <c r="E4916" s="1" t="s">
        <v>16531</v>
      </c>
      <c r="F4916" s="72">
        <v>41418</v>
      </c>
      <c r="G4916" s="1" t="s">
        <v>16532</v>
      </c>
      <c r="H4916" s="1" t="s">
        <v>11083</v>
      </c>
      <c r="I4916" s="1" t="s">
        <v>41</v>
      </c>
      <c r="J4916" s="4" t="s">
        <v>16533</v>
      </c>
      <c r="K4916" s="1" t="s">
        <v>4883</v>
      </c>
      <c r="L4916" s="1" t="s">
        <v>16534</v>
      </c>
      <c r="M4916" s="1" t="s">
        <v>27</v>
      </c>
      <c r="N4916" s="1" t="s">
        <v>16535</v>
      </c>
      <c r="O4916" s="1" t="s">
        <v>29</v>
      </c>
      <c r="P4916" s="1" t="s">
        <v>401</v>
      </c>
      <c r="Q4916" s="63" t="s">
        <v>16536</v>
      </c>
      <c r="R4916" s="1" t="s">
        <v>29</v>
      </c>
      <c r="S4916" s="13" t="s">
        <v>28</v>
      </c>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c r="AQ4916" s="1"/>
      <c r="AR4916" s="1"/>
      <c r="AS4916" s="1"/>
      <c r="AT4916" s="1"/>
      <c r="AU4916" s="1"/>
      <c r="AV4916" s="1"/>
      <c r="AW4916" s="1"/>
      <c r="BA4916" s="1"/>
      <c r="BB4916" s="1"/>
      <c r="BC4916" s="1"/>
      <c r="BD4916" s="1"/>
      <c r="BE4916" s="1"/>
      <c r="BF4916" s="1"/>
      <c r="BG4916" s="1"/>
      <c r="BH4916" s="1"/>
      <c r="BI4916" s="1"/>
      <c r="BJ4916" s="1"/>
      <c r="BK4916" s="1"/>
    </row>
    <row r="4917" spans="1:63" ht="12" customHeight="1" x14ac:dyDescent="0.15">
      <c r="A4917" s="1" t="s">
        <v>16540</v>
      </c>
      <c r="B4917" s="1">
        <v>27</v>
      </c>
      <c r="C4917" s="1" t="s">
        <v>20</v>
      </c>
      <c r="D4917" s="1" t="s">
        <v>85</v>
      </c>
      <c r="F4917" s="72">
        <v>41417</v>
      </c>
      <c r="G4917" s="1" t="s">
        <v>16541</v>
      </c>
      <c r="H4917" s="1" t="s">
        <v>5191</v>
      </c>
      <c r="I4917" s="1" t="s">
        <v>45</v>
      </c>
      <c r="J4917" s="4" t="s">
        <v>8967</v>
      </c>
      <c r="K4917" s="1" t="s">
        <v>98</v>
      </c>
      <c r="L4917" s="11" t="s">
        <v>414</v>
      </c>
      <c r="M4917" s="1" t="s">
        <v>27</v>
      </c>
      <c r="N4917" s="1" t="s">
        <v>16542</v>
      </c>
      <c r="O4917" s="1" t="s">
        <v>1010</v>
      </c>
      <c r="P4917" s="1" t="s">
        <v>401</v>
      </c>
      <c r="Q4917" s="63" t="s">
        <v>16543</v>
      </c>
      <c r="R4917" s="1" t="s">
        <v>100</v>
      </c>
      <c r="S4917" s="13" t="s">
        <v>28</v>
      </c>
      <c r="AX4917" s="11"/>
      <c r="AY4917" s="11"/>
      <c r="BC4917" s="44"/>
      <c r="BD4917" s="44"/>
      <c r="BE4917" s="44"/>
      <c r="BF4917" s="44"/>
      <c r="BG4917" s="44"/>
      <c r="BH4917" s="44"/>
      <c r="BI4917" s="44"/>
      <c r="BJ4917" s="44"/>
    </row>
    <row r="4918" spans="1:63" s="11" customFormat="1" ht="12" customHeight="1" x14ac:dyDescent="0.15">
      <c r="A4918" s="1" t="s">
        <v>16544</v>
      </c>
      <c r="B4918" s="1" t="s">
        <v>8486</v>
      </c>
      <c r="C4918" s="1" t="s">
        <v>20</v>
      </c>
      <c r="D4918" s="1" t="s">
        <v>85</v>
      </c>
      <c r="E4918" s="1" t="s">
        <v>16545</v>
      </c>
      <c r="F4918" s="72">
        <v>41417</v>
      </c>
      <c r="G4918" s="1" t="s">
        <v>16546</v>
      </c>
      <c r="H4918" s="1" t="s">
        <v>775</v>
      </c>
      <c r="I4918" s="1" t="s">
        <v>69</v>
      </c>
      <c r="J4918" s="4" t="s">
        <v>16547</v>
      </c>
      <c r="K4918" s="1" t="s">
        <v>776</v>
      </c>
      <c r="L4918" s="1" t="s">
        <v>777</v>
      </c>
      <c r="M4918" s="1" t="s">
        <v>27</v>
      </c>
      <c r="N4918" s="1" t="s">
        <v>16548</v>
      </c>
      <c r="O4918" s="1" t="s">
        <v>29</v>
      </c>
      <c r="P4918" s="1" t="s">
        <v>401</v>
      </c>
      <c r="Q4918" s="63" t="s">
        <v>16549</v>
      </c>
      <c r="R4918" s="1" t="s">
        <v>100</v>
      </c>
      <c r="S4918" s="13" t="s">
        <v>28</v>
      </c>
      <c r="T4918" s="1"/>
      <c r="U4918" s="1"/>
      <c r="V4918" s="1"/>
      <c r="W4918" s="1"/>
      <c r="X4918" s="1"/>
      <c r="Y4918" s="1"/>
      <c r="Z4918" s="1"/>
      <c r="AA4918" s="1"/>
      <c r="AB4918" s="1"/>
      <c r="AC4918" s="1"/>
      <c r="AD4918" s="1"/>
      <c r="AE4918" s="1"/>
      <c r="AF4918" s="1"/>
      <c r="AG4918" s="1"/>
      <c r="AH4918" s="1"/>
      <c r="AI4918" s="1"/>
      <c r="AJ4918" s="1"/>
      <c r="AK4918" s="1"/>
      <c r="AL4918" s="1"/>
      <c r="AM4918" s="1"/>
      <c r="AN4918" s="1"/>
      <c r="AO4918" s="1"/>
      <c r="AP4918" s="1"/>
      <c r="AQ4918" s="1"/>
      <c r="AR4918" s="1"/>
      <c r="AS4918" s="1"/>
      <c r="AT4918" s="1"/>
      <c r="AU4918" s="1"/>
      <c r="AV4918" s="1"/>
      <c r="AW4918" s="1"/>
      <c r="AZ4918" s="1"/>
      <c r="BA4918" s="1"/>
      <c r="BB4918" s="1"/>
      <c r="BC4918" s="44"/>
      <c r="BD4918" s="44"/>
      <c r="BE4918" s="44"/>
      <c r="BF4918" s="44"/>
      <c r="BG4918" s="44"/>
      <c r="BH4918" s="44"/>
      <c r="BI4918" s="44"/>
      <c r="BJ4918" s="44"/>
      <c r="BK4918" s="1"/>
    </row>
    <row r="4919" spans="1:63" s="11" customFormat="1" ht="12" customHeight="1" x14ac:dyDescent="0.15">
      <c r="A4919" s="1" t="s">
        <v>16550</v>
      </c>
      <c r="B4919" s="1">
        <v>49</v>
      </c>
      <c r="C4919" s="1" t="s">
        <v>20</v>
      </c>
      <c r="D4919" s="1" t="s">
        <v>30</v>
      </c>
      <c r="E4919" s="1"/>
      <c r="F4919" s="72">
        <v>41417</v>
      </c>
      <c r="G4919" s="1" t="s">
        <v>16551</v>
      </c>
      <c r="H4919" s="1" t="s">
        <v>216</v>
      </c>
      <c r="I4919" s="1" t="s">
        <v>217</v>
      </c>
      <c r="J4919" s="4" t="s">
        <v>16552</v>
      </c>
      <c r="K4919" s="1" t="s">
        <v>420</v>
      </c>
      <c r="L4919" s="1" t="s">
        <v>218</v>
      </c>
      <c r="M4919" s="1" t="s">
        <v>379</v>
      </c>
      <c r="N4919" s="1" t="s">
        <v>16553</v>
      </c>
      <c r="O4919" s="1" t="s">
        <v>1010</v>
      </c>
      <c r="P4919" s="1" t="s">
        <v>401</v>
      </c>
      <c r="Q4919" s="63" t="s">
        <v>16554</v>
      </c>
      <c r="R4919" s="1" t="s">
        <v>100</v>
      </c>
      <c r="S4919" s="13" t="s">
        <v>28</v>
      </c>
      <c r="T4919" s="1"/>
      <c r="U4919" s="1"/>
      <c r="V4919" s="1"/>
      <c r="W4919" s="1"/>
      <c r="X4919" s="1"/>
      <c r="Y4919" s="1"/>
      <c r="Z4919" s="1"/>
      <c r="AA4919" s="1"/>
      <c r="AB4919" s="1"/>
      <c r="AC4919" s="1"/>
      <c r="AD4919" s="1"/>
      <c r="AE4919" s="1"/>
      <c r="AF4919" s="1"/>
      <c r="AG4919" s="1"/>
      <c r="AH4919" s="1"/>
      <c r="AI4919" s="1"/>
      <c r="AJ4919" s="1"/>
      <c r="AK4919" s="1"/>
      <c r="AL4919" s="1"/>
      <c r="AM4919" s="1"/>
      <c r="AN4919" s="1"/>
      <c r="AO4919" s="1"/>
      <c r="AP4919" s="1"/>
      <c r="AQ4919" s="1"/>
      <c r="AR4919" s="1"/>
      <c r="AS4919" s="1"/>
      <c r="AT4919" s="1"/>
      <c r="AU4919" s="1"/>
      <c r="AV4919" s="1"/>
      <c r="AW4919" s="1"/>
      <c r="AX4919" s="1"/>
      <c r="AY4919" s="1"/>
      <c r="AZ4919" s="1"/>
      <c r="BA4919" s="1"/>
      <c r="BB4919" s="1"/>
      <c r="BC4919" s="1"/>
      <c r="BD4919" s="1"/>
      <c r="BE4919" s="1"/>
      <c r="BF4919" s="1"/>
      <c r="BG4919" s="1"/>
      <c r="BH4919" s="1"/>
      <c r="BI4919" s="1"/>
      <c r="BJ4919" s="1"/>
      <c r="BK4919" s="1"/>
    </row>
    <row r="4920" spans="1:63" s="11" customFormat="1" ht="12" customHeight="1" x14ac:dyDescent="0.15">
      <c r="A4920" s="1" t="s">
        <v>16555</v>
      </c>
      <c r="B4920" s="1">
        <v>28</v>
      </c>
      <c r="C4920" s="1" t="s">
        <v>20</v>
      </c>
      <c r="D4920" s="1" t="s">
        <v>30</v>
      </c>
      <c r="E4920" s="1"/>
      <c r="F4920" s="72">
        <v>41417</v>
      </c>
      <c r="G4920" s="1" t="s">
        <v>16556</v>
      </c>
      <c r="H4920" s="1" t="s">
        <v>754</v>
      </c>
      <c r="I4920" s="1" t="s">
        <v>423</v>
      </c>
      <c r="J4920" s="4" t="s">
        <v>16557</v>
      </c>
      <c r="K4920" s="1" t="s">
        <v>1712</v>
      </c>
      <c r="L4920" s="1" t="s">
        <v>582</v>
      </c>
      <c r="M4920" s="1" t="s">
        <v>27</v>
      </c>
      <c r="N4920" s="1" t="s">
        <v>16558</v>
      </c>
      <c r="O4920" s="1" t="s">
        <v>1010</v>
      </c>
      <c r="P4920" s="1" t="s">
        <v>401</v>
      </c>
      <c r="Q4920" s="6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4920" s="1" t="s">
        <v>555</v>
      </c>
      <c r="S4920" s="13" t="s">
        <v>28</v>
      </c>
      <c r="T4920" s="1"/>
      <c r="U4920" s="1"/>
      <c r="V4920" s="1"/>
      <c r="W4920" s="1"/>
      <c r="X4920" s="1"/>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c r="AX4920" s="1"/>
      <c r="AY4920" s="1"/>
      <c r="AZ4920" s="1"/>
      <c r="BC4920" s="1"/>
      <c r="BD4920" s="1"/>
      <c r="BE4920" s="1"/>
      <c r="BF4920" s="1"/>
      <c r="BG4920" s="1"/>
      <c r="BH4920" s="1"/>
      <c r="BI4920" s="1"/>
      <c r="BJ4920" s="1"/>
      <c r="BK4920" s="1"/>
    </row>
    <row r="4921" spans="1:63" s="11" customFormat="1" ht="12" customHeight="1" x14ac:dyDescent="0.15">
      <c r="A4921" s="1" t="s">
        <v>16566</v>
      </c>
      <c r="B4921" s="1" t="s">
        <v>13386</v>
      </c>
      <c r="C4921" s="1" t="s">
        <v>20</v>
      </c>
      <c r="D4921" s="1" t="s">
        <v>85</v>
      </c>
      <c r="E4921" s="1"/>
      <c r="F4921" s="72">
        <v>41416</v>
      </c>
      <c r="G4921" s="1" t="s">
        <v>16567</v>
      </c>
      <c r="H4921" s="1" t="s">
        <v>1100</v>
      </c>
      <c r="I4921" s="1" t="s">
        <v>404</v>
      </c>
      <c r="J4921" s="4" t="s">
        <v>16568</v>
      </c>
      <c r="K4921" s="1" t="s">
        <v>1100</v>
      </c>
      <c r="L4921" s="1" t="s">
        <v>1101</v>
      </c>
      <c r="M4921" s="1" t="s">
        <v>27</v>
      </c>
      <c r="N4921" s="1" t="s">
        <v>16569</v>
      </c>
      <c r="O4921" s="1" t="s">
        <v>29</v>
      </c>
      <c r="P4921" s="1" t="s">
        <v>401</v>
      </c>
      <c r="Q4921" s="63" t="s">
        <v>16570</v>
      </c>
      <c r="R4921" s="1" t="s">
        <v>100</v>
      </c>
      <c r="S4921" s="13" t="s">
        <v>28</v>
      </c>
      <c r="T4921" s="1"/>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c r="AQ4921" s="1"/>
      <c r="AR4921" s="1"/>
      <c r="AS4921" s="1"/>
      <c r="AT4921" s="1"/>
      <c r="AU4921" s="1"/>
      <c r="AV4921" s="1"/>
      <c r="AW4921" s="1"/>
      <c r="AZ4921" s="1"/>
      <c r="BA4921" s="1"/>
      <c r="BB4921" s="1"/>
      <c r="BC4921" s="44"/>
      <c r="BD4921" s="44"/>
      <c r="BE4921" s="44"/>
      <c r="BF4921" s="44"/>
      <c r="BG4921" s="44"/>
      <c r="BH4921" s="44"/>
      <c r="BI4921" s="44"/>
      <c r="BJ4921" s="44"/>
      <c r="BK4921" s="1"/>
    </row>
    <row r="4922" spans="1:63" s="11" customFormat="1" ht="12" customHeight="1" x14ac:dyDescent="0.15">
      <c r="A4922" s="1" t="s">
        <v>3252</v>
      </c>
      <c r="B4922" s="1" t="s">
        <v>29</v>
      </c>
      <c r="C4922" s="1" t="s">
        <v>20</v>
      </c>
      <c r="D4922" s="1" t="s">
        <v>30</v>
      </c>
      <c r="E4922" s="1"/>
      <c r="F4922" s="72">
        <v>41416</v>
      </c>
      <c r="G4922" s="1" t="s">
        <v>20980</v>
      </c>
      <c r="H4922" s="1" t="s">
        <v>1100</v>
      </c>
      <c r="I4922" s="1" t="s">
        <v>404</v>
      </c>
      <c r="J4922" s="4" t="s">
        <v>16571</v>
      </c>
      <c r="K4922" s="1" t="s">
        <v>1100</v>
      </c>
      <c r="L4922" s="1" t="s">
        <v>1101</v>
      </c>
      <c r="M4922" s="1" t="s">
        <v>27</v>
      </c>
      <c r="N4922" s="1" t="s">
        <v>16572</v>
      </c>
      <c r="O4922" s="1" t="s">
        <v>1010</v>
      </c>
      <c r="P4922" s="1" t="s">
        <v>401</v>
      </c>
      <c r="Q4922" s="63" t="s">
        <v>16570</v>
      </c>
      <c r="R4922" s="1" t="s">
        <v>100</v>
      </c>
      <c r="S4922" s="13" t="s">
        <v>28</v>
      </c>
      <c r="T4922" s="1"/>
      <c r="U4922" s="1"/>
      <c r="V4922" s="1"/>
      <c r="W4922" s="1"/>
      <c r="X4922" s="1"/>
      <c r="Y4922" s="1"/>
      <c r="Z4922" s="1"/>
      <c r="AA4922" s="1"/>
      <c r="AB4922" s="1"/>
      <c r="AC4922" s="1"/>
      <c r="AD4922" s="1"/>
      <c r="AE4922" s="1"/>
      <c r="AF4922" s="1"/>
      <c r="AG4922" s="1"/>
      <c r="AH4922" s="1"/>
      <c r="AI4922" s="1"/>
      <c r="AJ4922" s="1"/>
      <c r="AK4922" s="1"/>
      <c r="AL4922" s="1"/>
      <c r="AM4922" s="1"/>
      <c r="AN4922" s="1"/>
      <c r="AO4922" s="1"/>
      <c r="AP4922" s="1"/>
      <c r="AQ4922" s="1"/>
      <c r="AR4922" s="1"/>
      <c r="AS4922" s="1"/>
      <c r="AT4922" s="1"/>
      <c r="AU4922" s="1"/>
      <c r="AV4922" s="1"/>
      <c r="AW4922" s="1"/>
      <c r="AX4922" s="1"/>
      <c r="AY4922" s="1"/>
      <c r="AZ4922" s="1"/>
      <c r="BA4922" s="1"/>
      <c r="BB4922" s="1"/>
      <c r="BC4922" s="1"/>
      <c r="BD4922" s="1"/>
      <c r="BE4922" s="1"/>
      <c r="BF4922" s="1"/>
      <c r="BG4922" s="1"/>
      <c r="BH4922" s="1"/>
      <c r="BI4922" s="1"/>
      <c r="BJ4922" s="1"/>
      <c r="BK4922" s="1"/>
    </row>
    <row r="4923" spans="1:63" s="11" customFormat="1" ht="12" customHeight="1" x14ac:dyDescent="0.15">
      <c r="A4923" s="1" t="s">
        <v>16573</v>
      </c>
      <c r="B4923" s="1" t="s">
        <v>13492</v>
      </c>
      <c r="C4923" s="1" t="s">
        <v>20</v>
      </c>
      <c r="D4923" s="1" t="s">
        <v>37</v>
      </c>
      <c r="E4923" s="1" t="s">
        <v>16574</v>
      </c>
      <c r="F4923" s="72">
        <v>41416</v>
      </c>
      <c r="G4923" s="1" t="s">
        <v>16575</v>
      </c>
      <c r="H4923" s="1" t="s">
        <v>1060</v>
      </c>
      <c r="I4923" s="1" t="s">
        <v>62</v>
      </c>
      <c r="J4923" s="4" t="s">
        <v>16576</v>
      </c>
      <c r="K4923" s="1" t="s">
        <v>1061</v>
      </c>
      <c r="L4923" s="1" t="s">
        <v>405</v>
      </c>
      <c r="M4923" s="1" t="s">
        <v>27</v>
      </c>
      <c r="N4923" s="1" t="s">
        <v>16577</v>
      </c>
      <c r="O4923" s="1" t="s">
        <v>29</v>
      </c>
      <c r="P4923" s="1" t="s">
        <v>401</v>
      </c>
      <c r="Q4923" s="63" t="s">
        <v>16578</v>
      </c>
      <c r="R4923" s="1" t="s">
        <v>29</v>
      </c>
      <c r="S4923" s="13" t="s">
        <v>28</v>
      </c>
      <c r="T4923" s="1"/>
      <c r="U4923" s="1"/>
      <c r="V4923" s="1"/>
      <c r="W4923" s="1"/>
      <c r="X4923" s="1"/>
      <c r="Y4923" s="1"/>
      <c r="Z4923" s="1"/>
      <c r="AA4923" s="1"/>
      <c r="AB4923" s="1"/>
      <c r="AC4923" s="1"/>
      <c r="AD4923" s="1"/>
      <c r="AE4923" s="1"/>
      <c r="AF4923" s="1"/>
      <c r="AG4923" s="1"/>
      <c r="AH4923" s="1"/>
      <c r="AI4923" s="1"/>
      <c r="AJ4923" s="1"/>
      <c r="AK4923" s="1"/>
      <c r="AL4923" s="1"/>
      <c r="AM4923" s="1"/>
      <c r="AN4923" s="1"/>
      <c r="AO4923" s="1"/>
      <c r="AP4923" s="1"/>
      <c r="AQ4923" s="1"/>
      <c r="AR4923" s="1"/>
      <c r="AS4923" s="1"/>
      <c r="AT4923" s="1"/>
      <c r="AU4923" s="1"/>
      <c r="AV4923" s="1"/>
      <c r="AW4923" s="1"/>
      <c r="BA4923" s="1"/>
      <c r="BB4923" s="1"/>
      <c r="BC4923" s="1"/>
      <c r="BD4923" s="1"/>
      <c r="BE4923" s="1"/>
      <c r="BF4923" s="1"/>
      <c r="BG4923" s="1"/>
      <c r="BH4923" s="1"/>
      <c r="BI4923" s="1"/>
      <c r="BJ4923" s="1"/>
      <c r="BK4923" s="1"/>
    </row>
    <row r="4924" spans="1:63" s="11" customFormat="1" ht="12" customHeight="1" x14ac:dyDescent="0.15">
      <c r="A4924" s="1" t="s">
        <v>16559</v>
      </c>
      <c r="B4924" s="1" t="s">
        <v>15717</v>
      </c>
      <c r="C4924" s="1" t="s">
        <v>20</v>
      </c>
      <c r="D4924" s="1" t="s">
        <v>85</v>
      </c>
      <c r="E4924" s="1" t="s">
        <v>16560</v>
      </c>
      <c r="F4924" s="72">
        <v>41416</v>
      </c>
      <c r="G4924" s="1" t="s">
        <v>20981</v>
      </c>
      <c r="H4924" s="1" t="s">
        <v>339</v>
      </c>
      <c r="I4924" s="1" t="s">
        <v>244</v>
      </c>
      <c r="J4924" s="4" t="s">
        <v>16561</v>
      </c>
      <c r="K4924" s="1" t="s">
        <v>16562</v>
      </c>
      <c r="L4924" s="1" t="s">
        <v>16563</v>
      </c>
      <c r="M4924" s="1" t="s">
        <v>27</v>
      </c>
      <c r="N4924" s="1" t="s">
        <v>16564</v>
      </c>
      <c r="O4924" s="1" t="s">
        <v>30625</v>
      </c>
      <c r="P4924" s="1" t="s">
        <v>20978</v>
      </c>
      <c r="Q4924" s="63" t="s">
        <v>16565</v>
      </c>
      <c r="R4924" s="1" t="s">
        <v>29</v>
      </c>
      <c r="S4924" s="13" t="s">
        <v>18</v>
      </c>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c r="AR4924" s="1"/>
      <c r="AS4924" s="1"/>
      <c r="AT4924" s="1"/>
      <c r="AU4924" s="1"/>
      <c r="AV4924" s="1"/>
      <c r="AW4924" s="1"/>
      <c r="AZ4924" s="1"/>
      <c r="BA4924" s="1"/>
      <c r="BB4924" s="1"/>
      <c r="BC4924" s="44"/>
      <c r="BD4924" s="44"/>
      <c r="BE4924" s="44"/>
      <c r="BF4924" s="44"/>
      <c r="BG4924" s="44"/>
      <c r="BH4924" s="44"/>
      <c r="BI4924" s="44"/>
      <c r="BJ4924" s="44"/>
      <c r="BK4924" s="1"/>
    </row>
    <row r="4925" spans="1:63" s="11" customFormat="1" ht="12" customHeight="1" x14ac:dyDescent="0.15">
      <c r="A4925" s="1" t="s">
        <v>16579</v>
      </c>
      <c r="B4925" s="1">
        <v>18</v>
      </c>
      <c r="C4925" s="1" t="s">
        <v>20</v>
      </c>
      <c r="D4925" s="1" t="s">
        <v>48</v>
      </c>
      <c r="E4925" s="1"/>
      <c r="F4925" s="72">
        <v>41415</v>
      </c>
      <c r="G4925" s="1" t="s">
        <v>16580</v>
      </c>
      <c r="H4925" s="1" t="s">
        <v>98</v>
      </c>
      <c r="I4925" s="1" t="s">
        <v>45</v>
      </c>
      <c r="J4925" s="4" t="s">
        <v>3004</v>
      </c>
      <c r="K4925" s="1" t="s">
        <v>98</v>
      </c>
      <c r="L4925" s="1" t="s">
        <v>99</v>
      </c>
      <c r="M4925" s="1" t="s">
        <v>27</v>
      </c>
      <c r="N4925" s="1" t="s">
        <v>16581</v>
      </c>
      <c r="O4925" s="1" t="s">
        <v>1010</v>
      </c>
      <c r="P4925" s="1" t="s">
        <v>401</v>
      </c>
      <c r="Q4925" s="63" t="s">
        <v>16582</v>
      </c>
      <c r="R4925" s="1" t="s">
        <v>100</v>
      </c>
      <c r="S4925" s="13" t="s">
        <v>28</v>
      </c>
      <c r="T4925" s="1"/>
      <c r="U4925" s="1"/>
      <c r="V4925" s="1"/>
      <c r="W4925" s="1"/>
      <c r="X4925" s="1"/>
      <c r="Y4925" s="1"/>
      <c r="Z4925" s="1"/>
      <c r="AA4925" s="1"/>
      <c r="AB4925" s="1"/>
      <c r="AC4925" s="1"/>
      <c r="AD4925" s="1"/>
      <c r="AE4925" s="1"/>
      <c r="AF4925" s="1"/>
      <c r="AG4925" s="1"/>
      <c r="AH4925" s="1"/>
      <c r="AI4925" s="1"/>
      <c r="AJ4925" s="1"/>
      <c r="AK4925" s="1"/>
      <c r="AL4925" s="1"/>
      <c r="AM4925" s="1"/>
      <c r="AN4925" s="1"/>
      <c r="AO4925" s="1"/>
      <c r="AP4925" s="1"/>
      <c r="AQ4925" s="1"/>
      <c r="AR4925" s="1"/>
      <c r="AS4925" s="1"/>
      <c r="AT4925" s="1"/>
      <c r="AU4925" s="1"/>
      <c r="AV4925" s="1"/>
      <c r="AW4925" s="1"/>
      <c r="AX4925" s="1"/>
      <c r="AY4925" s="1"/>
      <c r="AZ4925" s="1"/>
      <c r="BA4925" s="1"/>
      <c r="BB4925" s="1"/>
      <c r="BC4925" s="1"/>
      <c r="BD4925" s="1"/>
      <c r="BE4925" s="1"/>
      <c r="BF4925" s="1"/>
      <c r="BG4925" s="1"/>
      <c r="BH4925" s="1"/>
      <c r="BI4925" s="1"/>
      <c r="BJ4925" s="1"/>
      <c r="BK4925" s="1"/>
    </row>
    <row r="4926" spans="1:63" s="11" customFormat="1" ht="12" customHeight="1" x14ac:dyDescent="0.15">
      <c r="A4926" s="1" t="s">
        <v>16591</v>
      </c>
      <c r="B4926" s="1" t="s">
        <v>15717</v>
      </c>
      <c r="C4926" s="1" t="s">
        <v>20</v>
      </c>
      <c r="D4926" s="1" t="s">
        <v>85</v>
      </c>
      <c r="E4926" s="1" t="s">
        <v>16592</v>
      </c>
      <c r="F4926" s="72">
        <v>41414</v>
      </c>
      <c r="G4926" s="1" t="s">
        <v>16593</v>
      </c>
      <c r="H4926" s="1" t="s">
        <v>3317</v>
      </c>
      <c r="I4926" s="1" t="s">
        <v>244</v>
      </c>
      <c r="J4926" s="4" t="s">
        <v>16594</v>
      </c>
      <c r="K4926" s="1" t="s">
        <v>16595</v>
      </c>
      <c r="L4926" s="1" t="s">
        <v>5050</v>
      </c>
      <c r="M4926" s="1" t="s">
        <v>27</v>
      </c>
      <c r="N4926" s="1" t="s">
        <v>16596</v>
      </c>
      <c r="O4926" s="1" t="s">
        <v>550</v>
      </c>
      <c r="P4926" s="1" t="s">
        <v>401</v>
      </c>
      <c r="Q4926" s="63" t="s">
        <v>16597</v>
      </c>
      <c r="R4926" s="1" t="s">
        <v>100</v>
      </c>
      <c r="S4926" s="13" t="s">
        <v>28</v>
      </c>
      <c r="T4926" s="1"/>
      <c r="U4926" s="1"/>
      <c r="V4926" s="1"/>
      <c r="W4926" s="1"/>
      <c r="X4926" s="1"/>
      <c r="Y4926" s="1"/>
      <c r="Z4926" s="1"/>
      <c r="AA4926" s="1"/>
      <c r="AB4926" s="1"/>
      <c r="AC4926" s="1"/>
      <c r="AD4926" s="1"/>
      <c r="AE4926" s="1"/>
      <c r="AF4926" s="1"/>
      <c r="AG4926" s="1"/>
      <c r="AH4926" s="1"/>
      <c r="AI4926" s="1"/>
      <c r="AJ4926" s="1"/>
      <c r="AK4926" s="1"/>
      <c r="AL4926" s="1"/>
      <c r="AM4926" s="1"/>
      <c r="AN4926" s="1"/>
      <c r="AO4926" s="1"/>
      <c r="AP4926" s="1"/>
      <c r="AQ4926" s="1"/>
      <c r="AR4926" s="1"/>
      <c r="AS4926" s="1"/>
      <c r="AT4926" s="1"/>
      <c r="AU4926" s="1"/>
      <c r="AV4926" s="1"/>
      <c r="AW4926" s="1"/>
      <c r="AZ4926" s="1"/>
      <c r="BA4926" s="1"/>
      <c r="BB4926" s="1"/>
      <c r="BC4926" s="44"/>
      <c r="BD4926" s="44"/>
      <c r="BE4926" s="44"/>
      <c r="BF4926" s="44"/>
      <c r="BG4926" s="44"/>
      <c r="BH4926" s="44"/>
      <c r="BI4926" s="44"/>
      <c r="BJ4926" s="44"/>
      <c r="BK4926" s="1"/>
    </row>
    <row r="4927" spans="1:63" ht="12" customHeight="1" x14ac:dyDescent="0.15">
      <c r="A4927" s="1" t="s">
        <v>16583</v>
      </c>
      <c r="B4927" s="1" t="s">
        <v>8769</v>
      </c>
      <c r="C4927" s="1" t="s">
        <v>20</v>
      </c>
      <c r="D4927" s="1" t="s">
        <v>85</v>
      </c>
      <c r="E4927" s="1" t="s">
        <v>16584</v>
      </c>
      <c r="F4927" s="72">
        <v>41414</v>
      </c>
      <c r="G4927" s="1" t="s">
        <v>16585</v>
      </c>
      <c r="H4927" s="1" t="s">
        <v>3364</v>
      </c>
      <c r="I4927" s="1" t="s">
        <v>244</v>
      </c>
      <c r="J4927" s="4" t="s">
        <v>16586</v>
      </c>
      <c r="K4927" s="1" t="s">
        <v>16587</v>
      </c>
      <c r="L4927" s="1" t="s">
        <v>16588</v>
      </c>
      <c r="M4927" s="1" t="s">
        <v>27</v>
      </c>
      <c r="N4927" s="1" t="s">
        <v>16589</v>
      </c>
      <c r="O4927" s="1" t="s">
        <v>550</v>
      </c>
      <c r="P4927" s="1" t="s">
        <v>401</v>
      </c>
      <c r="Q4927" s="63" t="s">
        <v>16590</v>
      </c>
      <c r="R4927" s="1" t="s">
        <v>29</v>
      </c>
      <c r="S4927" s="13" t="s">
        <v>28</v>
      </c>
      <c r="AX4927" s="11"/>
      <c r="AY4927" s="11"/>
      <c r="BC4927" s="44"/>
      <c r="BD4927" s="44"/>
      <c r="BE4927" s="44"/>
      <c r="BF4927" s="44"/>
      <c r="BG4927" s="44"/>
      <c r="BH4927" s="44"/>
      <c r="BI4927" s="44"/>
      <c r="BJ4927" s="44"/>
    </row>
    <row r="4928" spans="1:63" s="11" customFormat="1" ht="12" customHeight="1" x14ac:dyDescent="0.15">
      <c r="A4928" s="1" t="s">
        <v>16598</v>
      </c>
      <c r="B4928" s="1">
        <v>28</v>
      </c>
      <c r="C4928" s="1" t="s">
        <v>20</v>
      </c>
      <c r="D4928" s="1" t="s">
        <v>48</v>
      </c>
      <c r="E4928" s="1" t="s">
        <v>16599</v>
      </c>
      <c r="F4928" s="72">
        <v>41414</v>
      </c>
      <c r="G4928" s="1" t="s">
        <v>16600</v>
      </c>
      <c r="H4928" s="1" t="s">
        <v>593</v>
      </c>
      <c r="I4928" s="1" t="s">
        <v>73</v>
      </c>
      <c r="J4928" s="4" t="s">
        <v>4738</v>
      </c>
      <c r="K4928" s="1" t="s">
        <v>594</v>
      </c>
      <c r="L4928" s="1" t="s">
        <v>595</v>
      </c>
      <c r="M4928" s="1" t="s">
        <v>27</v>
      </c>
      <c r="N4928" s="1" t="s">
        <v>16601</v>
      </c>
      <c r="O4928" s="1" t="s">
        <v>550</v>
      </c>
      <c r="P4928" s="1" t="s">
        <v>401</v>
      </c>
      <c r="Q4928" s="63" t="s">
        <v>16602</v>
      </c>
      <c r="R4928" s="1" t="s">
        <v>29</v>
      </c>
      <c r="S4928" s="13" t="s">
        <v>28</v>
      </c>
      <c r="T4928" s="1"/>
      <c r="U4928" s="1"/>
      <c r="V4928" s="1"/>
      <c r="W4928" s="1"/>
      <c r="X4928" s="1"/>
      <c r="Y4928" s="1"/>
      <c r="Z4928" s="1"/>
      <c r="AA4928" s="1"/>
      <c r="AB4928" s="1"/>
      <c r="AC4928" s="1"/>
      <c r="AD4928" s="1"/>
      <c r="AE4928" s="1"/>
      <c r="AF4928" s="1"/>
      <c r="AG4928" s="1"/>
      <c r="AH4928" s="1"/>
      <c r="AI4928" s="1"/>
      <c r="AJ4928" s="1"/>
      <c r="AK4928" s="1"/>
      <c r="AL4928" s="1"/>
      <c r="AM4928" s="1"/>
      <c r="AN4928" s="1"/>
      <c r="AO4928" s="1"/>
      <c r="AP4928" s="1"/>
      <c r="AQ4928" s="1"/>
      <c r="AR4928" s="1"/>
      <c r="AS4928" s="1"/>
      <c r="AT4928" s="1"/>
      <c r="AU4928" s="1"/>
      <c r="AV4928" s="1"/>
      <c r="AW4928" s="1"/>
      <c r="AX4928" s="1"/>
      <c r="AY4928" s="1"/>
      <c r="AZ4928" s="1"/>
      <c r="BA4928" s="1"/>
      <c r="BB4928" s="1"/>
      <c r="BC4928" s="1"/>
      <c r="BD4928" s="1"/>
      <c r="BE4928" s="1"/>
      <c r="BF4928" s="1"/>
      <c r="BG4928" s="1"/>
      <c r="BH4928" s="1"/>
      <c r="BI4928" s="1"/>
      <c r="BJ4928" s="1"/>
      <c r="BK4928" s="1"/>
    </row>
    <row r="4929" spans="1:63" s="11" customFormat="1" ht="12" customHeight="1" x14ac:dyDescent="0.15">
      <c r="A4929" s="1" t="s">
        <v>16603</v>
      </c>
      <c r="B4929" s="1" t="s">
        <v>10877</v>
      </c>
      <c r="C4929" s="1" t="s">
        <v>20</v>
      </c>
      <c r="D4929" s="1" t="s">
        <v>85</v>
      </c>
      <c r="E4929" s="1" t="s">
        <v>16604</v>
      </c>
      <c r="F4929" s="72">
        <v>41412</v>
      </c>
      <c r="G4929" s="1" t="s">
        <v>24606</v>
      </c>
      <c r="H4929" s="1" t="s">
        <v>16605</v>
      </c>
      <c r="I4929" s="1" t="s">
        <v>978</v>
      </c>
      <c r="J4929" s="4" t="s">
        <v>16606</v>
      </c>
      <c r="K4929" s="1" t="s">
        <v>979</v>
      </c>
      <c r="L4929" s="1" t="s">
        <v>16607</v>
      </c>
      <c r="M4929" s="1" t="s">
        <v>27</v>
      </c>
      <c r="N4929" s="1" t="s">
        <v>16608</v>
      </c>
      <c r="O4929" s="1" t="s">
        <v>550</v>
      </c>
      <c r="P4929" s="1" t="s">
        <v>401</v>
      </c>
      <c r="Q4929" s="63" t="s">
        <v>16609</v>
      </c>
      <c r="R4929" s="1" t="s">
        <v>100</v>
      </c>
      <c r="S4929" s="13" t="s">
        <v>28</v>
      </c>
      <c r="T4929" s="1"/>
      <c r="U4929" s="1"/>
      <c r="V4929" s="1"/>
      <c r="W4929" s="1"/>
      <c r="X4929" s="1"/>
      <c r="Y4929" s="1"/>
      <c r="Z4929" s="1"/>
      <c r="AA4929" s="1"/>
      <c r="AB4929" s="1"/>
      <c r="AC4929" s="1"/>
      <c r="AD4929" s="1"/>
      <c r="AE4929" s="1"/>
      <c r="AF4929" s="1"/>
      <c r="AG4929" s="1"/>
      <c r="AH4929" s="1"/>
      <c r="AI4929" s="1"/>
      <c r="AJ4929" s="1"/>
      <c r="AK4929" s="1"/>
      <c r="AL4929" s="1"/>
      <c r="AM4929" s="1"/>
      <c r="AN4929" s="1"/>
      <c r="AO4929" s="1"/>
      <c r="AP4929" s="1"/>
      <c r="AQ4929" s="1"/>
      <c r="AR4929" s="1"/>
      <c r="AS4929" s="1"/>
      <c r="AT4929" s="1"/>
      <c r="AU4929" s="1"/>
      <c r="AV4929" s="1"/>
      <c r="AW4929" s="1"/>
      <c r="AZ4929" s="1"/>
      <c r="BA4929" s="1"/>
      <c r="BB4929" s="1"/>
      <c r="BC4929" s="44"/>
      <c r="BD4929" s="44"/>
      <c r="BE4929" s="44"/>
      <c r="BF4929" s="44"/>
      <c r="BG4929" s="44"/>
      <c r="BH4929" s="44"/>
      <c r="BI4929" s="44"/>
      <c r="BJ4929" s="44"/>
      <c r="BK4929" s="1"/>
    </row>
    <row r="4930" spans="1:63" s="11" customFormat="1" ht="12" customHeight="1" x14ac:dyDescent="0.15">
      <c r="A4930" s="1" t="s">
        <v>16610</v>
      </c>
      <c r="B4930" s="1" t="s">
        <v>13478</v>
      </c>
      <c r="C4930" s="1" t="s">
        <v>20</v>
      </c>
      <c r="D4930" s="1" t="s">
        <v>85</v>
      </c>
      <c r="E4930" s="1"/>
      <c r="F4930" s="72">
        <v>41412</v>
      </c>
      <c r="G4930" s="1" t="s">
        <v>16611</v>
      </c>
      <c r="H4930" s="1" t="s">
        <v>8890</v>
      </c>
      <c r="I4930" s="1" t="s">
        <v>45</v>
      </c>
      <c r="J4930" s="4" t="s">
        <v>16612</v>
      </c>
      <c r="K4930" s="1" t="s">
        <v>98</v>
      </c>
      <c r="L4930" s="1" t="s">
        <v>8892</v>
      </c>
      <c r="M4930" s="1" t="s">
        <v>27</v>
      </c>
      <c r="N4930" s="1" t="s">
        <v>16613</v>
      </c>
      <c r="O4930" s="1" t="s">
        <v>29</v>
      </c>
      <c r="P4930" s="1" t="s">
        <v>401</v>
      </c>
      <c r="Q4930" s="63" t="s">
        <v>16614</v>
      </c>
      <c r="R4930" s="1" t="s">
        <v>100</v>
      </c>
      <c r="S4930" s="13" t="s">
        <v>28</v>
      </c>
      <c r="T4930" s="1"/>
      <c r="U4930" s="1"/>
      <c r="V4930" s="1"/>
      <c r="W4930" s="1"/>
      <c r="X4930" s="1"/>
      <c r="Y4930" s="1"/>
      <c r="Z4930" s="1"/>
      <c r="AA4930" s="1"/>
      <c r="AB4930" s="1"/>
      <c r="AC4930" s="1"/>
      <c r="AD4930" s="1"/>
      <c r="AE4930" s="1"/>
      <c r="AF4930" s="1"/>
      <c r="AG4930" s="1"/>
      <c r="AH4930" s="1"/>
      <c r="AI4930" s="1"/>
      <c r="AJ4930" s="1"/>
      <c r="AK4930" s="1"/>
      <c r="AL4930" s="1"/>
      <c r="AM4930" s="1"/>
      <c r="AN4930" s="1"/>
      <c r="AO4930" s="1"/>
      <c r="AP4930" s="1"/>
      <c r="AQ4930" s="1"/>
      <c r="AR4930" s="1"/>
      <c r="AS4930" s="1"/>
      <c r="AT4930" s="1"/>
      <c r="AU4930" s="1"/>
      <c r="AV4930" s="1"/>
      <c r="AW4930" s="1"/>
      <c r="AZ4930" s="1"/>
      <c r="BA4930" s="1"/>
      <c r="BB4930" s="1"/>
      <c r="BC4930" s="44"/>
      <c r="BD4930" s="44"/>
      <c r="BE4930" s="44"/>
      <c r="BF4930" s="44"/>
      <c r="BG4930" s="44"/>
      <c r="BH4930" s="44"/>
      <c r="BI4930" s="44"/>
      <c r="BJ4930" s="44"/>
      <c r="BK4930" s="1"/>
    </row>
    <row r="4931" spans="1:63" s="11" customFormat="1" ht="12" customHeight="1" x14ac:dyDescent="0.15">
      <c r="A4931" s="1" t="s">
        <v>16615</v>
      </c>
      <c r="B4931" s="1">
        <v>50</v>
      </c>
      <c r="C4931" s="1" t="s">
        <v>20</v>
      </c>
      <c r="D4931" s="1" t="s">
        <v>85</v>
      </c>
      <c r="E4931" s="1" t="s">
        <v>16616</v>
      </c>
      <c r="F4931" s="72">
        <v>41412</v>
      </c>
      <c r="G4931" s="1" t="s">
        <v>24607</v>
      </c>
      <c r="H4931" s="1" t="s">
        <v>98</v>
      </c>
      <c r="I4931" s="1" t="s">
        <v>45</v>
      </c>
      <c r="J4931" s="4" t="s">
        <v>16617</v>
      </c>
      <c r="K4931" s="1" t="s">
        <v>98</v>
      </c>
      <c r="L4931" s="11" t="s">
        <v>414</v>
      </c>
      <c r="M4931" s="1" t="s">
        <v>27</v>
      </c>
      <c r="N4931" s="1" t="s">
        <v>16618</v>
      </c>
      <c r="O4931" s="1" t="s">
        <v>29</v>
      </c>
      <c r="P4931" s="1" t="s">
        <v>401</v>
      </c>
      <c r="Q4931" s="63" t="s">
        <v>16619</v>
      </c>
      <c r="R4931" s="1" t="s">
        <v>100</v>
      </c>
      <c r="S4931" s="13" t="s">
        <v>28</v>
      </c>
      <c r="T4931" s="1"/>
      <c r="U4931" s="1"/>
      <c r="V4931" s="1"/>
      <c r="W4931" s="1"/>
      <c r="X4931" s="1"/>
      <c r="Y4931" s="1"/>
      <c r="Z4931" s="1"/>
      <c r="AA4931" s="1"/>
      <c r="AB4931" s="1"/>
      <c r="AC4931" s="1"/>
      <c r="AD4931" s="1"/>
      <c r="AE4931" s="1"/>
      <c r="AF4931" s="1"/>
      <c r="AG4931" s="1"/>
      <c r="AH4931" s="1"/>
      <c r="AI4931" s="1"/>
      <c r="AJ4931" s="1"/>
      <c r="AK4931" s="1"/>
      <c r="AL4931" s="1"/>
      <c r="AM4931" s="1"/>
      <c r="AN4931" s="1"/>
      <c r="AO4931" s="1"/>
      <c r="AP4931" s="1"/>
      <c r="AQ4931" s="1"/>
      <c r="AR4931" s="1"/>
      <c r="AS4931" s="1"/>
      <c r="AT4931" s="1"/>
      <c r="AU4931" s="1"/>
      <c r="AV4931" s="1"/>
      <c r="AW4931" s="1"/>
      <c r="AZ4931" s="1"/>
      <c r="BA4931" s="1"/>
      <c r="BB4931" s="1"/>
      <c r="BC4931" s="44"/>
      <c r="BD4931" s="44"/>
      <c r="BE4931" s="44"/>
      <c r="BF4931" s="44"/>
      <c r="BG4931" s="44"/>
      <c r="BH4931" s="44"/>
      <c r="BI4931" s="44"/>
      <c r="BJ4931" s="44"/>
      <c r="BK4931" s="1"/>
    </row>
    <row r="4932" spans="1:63" s="11" customFormat="1" ht="12" customHeight="1" x14ac:dyDescent="0.15">
      <c r="A4932" s="1" t="s">
        <v>16620</v>
      </c>
      <c r="B4932" s="1"/>
      <c r="C4932" s="1" t="s">
        <v>20</v>
      </c>
      <c r="D4932" s="1" t="s">
        <v>85</v>
      </c>
      <c r="E4932" s="1"/>
      <c r="F4932" s="72">
        <v>41412</v>
      </c>
      <c r="G4932" s="1" t="s">
        <v>16621</v>
      </c>
      <c r="H4932" s="1" t="s">
        <v>1192</v>
      </c>
      <c r="I4932" s="1" t="s">
        <v>319</v>
      </c>
      <c r="J4932" s="4">
        <v>38116</v>
      </c>
      <c r="K4932" s="1" t="s">
        <v>1193</v>
      </c>
      <c r="L4932" s="1" t="s">
        <v>1194</v>
      </c>
      <c r="M4932" s="1" t="s">
        <v>379</v>
      </c>
      <c r="N4932" s="1" t="s">
        <v>30989</v>
      </c>
      <c r="O4932" s="1" t="s">
        <v>30990</v>
      </c>
      <c r="P4932" s="1" t="s">
        <v>401</v>
      </c>
      <c r="Q4932" s="63" t="str">
        <f>HYPERLINK("http://wreg.com/2013/05/30/funeral-escort-riders-say-farewell-to-one-of-their-own/","http://wreg.com/2013/05/30/funeral-escort-riders-say-farewell-to-one-of-their-own/")</f>
        <v>http://wreg.com/2013/05/30/funeral-escort-riders-say-farewell-to-one-of-their-own/</v>
      </c>
      <c r="R4932" s="1" t="s">
        <v>100</v>
      </c>
      <c r="S4932" s="13" t="s">
        <v>28</v>
      </c>
      <c r="T4932" s="1"/>
      <c r="U4932" s="1"/>
      <c r="V4932" s="1"/>
      <c r="W4932" s="1"/>
      <c r="X4932" s="1"/>
      <c r="Y4932" s="64"/>
      <c r="Z4932" s="64"/>
      <c r="AA4932" s="64"/>
      <c r="AB4932" s="64"/>
      <c r="AC4932" s="64"/>
      <c r="AD4932" s="64"/>
      <c r="AE4932" s="64"/>
      <c r="AF4932" s="1"/>
      <c r="AG4932" s="1"/>
      <c r="AH4932" s="1"/>
      <c r="AI4932" s="1"/>
      <c r="AJ4932" s="1"/>
      <c r="AK4932" s="1"/>
      <c r="AL4932" s="1"/>
      <c r="AM4932" s="1"/>
      <c r="AN4932" s="1"/>
      <c r="AO4932" s="1"/>
      <c r="AP4932" s="1"/>
      <c r="AQ4932" s="1"/>
      <c r="AR4932" s="1"/>
      <c r="AS4932" s="1"/>
      <c r="AT4932" s="1"/>
      <c r="AU4932" s="1"/>
      <c r="AV4932" s="1"/>
      <c r="AW4932" s="1"/>
      <c r="AX4932" s="1"/>
      <c r="AY4932" s="1"/>
      <c r="AZ4932" s="1"/>
      <c r="BA4932" s="1"/>
      <c r="BB4932" s="1"/>
      <c r="BC4932" s="44"/>
      <c r="BD4932" s="44"/>
      <c r="BE4932" s="44"/>
      <c r="BF4932" s="44"/>
      <c r="BG4932" s="44"/>
      <c r="BH4932" s="44"/>
      <c r="BI4932" s="44"/>
      <c r="BJ4932" s="44"/>
      <c r="BK4932" s="1"/>
    </row>
    <row r="4933" spans="1:63" s="11" customFormat="1" ht="12" customHeight="1" x14ac:dyDescent="0.15">
      <c r="A4933" s="1" t="s">
        <v>16622</v>
      </c>
      <c r="B4933" s="1" t="s">
        <v>8486</v>
      </c>
      <c r="C4933" s="1" t="s">
        <v>20</v>
      </c>
      <c r="D4933" s="1" t="s">
        <v>37</v>
      </c>
      <c r="E4933" s="1" t="s">
        <v>16623</v>
      </c>
      <c r="F4933" s="72">
        <v>41412</v>
      </c>
      <c r="G4933" s="1" t="s">
        <v>16624</v>
      </c>
      <c r="H4933" s="1" t="s">
        <v>12482</v>
      </c>
      <c r="I4933" s="1" t="s">
        <v>1083</v>
      </c>
      <c r="J4933" s="4" t="s">
        <v>16625</v>
      </c>
      <c r="K4933" s="1" t="s">
        <v>16626</v>
      </c>
      <c r="L4933" s="1" t="s">
        <v>16627</v>
      </c>
      <c r="M4933" s="1" t="s">
        <v>27</v>
      </c>
      <c r="N4933" s="1" t="s">
        <v>16628</v>
      </c>
      <c r="O4933" s="1" t="s">
        <v>29</v>
      </c>
      <c r="P4933" s="1" t="s">
        <v>401</v>
      </c>
      <c r="Q4933" s="63" t="s">
        <v>16629</v>
      </c>
      <c r="R4933" s="1" t="s">
        <v>29</v>
      </c>
      <c r="S4933" s="13" t="s">
        <v>28</v>
      </c>
      <c r="T4933" s="1"/>
      <c r="U4933" s="1"/>
      <c r="V4933" s="1"/>
      <c r="W4933" s="1"/>
      <c r="X4933" s="1"/>
      <c r="Y4933" s="1"/>
      <c r="Z4933" s="1"/>
      <c r="AA4933" s="1"/>
      <c r="AB4933" s="1"/>
      <c r="AC4933" s="1"/>
      <c r="AD4933" s="1"/>
      <c r="AE4933" s="1"/>
      <c r="AF4933" s="1"/>
      <c r="AG4933" s="1"/>
      <c r="AH4933" s="1"/>
      <c r="AI4933" s="1"/>
      <c r="AJ4933" s="1"/>
      <c r="AK4933" s="1"/>
      <c r="AL4933" s="1"/>
      <c r="AM4933" s="1"/>
      <c r="AN4933" s="1"/>
      <c r="AO4933" s="1"/>
      <c r="AP4933" s="1"/>
      <c r="AQ4933" s="1"/>
      <c r="AR4933" s="1"/>
      <c r="AS4933" s="1"/>
      <c r="AT4933" s="1"/>
      <c r="AU4933" s="1"/>
      <c r="AV4933" s="1"/>
      <c r="AW4933" s="1"/>
      <c r="BA4933" s="1"/>
      <c r="BB4933" s="1"/>
      <c r="BC4933" s="1"/>
      <c r="BD4933" s="1"/>
      <c r="BE4933" s="1"/>
      <c r="BF4933" s="1"/>
      <c r="BG4933" s="1"/>
      <c r="BH4933" s="1"/>
      <c r="BI4933" s="1"/>
      <c r="BJ4933" s="1"/>
      <c r="BK4933" s="1"/>
    </row>
    <row r="4934" spans="1:63" s="11" customFormat="1" ht="12" customHeight="1" x14ac:dyDescent="0.2">
      <c r="A4934" s="1" t="s">
        <v>16630</v>
      </c>
      <c r="B4934" s="1" t="s">
        <v>13386</v>
      </c>
      <c r="C4934" s="1" t="s">
        <v>20</v>
      </c>
      <c r="D4934" s="1" t="s">
        <v>21</v>
      </c>
      <c r="E4934" s="1"/>
      <c r="F4934" s="72">
        <v>41411</v>
      </c>
      <c r="G4934" s="1" t="s">
        <v>16631</v>
      </c>
      <c r="H4934" s="1" t="s">
        <v>16632</v>
      </c>
      <c r="I4934" s="1" t="s">
        <v>45</v>
      </c>
      <c r="J4934" s="4" t="s">
        <v>16633</v>
      </c>
      <c r="K4934" s="1" t="s">
        <v>98</v>
      </c>
      <c r="L4934" s="1" t="s">
        <v>16634</v>
      </c>
      <c r="M4934" s="1" t="s">
        <v>27</v>
      </c>
      <c r="N4934" s="1" t="s">
        <v>16635</v>
      </c>
      <c r="O4934" s="1" t="s">
        <v>29</v>
      </c>
      <c r="P4934" s="1" t="s">
        <v>401</v>
      </c>
      <c r="Q4934" s="63" t="s">
        <v>16636</v>
      </c>
      <c r="R4934" s="1" t="s">
        <v>100</v>
      </c>
      <c r="S4934" s="13" t="s">
        <v>28</v>
      </c>
      <c r="T4934" s="1"/>
      <c r="U4934" s="1"/>
      <c r="V4934" s="1"/>
      <c r="W4934" s="1"/>
      <c r="X4934" s="1"/>
      <c r="Y4934" s="1"/>
      <c r="Z4934" s="1"/>
      <c r="AA4934" s="1"/>
      <c r="AB4934" s="1"/>
      <c r="AC4934" s="1"/>
      <c r="AD4934" s="1"/>
      <c r="AE4934" s="1"/>
      <c r="AF4934" s="1"/>
      <c r="AG4934" s="1"/>
      <c r="AH4934" s="1"/>
      <c r="AI4934" s="1"/>
      <c r="AJ4934" s="1"/>
      <c r="AK4934" s="1"/>
      <c r="AL4934" s="1"/>
      <c r="AM4934" s="1"/>
      <c r="AN4934" s="1"/>
      <c r="AO4934" s="1"/>
      <c r="AP4934" s="1"/>
      <c r="AQ4934" s="1"/>
      <c r="AR4934" s="1"/>
      <c r="AS4934" s="1"/>
      <c r="AT4934" s="1"/>
      <c r="AU4934" s="1"/>
      <c r="AV4934" s="1"/>
      <c r="AW4934" s="1"/>
      <c r="AX4934" s="70"/>
      <c r="AY4934" s="70"/>
      <c r="AZ4934" s="1"/>
      <c r="BA4934" s="1"/>
      <c r="BB4934" s="1"/>
      <c r="BC4934" s="70"/>
      <c r="BD4934" s="70"/>
      <c r="BE4934" s="70"/>
      <c r="BF4934" s="70"/>
      <c r="BG4934" s="70"/>
      <c r="BH4934" s="70"/>
      <c r="BI4934" s="70"/>
      <c r="BJ4934" s="70"/>
      <c r="BK4934" s="1"/>
    </row>
    <row r="4935" spans="1:63" s="11" customFormat="1" ht="12" customHeight="1" x14ac:dyDescent="0.15">
      <c r="A4935" s="1" t="s">
        <v>16637</v>
      </c>
      <c r="B4935" s="1">
        <v>30</v>
      </c>
      <c r="C4935" s="1" t="s">
        <v>20</v>
      </c>
      <c r="D4935" s="1" t="s">
        <v>85</v>
      </c>
      <c r="E4935" s="1" t="s">
        <v>16638</v>
      </c>
      <c r="F4935" s="72">
        <v>41411</v>
      </c>
      <c r="G4935" s="1" t="s">
        <v>16639</v>
      </c>
      <c r="H4935" s="1" t="s">
        <v>16640</v>
      </c>
      <c r="I4935" s="1" t="s">
        <v>423</v>
      </c>
      <c r="J4935" s="4" t="s">
        <v>16641</v>
      </c>
      <c r="K4935" s="1" t="s">
        <v>5587</v>
      </c>
      <c r="L4935" s="1" t="s">
        <v>16642</v>
      </c>
      <c r="M4935" s="1" t="s">
        <v>27</v>
      </c>
      <c r="N4935" s="1" t="s">
        <v>16643</v>
      </c>
      <c r="O4935" s="1" t="s">
        <v>550</v>
      </c>
      <c r="P4935" s="1" t="s">
        <v>401</v>
      </c>
      <c r="Q4935" s="63" t="s">
        <v>16644</v>
      </c>
      <c r="R4935" s="1" t="s">
        <v>100</v>
      </c>
      <c r="S4935" s="13" t="s">
        <v>28</v>
      </c>
      <c r="T4935" s="1"/>
      <c r="U4935" s="1"/>
      <c r="V4935" s="1"/>
      <c r="W4935" s="1"/>
      <c r="X4935" s="1"/>
      <c r="Y4935" s="1"/>
      <c r="Z4935" s="1"/>
      <c r="AA4935" s="1"/>
      <c r="AB4935" s="1"/>
      <c r="AC4935" s="1"/>
      <c r="AD4935" s="1"/>
      <c r="AE4935" s="1"/>
      <c r="AF4935" s="1"/>
      <c r="AG4935" s="1"/>
      <c r="AH4935" s="1"/>
      <c r="AI4935" s="1"/>
      <c r="AJ4935" s="1"/>
      <c r="AK4935" s="1"/>
      <c r="AL4935" s="1"/>
      <c r="AM4935" s="1"/>
      <c r="AN4935" s="1"/>
      <c r="AO4935" s="1"/>
      <c r="AP4935" s="1"/>
      <c r="AQ4935" s="1"/>
      <c r="AR4935" s="1"/>
      <c r="AS4935" s="1"/>
      <c r="AT4935" s="1"/>
      <c r="AU4935" s="1"/>
      <c r="AV4935" s="1"/>
      <c r="AW4935" s="1"/>
      <c r="AZ4935" s="1"/>
      <c r="BA4935" s="1"/>
      <c r="BB4935" s="1"/>
      <c r="BC4935" s="44"/>
      <c r="BD4935" s="44"/>
      <c r="BE4935" s="44"/>
      <c r="BF4935" s="44"/>
      <c r="BG4935" s="44"/>
      <c r="BH4935" s="44"/>
      <c r="BI4935" s="44"/>
      <c r="BJ4935" s="44"/>
      <c r="BK4935" s="1"/>
    </row>
    <row r="4936" spans="1:63" s="11" customFormat="1" ht="12" customHeight="1" x14ac:dyDescent="0.15">
      <c r="A4936" s="1" t="s">
        <v>16652</v>
      </c>
      <c r="B4936" s="1" t="s">
        <v>15841</v>
      </c>
      <c r="C4936" s="1" t="s">
        <v>114</v>
      </c>
      <c r="D4936" s="1" t="s">
        <v>48</v>
      </c>
      <c r="E4936" s="1" t="s">
        <v>16653</v>
      </c>
      <c r="F4936" s="72">
        <v>41411</v>
      </c>
      <c r="G4936" s="1" t="s">
        <v>16639</v>
      </c>
      <c r="H4936" s="1" t="s">
        <v>16640</v>
      </c>
      <c r="I4936" s="1" t="s">
        <v>423</v>
      </c>
      <c r="J4936" s="4" t="s">
        <v>16641</v>
      </c>
      <c r="K4936" s="1" t="s">
        <v>5587</v>
      </c>
      <c r="L4936" s="1" t="s">
        <v>16642</v>
      </c>
      <c r="M4936" s="1" t="s">
        <v>27</v>
      </c>
      <c r="N4936" s="1" t="s">
        <v>16654</v>
      </c>
      <c r="O4936" s="1" t="s">
        <v>550</v>
      </c>
      <c r="P4936" s="1" t="s">
        <v>401</v>
      </c>
      <c r="Q4936" s="63" t="s">
        <v>16655</v>
      </c>
      <c r="R4936" s="1" t="s">
        <v>100</v>
      </c>
      <c r="S4936" s="13" t="s">
        <v>28</v>
      </c>
      <c r="T4936" s="1"/>
      <c r="U4936" s="1"/>
      <c r="V4936" s="1"/>
      <c r="W4936" s="1"/>
      <c r="X4936" s="1"/>
      <c r="Y4936" s="1"/>
      <c r="Z4936" s="1"/>
      <c r="AA4936" s="1"/>
      <c r="AB4936" s="1"/>
      <c r="AC4936" s="1"/>
      <c r="AD4936" s="1"/>
      <c r="AE4936" s="1"/>
      <c r="AF4936" s="1"/>
      <c r="AG4936" s="1"/>
      <c r="AH4936" s="1"/>
      <c r="AI4936" s="1"/>
      <c r="AJ4936" s="1"/>
      <c r="AK4936" s="1"/>
      <c r="AL4936" s="1"/>
      <c r="AM4936" s="1"/>
      <c r="AN4936" s="1"/>
      <c r="AO4936" s="1"/>
      <c r="AP4936" s="1"/>
      <c r="AQ4936" s="1"/>
      <c r="AR4936" s="1"/>
      <c r="AS4936" s="1"/>
      <c r="AT4936" s="1"/>
      <c r="AU4936" s="1"/>
      <c r="AV4936" s="1"/>
      <c r="AW4936" s="1"/>
      <c r="AX4936" s="1"/>
      <c r="AY4936" s="1"/>
      <c r="AZ4936" s="1"/>
      <c r="BA4936" s="1"/>
      <c r="BB4936" s="1"/>
      <c r="BC4936" s="1"/>
      <c r="BD4936" s="1"/>
      <c r="BE4936" s="1"/>
      <c r="BF4936" s="1"/>
      <c r="BG4936" s="1"/>
      <c r="BH4936" s="1"/>
      <c r="BI4936" s="1"/>
      <c r="BJ4936" s="1"/>
      <c r="BK4936" s="1"/>
    </row>
    <row r="4937" spans="1:63" s="11" customFormat="1" ht="12" customHeight="1" x14ac:dyDescent="0.15">
      <c r="A4937" s="1" t="s">
        <v>16645</v>
      </c>
      <c r="B4937" s="1">
        <v>44</v>
      </c>
      <c r="C4937" s="1" t="s">
        <v>20</v>
      </c>
      <c r="D4937" s="1" t="s">
        <v>48</v>
      </c>
      <c r="E4937" s="1" t="s">
        <v>16646</v>
      </c>
      <c r="F4937" s="72">
        <v>41411</v>
      </c>
      <c r="G4937" s="1" t="s">
        <v>24608</v>
      </c>
      <c r="H4937" s="1" t="s">
        <v>16647</v>
      </c>
      <c r="I4937" s="1" t="s">
        <v>45</v>
      </c>
      <c r="J4937" s="4" t="s">
        <v>16648</v>
      </c>
      <c r="K4937" s="1" t="s">
        <v>98</v>
      </c>
      <c r="L4937" s="1" t="s">
        <v>16649</v>
      </c>
      <c r="M4937" s="1" t="s">
        <v>29</v>
      </c>
      <c r="N4937" s="1" t="s">
        <v>16650</v>
      </c>
      <c r="O4937" s="1" t="s">
        <v>1010</v>
      </c>
      <c r="P4937" s="1" t="s">
        <v>401</v>
      </c>
      <c r="Q4937" s="63" t="s">
        <v>16651</v>
      </c>
      <c r="R4937" s="1" t="s">
        <v>100</v>
      </c>
      <c r="S4937" s="13" t="s">
        <v>28</v>
      </c>
      <c r="T4937" s="1"/>
      <c r="U4937" s="1"/>
      <c r="V4937" s="1"/>
      <c r="W4937" s="1"/>
      <c r="X4937" s="1"/>
      <c r="Y4937" s="1"/>
      <c r="Z4937" s="1"/>
      <c r="AA4937" s="1"/>
      <c r="AB4937" s="1"/>
      <c r="AC4937" s="1"/>
      <c r="AD4937" s="1"/>
      <c r="AE4937" s="1"/>
      <c r="AF4937" s="1"/>
      <c r="AG4937" s="1"/>
      <c r="AH4937" s="1"/>
      <c r="AI4937" s="1"/>
      <c r="AJ4937" s="1"/>
      <c r="AK4937" s="1"/>
      <c r="AL4937" s="1"/>
      <c r="AM4937" s="1"/>
      <c r="AN4937" s="1"/>
      <c r="AO4937" s="1"/>
      <c r="AP4937" s="1"/>
      <c r="AQ4937" s="1"/>
      <c r="AR4937" s="1"/>
      <c r="AS4937" s="1"/>
      <c r="AT4937" s="1"/>
      <c r="AW4937" s="44"/>
      <c r="AX4937" s="1"/>
      <c r="AY4937" s="1"/>
      <c r="AZ4937" s="1"/>
      <c r="BA4937" s="1"/>
      <c r="BB4937" s="1"/>
      <c r="BC4937" s="1"/>
      <c r="BD4937" s="1"/>
      <c r="BE4937" s="1"/>
      <c r="BF4937" s="1"/>
      <c r="BG4937" s="1"/>
      <c r="BH4937" s="1"/>
      <c r="BI4937" s="1"/>
      <c r="BJ4937" s="1"/>
      <c r="BK4937" s="1"/>
    </row>
    <row r="4938" spans="1:63" s="11" customFormat="1" ht="12" customHeight="1" x14ac:dyDescent="0.15">
      <c r="A4938" s="1" t="s">
        <v>16661</v>
      </c>
      <c r="B4938" s="1">
        <v>33</v>
      </c>
      <c r="C4938" s="1" t="s">
        <v>114</v>
      </c>
      <c r="D4938" s="1" t="s">
        <v>37</v>
      </c>
      <c r="E4938" s="1" t="s">
        <v>16662</v>
      </c>
      <c r="F4938" s="72">
        <v>41411</v>
      </c>
      <c r="G4938" s="1" t="s">
        <v>16663</v>
      </c>
      <c r="H4938" s="1" t="s">
        <v>151</v>
      </c>
      <c r="I4938" s="1" t="s">
        <v>366</v>
      </c>
      <c r="J4938" s="4" t="s">
        <v>16664</v>
      </c>
      <c r="K4938" s="1" t="s">
        <v>690</v>
      </c>
      <c r="L4938" s="1" t="s">
        <v>16665</v>
      </c>
      <c r="M4938" s="1" t="s">
        <v>27</v>
      </c>
      <c r="N4938" s="1" t="s">
        <v>16666</v>
      </c>
      <c r="O4938" s="1" t="s">
        <v>4684</v>
      </c>
      <c r="P4938" s="1" t="s">
        <v>401</v>
      </c>
      <c r="Q4938" s="63" t="s">
        <v>16667</v>
      </c>
      <c r="R4938" s="1" t="s">
        <v>100</v>
      </c>
      <c r="S4938" s="13" t="s">
        <v>28</v>
      </c>
      <c r="T4938" s="1"/>
      <c r="U4938" s="1"/>
      <c r="V4938" s="1"/>
      <c r="W4938" s="1"/>
      <c r="X4938" s="1"/>
      <c r="Y4938" s="1"/>
      <c r="Z4938" s="1"/>
      <c r="AA4938" s="1"/>
      <c r="AB4938" s="1"/>
      <c r="AC4938" s="1"/>
      <c r="AD4938" s="1"/>
      <c r="AE4938" s="1"/>
      <c r="AF4938" s="1"/>
      <c r="AG4938" s="1"/>
      <c r="AH4938" s="1"/>
      <c r="AI4938" s="1"/>
      <c r="AJ4938" s="1"/>
      <c r="AK4938" s="1"/>
      <c r="AL4938" s="1"/>
      <c r="AM4938" s="1"/>
      <c r="AN4938" s="1"/>
      <c r="AO4938" s="1"/>
      <c r="AP4938" s="1"/>
      <c r="AQ4938" s="1"/>
      <c r="AR4938" s="1"/>
      <c r="AS4938" s="1"/>
      <c r="AT4938" s="1"/>
      <c r="AU4938" s="1"/>
      <c r="AV4938" s="1"/>
      <c r="AW4938" s="1"/>
      <c r="BA4938" s="1"/>
      <c r="BB4938" s="1"/>
      <c r="BC4938" s="1"/>
      <c r="BD4938" s="1"/>
      <c r="BE4938" s="1"/>
      <c r="BF4938" s="1"/>
      <c r="BG4938" s="1"/>
      <c r="BH4938" s="1"/>
      <c r="BI4938" s="1"/>
      <c r="BJ4938" s="1"/>
      <c r="BK4938" s="1"/>
    </row>
    <row r="4939" spans="1:63" s="11" customFormat="1" ht="12" customHeight="1" x14ac:dyDescent="0.15">
      <c r="A4939" s="1" t="s">
        <v>16656</v>
      </c>
      <c r="B4939" s="1">
        <v>43</v>
      </c>
      <c r="C4939" s="1" t="s">
        <v>20</v>
      </c>
      <c r="D4939" s="1" t="s">
        <v>37</v>
      </c>
      <c r="E4939" s="1" t="s">
        <v>16657</v>
      </c>
      <c r="F4939" s="72">
        <v>41411</v>
      </c>
      <c r="G4939" s="1" t="s">
        <v>16658</v>
      </c>
      <c r="H4939" s="1" t="s">
        <v>2160</v>
      </c>
      <c r="I4939" s="1" t="s">
        <v>438</v>
      </c>
      <c r="J4939" s="4">
        <v>53704</v>
      </c>
      <c r="K4939" s="1" t="s">
        <v>9771</v>
      </c>
      <c r="L4939" s="1" t="s">
        <v>3839</v>
      </c>
      <c r="M4939" s="1" t="s">
        <v>27</v>
      </c>
      <c r="N4939" s="1" t="s">
        <v>16659</v>
      </c>
      <c r="O4939" s="1" t="s">
        <v>550</v>
      </c>
      <c r="P4939" s="1" t="s">
        <v>401</v>
      </c>
      <c r="Q4939" s="63" t="s">
        <v>16660</v>
      </c>
      <c r="R4939" s="1" t="s">
        <v>555</v>
      </c>
      <c r="S4939" s="13" t="s">
        <v>28</v>
      </c>
      <c r="T4939" s="1"/>
      <c r="U4939" s="1"/>
      <c r="V4939" s="1"/>
      <c r="W4939" s="1"/>
      <c r="X4939" s="1"/>
      <c r="Y4939" s="1"/>
      <c r="Z4939" s="1"/>
      <c r="AA4939" s="1"/>
      <c r="AB4939" s="1"/>
      <c r="AC4939" s="1"/>
      <c r="AD4939" s="1"/>
      <c r="AE4939" s="1"/>
      <c r="AF4939" s="1"/>
      <c r="AG4939" s="1"/>
      <c r="AH4939" s="1"/>
      <c r="AI4939" s="1"/>
      <c r="AJ4939" s="1"/>
      <c r="AK4939" s="1"/>
      <c r="AL4939" s="1"/>
      <c r="AM4939" s="1"/>
      <c r="AN4939" s="1"/>
      <c r="AO4939" s="1"/>
      <c r="AP4939" s="1"/>
      <c r="AQ4939" s="1"/>
      <c r="AR4939" s="1"/>
      <c r="AS4939" s="1"/>
      <c r="AT4939" s="1"/>
      <c r="AU4939" s="1"/>
      <c r="AV4939" s="1"/>
      <c r="AW4939" s="1"/>
      <c r="BA4939" s="44"/>
      <c r="BB4939" s="44"/>
      <c r="BC4939" s="1"/>
      <c r="BD4939" s="1"/>
      <c r="BE4939" s="1"/>
      <c r="BF4939" s="1"/>
      <c r="BG4939" s="1"/>
      <c r="BH4939" s="1"/>
      <c r="BI4939" s="1"/>
      <c r="BJ4939" s="1"/>
      <c r="BK4939" s="1"/>
    </row>
    <row r="4940" spans="1:63" s="11" customFormat="1" ht="12" customHeight="1" x14ac:dyDescent="0.15">
      <c r="A4940" s="1" t="s">
        <v>16668</v>
      </c>
      <c r="B4940" s="1">
        <v>34</v>
      </c>
      <c r="C4940" s="1" t="s">
        <v>20</v>
      </c>
      <c r="D4940" s="1" t="s">
        <v>85</v>
      </c>
      <c r="E4940" s="1" t="s">
        <v>16669</v>
      </c>
      <c r="F4940" s="72">
        <v>41410</v>
      </c>
      <c r="G4940" s="1" t="s">
        <v>24609</v>
      </c>
      <c r="H4940" s="1" t="s">
        <v>926</v>
      </c>
      <c r="I4940" s="1" t="s">
        <v>73</v>
      </c>
      <c r="J4940" s="4" t="s">
        <v>16670</v>
      </c>
      <c r="K4940" s="1" t="s">
        <v>74</v>
      </c>
      <c r="L4940" s="1" t="s">
        <v>927</v>
      </c>
      <c r="M4940" s="1" t="s">
        <v>391</v>
      </c>
      <c r="N4940" s="1" t="s">
        <v>16671</v>
      </c>
      <c r="O4940" s="1" t="s">
        <v>1010</v>
      </c>
      <c r="P4940" s="1" t="s">
        <v>401</v>
      </c>
      <c r="Q4940" s="63" t="s">
        <v>16672</v>
      </c>
      <c r="R4940" s="1" t="s">
        <v>100</v>
      </c>
      <c r="S4940" s="13" t="s">
        <v>28</v>
      </c>
      <c r="T4940" s="1"/>
      <c r="U4940" s="1"/>
      <c r="V4940" s="1"/>
      <c r="W4940" s="1"/>
      <c r="X4940" s="1"/>
      <c r="Y4940" s="1"/>
      <c r="Z4940" s="1"/>
      <c r="AA4940" s="1"/>
      <c r="AB4940" s="1"/>
      <c r="AC4940" s="1"/>
      <c r="AD4940" s="1"/>
      <c r="AE4940" s="1"/>
      <c r="AF4940" s="1"/>
      <c r="AG4940" s="1"/>
      <c r="AH4940" s="1"/>
      <c r="AI4940" s="1"/>
      <c r="AJ4940" s="1"/>
      <c r="AK4940" s="1"/>
      <c r="AL4940" s="1"/>
      <c r="AM4940" s="1"/>
      <c r="AN4940" s="1"/>
      <c r="AO4940" s="1"/>
      <c r="AP4940" s="1"/>
      <c r="AQ4940" s="1"/>
      <c r="AR4940" s="1"/>
      <c r="AS4940" s="1"/>
      <c r="AT4940" s="1"/>
      <c r="AX4940" s="44"/>
      <c r="AY4940" s="44"/>
      <c r="AZ4940" s="1"/>
      <c r="BA4940" s="1"/>
      <c r="BB4940" s="1"/>
      <c r="BC4940" s="44"/>
      <c r="BD4940" s="44"/>
      <c r="BE4940" s="44"/>
      <c r="BF4940" s="44"/>
      <c r="BG4940" s="44"/>
      <c r="BH4940" s="44"/>
      <c r="BI4940" s="44"/>
      <c r="BJ4940" s="44"/>
      <c r="BK4940" s="1"/>
    </row>
    <row r="4941" spans="1:63" s="11" customFormat="1" ht="12" customHeight="1" x14ac:dyDescent="0.15">
      <c r="A4941" s="1" t="s">
        <v>16676</v>
      </c>
      <c r="B4941" s="1" t="s">
        <v>15717</v>
      </c>
      <c r="C4941" s="1" t="s">
        <v>20</v>
      </c>
      <c r="D4941" s="1" t="s">
        <v>30</v>
      </c>
      <c r="E4941" s="1"/>
      <c r="F4941" s="72">
        <v>41410</v>
      </c>
      <c r="G4941" s="1" t="s">
        <v>16677</v>
      </c>
      <c r="H4941" s="1" t="s">
        <v>561</v>
      </c>
      <c r="I4941" s="1" t="s">
        <v>123</v>
      </c>
      <c r="J4941" s="4" t="s">
        <v>16678</v>
      </c>
      <c r="K4941" s="1" t="s">
        <v>562</v>
      </c>
      <c r="L4941" s="1" t="s">
        <v>563</v>
      </c>
      <c r="M4941" s="1" t="s">
        <v>27</v>
      </c>
      <c r="N4941" s="1" t="s">
        <v>16679</v>
      </c>
      <c r="O4941" s="1" t="s">
        <v>29</v>
      </c>
      <c r="P4941" s="1" t="s">
        <v>401</v>
      </c>
      <c r="Q4941" s="63" t="s">
        <v>16680</v>
      </c>
      <c r="R4941" s="1" t="s">
        <v>100</v>
      </c>
      <c r="S4941" s="13" t="s">
        <v>28</v>
      </c>
      <c r="T4941" s="1"/>
      <c r="U4941" s="1"/>
      <c r="V4941" s="1"/>
      <c r="W4941" s="1"/>
      <c r="X4941" s="1"/>
      <c r="Y4941" s="1"/>
      <c r="Z4941" s="1"/>
      <c r="AA4941" s="1"/>
      <c r="AB4941" s="1"/>
      <c r="AC4941" s="1"/>
      <c r="AD4941" s="1"/>
      <c r="AE4941" s="1"/>
      <c r="AF4941" s="1"/>
      <c r="AG4941" s="1"/>
      <c r="AH4941" s="1"/>
      <c r="AI4941" s="1"/>
      <c r="AJ4941" s="1"/>
      <c r="AK4941" s="1"/>
      <c r="AL4941" s="1"/>
      <c r="AM4941" s="1"/>
      <c r="AN4941" s="1"/>
      <c r="AO4941" s="1"/>
      <c r="AP4941" s="1"/>
      <c r="AQ4941" s="1"/>
      <c r="AR4941" s="1"/>
      <c r="AS4941" s="1"/>
      <c r="AT4941" s="1"/>
      <c r="AU4941" s="1"/>
      <c r="AV4941" s="1"/>
      <c r="AW4941" s="1"/>
      <c r="AX4941" s="1"/>
      <c r="AY4941" s="1"/>
      <c r="AZ4941" s="1"/>
      <c r="BA4941" s="1"/>
      <c r="BB4941" s="1"/>
      <c r="BC4941" s="1"/>
      <c r="BD4941" s="1"/>
      <c r="BE4941" s="1"/>
      <c r="BF4941" s="1"/>
      <c r="BG4941" s="1"/>
      <c r="BH4941" s="1"/>
      <c r="BI4941" s="1"/>
      <c r="BJ4941" s="1"/>
      <c r="BK4941" s="1"/>
    </row>
    <row r="4942" spans="1:63" s="11" customFormat="1" ht="12" customHeight="1" x14ac:dyDescent="0.15">
      <c r="A4942" s="1" t="s">
        <v>16687</v>
      </c>
      <c r="B4942" s="1" t="s">
        <v>15703</v>
      </c>
      <c r="C4942" s="1" t="s">
        <v>20</v>
      </c>
      <c r="D4942" s="1" t="s">
        <v>37</v>
      </c>
      <c r="E4942" s="1" t="s">
        <v>16688</v>
      </c>
      <c r="F4942" s="72">
        <v>41410</v>
      </c>
      <c r="G4942" s="1" t="s">
        <v>16689</v>
      </c>
      <c r="H4942" s="1" t="s">
        <v>204</v>
      </c>
      <c r="I4942" s="1" t="s">
        <v>69</v>
      </c>
      <c r="J4942" s="4" t="s">
        <v>16690</v>
      </c>
      <c r="K4942" s="1" t="s">
        <v>3466</v>
      </c>
      <c r="L4942" s="1" t="s">
        <v>16691</v>
      </c>
      <c r="M4942" s="1" t="s">
        <v>27</v>
      </c>
      <c r="N4942" s="1" t="s">
        <v>16692</v>
      </c>
      <c r="O4942" s="1" t="s">
        <v>29</v>
      </c>
      <c r="P4942" s="1" t="s">
        <v>401</v>
      </c>
      <c r="Q4942" s="63" t="s">
        <v>16693</v>
      </c>
      <c r="R4942" s="1" t="s">
        <v>100</v>
      </c>
      <c r="S4942" s="13" t="s">
        <v>28</v>
      </c>
      <c r="T4942" s="1"/>
      <c r="U4942" s="1"/>
      <c r="V4942" s="1"/>
      <c r="W4942" s="1"/>
      <c r="X4942" s="1"/>
      <c r="Y4942" s="1"/>
      <c r="Z4942" s="1"/>
      <c r="AA4942" s="1"/>
      <c r="AB4942" s="1"/>
      <c r="AC4942" s="1"/>
      <c r="AD4942" s="1"/>
      <c r="AE4942" s="1"/>
      <c r="AF4942" s="1"/>
      <c r="AG4942" s="1"/>
      <c r="AH4942" s="1"/>
      <c r="AI4942" s="1"/>
      <c r="AJ4942" s="1"/>
      <c r="AK4942" s="1"/>
      <c r="AL4942" s="1"/>
      <c r="AM4942" s="1"/>
      <c r="AN4942" s="1"/>
      <c r="AO4942" s="1"/>
      <c r="AP4942" s="1"/>
      <c r="AQ4942" s="1"/>
      <c r="AR4942" s="1"/>
      <c r="AS4942" s="1"/>
      <c r="AT4942" s="1"/>
      <c r="AU4942" s="1"/>
      <c r="AV4942" s="1"/>
      <c r="AW4942" s="1"/>
      <c r="BA4942" s="1"/>
      <c r="BB4942" s="1"/>
      <c r="BC4942" s="1"/>
      <c r="BD4942" s="1"/>
      <c r="BE4942" s="1"/>
      <c r="BF4942" s="1"/>
      <c r="BG4942" s="1"/>
      <c r="BH4942" s="1"/>
      <c r="BI4942" s="1"/>
      <c r="BJ4942" s="1"/>
      <c r="BK4942" s="1"/>
    </row>
    <row r="4943" spans="1:63" s="11" customFormat="1" ht="12" customHeight="1" x14ac:dyDescent="0.15">
      <c r="A4943" s="1" t="s">
        <v>16681</v>
      </c>
      <c r="B4943" s="1" t="s">
        <v>15841</v>
      </c>
      <c r="C4943" s="1" t="s">
        <v>20</v>
      </c>
      <c r="D4943" s="1" t="s">
        <v>37</v>
      </c>
      <c r="E4943" s="1" t="s">
        <v>16682</v>
      </c>
      <c r="F4943" s="72">
        <v>41410</v>
      </c>
      <c r="G4943" s="1" t="s">
        <v>24611</v>
      </c>
      <c r="H4943" s="1" t="s">
        <v>16683</v>
      </c>
      <c r="I4943" s="1" t="s">
        <v>303</v>
      </c>
      <c r="J4943" s="4" t="s">
        <v>16684</v>
      </c>
      <c r="K4943" s="1" t="s">
        <v>838</v>
      </c>
      <c r="L4943" s="1" t="s">
        <v>839</v>
      </c>
      <c r="M4943" s="1" t="s">
        <v>27</v>
      </c>
      <c r="N4943" s="1" t="s">
        <v>16685</v>
      </c>
      <c r="O4943" s="1" t="s">
        <v>550</v>
      </c>
      <c r="P4943" s="1" t="s">
        <v>401</v>
      </c>
      <c r="Q4943" s="63" t="s">
        <v>16686</v>
      </c>
      <c r="R4943" s="1" t="s">
        <v>100</v>
      </c>
      <c r="S4943" s="13" t="s">
        <v>28</v>
      </c>
      <c r="T4943" s="1"/>
      <c r="U4943" s="1"/>
      <c r="V4943" s="1"/>
      <c r="W4943" s="1"/>
      <c r="X4943" s="1"/>
      <c r="Y4943" s="1"/>
      <c r="Z4943" s="1"/>
      <c r="AA4943" s="1"/>
      <c r="AB4943" s="1"/>
      <c r="AC4943" s="1"/>
      <c r="AD4943" s="1"/>
      <c r="AE4943" s="1"/>
      <c r="AF4943" s="1"/>
      <c r="AG4943" s="1"/>
      <c r="AH4943" s="1"/>
      <c r="AI4943" s="1"/>
      <c r="AJ4943" s="1"/>
      <c r="AK4943" s="1"/>
      <c r="AL4943" s="1"/>
      <c r="AM4943" s="1"/>
      <c r="AN4943" s="1"/>
      <c r="AO4943" s="1"/>
      <c r="AP4943" s="1"/>
      <c r="AQ4943" s="1"/>
      <c r="AR4943" s="1"/>
      <c r="AS4943" s="1"/>
      <c r="AT4943" s="1"/>
      <c r="AU4943" s="1"/>
      <c r="AV4943" s="1"/>
      <c r="AW4943" s="1"/>
      <c r="BA4943" s="1"/>
      <c r="BB4943" s="1"/>
      <c r="BC4943" s="1"/>
      <c r="BD4943" s="1"/>
      <c r="BE4943" s="1"/>
      <c r="BF4943" s="1"/>
      <c r="BG4943" s="1"/>
      <c r="BH4943" s="1"/>
      <c r="BI4943" s="1"/>
      <c r="BJ4943" s="1"/>
      <c r="BK4943" s="1"/>
    </row>
    <row r="4944" spans="1:63" s="11" customFormat="1" ht="12" customHeight="1" x14ac:dyDescent="0.15">
      <c r="A4944" s="1" t="s">
        <v>16673</v>
      </c>
      <c r="B4944" s="1">
        <v>25</v>
      </c>
      <c r="C4944" s="1" t="s">
        <v>20</v>
      </c>
      <c r="D4944" s="1" t="s">
        <v>85</v>
      </c>
      <c r="E4944" s="1"/>
      <c r="F4944" s="72">
        <v>41410</v>
      </c>
      <c r="G4944" s="1" t="s">
        <v>24610</v>
      </c>
      <c r="H4944" s="1" t="s">
        <v>15667</v>
      </c>
      <c r="I4944" s="1" t="s">
        <v>45</v>
      </c>
      <c r="J4944" s="4" t="s">
        <v>7914</v>
      </c>
      <c r="K4944" s="1" t="s">
        <v>98</v>
      </c>
      <c r="L4944" s="1" t="s">
        <v>99</v>
      </c>
      <c r="M4944" s="1" t="s">
        <v>27</v>
      </c>
      <c r="N4944" s="1" t="s">
        <v>16674</v>
      </c>
      <c r="O4944" s="1" t="s">
        <v>400</v>
      </c>
      <c r="P4944" s="1" t="s">
        <v>401</v>
      </c>
      <c r="Q4944" s="63" t="s">
        <v>16675</v>
      </c>
      <c r="R4944" s="1" t="s">
        <v>29</v>
      </c>
      <c r="S4944" s="13" t="s">
        <v>28</v>
      </c>
      <c r="T4944" s="1"/>
      <c r="U4944" s="1"/>
      <c r="V4944" s="1"/>
      <c r="W4944" s="1"/>
      <c r="X4944" s="1"/>
      <c r="Y4944" s="64"/>
      <c r="Z4944" s="64"/>
      <c r="AA4944" s="64"/>
      <c r="AB4944" s="64"/>
      <c r="AC4944" s="64"/>
      <c r="AD4944" s="64"/>
      <c r="AE4944" s="64"/>
      <c r="AF4944" s="1"/>
      <c r="AG4944" s="1"/>
      <c r="AH4944" s="1"/>
      <c r="AI4944" s="1"/>
      <c r="AJ4944" s="1"/>
      <c r="AK4944" s="1"/>
      <c r="AL4944" s="1"/>
      <c r="AM4944" s="1"/>
      <c r="AN4944" s="1"/>
      <c r="AO4944" s="1"/>
      <c r="AP4944" s="1"/>
      <c r="AQ4944" s="1"/>
      <c r="AR4944" s="1"/>
      <c r="AS4944" s="1"/>
      <c r="AT4944" s="1"/>
      <c r="AU4944" s="1"/>
      <c r="AV4944" s="1"/>
      <c r="AW4944" s="1"/>
      <c r="AZ4944" s="1"/>
      <c r="BA4944" s="1"/>
      <c r="BB4944" s="1"/>
      <c r="BC4944" s="44"/>
      <c r="BD4944" s="44"/>
      <c r="BE4944" s="44"/>
      <c r="BF4944" s="44"/>
      <c r="BG4944" s="44"/>
      <c r="BH4944" s="44"/>
      <c r="BI4944" s="44"/>
      <c r="BJ4944" s="44"/>
      <c r="BK4944" s="1"/>
    </row>
    <row r="4945" spans="1:63" s="11" customFormat="1" ht="12" customHeight="1" x14ac:dyDescent="0.15">
      <c r="A4945" s="1" t="s">
        <v>16704</v>
      </c>
      <c r="B4945" s="1" t="s">
        <v>15853</v>
      </c>
      <c r="C4945" s="1" t="s">
        <v>20</v>
      </c>
      <c r="D4945" s="1" t="s">
        <v>85</v>
      </c>
      <c r="E4945" s="1" t="s">
        <v>16705</v>
      </c>
      <c r="F4945" s="72">
        <v>41409</v>
      </c>
      <c r="G4945" s="1" t="s">
        <v>16706</v>
      </c>
      <c r="H4945" s="1" t="s">
        <v>4182</v>
      </c>
      <c r="I4945" s="1" t="s">
        <v>46</v>
      </c>
      <c r="J4945" s="4" t="s">
        <v>16707</v>
      </c>
      <c r="K4945" s="1" t="s">
        <v>8933</v>
      </c>
      <c r="L4945" s="1" t="s">
        <v>4185</v>
      </c>
      <c r="M4945" s="1" t="s">
        <v>27</v>
      </c>
      <c r="N4945" s="1" t="s">
        <v>16708</v>
      </c>
      <c r="O4945" s="1" t="s">
        <v>29</v>
      </c>
      <c r="P4945" s="1" t="s">
        <v>401</v>
      </c>
      <c r="Q4945" s="63" t="s">
        <v>16709</v>
      </c>
      <c r="R4945" s="1" t="s">
        <v>100</v>
      </c>
      <c r="S4945" s="13" t="s">
        <v>28</v>
      </c>
      <c r="T4945" s="1"/>
      <c r="U4945" s="1"/>
      <c r="V4945" s="1"/>
      <c r="W4945" s="1"/>
      <c r="X4945" s="1"/>
      <c r="Y4945" s="1"/>
      <c r="Z4945" s="1"/>
      <c r="AA4945" s="1"/>
      <c r="AB4945" s="1"/>
      <c r="AC4945" s="1"/>
      <c r="AD4945" s="1"/>
      <c r="AE4945" s="1"/>
      <c r="AF4945" s="1"/>
      <c r="AG4945" s="1"/>
      <c r="AH4945" s="1"/>
      <c r="AI4945" s="1"/>
      <c r="AJ4945" s="1"/>
      <c r="AK4945" s="1"/>
      <c r="AL4945" s="1"/>
      <c r="AM4945" s="1"/>
      <c r="AN4945" s="1"/>
      <c r="AO4945" s="1"/>
      <c r="AP4945" s="1"/>
      <c r="AQ4945" s="1"/>
      <c r="AR4945" s="1"/>
      <c r="AS4945" s="1"/>
      <c r="AT4945" s="1"/>
      <c r="AU4945" s="1"/>
      <c r="AV4945" s="1"/>
      <c r="AW4945" s="1"/>
      <c r="AZ4945" s="1"/>
      <c r="BA4945" s="1"/>
      <c r="BB4945" s="1"/>
      <c r="BC4945" s="44"/>
      <c r="BD4945" s="44"/>
      <c r="BE4945" s="44"/>
      <c r="BF4945" s="44"/>
      <c r="BG4945" s="44"/>
      <c r="BH4945" s="44"/>
      <c r="BI4945" s="44"/>
      <c r="BJ4945" s="44"/>
      <c r="BK4945" s="1"/>
    </row>
    <row r="4946" spans="1:63" s="11" customFormat="1" ht="12" customHeight="1" x14ac:dyDescent="0.15">
      <c r="A4946" s="1" t="s">
        <v>16701</v>
      </c>
      <c r="B4946" s="1" t="s">
        <v>10011</v>
      </c>
      <c r="C4946" s="1" t="s">
        <v>20</v>
      </c>
      <c r="D4946" s="1" t="s">
        <v>85</v>
      </c>
      <c r="E4946" s="1" t="s">
        <v>16702</v>
      </c>
      <c r="F4946" s="72">
        <v>41409</v>
      </c>
      <c r="G4946" s="1" t="s">
        <v>16696</v>
      </c>
      <c r="H4946" s="1" t="s">
        <v>16697</v>
      </c>
      <c r="I4946" s="1" t="s">
        <v>69</v>
      </c>
      <c r="J4946" s="4" t="s">
        <v>16698</v>
      </c>
      <c r="K4946" s="1" t="s">
        <v>1288</v>
      </c>
      <c r="L4946" s="1" t="s">
        <v>12562</v>
      </c>
      <c r="M4946" s="1" t="s">
        <v>27</v>
      </c>
      <c r="N4946" s="1" t="s">
        <v>16703</v>
      </c>
      <c r="O4946" s="1" t="s">
        <v>29</v>
      </c>
      <c r="P4946" s="1" t="s">
        <v>401</v>
      </c>
      <c r="Q4946" s="63" t="s">
        <v>16700</v>
      </c>
      <c r="R4946" s="1" t="s">
        <v>100</v>
      </c>
      <c r="S4946" s="13" t="s">
        <v>28</v>
      </c>
      <c r="T4946" s="1"/>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c r="AQ4946" s="1"/>
      <c r="AR4946" s="1"/>
      <c r="AS4946" s="1"/>
      <c r="AT4946" s="1"/>
      <c r="AU4946" s="1"/>
      <c r="AV4946" s="1"/>
      <c r="AW4946" s="1"/>
      <c r="AZ4946" s="1"/>
      <c r="BA4946" s="1"/>
      <c r="BB4946" s="1"/>
      <c r="BC4946" s="44"/>
      <c r="BD4946" s="44"/>
      <c r="BE4946" s="44"/>
      <c r="BF4946" s="44"/>
      <c r="BG4946" s="44"/>
      <c r="BH4946" s="44"/>
      <c r="BI4946" s="44"/>
      <c r="BJ4946" s="44"/>
      <c r="BK4946" s="1"/>
    </row>
    <row r="4947" spans="1:63" s="11" customFormat="1" ht="12" customHeight="1" x14ac:dyDescent="0.15">
      <c r="A4947" s="1" t="s">
        <v>16694</v>
      </c>
      <c r="B4947" s="1" t="s">
        <v>15841</v>
      </c>
      <c r="C4947" s="1" t="s">
        <v>114</v>
      </c>
      <c r="D4947" s="1" t="s">
        <v>85</v>
      </c>
      <c r="E4947" s="1" t="s">
        <v>16695</v>
      </c>
      <c r="F4947" s="72">
        <v>41409</v>
      </c>
      <c r="G4947" s="1" t="s">
        <v>16696</v>
      </c>
      <c r="H4947" s="1" t="s">
        <v>16697</v>
      </c>
      <c r="I4947" s="1" t="s">
        <v>69</v>
      </c>
      <c r="J4947" s="4" t="s">
        <v>16698</v>
      </c>
      <c r="K4947" s="1" t="s">
        <v>1288</v>
      </c>
      <c r="L4947" s="1" t="s">
        <v>12562</v>
      </c>
      <c r="M4947" s="1" t="s">
        <v>27</v>
      </c>
      <c r="N4947" s="1" t="s">
        <v>16699</v>
      </c>
      <c r="O4947" s="1" t="s">
        <v>29</v>
      </c>
      <c r="P4947" s="1" t="s">
        <v>401</v>
      </c>
      <c r="Q4947" s="63" t="s">
        <v>16700</v>
      </c>
      <c r="R4947" s="1" t="s">
        <v>100</v>
      </c>
      <c r="S4947" s="13" t="s">
        <v>28</v>
      </c>
      <c r="T4947" s="1"/>
      <c r="U4947" s="1"/>
      <c r="V4947" s="1"/>
      <c r="W4947" s="1"/>
      <c r="X4947" s="1"/>
      <c r="Y4947" s="1"/>
      <c r="Z4947" s="1"/>
      <c r="AA4947" s="1"/>
      <c r="AB4947" s="1"/>
      <c r="AC4947" s="1"/>
      <c r="AD4947" s="1"/>
      <c r="AE4947" s="1"/>
      <c r="AF4947" s="1"/>
      <c r="AG4947" s="1"/>
      <c r="AH4947" s="1"/>
      <c r="AI4947" s="1"/>
      <c r="AJ4947" s="1"/>
      <c r="AK4947" s="1"/>
      <c r="AL4947" s="1"/>
      <c r="AM4947" s="1"/>
      <c r="AN4947" s="1"/>
      <c r="AO4947" s="1"/>
      <c r="AP4947" s="1"/>
      <c r="AQ4947" s="1"/>
      <c r="AR4947" s="1"/>
      <c r="AS4947" s="1"/>
      <c r="AT4947" s="1"/>
      <c r="AU4947" s="1"/>
      <c r="AV4947" s="1"/>
      <c r="AW4947" s="1"/>
      <c r="AZ4947" s="1"/>
      <c r="BA4947" s="1"/>
      <c r="BB4947" s="1"/>
      <c r="BC4947" s="44"/>
      <c r="BD4947" s="44"/>
      <c r="BE4947" s="44"/>
      <c r="BF4947" s="44"/>
      <c r="BG4947" s="44"/>
      <c r="BH4947" s="44"/>
      <c r="BI4947" s="44"/>
      <c r="BJ4947" s="44"/>
      <c r="BK4947" s="1"/>
    </row>
    <row r="4948" spans="1:63" s="11" customFormat="1" ht="12" customHeight="1" x14ac:dyDescent="0.15">
      <c r="A4948" s="1" t="s">
        <v>16710</v>
      </c>
      <c r="B4948" s="1">
        <v>52</v>
      </c>
      <c r="C4948" s="1" t="s">
        <v>20</v>
      </c>
      <c r="D4948" s="1" t="s">
        <v>48</v>
      </c>
      <c r="E4948" s="1"/>
      <c r="F4948" s="72">
        <v>41409</v>
      </c>
      <c r="G4948" s="1" t="s">
        <v>16711</v>
      </c>
      <c r="H4948" s="1" t="s">
        <v>849</v>
      </c>
      <c r="I4948" s="1" t="s">
        <v>41</v>
      </c>
      <c r="J4948" s="4" t="s">
        <v>16712</v>
      </c>
      <c r="K4948" s="1" t="s">
        <v>849</v>
      </c>
      <c r="L4948" s="1" t="s">
        <v>850</v>
      </c>
      <c r="M4948" s="1" t="s">
        <v>27</v>
      </c>
      <c r="N4948" s="1" t="s">
        <v>16713</v>
      </c>
      <c r="O4948" s="1" t="s">
        <v>1010</v>
      </c>
      <c r="P4948" s="1" t="s">
        <v>401</v>
      </c>
      <c r="Q4948" s="63" t="s">
        <v>16714</v>
      </c>
      <c r="R4948" s="1" t="s">
        <v>29</v>
      </c>
      <c r="S4948" s="13" t="s">
        <v>28</v>
      </c>
      <c r="T4948" s="1"/>
      <c r="U4948" s="1"/>
      <c r="V4948" s="1"/>
      <c r="W4948" s="1"/>
      <c r="X4948" s="1"/>
      <c r="Y4948" s="1"/>
      <c r="Z4948" s="1"/>
      <c r="AA4948" s="1"/>
      <c r="AB4948" s="1"/>
      <c r="AC4948" s="1"/>
      <c r="AD4948" s="1"/>
      <c r="AE4948" s="1"/>
      <c r="AF4948" s="1"/>
      <c r="AG4948" s="1"/>
      <c r="AH4948" s="1"/>
      <c r="AI4948" s="1"/>
      <c r="AJ4948" s="1"/>
      <c r="AK4948" s="1"/>
      <c r="AL4948" s="1"/>
      <c r="AM4948" s="1"/>
      <c r="AN4948" s="1"/>
      <c r="AO4948" s="1"/>
      <c r="AP4948" s="1"/>
      <c r="AQ4948" s="1"/>
      <c r="AR4948" s="1"/>
      <c r="AS4948" s="1"/>
      <c r="AT4948" s="1"/>
      <c r="AU4948" s="1"/>
      <c r="AV4948" s="1"/>
      <c r="AW4948" s="1"/>
      <c r="AX4948" s="1"/>
      <c r="AY4948" s="1"/>
      <c r="AZ4948" s="1"/>
      <c r="BA4948" s="1"/>
      <c r="BB4948" s="1"/>
      <c r="BC4948" s="1"/>
      <c r="BD4948" s="1"/>
      <c r="BE4948" s="1"/>
      <c r="BF4948" s="1"/>
      <c r="BG4948" s="1"/>
      <c r="BH4948" s="1"/>
      <c r="BI4948" s="1"/>
      <c r="BJ4948" s="1"/>
      <c r="BK4948" s="1"/>
    </row>
    <row r="4949" spans="1:63" s="11" customFormat="1" ht="12" customHeight="1" x14ac:dyDescent="0.15">
      <c r="A4949" s="1" t="s">
        <v>16724</v>
      </c>
      <c r="B4949" s="1" t="s">
        <v>10109</v>
      </c>
      <c r="C4949" s="1" t="s">
        <v>20</v>
      </c>
      <c r="D4949" s="1" t="s">
        <v>37</v>
      </c>
      <c r="E4949" s="1" t="s">
        <v>16725</v>
      </c>
      <c r="F4949" s="72">
        <v>41408</v>
      </c>
      <c r="G4949" s="1" t="s">
        <v>16726</v>
      </c>
      <c r="H4949" s="1" t="s">
        <v>10181</v>
      </c>
      <c r="I4949" s="1" t="s">
        <v>62</v>
      </c>
      <c r="J4949" s="4" t="s">
        <v>16727</v>
      </c>
      <c r="K4949" s="1" t="s">
        <v>638</v>
      </c>
      <c r="L4949" s="1" t="s">
        <v>639</v>
      </c>
      <c r="M4949" s="1" t="s">
        <v>27</v>
      </c>
      <c r="N4949" s="1" t="s">
        <v>16728</v>
      </c>
      <c r="O4949" s="1" t="s">
        <v>29</v>
      </c>
      <c r="P4949" s="1" t="s">
        <v>401</v>
      </c>
      <c r="Q4949" s="63" t="s">
        <v>16729</v>
      </c>
      <c r="R4949" s="1" t="s">
        <v>100</v>
      </c>
      <c r="S4949" s="13" t="s">
        <v>28</v>
      </c>
      <c r="T4949" s="1"/>
      <c r="U4949" s="1"/>
      <c r="V4949" s="1"/>
      <c r="W4949" s="1"/>
      <c r="X4949" s="1"/>
      <c r="Y4949" s="1"/>
      <c r="Z4949" s="1"/>
      <c r="AA4949" s="1"/>
      <c r="AB4949" s="1"/>
      <c r="AC4949" s="1"/>
      <c r="AD4949" s="1"/>
      <c r="AE4949" s="1"/>
      <c r="AF4949" s="1"/>
      <c r="AG4949" s="1"/>
      <c r="AH4949" s="1"/>
      <c r="AI4949" s="1"/>
      <c r="AJ4949" s="1"/>
      <c r="AK4949" s="1"/>
      <c r="AL4949" s="1"/>
      <c r="AM4949" s="1"/>
      <c r="AN4949" s="1"/>
      <c r="AO4949" s="1"/>
      <c r="AP4949" s="1"/>
      <c r="AQ4949" s="1"/>
      <c r="AR4949" s="1"/>
      <c r="AS4949" s="1"/>
      <c r="AT4949" s="1"/>
      <c r="AU4949" s="1"/>
      <c r="AV4949" s="1"/>
      <c r="AW4949" s="1"/>
      <c r="BA4949" s="1"/>
      <c r="BB4949" s="1"/>
      <c r="BC4949" s="1"/>
      <c r="BD4949" s="1"/>
      <c r="BE4949" s="1"/>
      <c r="BF4949" s="1"/>
      <c r="BG4949" s="1"/>
      <c r="BH4949" s="1"/>
      <c r="BI4949" s="1"/>
      <c r="BJ4949" s="1"/>
      <c r="BK4949" s="1"/>
    </row>
    <row r="4950" spans="1:63" s="11" customFormat="1" ht="12" customHeight="1" x14ac:dyDescent="0.15">
      <c r="A4950" s="1" t="s">
        <v>16715</v>
      </c>
      <c r="B4950" s="1">
        <v>37</v>
      </c>
      <c r="C4950" s="1" t="s">
        <v>20</v>
      </c>
      <c r="D4950" s="1" t="s">
        <v>48</v>
      </c>
      <c r="E4950" s="1"/>
      <c r="F4950" s="72">
        <v>41408</v>
      </c>
      <c r="G4950" s="1" t="s">
        <v>16716</v>
      </c>
      <c r="H4950" s="1" t="s">
        <v>6423</v>
      </c>
      <c r="I4950" s="1" t="s">
        <v>45</v>
      </c>
      <c r="J4950" s="4" t="s">
        <v>13214</v>
      </c>
      <c r="K4950" s="1" t="s">
        <v>98</v>
      </c>
      <c r="L4950" s="11" t="s">
        <v>414</v>
      </c>
      <c r="M4950" s="1" t="s">
        <v>27</v>
      </c>
      <c r="N4950" s="1" t="s">
        <v>16717</v>
      </c>
      <c r="O4950" s="1" t="s">
        <v>1010</v>
      </c>
      <c r="P4950" s="1" t="s">
        <v>401</v>
      </c>
      <c r="Q4950" s="63" t="s">
        <v>16718</v>
      </c>
      <c r="R4950" s="1" t="s">
        <v>29</v>
      </c>
      <c r="S4950" s="13" t="s">
        <v>28</v>
      </c>
      <c r="T4950" s="1"/>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c r="AQ4950" s="1"/>
      <c r="AR4950" s="1"/>
      <c r="AS4950" s="1"/>
      <c r="AT4950" s="1"/>
      <c r="AU4950" s="1"/>
      <c r="AV4950" s="1"/>
      <c r="AW4950" s="1"/>
      <c r="AX4950" s="1"/>
      <c r="AY4950" s="1"/>
      <c r="AZ4950" s="1"/>
      <c r="BA4950" s="1"/>
      <c r="BB4950" s="1"/>
      <c r="BC4950" s="1"/>
      <c r="BD4950" s="1"/>
      <c r="BE4950" s="1"/>
      <c r="BF4950" s="1"/>
      <c r="BG4950" s="1"/>
      <c r="BH4950" s="1"/>
      <c r="BI4950" s="1"/>
      <c r="BJ4950" s="1"/>
      <c r="BK4950" s="1"/>
    </row>
    <row r="4951" spans="1:63" s="11" customFormat="1" ht="12" customHeight="1" x14ac:dyDescent="0.15">
      <c r="A4951" s="1" t="s">
        <v>16719</v>
      </c>
      <c r="B4951" s="1" t="s">
        <v>15834</v>
      </c>
      <c r="C4951" s="1" t="s">
        <v>20</v>
      </c>
      <c r="D4951" s="1" t="s">
        <v>37</v>
      </c>
      <c r="E4951" s="1" t="s">
        <v>16720</v>
      </c>
      <c r="F4951" s="72">
        <v>41408</v>
      </c>
      <c r="G4951" s="1" t="s">
        <v>24612</v>
      </c>
      <c r="H4951" s="1" t="s">
        <v>1298</v>
      </c>
      <c r="I4951" s="1" t="s">
        <v>209</v>
      </c>
      <c r="J4951" s="4" t="s">
        <v>16721</v>
      </c>
      <c r="K4951" s="1" t="s">
        <v>1298</v>
      </c>
      <c r="L4951" s="1" t="s">
        <v>1299</v>
      </c>
      <c r="M4951" s="1" t="s">
        <v>27</v>
      </c>
      <c r="N4951" s="1" t="s">
        <v>16722</v>
      </c>
      <c r="O4951" s="1" t="s">
        <v>29</v>
      </c>
      <c r="P4951" s="1" t="s">
        <v>401</v>
      </c>
      <c r="Q4951" s="63" t="s">
        <v>16723</v>
      </c>
      <c r="R4951" s="1" t="s">
        <v>555</v>
      </c>
      <c r="S4951" s="13" t="s">
        <v>28</v>
      </c>
      <c r="T4951" s="1"/>
      <c r="U4951" s="1"/>
      <c r="V4951" s="1"/>
      <c r="W4951" s="1"/>
      <c r="X4951" s="1"/>
      <c r="Y4951" s="1"/>
      <c r="Z4951" s="1"/>
      <c r="AA4951" s="1"/>
      <c r="AB4951" s="1"/>
      <c r="AC4951" s="1"/>
      <c r="AD4951" s="1"/>
      <c r="AE4951" s="1"/>
      <c r="AF4951" s="1"/>
      <c r="AG4951" s="1"/>
      <c r="AH4951" s="1"/>
      <c r="AI4951" s="1"/>
      <c r="AJ4951" s="1"/>
      <c r="AK4951" s="1"/>
      <c r="AL4951" s="1"/>
      <c r="AM4951" s="1"/>
      <c r="AN4951" s="1"/>
      <c r="AO4951" s="1"/>
      <c r="AP4951" s="1"/>
      <c r="AQ4951" s="1"/>
      <c r="AR4951" s="1"/>
      <c r="AS4951" s="1"/>
      <c r="AT4951" s="1"/>
      <c r="AU4951" s="1"/>
      <c r="AV4951" s="1"/>
      <c r="AW4951" s="1"/>
      <c r="BA4951" s="44"/>
      <c r="BB4951" s="44"/>
      <c r="BC4951" s="1"/>
      <c r="BD4951" s="1"/>
      <c r="BE4951" s="1"/>
      <c r="BF4951" s="1"/>
      <c r="BG4951" s="1"/>
      <c r="BH4951" s="1"/>
      <c r="BI4951" s="1"/>
      <c r="BJ4951" s="1"/>
      <c r="BK4951" s="1"/>
    </row>
    <row r="4952" spans="1:63" s="11" customFormat="1" ht="12" customHeight="1" x14ac:dyDescent="0.15">
      <c r="A4952" s="1" t="s">
        <v>16730</v>
      </c>
      <c r="B4952" s="1" t="s">
        <v>11070</v>
      </c>
      <c r="C4952" s="1" t="s">
        <v>20</v>
      </c>
      <c r="D4952" s="1" t="s">
        <v>37</v>
      </c>
      <c r="E4952" s="1" t="s">
        <v>16731</v>
      </c>
      <c r="F4952" s="72">
        <v>41407</v>
      </c>
      <c r="G4952" s="1" t="s">
        <v>16732</v>
      </c>
      <c r="H4952" s="1" t="s">
        <v>14470</v>
      </c>
      <c r="I4952" s="1" t="s">
        <v>173</v>
      </c>
      <c r="J4952" s="4" t="s">
        <v>14471</v>
      </c>
      <c r="K4952" s="1" t="s">
        <v>1325</v>
      </c>
      <c r="L4952" s="1" t="s">
        <v>1326</v>
      </c>
      <c r="M4952" s="1" t="s">
        <v>27</v>
      </c>
      <c r="N4952" s="1" t="s">
        <v>16733</v>
      </c>
      <c r="O4952" s="1" t="s">
        <v>29</v>
      </c>
      <c r="P4952" s="1" t="s">
        <v>401</v>
      </c>
      <c r="Q4952" s="63" t="s">
        <v>16734</v>
      </c>
      <c r="R4952" s="11" t="s">
        <v>964</v>
      </c>
      <c r="S4952" s="13" t="s">
        <v>28</v>
      </c>
      <c r="T4952" s="1"/>
      <c r="U4952" s="1"/>
      <c r="V4952" s="1"/>
      <c r="W4952" s="1"/>
      <c r="X4952" s="1"/>
      <c r="Y4952" s="1"/>
      <c r="Z4952" s="1"/>
      <c r="AA4952" s="1"/>
      <c r="AB4952" s="1"/>
      <c r="AC4952" s="1"/>
      <c r="AD4952" s="1"/>
      <c r="AE4952" s="1"/>
      <c r="AF4952" s="1"/>
      <c r="AG4952" s="1"/>
      <c r="AH4952" s="1"/>
      <c r="AI4952" s="1"/>
      <c r="AJ4952" s="1"/>
      <c r="AK4952" s="1"/>
      <c r="AL4952" s="1"/>
      <c r="AM4952" s="1"/>
      <c r="AN4952" s="1"/>
      <c r="AO4952" s="1"/>
      <c r="AP4952" s="1"/>
      <c r="AQ4952" s="1"/>
      <c r="AR4952" s="1"/>
      <c r="AS4952" s="1"/>
      <c r="AT4952" s="1"/>
      <c r="AU4952" s="1"/>
      <c r="AV4952" s="1"/>
      <c r="AW4952" s="1"/>
      <c r="BA4952" s="1"/>
      <c r="BB4952" s="1"/>
      <c r="BC4952" s="1"/>
      <c r="BD4952" s="1"/>
      <c r="BE4952" s="1"/>
      <c r="BF4952" s="1"/>
      <c r="BG4952" s="1"/>
      <c r="BH4952" s="1"/>
      <c r="BI4952" s="1"/>
      <c r="BJ4952" s="1"/>
      <c r="BK4952" s="1"/>
    </row>
    <row r="4953" spans="1:63" s="11" customFormat="1" ht="12" customHeight="1" x14ac:dyDescent="0.15">
      <c r="A4953" s="1" t="s">
        <v>16753</v>
      </c>
      <c r="B4953" s="1">
        <v>28</v>
      </c>
      <c r="C4953" s="1" t="s">
        <v>114</v>
      </c>
      <c r="D4953" s="1" t="s">
        <v>37</v>
      </c>
      <c r="E4953" s="1" t="s">
        <v>16754</v>
      </c>
      <c r="F4953" s="72">
        <v>41406</v>
      </c>
      <c r="G4953" s="1" t="s">
        <v>16755</v>
      </c>
      <c r="H4953" s="1" t="s">
        <v>16756</v>
      </c>
      <c r="I4953" s="1" t="s">
        <v>303</v>
      </c>
      <c r="J4953" s="4" t="s">
        <v>16757</v>
      </c>
      <c r="K4953" s="1" t="s">
        <v>1908</v>
      </c>
      <c r="L4953" s="1" t="s">
        <v>16758</v>
      </c>
      <c r="M4953" s="1" t="s">
        <v>391</v>
      </c>
      <c r="N4953" s="1" t="s">
        <v>16759</v>
      </c>
      <c r="O4953" s="1" t="s">
        <v>550</v>
      </c>
      <c r="P4953" s="1" t="s">
        <v>401</v>
      </c>
      <c r="Q4953" s="63" t="s">
        <v>16760</v>
      </c>
      <c r="R4953" s="11" t="s">
        <v>964</v>
      </c>
      <c r="S4953" s="13" t="s">
        <v>28</v>
      </c>
      <c r="T4953" s="1"/>
      <c r="U4953" s="1"/>
      <c r="V4953" s="1"/>
      <c r="W4953" s="1"/>
      <c r="X4953" s="1"/>
      <c r="Y4953" s="1"/>
      <c r="Z4953" s="1"/>
      <c r="AA4953" s="1"/>
      <c r="AB4953" s="1"/>
      <c r="AC4953" s="1"/>
      <c r="AD4953" s="1"/>
      <c r="AE4953" s="1"/>
      <c r="AF4953" s="1"/>
      <c r="AG4953" s="1"/>
      <c r="AH4953" s="1"/>
      <c r="AI4953" s="1"/>
      <c r="AJ4953" s="1"/>
      <c r="AK4953" s="1"/>
      <c r="AL4953" s="1"/>
      <c r="AM4953" s="1"/>
      <c r="AN4953" s="1"/>
      <c r="AO4953" s="1"/>
      <c r="AP4953" s="1"/>
      <c r="AQ4953" s="1"/>
      <c r="AR4953" s="1"/>
      <c r="AS4953" s="1"/>
      <c r="AT4953" s="1"/>
      <c r="AX4953" s="1"/>
      <c r="AY4953" s="1"/>
      <c r="AZ4953" s="1"/>
      <c r="BA4953" s="1"/>
      <c r="BB4953" s="1"/>
      <c r="BC4953" s="1"/>
      <c r="BD4953" s="1"/>
      <c r="BE4953" s="1"/>
      <c r="BF4953" s="1"/>
      <c r="BG4953" s="1"/>
      <c r="BH4953" s="1"/>
      <c r="BI4953" s="1"/>
      <c r="BJ4953" s="1"/>
      <c r="BK4953" s="1"/>
    </row>
    <row r="4954" spans="1:63" s="11" customFormat="1" ht="12" customHeight="1" x14ac:dyDescent="0.15">
      <c r="A4954" s="1" t="s">
        <v>16748</v>
      </c>
      <c r="B4954" s="1" t="s">
        <v>13399</v>
      </c>
      <c r="C4954" s="1" t="s">
        <v>20</v>
      </c>
      <c r="D4954" s="1" t="s">
        <v>30</v>
      </c>
      <c r="E4954" s="1"/>
      <c r="F4954" s="72">
        <v>41406</v>
      </c>
      <c r="G4954" s="1" t="s">
        <v>24613</v>
      </c>
      <c r="H4954" s="1" t="s">
        <v>16749</v>
      </c>
      <c r="I4954" s="1" t="s">
        <v>431</v>
      </c>
      <c r="J4954" s="4" t="s">
        <v>16750</v>
      </c>
      <c r="K4954" s="1" t="s">
        <v>709</v>
      </c>
      <c r="L4954" s="1" t="s">
        <v>7158</v>
      </c>
      <c r="M4954" s="1" t="s">
        <v>27</v>
      </c>
      <c r="N4954" s="1" t="s">
        <v>16751</v>
      </c>
      <c r="O4954" s="1" t="s">
        <v>29</v>
      </c>
      <c r="P4954" s="1" t="s">
        <v>401</v>
      </c>
      <c r="Q4954" s="63" t="s">
        <v>16752</v>
      </c>
      <c r="R4954" s="1" t="s">
        <v>100</v>
      </c>
      <c r="S4954" s="13" t="s">
        <v>28</v>
      </c>
      <c r="T4954" s="1"/>
      <c r="U4954" s="1"/>
      <c r="V4954" s="1"/>
      <c r="W4954" s="1"/>
      <c r="X4954" s="1"/>
      <c r="Y4954" s="1"/>
      <c r="Z4954" s="1"/>
      <c r="AA4954" s="1"/>
      <c r="AB4954" s="1"/>
      <c r="AC4954" s="1"/>
      <c r="AD4954" s="1"/>
      <c r="AE4954" s="1"/>
      <c r="AF4954" s="1"/>
      <c r="AG4954" s="1"/>
      <c r="AH4954" s="1"/>
      <c r="AI4954" s="1"/>
      <c r="AJ4954" s="1"/>
      <c r="AK4954" s="1"/>
      <c r="AL4954" s="1"/>
      <c r="AM4954" s="1"/>
      <c r="AN4954" s="1"/>
      <c r="AO4954" s="1"/>
      <c r="AP4954" s="1"/>
      <c r="AQ4954" s="1"/>
      <c r="AR4954" s="1"/>
      <c r="AS4954" s="1"/>
      <c r="AT4954" s="1"/>
      <c r="AU4954" s="1"/>
      <c r="AV4954" s="1"/>
      <c r="AW4954" s="1"/>
      <c r="AX4954" s="1"/>
      <c r="AY4954" s="1"/>
      <c r="AZ4954" s="1"/>
      <c r="BA4954" s="1"/>
      <c r="BB4954" s="1"/>
      <c r="BC4954" s="1"/>
      <c r="BD4954" s="1"/>
      <c r="BE4954" s="1"/>
      <c r="BF4954" s="1"/>
      <c r="BG4954" s="1"/>
      <c r="BH4954" s="1"/>
      <c r="BI4954" s="1"/>
      <c r="BJ4954" s="1"/>
      <c r="BK4954" s="1"/>
    </row>
    <row r="4955" spans="1:63" s="11" customFormat="1" ht="12" customHeight="1" x14ac:dyDescent="0.15">
      <c r="A4955" s="1" t="s">
        <v>16741</v>
      </c>
      <c r="B4955" s="1">
        <v>40</v>
      </c>
      <c r="C4955" s="1" t="s">
        <v>114</v>
      </c>
      <c r="D4955" s="1" t="s">
        <v>30</v>
      </c>
      <c r="E4955" s="1"/>
      <c r="F4955" s="72">
        <v>41406</v>
      </c>
      <c r="G4955" s="1" t="s">
        <v>16742</v>
      </c>
      <c r="H4955" s="1" t="s">
        <v>16743</v>
      </c>
      <c r="I4955" s="1" t="s">
        <v>303</v>
      </c>
      <c r="J4955" s="4" t="s">
        <v>16744</v>
      </c>
      <c r="K4955" s="1" t="s">
        <v>2150</v>
      </c>
      <c r="L4955" s="1" t="s">
        <v>16745</v>
      </c>
      <c r="M4955" s="1" t="s">
        <v>379</v>
      </c>
      <c r="N4955" s="1" t="s">
        <v>16746</v>
      </c>
      <c r="O4955" s="1" t="s">
        <v>1010</v>
      </c>
      <c r="P4955" s="1" t="s">
        <v>401</v>
      </c>
      <c r="Q4955" s="63" t="s">
        <v>16747</v>
      </c>
      <c r="R4955" s="1" t="s">
        <v>100</v>
      </c>
      <c r="S4955" s="13" t="s">
        <v>28</v>
      </c>
      <c r="T4955" s="1"/>
      <c r="U4955" s="1"/>
      <c r="V4955" s="1"/>
      <c r="W4955" s="1"/>
      <c r="X4955" s="1"/>
      <c r="Y4955" s="1"/>
      <c r="Z4955" s="1"/>
      <c r="AA4955" s="1"/>
      <c r="AB4955" s="1"/>
      <c r="AC4955" s="1"/>
      <c r="AD4955" s="1"/>
      <c r="AE4955" s="1"/>
      <c r="AF4955" s="1"/>
      <c r="AG4955" s="1"/>
      <c r="AH4955" s="1"/>
      <c r="AI4955" s="1"/>
      <c r="AJ4955" s="1"/>
      <c r="AK4955" s="1"/>
      <c r="AL4955" s="1"/>
      <c r="AM4955" s="1"/>
      <c r="AN4955" s="1"/>
      <c r="AO4955" s="1"/>
      <c r="AP4955" s="1"/>
      <c r="AQ4955" s="1"/>
      <c r="AR4955" s="1"/>
      <c r="AS4955" s="1"/>
      <c r="AT4955" s="1"/>
      <c r="AU4955" s="1"/>
      <c r="AV4955" s="1"/>
      <c r="AW4955" s="1"/>
      <c r="AX4955" s="1"/>
      <c r="AY4955" s="1"/>
      <c r="AZ4955" s="1"/>
      <c r="BA4955" s="1"/>
      <c r="BB4955" s="1"/>
      <c r="BC4955" s="1"/>
      <c r="BD4955" s="1"/>
      <c r="BE4955" s="1"/>
      <c r="BF4955" s="1"/>
      <c r="BG4955" s="1"/>
      <c r="BH4955" s="1"/>
      <c r="BI4955" s="1"/>
      <c r="BJ4955" s="1"/>
      <c r="BK4955" s="1"/>
    </row>
    <row r="4956" spans="1:63" s="11" customFormat="1" ht="12" customHeight="1" x14ac:dyDescent="0.15">
      <c r="A4956" s="1" t="s">
        <v>16735</v>
      </c>
      <c r="B4956" s="1" t="s">
        <v>11070</v>
      </c>
      <c r="C4956" s="1" t="s">
        <v>20</v>
      </c>
      <c r="D4956" s="1" t="s">
        <v>85</v>
      </c>
      <c r="E4956" s="1" t="s">
        <v>16736</v>
      </c>
      <c r="F4956" s="72">
        <v>41406</v>
      </c>
      <c r="G4956" s="1" t="s">
        <v>24614</v>
      </c>
      <c r="H4956" s="1" t="s">
        <v>2101</v>
      </c>
      <c r="I4956" s="1" t="s">
        <v>81</v>
      </c>
      <c r="J4956" s="4" t="s">
        <v>16737</v>
      </c>
      <c r="K4956" s="1" t="s">
        <v>2902</v>
      </c>
      <c r="L4956" s="1" t="s">
        <v>16738</v>
      </c>
      <c r="M4956" s="1" t="s">
        <v>27</v>
      </c>
      <c r="N4956" s="1" t="s">
        <v>16739</v>
      </c>
      <c r="O4956" s="1" t="s">
        <v>29</v>
      </c>
      <c r="P4956" s="1" t="s">
        <v>401</v>
      </c>
      <c r="Q4956" s="63" t="s">
        <v>16740</v>
      </c>
      <c r="R4956" s="1" t="s">
        <v>555</v>
      </c>
      <c r="S4956" s="13" t="s">
        <v>28</v>
      </c>
      <c r="T4956" s="1"/>
      <c r="U4956" s="1"/>
      <c r="V4956" s="1"/>
      <c r="W4956" s="1"/>
      <c r="X4956" s="1"/>
      <c r="Y4956" s="1"/>
      <c r="Z4956" s="1"/>
      <c r="AA4956" s="1"/>
      <c r="AB4956" s="1"/>
      <c r="AC4956" s="1"/>
      <c r="AD4956" s="1"/>
      <c r="AE4956" s="1"/>
      <c r="AF4956" s="1"/>
      <c r="AG4956" s="1"/>
      <c r="AH4956" s="1"/>
      <c r="AI4956" s="1"/>
      <c r="AJ4956" s="1"/>
      <c r="AK4956" s="1"/>
      <c r="AL4956" s="1"/>
      <c r="AM4956" s="1"/>
      <c r="AN4956" s="1"/>
      <c r="AO4956" s="1"/>
      <c r="AP4956" s="1"/>
      <c r="AQ4956" s="1"/>
      <c r="AR4956" s="1"/>
      <c r="AS4956" s="1"/>
      <c r="AT4956" s="1"/>
      <c r="AU4956" s="1"/>
      <c r="AV4956" s="1"/>
      <c r="AW4956" s="1"/>
      <c r="AZ4956" s="1"/>
      <c r="BA4956" s="1"/>
      <c r="BB4956" s="1"/>
      <c r="BC4956" s="44"/>
      <c r="BD4956" s="44"/>
      <c r="BE4956" s="44"/>
      <c r="BF4956" s="44"/>
      <c r="BG4956" s="44"/>
      <c r="BH4956" s="44"/>
      <c r="BI4956" s="44"/>
      <c r="BJ4956" s="44"/>
      <c r="BK4956" s="1"/>
    </row>
    <row r="4957" spans="1:63" s="11" customFormat="1" ht="12" customHeight="1" x14ac:dyDescent="0.15">
      <c r="A4957" s="1" t="s">
        <v>16761</v>
      </c>
      <c r="B4957" s="1" t="s">
        <v>13878</v>
      </c>
      <c r="C4957" s="1" t="s">
        <v>20</v>
      </c>
      <c r="D4957" s="1" t="s">
        <v>48</v>
      </c>
      <c r="E4957" s="1" t="s">
        <v>16762</v>
      </c>
      <c r="F4957" s="72">
        <v>41405</v>
      </c>
      <c r="G4957" s="1" t="s">
        <v>24615</v>
      </c>
      <c r="H4957" s="1" t="s">
        <v>16763</v>
      </c>
      <c r="I4957" s="1" t="s">
        <v>45</v>
      </c>
      <c r="J4957" s="4" t="s">
        <v>16764</v>
      </c>
      <c r="K4957" s="1" t="s">
        <v>98</v>
      </c>
      <c r="L4957" s="11" t="s">
        <v>414</v>
      </c>
      <c r="M4957" s="1" t="s">
        <v>27</v>
      </c>
      <c r="N4957" s="1" t="s">
        <v>16765</v>
      </c>
      <c r="O4957" s="1" t="s">
        <v>550</v>
      </c>
      <c r="P4957" s="1" t="s">
        <v>401</v>
      </c>
      <c r="Q4957" s="63" t="s">
        <v>16766</v>
      </c>
      <c r="R4957" s="1" t="s">
        <v>100</v>
      </c>
      <c r="S4957" s="13" t="s">
        <v>28</v>
      </c>
      <c r="T4957" s="1"/>
      <c r="U4957" s="1"/>
      <c r="V4957" s="1"/>
      <c r="W4957" s="1"/>
      <c r="X4957" s="1"/>
      <c r="Y4957" s="1"/>
      <c r="Z4957" s="1"/>
      <c r="AA4957" s="1"/>
      <c r="AB4957" s="1"/>
      <c r="AC4957" s="1"/>
      <c r="AD4957" s="1"/>
      <c r="AE4957" s="1"/>
      <c r="AF4957" s="1"/>
      <c r="AG4957" s="1"/>
      <c r="AH4957" s="1"/>
      <c r="AI4957" s="1"/>
      <c r="AJ4957" s="1"/>
      <c r="AK4957" s="1"/>
      <c r="AL4957" s="1"/>
      <c r="AM4957" s="1"/>
      <c r="AN4957" s="1"/>
      <c r="AO4957" s="1"/>
      <c r="AP4957" s="1"/>
      <c r="AQ4957" s="1"/>
      <c r="AR4957" s="1"/>
      <c r="AS4957" s="1"/>
      <c r="AT4957" s="1"/>
      <c r="AU4957" s="1"/>
      <c r="AV4957" s="1"/>
      <c r="AW4957" s="1"/>
      <c r="AX4957" s="1"/>
      <c r="AY4957" s="1"/>
      <c r="AZ4957" s="1"/>
      <c r="BA4957" s="1"/>
      <c r="BB4957" s="1"/>
      <c r="BC4957" s="1"/>
      <c r="BD4957" s="1"/>
      <c r="BE4957" s="1"/>
      <c r="BF4957" s="1"/>
      <c r="BG4957" s="1"/>
      <c r="BH4957" s="1"/>
      <c r="BI4957" s="1"/>
      <c r="BJ4957" s="1"/>
      <c r="BK4957" s="1"/>
    </row>
    <row r="4958" spans="1:63" s="11" customFormat="1" ht="12" customHeight="1" x14ac:dyDescent="0.15">
      <c r="A4958" s="1" t="s">
        <v>16767</v>
      </c>
      <c r="B4958" s="1">
        <v>28</v>
      </c>
      <c r="C4958" s="1" t="s">
        <v>20</v>
      </c>
      <c r="D4958" s="1" t="s">
        <v>37</v>
      </c>
      <c r="E4958" s="1" t="s">
        <v>16768</v>
      </c>
      <c r="F4958" s="72">
        <v>41405</v>
      </c>
      <c r="G4958" s="1" t="s">
        <v>16769</v>
      </c>
      <c r="H4958" s="1" t="s">
        <v>16770</v>
      </c>
      <c r="I4958" s="1" t="s">
        <v>463</v>
      </c>
      <c r="J4958" s="4" t="s">
        <v>16771</v>
      </c>
      <c r="K4958" s="1" t="s">
        <v>1864</v>
      </c>
      <c r="L4958" s="1" t="s">
        <v>16772</v>
      </c>
      <c r="M4958" s="1" t="s">
        <v>27</v>
      </c>
      <c r="N4958" s="1" t="s">
        <v>16773</v>
      </c>
      <c r="O4958" s="1" t="s">
        <v>1010</v>
      </c>
      <c r="P4958" s="1" t="s">
        <v>401</v>
      </c>
      <c r="Q4958" s="63" t="s">
        <v>16774</v>
      </c>
      <c r="R4958" s="1" t="s">
        <v>100</v>
      </c>
      <c r="S4958" s="13" t="s">
        <v>28</v>
      </c>
      <c r="T4958" s="1"/>
      <c r="U4958" s="1"/>
      <c r="V4958" s="1"/>
      <c r="W4958" s="1"/>
      <c r="X4958" s="1"/>
      <c r="Y4958" s="1"/>
      <c r="Z4958" s="1"/>
      <c r="AA4958" s="1"/>
      <c r="AB4958" s="1"/>
      <c r="AC4958" s="1"/>
      <c r="AD4958" s="1"/>
      <c r="AE4958" s="1"/>
      <c r="AF4958" s="1"/>
      <c r="AG4958" s="1"/>
      <c r="AH4958" s="1"/>
      <c r="AI4958" s="1"/>
      <c r="AJ4958" s="1"/>
      <c r="AK4958" s="1"/>
      <c r="AL4958" s="1"/>
      <c r="AM4958" s="1"/>
      <c r="AN4958" s="1"/>
      <c r="AO4958" s="1"/>
      <c r="AP4958" s="1"/>
      <c r="AQ4958" s="1"/>
      <c r="AR4958" s="1"/>
      <c r="AS4958" s="1"/>
      <c r="AT4958" s="1"/>
      <c r="AU4958" s="1"/>
      <c r="AV4958" s="1"/>
      <c r="AW4958" s="1"/>
      <c r="BA4958" s="1"/>
      <c r="BB4958" s="1"/>
      <c r="BC4958" s="1"/>
      <c r="BD4958" s="1"/>
      <c r="BE4958" s="1"/>
      <c r="BF4958" s="1"/>
      <c r="BG4958" s="1"/>
      <c r="BH4958" s="1"/>
      <c r="BI4958" s="1"/>
      <c r="BJ4958" s="1"/>
      <c r="BK4958" s="1"/>
    </row>
    <row r="4959" spans="1:63" s="11" customFormat="1" ht="12" customHeight="1" x14ac:dyDescent="0.15">
      <c r="A4959" s="1" t="s">
        <v>16775</v>
      </c>
      <c r="B4959" s="1" t="s">
        <v>15717</v>
      </c>
      <c r="C4959" s="1" t="s">
        <v>20</v>
      </c>
      <c r="D4959" s="1" t="s">
        <v>85</v>
      </c>
      <c r="E4959" s="1" t="s">
        <v>16776</v>
      </c>
      <c r="F4959" s="72">
        <v>41404</v>
      </c>
      <c r="G4959" s="1" t="s">
        <v>16777</v>
      </c>
      <c r="H4959" s="1" t="s">
        <v>6779</v>
      </c>
      <c r="I4959" s="1" t="s">
        <v>133</v>
      </c>
      <c r="J4959" s="4" t="s">
        <v>16778</v>
      </c>
      <c r="K4959" s="1" t="s">
        <v>1072</v>
      </c>
      <c r="L4959" s="1" t="s">
        <v>16779</v>
      </c>
      <c r="M4959" s="1" t="s">
        <v>27</v>
      </c>
      <c r="N4959" s="1" t="s">
        <v>16780</v>
      </c>
      <c r="O4959" s="1" t="s">
        <v>550</v>
      </c>
      <c r="P4959" s="1" t="s">
        <v>401</v>
      </c>
      <c r="Q4959" s="63" t="s">
        <v>16781</v>
      </c>
      <c r="R4959" s="1" t="s">
        <v>100</v>
      </c>
      <c r="S4959" s="13" t="s">
        <v>28</v>
      </c>
      <c r="T4959" s="1"/>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c r="AQ4959" s="1"/>
      <c r="AR4959" s="1"/>
      <c r="AS4959" s="1"/>
      <c r="AT4959" s="1"/>
      <c r="AU4959" s="1"/>
      <c r="AV4959" s="1"/>
      <c r="AW4959" s="1"/>
      <c r="AZ4959" s="1"/>
      <c r="BA4959" s="1"/>
      <c r="BB4959" s="1"/>
      <c r="BC4959" s="44"/>
      <c r="BD4959" s="44"/>
      <c r="BE4959" s="44"/>
      <c r="BF4959" s="44"/>
      <c r="BG4959" s="44"/>
      <c r="BH4959" s="44"/>
      <c r="BI4959" s="44"/>
      <c r="BJ4959" s="44"/>
      <c r="BK4959" s="1"/>
    </row>
    <row r="4960" spans="1:63" s="11" customFormat="1" ht="12" customHeight="1" x14ac:dyDescent="0.15">
      <c r="A4960" s="1" t="s">
        <v>16789</v>
      </c>
      <c r="B4960" s="1" t="s">
        <v>14980</v>
      </c>
      <c r="C4960" s="1" t="s">
        <v>20</v>
      </c>
      <c r="D4960" s="1" t="s">
        <v>48</v>
      </c>
      <c r="E4960" s="1"/>
      <c r="F4960" s="72">
        <v>41404</v>
      </c>
      <c r="G4960" s="1" t="s">
        <v>16790</v>
      </c>
      <c r="H4960" s="1" t="s">
        <v>7185</v>
      </c>
      <c r="I4960" s="1" t="s">
        <v>431</v>
      </c>
      <c r="J4960" s="4" t="s">
        <v>16791</v>
      </c>
      <c r="K4960" s="1" t="s">
        <v>709</v>
      </c>
      <c r="L4960" s="1" t="s">
        <v>18974</v>
      </c>
      <c r="M4960" s="1" t="s">
        <v>27</v>
      </c>
      <c r="N4960" s="1" t="s">
        <v>16792</v>
      </c>
      <c r="O4960" s="1" t="s">
        <v>29</v>
      </c>
      <c r="P4960" s="1" t="s">
        <v>401</v>
      </c>
      <c r="Q4960" s="63" t="s">
        <v>16793</v>
      </c>
      <c r="R4960" s="1" t="s">
        <v>100</v>
      </c>
      <c r="S4960" s="13" t="s">
        <v>28</v>
      </c>
      <c r="T4960" s="1"/>
      <c r="U4960" s="1"/>
      <c r="V4960" s="1"/>
      <c r="W4960" s="1"/>
      <c r="X4960" s="1"/>
      <c r="Y4960" s="1"/>
      <c r="Z4960" s="1"/>
      <c r="AA4960" s="1"/>
      <c r="AB4960" s="1"/>
      <c r="AC4960" s="1"/>
      <c r="AD4960" s="1"/>
      <c r="AE4960" s="1"/>
      <c r="AF4960" s="1"/>
      <c r="AG4960" s="1"/>
      <c r="AH4960" s="1"/>
      <c r="AI4960" s="1"/>
      <c r="AJ4960" s="1"/>
      <c r="AK4960" s="1"/>
      <c r="AL4960" s="1"/>
      <c r="AU4960" s="1"/>
      <c r="AV4960" s="1"/>
      <c r="AW4960" s="1"/>
      <c r="AX4960" s="1"/>
      <c r="AY4960" s="1"/>
      <c r="AZ4960" s="1"/>
      <c r="BA4960" s="1"/>
      <c r="BB4960" s="1"/>
      <c r="BC4960" s="1"/>
      <c r="BD4960" s="1"/>
      <c r="BE4960" s="1"/>
      <c r="BF4960" s="1"/>
      <c r="BG4960" s="1"/>
      <c r="BH4960" s="1"/>
      <c r="BI4960" s="1"/>
      <c r="BJ4960" s="1"/>
      <c r="BK4960" s="1"/>
    </row>
    <row r="4961" spans="1:63" s="11" customFormat="1" ht="12" customHeight="1" x14ac:dyDescent="0.15">
      <c r="A4961" s="1" t="s">
        <v>16782</v>
      </c>
      <c r="B4961" s="1" t="s">
        <v>10011</v>
      </c>
      <c r="C4961" s="1" t="s">
        <v>20</v>
      </c>
      <c r="D4961" s="1" t="s">
        <v>48</v>
      </c>
      <c r="E4961" s="1" t="s">
        <v>16783</v>
      </c>
      <c r="F4961" s="72">
        <v>41404</v>
      </c>
      <c r="G4961" s="1" t="s">
        <v>16784</v>
      </c>
      <c r="H4961" s="1" t="s">
        <v>6779</v>
      </c>
      <c r="I4961" s="1" t="s">
        <v>133</v>
      </c>
      <c r="J4961" s="4" t="s">
        <v>16785</v>
      </c>
      <c r="K4961" s="1" t="s">
        <v>1072</v>
      </c>
      <c r="L4961" s="1" t="s">
        <v>16779</v>
      </c>
      <c r="M4961" s="1" t="s">
        <v>379</v>
      </c>
      <c r="N4961" s="1" t="s">
        <v>16786</v>
      </c>
      <c r="O4961" s="1" t="s">
        <v>16787</v>
      </c>
      <c r="P4961" s="1" t="s">
        <v>401</v>
      </c>
      <c r="Q4961" s="63" t="s">
        <v>16788</v>
      </c>
      <c r="R4961" s="1" t="s">
        <v>100</v>
      </c>
      <c r="S4961" s="13" t="s">
        <v>28</v>
      </c>
      <c r="T4961" s="1"/>
      <c r="U4961" s="1"/>
      <c r="V4961" s="1"/>
      <c r="W4961" s="1"/>
      <c r="X4961" s="1"/>
      <c r="Y4961" s="1"/>
      <c r="Z4961" s="1"/>
      <c r="AA4961" s="1"/>
      <c r="AB4961" s="1"/>
      <c r="AC4961" s="1"/>
      <c r="AD4961" s="1"/>
      <c r="AE4961" s="1"/>
      <c r="AF4961" s="1"/>
      <c r="AG4961" s="1"/>
      <c r="AH4961" s="1"/>
      <c r="AI4961" s="1"/>
      <c r="AJ4961" s="1"/>
      <c r="AK4961" s="1"/>
      <c r="AL4961" s="1"/>
      <c r="AU4961" s="1"/>
      <c r="AV4961" s="1"/>
      <c r="AW4961" s="1"/>
      <c r="AX4961" s="1"/>
      <c r="AY4961" s="1"/>
      <c r="AZ4961" s="1"/>
      <c r="BA4961" s="1"/>
      <c r="BB4961" s="1"/>
      <c r="BC4961" s="1"/>
      <c r="BD4961" s="1"/>
      <c r="BE4961" s="1"/>
      <c r="BF4961" s="1"/>
      <c r="BG4961" s="1"/>
      <c r="BH4961" s="1"/>
      <c r="BI4961" s="1"/>
      <c r="BJ4961" s="1"/>
      <c r="BK4961" s="1"/>
    </row>
    <row r="4962" spans="1:63" s="11" customFormat="1" ht="12" customHeight="1" x14ac:dyDescent="0.15">
      <c r="A4962" s="1" t="s">
        <v>16798</v>
      </c>
      <c r="B4962" s="1">
        <v>45</v>
      </c>
      <c r="C4962" s="1" t="s">
        <v>20</v>
      </c>
      <c r="D4962" s="1" t="s">
        <v>30</v>
      </c>
      <c r="E4962" s="1"/>
      <c r="F4962" s="72">
        <v>41404</v>
      </c>
      <c r="G4962" s="1" t="s">
        <v>16799</v>
      </c>
      <c r="H4962" s="1" t="s">
        <v>874</v>
      </c>
      <c r="I4962" s="1" t="s">
        <v>44</v>
      </c>
      <c r="J4962" s="4" t="s">
        <v>16800</v>
      </c>
      <c r="K4962" s="1" t="s">
        <v>16801</v>
      </c>
      <c r="L4962" s="1" t="s">
        <v>405</v>
      </c>
      <c r="M4962" s="1" t="s">
        <v>27</v>
      </c>
      <c r="N4962" s="1" t="s">
        <v>16802</v>
      </c>
      <c r="O4962" s="1" t="s">
        <v>550</v>
      </c>
      <c r="P4962" s="1" t="s">
        <v>401</v>
      </c>
      <c r="Q4962" s="63" t="s">
        <v>16803</v>
      </c>
      <c r="R4962" s="1" t="s">
        <v>100</v>
      </c>
      <c r="S4962" s="13" t="s">
        <v>28</v>
      </c>
      <c r="T4962" s="1"/>
      <c r="U4962" s="1"/>
      <c r="V4962" s="1"/>
      <c r="W4962" s="1"/>
      <c r="X4962" s="1"/>
      <c r="Y4962" s="1"/>
      <c r="Z4962" s="1"/>
      <c r="AA4962" s="1"/>
      <c r="AB4962" s="1"/>
      <c r="AC4962" s="1"/>
      <c r="AD4962" s="1"/>
      <c r="AE4962" s="1"/>
      <c r="AF4962" s="1"/>
      <c r="AG4962" s="1"/>
      <c r="AH4962" s="1"/>
      <c r="AI4962" s="1"/>
      <c r="AJ4962" s="1"/>
      <c r="AK4962" s="1"/>
      <c r="AL4962" s="1"/>
      <c r="AU4962" s="1"/>
      <c r="AV4962" s="1"/>
      <c r="AW4962" s="1"/>
      <c r="AX4962" s="1"/>
      <c r="AY4962" s="1"/>
      <c r="AZ4962" s="1"/>
      <c r="BA4962" s="1"/>
      <c r="BB4962" s="1"/>
      <c r="BC4962" s="1"/>
      <c r="BD4962" s="1"/>
      <c r="BE4962" s="1"/>
      <c r="BF4962" s="1"/>
      <c r="BG4962" s="1"/>
      <c r="BH4962" s="1"/>
      <c r="BI4962" s="1"/>
      <c r="BJ4962" s="1"/>
      <c r="BK4962" s="1"/>
    </row>
    <row r="4963" spans="1:63" s="11" customFormat="1" ht="12" customHeight="1" x14ac:dyDescent="0.15">
      <c r="A4963" s="1" t="s">
        <v>16794</v>
      </c>
      <c r="B4963" s="1" t="s">
        <v>8486</v>
      </c>
      <c r="C4963" s="1" t="s">
        <v>20</v>
      </c>
      <c r="D4963" s="1" t="s">
        <v>30</v>
      </c>
      <c r="E4963" s="1"/>
      <c r="F4963" s="72">
        <v>41404</v>
      </c>
      <c r="G4963" s="1" t="s">
        <v>16795</v>
      </c>
      <c r="H4963" s="1" t="s">
        <v>14024</v>
      </c>
      <c r="I4963" s="1" t="s">
        <v>217</v>
      </c>
      <c r="J4963" s="4" t="s">
        <v>14025</v>
      </c>
      <c r="K4963" s="1" t="s">
        <v>14026</v>
      </c>
      <c r="L4963" s="1" t="s">
        <v>405</v>
      </c>
      <c r="M4963" s="1" t="s">
        <v>27</v>
      </c>
      <c r="N4963" s="1" t="s">
        <v>16796</v>
      </c>
      <c r="O4963" s="1" t="s">
        <v>29</v>
      </c>
      <c r="P4963" s="1" t="s">
        <v>401</v>
      </c>
      <c r="Q4963" s="63" t="s">
        <v>16797</v>
      </c>
      <c r="R4963" s="1" t="s">
        <v>100</v>
      </c>
      <c r="S4963" s="13" t="s">
        <v>28</v>
      </c>
      <c r="T4963" s="1"/>
      <c r="U4963" s="1"/>
      <c r="V4963" s="1"/>
      <c r="W4963" s="1"/>
      <c r="X4963" s="1"/>
      <c r="Y4963" s="1"/>
      <c r="Z4963" s="1"/>
      <c r="AA4963" s="1"/>
      <c r="AB4963" s="1"/>
      <c r="AC4963" s="1"/>
      <c r="AD4963" s="1"/>
      <c r="AE4963" s="1"/>
      <c r="AF4963" s="1"/>
      <c r="AG4963" s="1"/>
      <c r="AH4963" s="1"/>
      <c r="AI4963" s="1"/>
      <c r="AJ4963" s="1"/>
      <c r="AK4963" s="1"/>
      <c r="AL4963" s="1"/>
      <c r="AM4963" s="1"/>
      <c r="AN4963" s="1"/>
      <c r="AO4963" s="1"/>
      <c r="AP4963" s="1"/>
      <c r="AQ4963" s="1"/>
      <c r="AR4963" s="1"/>
      <c r="AS4963" s="1"/>
      <c r="AT4963" s="1"/>
      <c r="AU4963" s="1"/>
      <c r="AV4963" s="1"/>
      <c r="AW4963" s="1"/>
      <c r="AX4963" s="1"/>
      <c r="AY4963" s="1"/>
      <c r="AZ4963" s="1"/>
      <c r="BA4963" s="1"/>
      <c r="BB4963" s="1"/>
      <c r="BC4963" s="1"/>
      <c r="BD4963" s="1"/>
      <c r="BE4963" s="1"/>
      <c r="BF4963" s="1"/>
      <c r="BG4963" s="1"/>
      <c r="BH4963" s="1"/>
      <c r="BI4963" s="1"/>
      <c r="BJ4963" s="1"/>
      <c r="BK4963" s="1"/>
    </row>
    <row r="4964" spans="1:63" s="11" customFormat="1" ht="12" customHeight="1" x14ac:dyDescent="0.15">
      <c r="A4964" s="1" t="s">
        <v>16804</v>
      </c>
      <c r="B4964" s="1" t="s">
        <v>15841</v>
      </c>
      <c r="C4964" s="1" t="s">
        <v>20</v>
      </c>
      <c r="D4964" s="1" t="s">
        <v>37</v>
      </c>
      <c r="E4964" s="1" t="s">
        <v>16805</v>
      </c>
      <c r="F4964" s="72">
        <v>41404</v>
      </c>
      <c r="G4964" s="1" t="s">
        <v>16806</v>
      </c>
      <c r="H4964" s="1" t="s">
        <v>878</v>
      </c>
      <c r="I4964" s="1" t="s">
        <v>45</v>
      </c>
      <c r="J4964" s="4" t="s">
        <v>4499</v>
      </c>
      <c r="K4964" s="1" t="s">
        <v>4500</v>
      </c>
      <c r="L4964" s="1" t="s">
        <v>6090</v>
      </c>
      <c r="M4964" s="1" t="s">
        <v>27</v>
      </c>
      <c r="N4964" s="1" t="s">
        <v>16807</v>
      </c>
      <c r="O4964" s="1" t="s">
        <v>29</v>
      </c>
      <c r="P4964" s="1" t="s">
        <v>401</v>
      </c>
      <c r="Q4964" s="63" t="s">
        <v>16808</v>
      </c>
      <c r="R4964" s="1" t="s">
        <v>100</v>
      </c>
      <c r="S4964" s="13" t="s">
        <v>28</v>
      </c>
      <c r="T4964" s="1"/>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c r="AQ4964" s="1"/>
      <c r="AR4964" s="1"/>
      <c r="AS4964" s="1"/>
      <c r="AT4964" s="1"/>
      <c r="AU4964" s="1"/>
      <c r="AV4964" s="1"/>
      <c r="AW4964" s="1"/>
      <c r="BA4964" s="1"/>
      <c r="BB4964" s="1"/>
      <c r="BC4964" s="1"/>
      <c r="BD4964" s="1"/>
      <c r="BE4964" s="1"/>
      <c r="BF4964" s="1"/>
      <c r="BG4964" s="1"/>
      <c r="BH4964" s="1"/>
      <c r="BI4964" s="1"/>
      <c r="BJ4964" s="1"/>
      <c r="BK4964" s="1"/>
    </row>
    <row r="4965" spans="1:63" s="11" customFormat="1" ht="12" customHeight="1" x14ac:dyDescent="0.15">
      <c r="A4965" s="1" t="s">
        <v>16809</v>
      </c>
      <c r="B4965" s="1" t="s">
        <v>11070</v>
      </c>
      <c r="C4965" s="1" t="s">
        <v>114</v>
      </c>
      <c r="D4965" s="1" t="s">
        <v>37</v>
      </c>
      <c r="E4965" s="1" t="s">
        <v>16810</v>
      </c>
      <c r="F4965" s="72">
        <v>41404</v>
      </c>
      <c r="G4965" s="1" t="s">
        <v>24616</v>
      </c>
      <c r="H4965" s="1" t="s">
        <v>593</v>
      </c>
      <c r="I4965" s="1" t="s">
        <v>73</v>
      </c>
      <c r="J4965" s="4" t="s">
        <v>4738</v>
      </c>
      <c r="K4965" s="1" t="s">
        <v>594</v>
      </c>
      <c r="L4965" s="1" t="s">
        <v>595</v>
      </c>
      <c r="M4965" s="1" t="s">
        <v>27</v>
      </c>
      <c r="N4965" s="1" t="s">
        <v>16811</v>
      </c>
      <c r="O4965" s="1" t="s">
        <v>29</v>
      </c>
      <c r="P4965" s="1" t="s">
        <v>401</v>
      </c>
      <c r="Q4965" s="63" t="s">
        <v>16812</v>
      </c>
      <c r="R4965" s="1" t="s">
        <v>100</v>
      </c>
      <c r="S4965" s="13" t="s">
        <v>28</v>
      </c>
      <c r="T4965" s="1"/>
      <c r="U4965" s="1"/>
      <c r="V4965" s="1"/>
      <c r="W4965" s="1"/>
      <c r="X4965" s="1"/>
      <c r="Y4965" s="1"/>
      <c r="Z4965" s="1"/>
      <c r="AA4965" s="1"/>
      <c r="AB4965" s="1"/>
      <c r="AC4965" s="1"/>
      <c r="AD4965" s="1"/>
      <c r="AE4965" s="1"/>
      <c r="AF4965" s="1"/>
      <c r="AG4965" s="1"/>
      <c r="AH4965" s="1"/>
      <c r="AI4965" s="1"/>
      <c r="AJ4965" s="1"/>
      <c r="AK4965" s="1"/>
      <c r="AL4965" s="1"/>
      <c r="AU4965" s="1"/>
      <c r="AV4965" s="1"/>
      <c r="AW4965" s="1"/>
      <c r="BA4965" s="1"/>
      <c r="BB4965" s="1"/>
      <c r="BC4965" s="1"/>
      <c r="BD4965" s="1"/>
      <c r="BE4965" s="1"/>
      <c r="BF4965" s="1"/>
      <c r="BG4965" s="1"/>
      <c r="BH4965" s="1"/>
      <c r="BI4965" s="1"/>
      <c r="BJ4965" s="1"/>
      <c r="BK4965" s="1"/>
    </row>
    <row r="4966" spans="1:63" s="11" customFormat="1" ht="12" customHeight="1" x14ac:dyDescent="0.15">
      <c r="A4966" s="1" t="s">
        <v>16813</v>
      </c>
      <c r="B4966" s="1">
        <v>38</v>
      </c>
      <c r="C4966" s="1" t="s">
        <v>20</v>
      </c>
      <c r="D4966" s="1" t="s">
        <v>85</v>
      </c>
      <c r="E4966" s="1" t="s">
        <v>16814</v>
      </c>
      <c r="F4966" s="72">
        <v>41403</v>
      </c>
      <c r="G4966" s="1" t="s">
        <v>16815</v>
      </c>
      <c r="H4966" s="1" t="s">
        <v>16816</v>
      </c>
      <c r="I4966" s="1" t="s">
        <v>62</v>
      </c>
      <c r="J4966" s="4" t="s">
        <v>16817</v>
      </c>
      <c r="K4966" s="1" t="s">
        <v>3891</v>
      </c>
      <c r="L4966" s="1" t="s">
        <v>16818</v>
      </c>
      <c r="M4966" s="1" t="s">
        <v>379</v>
      </c>
      <c r="N4966" s="1" t="s">
        <v>16819</v>
      </c>
      <c r="O4966" s="1" t="s">
        <v>550</v>
      </c>
      <c r="P4966" s="1" t="s">
        <v>401</v>
      </c>
      <c r="Q4966" s="63" t="s">
        <v>16820</v>
      </c>
      <c r="R4966" s="1" t="s">
        <v>100</v>
      </c>
      <c r="S4966" s="13" t="s">
        <v>28</v>
      </c>
      <c r="T4966" s="1"/>
      <c r="U4966" s="1"/>
      <c r="V4966" s="1"/>
      <c r="W4966" s="1"/>
      <c r="X4966" s="1"/>
      <c r="Y4966" s="1"/>
      <c r="Z4966" s="1"/>
      <c r="AA4966" s="1"/>
      <c r="AB4966" s="1"/>
      <c r="AC4966" s="1"/>
      <c r="AD4966" s="1"/>
      <c r="AE4966" s="1"/>
      <c r="AF4966" s="1"/>
      <c r="AG4966" s="1"/>
      <c r="AH4966" s="1"/>
      <c r="AI4966" s="1"/>
      <c r="AJ4966" s="1"/>
      <c r="AK4966" s="1"/>
      <c r="AL4966" s="1"/>
      <c r="AU4966" s="1"/>
      <c r="AV4966" s="1"/>
      <c r="AW4966" s="1"/>
      <c r="AX4966" s="1"/>
      <c r="AY4966" s="1"/>
      <c r="AZ4966" s="1"/>
      <c r="BA4966" s="1"/>
      <c r="BB4966" s="1"/>
      <c r="BC4966" s="44"/>
      <c r="BD4966" s="44"/>
      <c r="BE4966" s="44"/>
      <c r="BF4966" s="44"/>
      <c r="BG4966" s="44"/>
      <c r="BH4966" s="44"/>
      <c r="BI4966" s="44"/>
      <c r="BJ4966" s="44"/>
      <c r="BK4966" s="1"/>
    </row>
    <row r="4967" spans="1:63" s="11" customFormat="1" ht="12" customHeight="1" x14ac:dyDescent="0.15">
      <c r="A4967" s="1" t="s">
        <v>16821</v>
      </c>
      <c r="B4967" s="1">
        <v>58</v>
      </c>
      <c r="C4967" s="1" t="s">
        <v>20</v>
      </c>
      <c r="D4967" s="1" t="s">
        <v>48</v>
      </c>
      <c r="E4967" s="1"/>
      <c r="F4967" s="72">
        <v>41403</v>
      </c>
      <c r="G4967" s="1" t="s">
        <v>16822</v>
      </c>
      <c r="H4967" s="1" t="s">
        <v>7654</v>
      </c>
      <c r="I4967" s="1" t="s">
        <v>62</v>
      </c>
      <c r="J4967" s="4" t="s">
        <v>7655</v>
      </c>
      <c r="K4967" s="1" t="s">
        <v>51</v>
      </c>
      <c r="L4967" s="1" t="s">
        <v>16823</v>
      </c>
      <c r="M4967" s="1" t="s">
        <v>27</v>
      </c>
      <c r="N4967" s="1" t="s">
        <v>16824</v>
      </c>
      <c r="O4967" s="1" t="s">
        <v>550</v>
      </c>
      <c r="P4967" s="1" t="s">
        <v>401</v>
      </c>
      <c r="Q4967" s="63" t="s">
        <v>16825</v>
      </c>
      <c r="R4967" s="1" t="s">
        <v>100</v>
      </c>
      <c r="S4967" s="13" t="s">
        <v>28</v>
      </c>
      <c r="T4967" s="1"/>
      <c r="U4967" s="1"/>
      <c r="V4967" s="1"/>
      <c r="W4967" s="1"/>
      <c r="X4967" s="1"/>
      <c r="Y4967" s="1"/>
      <c r="Z4967" s="1"/>
      <c r="AA4967" s="1"/>
      <c r="AB4967" s="1"/>
      <c r="AC4967" s="1"/>
      <c r="AD4967" s="1"/>
      <c r="AE4967" s="1"/>
      <c r="AF4967" s="1"/>
      <c r="AG4967" s="1"/>
      <c r="AH4967" s="1"/>
      <c r="AI4967" s="1"/>
      <c r="AJ4967" s="1"/>
      <c r="AK4967" s="1"/>
      <c r="AL4967" s="1"/>
      <c r="AU4967" s="1"/>
      <c r="AV4967" s="1"/>
      <c r="AW4967" s="1"/>
      <c r="AX4967" s="1"/>
      <c r="AY4967" s="1"/>
      <c r="AZ4967" s="1"/>
      <c r="BA4967" s="1"/>
      <c r="BB4967" s="1"/>
      <c r="BC4967" s="1"/>
      <c r="BD4967" s="1"/>
      <c r="BE4967" s="1"/>
      <c r="BF4967" s="1"/>
      <c r="BG4967" s="1"/>
      <c r="BH4967" s="1"/>
      <c r="BI4967" s="1"/>
      <c r="BJ4967" s="1"/>
      <c r="BK4967" s="1"/>
    </row>
    <row r="4968" spans="1:63" s="11" customFormat="1" ht="12" customHeight="1" x14ac:dyDescent="0.15">
      <c r="A4968" s="1" t="s">
        <v>16826</v>
      </c>
      <c r="B4968" s="1" t="s">
        <v>10335</v>
      </c>
      <c r="C4968" s="1" t="s">
        <v>20</v>
      </c>
      <c r="D4968" s="1" t="s">
        <v>30</v>
      </c>
      <c r="E4968" s="1"/>
      <c r="F4968" s="72">
        <v>41403</v>
      </c>
      <c r="G4968" s="1" t="s">
        <v>16827</v>
      </c>
      <c r="H4968" s="1" t="s">
        <v>309</v>
      </c>
      <c r="I4968" s="1" t="s">
        <v>45</v>
      </c>
      <c r="J4968" s="4" t="s">
        <v>6071</v>
      </c>
      <c r="K4968" s="1" t="s">
        <v>309</v>
      </c>
      <c r="L4968" s="1" t="s">
        <v>16828</v>
      </c>
      <c r="M4968" s="1" t="s">
        <v>27</v>
      </c>
      <c r="N4968" s="1" t="s">
        <v>16829</v>
      </c>
      <c r="O4968" s="1" t="s">
        <v>29</v>
      </c>
      <c r="P4968" s="1" t="s">
        <v>401</v>
      </c>
      <c r="Q4968" s="63" t="s">
        <v>16830</v>
      </c>
      <c r="R4968" s="1" t="s">
        <v>100</v>
      </c>
      <c r="S4968" s="13" t="s">
        <v>28</v>
      </c>
      <c r="T4968" s="1"/>
      <c r="U4968" s="1"/>
      <c r="V4968" s="1"/>
      <c r="W4968" s="1"/>
      <c r="X4968" s="1"/>
      <c r="Y4968" s="1"/>
      <c r="Z4968" s="1"/>
      <c r="AA4968" s="1"/>
      <c r="AB4968" s="1"/>
      <c r="AC4968" s="1"/>
      <c r="AD4968" s="1"/>
      <c r="AE4968" s="1"/>
      <c r="AF4968" s="1"/>
      <c r="AG4968" s="1"/>
      <c r="AH4968" s="1"/>
      <c r="AI4968" s="1"/>
      <c r="AJ4968" s="1"/>
      <c r="AK4968" s="1"/>
      <c r="AL4968" s="1"/>
      <c r="AU4968" s="1"/>
      <c r="AV4968" s="1"/>
      <c r="AW4968" s="1"/>
      <c r="AX4968" s="1"/>
      <c r="AY4968" s="1"/>
      <c r="AZ4968" s="1"/>
      <c r="BA4968" s="1"/>
      <c r="BB4968" s="1"/>
      <c r="BC4968" s="1"/>
      <c r="BD4968" s="1"/>
      <c r="BE4968" s="1"/>
      <c r="BF4968" s="1"/>
      <c r="BG4968" s="1"/>
      <c r="BH4968" s="1"/>
      <c r="BI4968" s="1"/>
      <c r="BJ4968" s="1"/>
      <c r="BK4968" s="1"/>
    </row>
    <row r="4969" spans="1:63" s="11" customFormat="1" ht="12" customHeight="1" x14ac:dyDescent="0.15">
      <c r="A4969" s="1" t="s">
        <v>3252</v>
      </c>
      <c r="B4969" s="1">
        <v>21</v>
      </c>
      <c r="C4969" s="1" t="s">
        <v>20</v>
      </c>
      <c r="D4969" s="1" t="s">
        <v>30</v>
      </c>
      <c r="E4969" s="1"/>
      <c r="F4969" s="72">
        <v>41403</v>
      </c>
      <c r="G4969" s="1" t="s">
        <v>16831</v>
      </c>
      <c r="H4969" s="1" t="s">
        <v>1100</v>
      </c>
      <c r="I4969" s="1" t="s">
        <v>404</v>
      </c>
      <c r="J4969" s="4" t="s">
        <v>16832</v>
      </c>
      <c r="K4969" s="1" t="s">
        <v>1100</v>
      </c>
      <c r="L4969" s="1" t="s">
        <v>1101</v>
      </c>
      <c r="M4969" s="1" t="s">
        <v>27</v>
      </c>
      <c r="N4969" s="1" t="s">
        <v>16833</v>
      </c>
      <c r="O4969" s="1" t="s">
        <v>1010</v>
      </c>
      <c r="P4969" s="1" t="s">
        <v>401</v>
      </c>
      <c r="Q4969" s="63" t="s">
        <v>16834</v>
      </c>
      <c r="R4969" s="1" t="s">
        <v>100</v>
      </c>
      <c r="S4969" s="13" t="s">
        <v>28</v>
      </c>
      <c r="T4969" s="1"/>
      <c r="U4969" s="1"/>
      <c r="V4969" s="1"/>
      <c r="W4969" s="1"/>
      <c r="X4969" s="1"/>
      <c r="Y4969" s="1"/>
      <c r="Z4969" s="1"/>
      <c r="AA4969" s="1"/>
      <c r="AB4969" s="1"/>
      <c r="AC4969" s="1"/>
      <c r="AD4969" s="1"/>
      <c r="AE4969" s="1"/>
      <c r="AF4969" s="1"/>
      <c r="AG4969" s="1"/>
      <c r="AH4969" s="1"/>
      <c r="AI4969" s="1"/>
      <c r="AJ4969" s="1"/>
      <c r="AK4969" s="1"/>
      <c r="AL4969" s="1"/>
      <c r="AU4969" s="1"/>
      <c r="AV4969" s="1"/>
      <c r="AW4969" s="1"/>
      <c r="AX4969" s="1"/>
      <c r="AY4969" s="1"/>
      <c r="AZ4969" s="1"/>
      <c r="BA4969" s="1"/>
      <c r="BB4969" s="1"/>
      <c r="BC4969" s="1"/>
      <c r="BD4969" s="1"/>
      <c r="BE4969" s="1"/>
      <c r="BF4969" s="1"/>
      <c r="BG4969" s="1"/>
      <c r="BH4969" s="1"/>
      <c r="BI4969" s="1"/>
      <c r="BJ4969" s="1"/>
      <c r="BK4969" s="1"/>
    </row>
    <row r="4970" spans="1:63" s="11" customFormat="1" ht="12" customHeight="1" x14ac:dyDescent="0.15">
      <c r="A4970" s="1" t="s">
        <v>16835</v>
      </c>
      <c r="B4970" s="1">
        <v>54</v>
      </c>
      <c r="C4970" s="1" t="s">
        <v>114</v>
      </c>
      <c r="D4970" s="1" t="s">
        <v>85</v>
      </c>
      <c r="E4970" s="1" t="s">
        <v>16836</v>
      </c>
      <c r="F4970" s="72">
        <v>41402</v>
      </c>
      <c r="G4970" s="1" t="s">
        <v>16837</v>
      </c>
      <c r="H4970" s="1" t="s">
        <v>87</v>
      </c>
      <c r="I4970" s="1" t="s">
        <v>44</v>
      </c>
      <c r="J4970" s="4" t="s">
        <v>1677</v>
      </c>
      <c r="K4970" s="1" t="s">
        <v>88</v>
      </c>
      <c r="L4970" s="1" t="s">
        <v>89</v>
      </c>
      <c r="M4970" s="1" t="s">
        <v>379</v>
      </c>
      <c r="N4970" s="1" t="s">
        <v>16838</v>
      </c>
      <c r="O4970" s="1" t="s">
        <v>29660</v>
      </c>
      <c r="P4970" s="1" t="s">
        <v>401</v>
      </c>
      <c r="Q4970" s="63" t="s">
        <v>16839</v>
      </c>
      <c r="R4970" s="1" t="s">
        <v>100</v>
      </c>
      <c r="S4970" s="13" t="s">
        <v>28</v>
      </c>
      <c r="T4970" s="1"/>
      <c r="U4970" s="1"/>
      <c r="V4970" s="1"/>
      <c r="W4970" s="1"/>
      <c r="X4970" s="1"/>
      <c r="Y4970" s="1"/>
      <c r="Z4970" s="1"/>
      <c r="AA4970" s="1"/>
      <c r="AB4970" s="1"/>
      <c r="AC4970" s="1"/>
      <c r="AD4970" s="1"/>
      <c r="AE4970" s="1"/>
      <c r="AF4970" s="1"/>
      <c r="AG4970" s="1"/>
      <c r="AH4970" s="1"/>
      <c r="AI4970" s="1"/>
      <c r="AJ4970" s="1"/>
      <c r="AK4970" s="1"/>
      <c r="AL4970" s="1"/>
      <c r="AU4970" s="1"/>
      <c r="AV4970" s="1"/>
      <c r="AW4970" s="1"/>
      <c r="AX4970" s="1"/>
      <c r="AY4970" s="1"/>
      <c r="AZ4970" s="1"/>
      <c r="BA4970" s="1"/>
      <c r="BB4970" s="1"/>
      <c r="BC4970" s="44"/>
      <c r="BD4970" s="44"/>
      <c r="BE4970" s="44"/>
      <c r="BF4970" s="44"/>
      <c r="BG4970" s="44"/>
      <c r="BH4970" s="44"/>
      <c r="BI4970" s="44"/>
      <c r="BJ4970" s="44"/>
      <c r="BK4970" s="1"/>
    </row>
    <row r="4971" spans="1:63" s="11" customFormat="1" ht="12" customHeight="1" x14ac:dyDescent="0.15">
      <c r="A4971" s="1" t="s">
        <v>3252</v>
      </c>
      <c r="B4971" s="1" t="s">
        <v>29</v>
      </c>
      <c r="C4971" s="1" t="s">
        <v>20</v>
      </c>
      <c r="D4971" s="1" t="s">
        <v>30</v>
      </c>
      <c r="E4971" s="1"/>
      <c r="F4971" s="72">
        <v>41402</v>
      </c>
      <c r="G4971" s="1" t="s">
        <v>16840</v>
      </c>
      <c r="H4971" s="1" t="s">
        <v>213</v>
      </c>
      <c r="I4971" s="1" t="s">
        <v>62</v>
      </c>
      <c r="J4971" s="4" t="s">
        <v>13302</v>
      </c>
      <c r="K4971" s="1" t="s">
        <v>161</v>
      </c>
      <c r="L4971" s="1" t="s">
        <v>162</v>
      </c>
      <c r="M4971" s="1" t="s">
        <v>27</v>
      </c>
      <c r="N4971" s="1" t="s">
        <v>16841</v>
      </c>
      <c r="O4971" s="1" t="s">
        <v>1010</v>
      </c>
      <c r="P4971" s="1" t="s">
        <v>401</v>
      </c>
      <c r="Q4971" s="63" t="s">
        <v>16842</v>
      </c>
      <c r="R4971" s="1" t="s">
        <v>100</v>
      </c>
      <c r="S4971" s="13" t="s">
        <v>28</v>
      </c>
      <c r="T4971" s="1"/>
      <c r="U4971" s="1"/>
      <c r="V4971" s="1"/>
      <c r="W4971" s="1"/>
      <c r="X4971" s="1"/>
      <c r="Y4971" s="1"/>
      <c r="Z4971" s="1"/>
      <c r="AA4971" s="1"/>
      <c r="AB4971" s="1"/>
      <c r="AC4971" s="1"/>
      <c r="AD4971" s="1"/>
      <c r="AE4971" s="1"/>
      <c r="AF4971" s="1"/>
      <c r="AG4971" s="1"/>
      <c r="AH4971" s="1"/>
      <c r="AI4971" s="1"/>
      <c r="AJ4971" s="1"/>
      <c r="AK4971" s="1"/>
      <c r="AL4971" s="1"/>
      <c r="AU4971" s="1"/>
      <c r="AV4971" s="1"/>
      <c r="AW4971" s="1"/>
      <c r="AX4971" s="1"/>
      <c r="AY4971" s="1"/>
      <c r="AZ4971" s="1"/>
      <c r="BA4971" s="1"/>
      <c r="BB4971" s="1"/>
      <c r="BC4971" s="1"/>
      <c r="BD4971" s="1"/>
      <c r="BE4971" s="1"/>
      <c r="BF4971" s="1"/>
      <c r="BG4971" s="1"/>
      <c r="BH4971" s="1"/>
      <c r="BI4971" s="1"/>
      <c r="BJ4971" s="1"/>
      <c r="BK4971" s="1"/>
    </row>
    <row r="4972" spans="1:63" s="11" customFormat="1" ht="12" customHeight="1" x14ac:dyDescent="0.2">
      <c r="A4972" s="1" t="s">
        <v>16850</v>
      </c>
      <c r="B4972" s="1">
        <v>33</v>
      </c>
      <c r="C4972" s="1" t="s">
        <v>20</v>
      </c>
      <c r="D4972" s="1" t="s">
        <v>37</v>
      </c>
      <c r="E4972" s="1" t="s">
        <v>16851</v>
      </c>
      <c r="F4972" s="72">
        <v>41402</v>
      </c>
      <c r="G4972" s="1" t="s">
        <v>16852</v>
      </c>
      <c r="H4972" s="1" t="s">
        <v>679</v>
      </c>
      <c r="I4972" s="1" t="s">
        <v>45</v>
      </c>
      <c r="J4972" s="4" t="s">
        <v>3250</v>
      </c>
      <c r="K4972" s="1" t="s">
        <v>680</v>
      </c>
      <c r="L4972" s="1" t="s">
        <v>747</v>
      </c>
      <c r="M4972" s="1" t="s">
        <v>3154</v>
      </c>
      <c r="N4972" s="1" t="s">
        <v>16853</v>
      </c>
      <c r="O4972" s="1" t="s">
        <v>550</v>
      </c>
      <c r="P4972" s="1" t="s">
        <v>401</v>
      </c>
      <c r="Q4972" s="63" t="s">
        <v>16854</v>
      </c>
      <c r="R4972" s="1" t="s">
        <v>100</v>
      </c>
      <c r="S4972" s="13" t="s">
        <v>28</v>
      </c>
      <c r="T4972" s="1"/>
      <c r="U4972" s="1"/>
      <c r="V4972" s="1"/>
      <c r="W4972" s="1"/>
      <c r="X4972" s="1"/>
      <c r="Y4972" s="1"/>
      <c r="Z4972" s="1"/>
      <c r="AA4972" s="1"/>
      <c r="AB4972" s="1"/>
      <c r="AC4972" s="1"/>
      <c r="AD4972" s="1"/>
      <c r="AE4972" s="1"/>
      <c r="AF4972" s="1"/>
      <c r="AG4972" s="1"/>
      <c r="AH4972" s="1"/>
      <c r="AI4972" s="1"/>
      <c r="AJ4972" s="1"/>
      <c r="AK4972" s="1"/>
      <c r="AT4972" s="70"/>
      <c r="AU4972" s="70"/>
      <c r="AV4972" s="1"/>
      <c r="AW4972" s="44"/>
      <c r="AX4972" s="44"/>
      <c r="AY4972" s="44"/>
      <c r="AZ4972" s="1"/>
      <c r="BA4972" s="1"/>
      <c r="BB4972" s="1"/>
      <c r="BC4972" s="1"/>
      <c r="BD4972" s="1"/>
      <c r="BE4972" s="1"/>
      <c r="BF4972" s="1"/>
      <c r="BG4972" s="1"/>
      <c r="BH4972" s="1"/>
      <c r="BI4972" s="1"/>
      <c r="BJ4972" s="78"/>
      <c r="BK4972" s="78"/>
    </row>
    <row r="4973" spans="1:63" s="11" customFormat="1" ht="12" customHeight="1" x14ac:dyDescent="0.15">
      <c r="A4973" s="1" t="s">
        <v>16843</v>
      </c>
      <c r="B4973" s="1" t="s">
        <v>13399</v>
      </c>
      <c r="C4973" s="1" t="s">
        <v>20</v>
      </c>
      <c r="D4973" s="1" t="s">
        <v>37</v>
      </c>
      <c r="E4973" s="1" t="s">
        <v>16844</v>
      </c>
      <c r="F4973" s="72">
        <v>41402</v>
      </c>
      <c r="G4973" s="1" t="s">
        <v>24617</v>
      </c>
      <c r="H4973" s="1" t="s">
        <v>16845</v>
      </c>
      <c r="I4973" s="1" t="s">
        <v>854</v>
      </c>
      <c r="J4973" s="4" t="s">
        <v>16846</v>
      </c>
      <c r="K4973" s="1" t="s">
        <v>14879</v>
      </c>
      <c r="L4973" s="1" t="s">
        <v>16847</v>
      </c>
      <c r="M4973" s="1" t="s">
        <v>27</v>
      </c>
      <c r="N4973" s="1" t="s">
        <v>16848</v>
      </c>
      <c r="O4973" s="1" t="s">
        <v>550</v>
      </c>
      <c r="P4973" s="1" t="s">
        <v>401</v>
      </c>
      <c r="Q4973" s="63" t="s">
        <v>16849</v>
      </c>
      <c r="R4973" s="1" t="s">
        <v>100</v>
      </c>
      <c r="S4973" s="13" t="s">
        <v>28</v>
      </c>
      <c r="T4973" s="1"/>
      <c r="U4973" s="1"/>
      <c r="V4973" s="1"/>
      <c r="W4973" s="1"/>
      <c r="X4973" s="1"/>
      <c r="Y4973" s="1"/>
      <c r="Z4973" s="1"/>
      <c r="AA4973" s="1"/>
      <c r="AB4973" s="1"/>
      <c r="AC4973" s="1"/>
      <c r="AD4973" s="1"/>
      <c r="AE4973" s="1"/>
      <c r="AF4973" s="1"/>
      <c r="AG4973" s="1"/>
      <c r="AH4973" s="1"/>
      <c r="AI4973" s="1"/>
      <c r="AJ4973" s="1"/>
      <c r="AK4973" s="1"/>
      <c r="AL4973" s="1"/>
      <c r="AU4973" s="1"/>
      <c r="AV4973" s="1"/>
      <c r="AW4973" s="1"/>
      <c r="BA4973" s="1"/>
      <c r="BB4973" s="1"/>
      <c r="BC4973" s="1"/>
      <c r="BD4973" s="1"/>
      <c r="BE4973" s="1"/>
      <c r="BF4973" s="1"/>
      <c r="BG4973" s="1"/>
      <c r="BH4973" s="1"/>
      <c r="BI4973" s="1"/>
      <c r="BJ4973" s="1"/>
      <c r="BK4973" s="1"/>
    </row>
    <row r="4974" spans="1:63" s="11" customFormat="1" ht="12" customHeight="1" x14ac:dyDescent="0.15">
      <c r="A4974" s="1" t="s">
        <v>16855</v>
      </c>
      <c r="B4974" s="1" t="s">
        <v>8724</v>
      </c>
      <c r="C4974" s="1" t="s">
        <v>114</v>
      </c>
      <c r="D4974" s="1" t="s">
        <v>85</v>
      </c>
      <c r="E4974" s="1" t="s">
        <v>16856</v>
      </c>
      <c r="F4974" s="72">
        <v>41401</v>
      </c>
      <c r="G4974" s="1" t="s">
        <v>24618</v>
      </c>
      <c r="H4974" s="1" t="s">
        <v>1592</v>
      </c>
      <c r="I4974" s="1" t="s">
        <v>52</v>
      </c>
      <c r="J4974" s="4" t="s">
        <v>2769</v>
      </c>
      <c r="K4974" s="1" t="s">
        <v>4697</v>
      </c>
      <c r="L4974" s="1" t="s">
        <v>2770</v>
      </c>
      <c r="M4974" s="1" t="s">
        <v>27</v>
      </c>
      <c r="N4974" s="1" t="s">
        <v>16857</v>
      </c>
      <c r="O4974" s="1" t="s">
        <v>613</v>
      </c>
      <c r="P4974" s="1" t="s">
        <v>401</v>
      </c>
      <c r="Q4974" s="63" t="s">
        <v>16858</v>
      </c>
      <c r="R4974" s="1" t="s">
        <v>100</v>
      </c>
      <c r="S4974" s="13" t="s">
        <v>28</v>
      </c>
      <c r="T4974" s="1"/>
      <c r="U4974" s="1"/>
      <c r="V4974" s="1"/>
      <c r="W4974" s="1"/>
      <c r="X4974" s="1"/>
      <c r="Y4974" s="1"/>
      <c r="Z4974" s="1"/>
      <c r="AA4974" s="1"/>
      <c r="AB4974" s="1"/>
      <c r="AC4974" s="1"/>
      <c r="AD4974" s="1"/>
      <c r="AE4974" s="1"/>
      <c r="AF4974" s="1"/>
      <c r="AG4974" s="1"/>
      <c r="AH4974" s="1"/>
      <c r="AI4974" s="1"/>
      <c r="AJ4974" s="1"/>
      <c r="AK4974" s="1"/>
      <c r="AL4974" s="1"/>
      <c r="AU4974" s="1"/>
      <c r="AV4974" s="1"/>
      <c r="AW4974" s="1"/>
      <c r="AX4974" s="44"/>
      <c r="AY4974" s="44"/>
      <c r="AZ4974" s="1"/>
      <c r="BA4974" s="1"/>
      <c r="BB4974" s="1"/>
      <c r="BC4974" s="44"/>
      <c r="BD4974" s="44"/>
      <c r="BE4974" s="44"/>
      <c r="BF4974" s="44"/>
      <c r="BG4974" s="44"/>
      <c r="BH4974" s="44"/>
      <c r="BI4974" s="44"/>
      <c r="BJ4974" s="44"/>
      <c r="BK4974" s="1"/>
    </row>
    <row r="4975" spans="1:63" s="11" customFormat="1" ht="12" customHeight="1" x14ac:dyDescent="0.15">
      <c r="A4975" s="1" t="s">
        <v>16859</v>
      </c>
      <c r="B4975" s="1" t="s">
        <v>15955</v>
      </c>
      <c r="C4975" s="1" t="s">
        <v>20</v>
      </c>
      <c r="D4975" s="1" t="s">
        <v>48</v>
      </c>
      <c r="E4975" s="1" t="s">
        <v>16860</v>
      </c>
      <c r="F4975" s="72">
        <v>41401</v>
      </c>
      <c r="G4975" s="1" t="s">
        <v>16861</v>
      </c>
      <c r="H4975" s="1" t="s">
        <v>12142</v>
      </c>
      <c r="I4975" s="1" t="s">
        <v>62</v>
      </c>
      <c r="J4975" s="4" t="s">
        <v>12143</v>
      </c>
      <c r="K4975" s="1" t="s">
        <v>1256</v>
      </c>
      <c r="L4975" s="1" t="s">
        <v>13531</v>
      </c>
      <c r="M4975" s="1" t="s">
        <v>27</v>
      </c>
      <c r="N4975" s="1" t="s">
        <v>16862</v>
      </c>
      <c r="O4975" s="1" t="s">
        <v>550</v>
      </c>
      <c r="P4975" s="1" t="s">
        <v>401</v>
      </c>
      <c r="Q4975" s="63" t="s">
        <v>16863</v>
      </c>
      <c r="R4975" s="1" t="s">
        <v>100</v>
      </c>
      <c r="S4975" s="13" t="s">
        <v>28</v>
      </c>
      <c r="T4975" s="1"/>
      <c r="U4975" s="1"/>
      <c r="V4975" s="1"/>
      <c r="W4975" s="1"/>
      <c r="X4975" s="1"/>
      <c r="Y4975" s="1"/>
      <c r="Z4975" s="1"/>
      <c r="AA4975" s="1"/>
      <c r="AB4975" s="1"/>
      <c r="AC4975" s="1"/>
      <c r="AD4975" s="1"/>
      <c r="AE4975" s="1"/>
      <c r="AF4975" s="1"/>
      <c r="AG4975" s="1"/>
      <c r="AH4975" s="1"/>
      <c r="AI4975" s="1"/>
      <c r="AJ4975" s="1"/>
      <c r="AK4975" s="1"/>
      <c r="AL4975" s="1"/>
      <c r="AU4975" s="1"/>
      <c r="AV4975" s="1"/>
      <c r="AW4975" s="1"/>
      <c r="AX4975" s="1"/>
      <c r="AY4975" s="1"/>
      <c r="AZ4975" s="1"/>
      <c r="BA4975" s="1"/>
      <c r="BB4975" s="1"/>
      <c r="BC4975" s="1"/>
      <c r="BD4975" s="1"/>
      <c r="BE4975" s="1"/>
      <c r="BF4975" s="1"/>
      <c r="BG4975" s="1"/>
      <c r="BH4975" s="1"/>
      <c r="BI4975" s="1"/>
      <c r="BJ4975" s="1"/>
      <c r="BK4975" s="1"/>
    </row>
    <row r="4976" spans="1:63" s="11" customFormat="1" ht="12" customHeight="1" x14ac:dyDescent="0.15">
      <c r="A4976" s="1" t="s">
        <v>16864</v>
      </c>
      <c r="B4976" s="1" t="s">
        <v>10877</v>
      </c>
      <c r="C4976" s="1" t="s">
        <v>20</v>
      </c>
      <c r="D4976" s="1" t="s">
        <v>48</v>
      </c>
      <c r="E4976" s="1"/>
      <c r="F4976" s="72">
        <v>41401</v>
      </c>
      <c r="G4976" s="1" t="s">
        <v>16865</v>
      </c>
      <c r="H4976" s="1" t="s">
        <v>213</v>
      </c>
      <c r="I4976" s="1" t="s">
        <v>62</v>
      </c>
      <c r="J4976" s="4" t="s">
        <v>13302</v>
      </c>
      <c r="K4976" s="1" t="s">
        <v>161</v>
      </c>
      <c r="L4976" s="1" t="s">
        <v>162</v>
      </c>
      <c r="M4976" s="1" t="s">
        <v>27</v>
      </c>
      <c r="N4976" s="1" t="s">
        <v>16866</v>
      </c>
      <c r="O4976" s="1" t="s">
        <v>29</v>
      </c>
      <c r="P4976" s="1" t="s">
        <v>401</v>
      </c>
      <c r="Q4976" s="63" t="s">
        <v>16867</v>
      </c>
      <c r="R4976" s="1" t="s">
        <v>100</v>
      </c>
      <c r="S4976" s="13" t="s">
        <v>28</v>
      </c>
      <c r="T4976" s="1"/>
      <c r="U4976" s="1"/>
      <c r="V4976" s="1"/>
      <c r="W4976" s="1"/>
      <c r="X4976" s="1"/>
      <c r="Y4976" s="1"/>
      <c r="Z4976" s="1"/>
      <c r="AA4976" s="1"/>
      <c r="AB4976" s="1"/>
      <c r="AC4976" s="1"/>
      <c r="AD4976" s="1"/>
      <c r="AE4976" s="1"/>
      <c r="AF4976" s="1"/>
      <c r="AG4976" s="1"/>
      <c r="AH4976" s="1"/>
      <c r="AI4976" s="1"/>
      <c r="AJ4976" s="1"/>
      <c r="AK4976" s="1"/>
      <c r="AL4976" s="1"/>
      <c r="AU4976" s="1"/>
      <c r="AV4976" s="1"/>
      <c r="AW4976" s="1"/>
      <c r="AX4976" s="1"/>
      <c r="AY4976" s="1"/>
      <c r="AZ4976" s="1"/>
      <c r="BA4976" s="1"/>
      <c r="BB4976" s="1"/>
      <c r="BC4976" s="1"/>
      <c r="BD4976" s="1"/>
      <c r="BE4976" s="1"/>
      <c r="BF4976" s="1"/>
      <c r="BG4976" s="1"/>
      <c r="BH4976" s="1"/>
      <c r="BI4976" s="1"/>
      <c r="BJ4976" s="1"/>
      <c r="BK4976" s="1"/>
    </row>
    <row r="4977" spans="1:63" s="11" customFormat="1" ht="12" customHeight="1" x14ac:dyDescent="0.2">
      <c r="A4977" s="1" t="s">
        <v>16868</v>
      </c>
      <c r="B4977" s="1">
        <v>32</v>
      </c>
      <c r="C4977" s="1" t="s">
        <v>20</v>
      </c>
      <c r="D4977" s="1" t="s">
        <v>21</v>
      </c>
      <c r="E4977" s="1" t="s">
        <v>16869</v>
      </c>
      <c r="F4977" s="72">
        <v>41400</v>
      </c>
      <c r="G4977" s="1" t="s">
        <v>16870</v>
      </c>
      <c r="H4977" s="1" t="s">
        <v>6388</v>
      </c>
      <c r="I4977" s="1" t="s">
        <v>45</v>
      </c>
      <c r="J4977" s="4" t="s">
        <v>6389</v>
      </c>
      <c r="K4977" s="1" t="s">
        <v>3423</v>
      </c>
      <c r="L4977" s="1" t="s">
        <v>6390</v>
      </c>
      <c r="M4977" s="1" t="s">
        <v>27</v>
      </c>
      <c r="N4977" s="1" t="s">
        <v>16871</v>
      </c>
      <c r="O4977" s="1" t="s">
        <v>29</v>
      </c>
      <c r="P4977" s="1" t="s">
        <v>401</v>
      </c>
      <c r="Q4977" s="63" t="s">
        <v>16872</v>
      </c>
      <c r="R4977" s="1" t="s">
        <v>555</v>
      </c>
      <c r="S4977" s="13" t="s">
        <v>28</v>
      </c>
      <c r="T4977" s="1"/>
      <c r="U4977" s="1"/>
      <c r="V4977" s="1"/>
      <c r="W4977" s="1"/>
      <c r="X4977" s="1"/>
      <c r="Y4977" s="1"/>
      <c r="Z4977" s="1"/>
      <c r="AA4977" s="1"/>
      <c r="AB4977" s="1"/>
      <c r="AC4977" s="1"/>
      <c r="AD4977" s="1"/>
      <c r="AE4977" s="1"/>
      <c r="AF4977" s="1"/>
      <c r="AG4977" s="1"/>
      <c r="AH4977" s="1"/>
      <c r="AI4977" s="1"/>
      <c r="AJ4977" s="1"/>
      <c r="AK4977" s="1"/>
      <c r="AL4977" s="1"/>
      <c r="AU4977" s="1"/>
      <c r="AV4977" s="1"/>
      <c r="AW4977" s="1"/>
      <c r="AX4977" s="70"/>
      <c r="AY4977" s="70"/>
      <c r="AZ4977" s="1"/>
      <c r="BA4977" s="1"/>
      <c r="BB4977" s="1"/>
      <c r="BC4977" s="70"/>
      <c r="BD4977" s="70"/>
      <c r="BE4977" s="70"/>
      <c r="BF4977" s="70"/>
      <c r="BG4977" s="70"/>
      <c r="BH4977" s="70"/>
      <c r="BI4977" s="70"/>
      <c r="BJ4977" s="70"/>
      <c r="BK4977" s="1"/>
    </row>
    <row r="4978" spans="1:63" s="11" customFormat="1" ht="12" customHeight="1" x14ac:dyDescent="0.2">
      <c r="A4978" s="1" t="s">
        <v>16877</v>
      </c>
      <c r="B4978" s="1">
        <v>17</v>
      </c>
      <c r="C4978" s="1" t="s">
        <v>20</v>
      </c>
      <c r="D4978" s="1" t="s">
        <v>85</v>
      </c>
      <c r="E4978" s="1" t="s">
        <v>16878</v>
      </c>
      <c r="F4978" s="72">
        <v>41399</v>
      </c>
      <c r="G4978" s="1" t="s">
        <v>16879</v>
      </c>
      <c r="H4978" s="1" t="s">
        <v>754</v>
      </c>
      <c r="I4978" s="1" t="s">
        <v>423</v>
      </c>
      <c r="J4978" s="4" t="s">
        <v>16880</v>
      </c>
      <c r="K4978" s="1" t="s">
        <v>1712</v>
      </c>
      <c r="L4978" s="1" t="s">
        <v>582</v>
      </c>
      <c r="M4978" s="1" t="s">
        <v>3154</v>
      </c>
      <c r="N4978" s="1" t="s">
        <v>16881</v>
      </c>
      <c r="O4978" s="1" t="s">
        <v>1010</v>
      </c>
      <c r="P4978" s="1" t="s">
        <v>401</v>
      </c>
      <c r="Q4978" s="63" t="s">
        <v>16882</v>
      </c>
      <c r="R4978" s="1" t="s">
        <v>100</v>
      </c>
      <c r="S4978" s="13" t="s">
        <v>28</v>
      </c>
      <c r="T4978" s="1"/>
      <c r="U4978" s="1"/>
      <c r="V4978" s="1"/>
      <c r="W4978" s="1"/>
      <c r="X4978" s="1"/>
      <c r="Y4978" s="1"/>
      <c r="Z4978" s="1"/>
      <c r="AA4978" s="1"/>
      <c r="AB4978" s="1"/>
      <c r="AC4978" s="1"/>
      <c r="AD4978" s="1"/>
      <c r="AE4978" s="1"/>
      <c r="AF4978" s="1"/>
      <c r="AG4978" s="1"/>
      <c r="AH4978" s="1"/>
      <c r="AI4978" s="1"/>
      <c r="AJ4978" s="1"/>
      <c r="AK4978" s="1"/>
      <c r="AT4978" s="70"/>
      <c r="AU4978" s="70"/>
      <c r="AV4978" s="1"/>
      <c r="AW4978" s="44"/>
      <c r="AX4978" s="44"/>
      <c r="AY4978" s="1"/>
      <c r="AZ4978" s="1"/>
      <c r="BA4978" s="1"/>
      <c r="BB4978" s="44"/>
      <c r="BC4978" s="44"/>
      <c r="BD4978" s="44"/>
      <c r="BE4978" s="44"/>
      <c r="BF4978" s="44"/>
      <c r="BG4978" s="44"/>
      <c r="BH4978" s="44"/>
      <c r="BI4978" s="44"/>
      <c r="BJ4978" s="78"/>
      <c r="BK4978" s="78"/>
    </row>
    <row r="4979" spans="1:63" s="11" customFormat="1" ht="12" customHeight="1" x14ac:dyDescent="0.15">
      <c r="A4979" s="1" t="s">
        <v>16873</v>
      </c>
      <c r="B4979" s="1" t="s">
        <v>16278</v>
      </c>
      <c r="C4979" s="1" t="s">
        <v>20</v>
      </c>
      <c r="D4979" s="1" t="s">
        <v>85</v>
      </c>
      <c r="E4979" s="1" t="s">
        <v>16874</v>
      </c>
      <c r="F4979" s="72">
        <v>41399</v>
      </c>
      <c r="G4979" s="1" t="s">
        <v>24619</v>
      </c>
      <c r="H4979" s="1" t="s">
        <v>87</v>
      </c>
      <c r="I4979" s="1" t="s">
        <v>44</v>
      </c>
      <c r="J4979" s="4" t="s">
        <v>15930</v>
      </c>
      <c r="K4979" s="1" t="s">
        <v>88</v>
      </c>
      <c r="L4979" s="1" t="s">
        <v>89</v>
      </c>
      <c r="M4979" s="1" t="s">
        <v>27</v>
      </c>
      <c r="N4979" s="1" t="s">
        <v>16875</v>
      </c>
      <c r="O4979" s="1" t="s">
        <v>29</v>
      </c>
      <c r="P4979" s="1" t="s">
        <v>401</v>
      </c>
      <c r="Q4979" s="63" t="s">
        <v>16876</v>
      </c>
      <c r="R4979" s="1" t="s">
        <v>555</v>
      </c>
      <c r="S4979" s="13" t="s">
        <v>28</v>
      </c>
      <c r="T4979" s="1"/>
      <c r="U4979" s="1"/>
      <c r="V4979" s="1"/>
      <c r="W4979" s="1"/>
      <c r="X4979" s="1"/>
      <c r="Y4979" s="1"/>
      <c r="Z4979" s="1"/>
      <c r="AA4979" s="1"/>
      <c r="AB4979" s="1"/>
      <c r="AC4979" s="1"/>
      <c r="AD4979" s="1"/>
      <c r="AE4979" s="1"/>
      <c r="AF4979" s="1"/>
      <c r="AG4979" s="1"/>
      <c r="AH4979" s="1"/>
      <c r="AI4979" s="1"/>
      <c r="AJ4979" s="1"/>
      <c r="AK4979" s="1"/>
      <c r="AL4979" s="1"/>
      <c r="AU4979" s="1"/>
      <c r="AV4979" s="1"/>
      <c r="AW4979" s="1"/>
      <c r="AZ4979" s="1"/>
      <c r="BA4979" s="1"/>
      <c r="BB4979" s="1"/>
      <c r="BC4979" s="44"/>
      <c r="BD4979" s="44"/>
      <c r="BE4979" s="44"/>
      <c r="BF4979" s="44"/>
      <c r="BG4979" s="44"/>
      <c r="BH4979" s="44"/>
      <c r="BI4979" s="44"/>
      <c r="BJ4979" s="44"/>
      <c r="BK4979" s="1"/>
    </row>
    <row r="4980" spans="1:63" s="11" customFormat="1" ht="12" customHeight="1" x14ac:dyDescent="0.15">
      <c r="A4980" s="1" t="s">
        <v>16883</v>
      </c>
      <c r="B4980" s="1" t="s">
        <v>15841</v>
      </c>
      <c r="C4980" s="1" t="s">
        <v>20</v>
      </c>
      <c r="D4980" s="1" t="s">
        <v>85</v>
      </c>
      <c r="E4980" s="1" t="s">
        <v>16884</v>
      </c>
      <c r="F4980" s="72">
        <v>41398</v>
      </c>
      <c r="G4980" s="1" t="s">
        <v>16885</v>
      </c>
      <c r="H4980" s="1" t="s">
        <v>1060</v>
      </c>
      <c r="I4980" s="1" t="s">
        <v>62</v>
      </c>
      <c r="J4980" s="4" t="s">
        <v>16886</v>
      </c>
      <c r="K4980" s="1" t="s">
        <v>1061</v>
      </c>
      <c r="L4980" s="1" t="s">
        <v>1062</v>
      </c>
      <c r="M4980" s="1" t="s">
        <v>27</v>
      </c>
      <c r="N4980" s="1" t="s">
        <v>16887</v>
      </c>
      <c r="O4980" s="1" t="s">
        <v>29</v>
      </c>
      <c r="P4980" s="1" t="s">
        <v>401</v>
      </c>
      <c r="Q4980" s="63" t="s">
        <v>16888</v>
      </c>
      <c r="R4980" s="1" t="s">
        <v>100</v>
      </c>
      <c r="S4980" s="13" t="s">
        <v>28</v>
      </c>
      <c r="T4980" s="1"/>
      <c r="U4980" s="1"/>
      <c r="V4980" s="1"/>
      <c r="W4980" s="1"/>
      <c r="X4980" s="1"/>
      <c r="Y4980" s="1"/>
      <c r="Z4980" s="1"/>
      <c r="AA4980" s="1"/>
      <c r="AB4980" s="1"/>
      <c r="AC4980" s="1"/>
      <c r="AD4980" s="1"/>
      <c r="AE4980" s="1"/>
      <c r="AF4980" s="1"/>
      <c r="AG4980" s="1"/>
      <c r="AH4980" s="1"/>
      <c r="AI4980" s="1"/>
      <c r="AJ4980" s="1"/>
      <c r="AK4980" s="1"/>
      <c r="AL4980" s="1"/>
      <c r="AM4980" s="1"/>
      <c r="AN4980" s="1"/>
      <c r="AO4980" s="1"/>
      <c r="AP4980" s="1"/>
      <c r="AQ4980" s="1"/>
      <c r="AR4980" s="1"/>
      <c r="AS4980" s="1"/>
      <c r="AT4980" s="1"/>
      <c r="AU4980" s="1"/>
      <c r="AV4980" s="1"/>
      <c r="AW4980" s="1"/>
      <c r="AX4980" s="44"/>
      <c r="AY4980" s="44"/>
      <c r="AZ4980" s="1"/>
      <c r="BA4980" s="1"/>
      <c r="BB4980" s="1"/>
      <c r="BC4980" s="44"/>
      <c r="BD4980" s="44"/>
      <c r="BE4980" s="44"/>
      <c r="BF4980" s="44"/>
      <c r="BG4980" s="44"/>
      <c r="BH4980" s="44"/>
      <c r="BI4980" s="44"/>
      <c r="BJ4980" s="44"/>
      <c r="BK4980" s="1"/>
    </row>
    <row r="4981" spans="1:63" s="11" customFormat="1" ht="12" customHeight="1" x14ac:dyDescent="0.15">
      <c r="A4981" s="1" t="s">
        <v>3252</v>
      </c>
      <c r="B4981" s="1" t="s">
        <v>29</v>
      </c>
      <c r="C4981" s="1" t="s">
        <v>20</v>
      </c>
      <c r="D4981" s="1" t="s">
        <v>30</v>
      </c>
      <c r="E4981" s="1"/>
      <c r="F4981" s="72">
        <v>41398</v>
      </c>
      <c r="G4981" s="1" t="s">
        <v>16895</v>
      </c>
      <c r="H4981" s="1" t="s">
        <v>213</v>
      </c>
      <c r="I4981" s="1" t="s">
        <v>62</v>
      </c>
      <c r="J4981" s="4" t="s">
        <v>16896</v>
      </c>
      <c r="K4981" s="1" t="s">
        <v>161</v>
      </c>
      <c r="L4981" s="1" t="s">
        <v>162</v>
      </c>
      <c r="M4981" s="1" t="s">
        <v>27</v>
      </c>
      <c r="N4981" s="1" t="s">
        <v>16897</v>
      </c>
      <c r="O4981" s="1" t="s">
        <v>2411</v>
      </c>
      <c r="P4981" s="1" t="s">
        <v>401</v>
      </c>
      <c r="Q4981" s="63" t="s">
        <v>16898</v>
      </c>
      <c r="R4981" s="1" t="s">
        <v>29</v>
      </c>
      <c r="S4981" s="13" t="s">
        <v>28</v>
      </c>
      <c r="T4981" s="1"/>
      <c r="U4981" s="1"/>
      <c r="V4981" s="1"/>
      <c r="W4981" s="1"/>
      <c r="X4981" s="1"/>
      <c r="Y4981" s="1"/>
      <c r="Z4981" s="1"/>
      <c r="AA4981" s="1"/>
      <c r="AB4981" s="1"/>
      <c r="AC4981" s="1"/>
      <c r="AD4981" s="1"/>
      <c r="AE4981" s="1"/>
      <c r="AF4981" s="1"/>
      <c r="AG4981" s="1"/>
      <c r="AH4981" s="1"/>
      <c r="AI4981" s="1"/>
      <c r="AJ4981" s="1"/>
      <c r="AK4981" s="1"/>
      <c r="AL4981" s="1"/>
      <c r="AU4981" s="1"/>
      <c r="AV4981" s="1"/>
      <c r="AW4981" s="1"/>
      <c r="AX4981" s="1"/>
      <c r="AY4981" s="1"/>
      <c r="AZ4981" s="1"/>
      <c r="BA4981" s="1"/>
      <c r="BB4981" s="1"/>
      <c r="BC4981" s="1"/>
      <c r="BD4981" s="1"/>
      <c r="BE4981" s="1"/>
      <c r="BF4981" s="1"/>
      <c r="BG4981" s="1"/>
      <c r="BH4981" s="1"/>
      <c r="BI4981" s="1"/>
      <c r="BJ4981" s="1"/>
      <c r="BK4981" s="1"/>
    </row>
    <row r="4982" spans="1:63" s="11" customFormat="1" ht="12" customHeight="1" x14ac:dyDescent="0.15">
      <c r="A4982" s="1" t="s">
        <v>16889</v>
      </c>
      <c r="B4982" s="1" t="s">
        <v>13399</v>
      </c>
      <c r="C4982" s="1" t="s">
        <v>20</v>
      </c>
      <c r="D4982" s="1" t="s">
        <v>48</v>
      </c>
      <c r="E4982" s="1"/>
      <c r="F4982" s="72">
        <v>41398</v>
      </c>
      <c r="G4982" s="1" t="s">
        <v>16890</v>
      </c>
      <c r="H4982" s="1" t="s">
        <v>11900</v>
      </c>
      <c r="I4982" s="1" t="s">
        <v>45</v>
      </c>
      <c r="J4982" s="4" t="s">
        <v>16891</v>
      </c>
      <c r="K4982" s="1" t="s">
        <v>156</v>
      </c>
      <c r="L4982" s="1" t="s">
        <v>16892</v>
      </c>
      <c r="M4982" s="1" t="s">
        <v>27</v>
      </c>
      <c r="N4982" s="1" t="s">
        <v>16893</v>
      </c>
      <c r="O4982" s="1" t="s">
        <v>29</v>
      </c>
      <c r="P4982" s="1" t="s">
        <v>401</v>
      </c>
      <c r="Q4982" s="63" t="s">
        <v>16894</v>
      </c>
      <c r="R4982" s="1" t="s">
        <v>555</v>
      </c>
      <c r="S4982" s="13" t="s">
        <v>28</v>
      </c>
      <c r="T4982" s="1"/>
      <c r="U4982" s="1"/>
      <c r="V4982" s="1"/>
      <c r="W4982" s="1"/>
      <c r="X4982" s="1"/>
      <c r="Y4982" s="1"/>
      <c r="Z4982" s="1"/>
      <c r="AA4982" s="1"/>
      <c r="AB4982" s="1"/>
      <c r="AC4982" s="1"/>
      <c r="AD4982" s="1"/>
      <c r="AE4982" s="1"/>
      <c r="AF4982" s="1"/>
      <c r="AG4982" s="1"/>
      <c r="AH4982" s="1"/>
      <c r="AI4982" s="1"/>
      <c r="AJ4982" s="1"/>
      <c r="AK4982" s="1"/>
      <c r="AL4982" s="1"/>
      <c r="AU4982" s="1"/>
      <c r="AV4982" s="1"/>
      <c r="AW4982" s="1"/>
      <c r="AX4982" s="1"/>
      <c r="AY4982" s="1"/>
      <c r="AZ4982" s="1"/>
      <c r="BC4982" s="1"/>
      <c r="BD4982" s="1"/>
      <c r="BE4982" s="1"/>
      <c r="BF4982" s="1"/>
      <c r="BG4982" s="1"/>
      <c r="BH4982" s="1"/>
      <c r="BI4982" s="1"/>
      <c r="BJ4982" s="1"/>
      <c r="BK4982" s="1"/>
    </row>
    <row r="4983" spans="1:63" s="11" customFormat="1" ht="12" customHeight="1" x14ac:dyDescent="0.15">
      <c r="A4983" s="1" t="s">
        <v>16899</v>
      </c>
      <c r="B4983" s="1">
        <v>46</v>
      </c>
      <c r="C4983" s="1" t="s">
        <v>20</v>
      </c>
      <c r="D4983" s="1" t="s">
        <v>30</v>
      </c>
      <c r="E4983" s="1"/>
      <c r="F4983" s="72">
        <v>41398</v>
      </c>
      <c r="G4983" s="1" t="s">
        <v>16900</v>
      </c>
      <c r="H4983" s="1" t="s">
        <v>16901</v>
      </c>
      <c r="I4983" s="1" t="s">
        <v>244</v>
      </c>
      <c r="J4983" s="4" t="s">
        <v>16902</v>
      </c>
      <c r="K4983" s="1" t="s">
        <v>2404</v>
      </c>
      <c r="L4983" s="1" t="s">
        <v>16903</v>
      </c>
      <c r="M4983" s="1" t="s">
        <v>29</v>
      </c>
      <c r="N4983" s="1" t="s">
        <v>16904</v>
      </c>
      <c r="O4983" s="1" t="s">
        <v>400</v>
      </c>
      <c r="P4983" s="1" t="s">
        <v>401</v>
      </c>
      <c r="Q4983" s="63" t="s">
        <v>16905</v>
      </c>
      <c r="R4983" s="1" t="s">
        <v>555</v>
      </c>
      <c r="S4983" s="13" t="s">
        <v>28</v>
      </c>
      <c r="T4983" s="1"/>
      <c r="U4983" s="1"/>
      <c r="V4983" s="1"/>
      <c r="W4983" s="1"/>
      <c r="X4983" s="1"/>
      <c r="Y4983" s="1"/>
      <c r="Z4983" s="1"/>
      <c r="AA4983" s="1"/>
      <c r="AB4983" s="1"/>
      <c r="AC4983" s="1"/>
      <c r="AD4983" s="1"/>
      <c r="AE4983" s="1"/>
      <c r="AF4983" s="1"/>
      <c r="AG4983" s="1"/>
      <c r="AH4983" s="1"/>
      <c r="AI4983" s="1"/>
      <c r="AJ4983" s="1"/>
      <c r="AK4983" s="1"/>
      <c r="AL4983" s="1"/>
      <c r="AU4983" s="44"/>
      <c r="AV4983" s="44"/>
      <c r="AW4983" s="44"/>
      <c r="AX4983" s="1"/>
      <c r="AY4983" s="1"/>
      <c r="AZ4983" s="1"/>
      <c r="BC4983" s="1"/>
      <c r="BD4983" s="1"/>
      <c r="BE4983" s="1"/>
      <c r="BF4983" s="1"/>
      <c r="BG4983" s="1"/>
      <c r="BH4983" s="1"/>
      <c r="BI4983" s="1"/>
      <c r="BJ4983" s="1"/>
      <c r="BK4983" s="1"/>
    </row>
    <row r="4984" spans="1:63" s="11" customFormat="1" ht="12" customHeight="1" x14ac:dyDescent="0.15">
      <c r="A4984" s="1" t="s">
        <v>16906</v>
      </c>
      <c r="B4984" s="1" t="s">
        <v>13492</v>
      </c>
      <c r="C4984" s="1" t="s">
        <v>20</v>
      </c>
      <c r="D4984" s="1" t="s">
        <v>37</v>
      </c>
      <c r="E4984" s="1"/>
      <c r="F4984" s="72">
        <v>41397</v>
      </c>
      <c r="G4984" s="1" t="s">
        <v>16907</v>
      </c>
      <c r="H4984" s="1" t="s">
        <v>5964</v>
      </c>
      <c r="I4984" s="1" t="s">
        <v>117</v>
      </c>
      <c r="J4984" s="4" t="s">
        <v>16908</v>
      </c>
      <c r="K4984" s="1" t="s">
        <v>51</v>
      </c>
      <c r="L4984" s="1" t="s">
        <v>2051</v>
      </c>
      <c r="M4984" s="1" t="s">
        <v>27</v>
      </c>
      <c r="N4984" s="1" t="s">
        <v>16909</v>
      </c>
      <c r="O4984" s="1" t="s">
        <v>29</v>
      </c>
      <c r="P4984" s="1" t="s">
        <v>401</v>
      </c>
      <c r="Q4984" s="63" t="s">
        <v>16910</v>
      </c>
      <c r="R4984" s="1" t="s">
        <v>100</v>
      </c>
      <c r="S4984" s="13" t="s">
        <v>28</v>
      </c>
      <c r="T4984" s="1"/>
      <c r="U4984" s="1"/>
      <c r="V4984" s="1"/>
      <c r="W4984" s="1"/>
      <c r="X4984" s="1"/>
      <c r="Y4984" s="1"/>
      <c r="Z4984" s="1"/>
      <c r="AA4984" s="1"/>
      <c r="AB4984" s="1"/>
      <c r="AC4984" s="1"/>
      <c r="AD4984" s="1"/>
      <c r="AE4984" s="1"/>
      <c r="AF4984" s="1"/>
      <c r="AG4984" s="1"/>
      <c r="AH4984" s="1"/>
      <c r="AI4984" s="1"/>
      <c r="AJ4984" s="1"/>
      <c r="AK4984" s="1"/>
      <c r="AL4984" s="1"/>
      <c r="AU4984" s="1"/>
      <c r="AV4984" s="1"/>
      <c r="AW4984" s="1"/>
      <c r="BA4984" s="1"/>
      <c r="BB4984" s="1"/>
      <c r="BC4984" s="1"/>
      <c r="BD4984" s="1"/>
      <c r="BE4984" s="1"/>
      <c r="BF4984" s="1"/>
      <c r="BG4984" s="1"/>
      <c r="BH4984" s="1"/>
      <c r="BI4984" s="1"/>
      <c r="BJ4984" s="1"/>
      <c r="BK4984" s="1"/>
    </row>
    <row r="4985" spans="1:63" s="11" customFormat="1" ht="12" customHeight="1" x14ac:dyDescent="0.15">
      <c r="A4985" s="1" t="s">
        <v>16918</v>
      </c>
      <c r="B4985" s="1" t="s">
        <v>15717</v>
      </c>
      <c r="C4985" s="1" t="s">
        <v>20</v>
      </c>
      <c r="D4985" s="1" t="s">
        <v>85</v>
      </c>
      <c r="E4985" s="1" t="s">
        <v>16919</v>
      </c>
      <c r="F4985" s="72">
        <v>41396</v>
      </c>
      <c r="G4985" s="1" t="s">
        <v>24620</v>
      </c>
      <c r="H4985" s="1" t="s">
        <v>1801</v>
      </c>
      <c r="I4985" s="1" t="s">
        <v>217</v>
      </c>
      <c r="J4985" s="4" t="s">
        <v>16920</v>
      </c>
      <c r="K4985" s="1" t="s">
        <v>1803</v>
      </c>
      <c r="L4985" s="1" t="s">
        <v>1804</v>
      </c>
      <c r="M4985" s="1" t="s">
        <v>27</v>
      </c>
      <c r="N4985" s="1" t="s">
        <v>16921</v>
      </c>
      <c r="O4985" s="1" t="s">
        <v>29</v>
      </c>
      <c r="P4985" s="1" t="s">
        <v>401</v>
      </c>
      <c r="Q4985" s="63" t="s">
        <v>16922</v>
      </c>
      <c r="R4985" s="11" t="s">
        <v>964</v>
      </c>
      <c r="S4985" s="13" t="s">
        <v>28</v>
      </c>
      <c r="T4985" s="1"/>
      <c r="U4985" s="1"/>
      <c r="V4985" s="1"/>
      <c r="W4985" s="1"/>
      <c r="X4985" s="1"/>
      <c r="Y4985" s="1"/>
      <c r="Z4985" s="1"/>
      <c r="AA4985" s="1"/>
      <c r="AB4985" s="1"/>
      <c r="AC4985" s="1"/>
      <c r="AD4985" s="1"/>
      <c r="AE4985" s="1"/>
      <c r="AF4985" s="1"/>
      <c r="AG4985" s="1"/>
      <c r="AH4985" s="1"/>
      <c r="AI4985" s="1"/>
      <c r="AJ4985" s="1"/>
      <c r="AK4985" s="1"/>
      <c r="AL4985" s="1"/>
      <c r="AU4985" s="1"/>
      <c r="AV4985" s="1"/>
      <c r="AW4985" s="1"/>
      <c r="AX4985" s="44"/>
      <c r="AY4985" s="44"/>
      <c r="AZ4985" s="1"/>
      <c r="BA4985" s="1"/>
      <c r="BB4985" s="1"/>
      <c r="BC4985" s="44"/>
      <c r="BD4985" s="44"/>
      <c r="BE4985" s="44"/>
      <c r="BF4985" s="44"/>
      <c r="BG4985" s="44"/>
      <c r="BH4985" s="44"/>
      <c r="BI4985" s="44"/>
      <c r="BJ4985" s="44"/>
      <c r="BK4985" s="1"/>
    </row>
    <row r="4986" spans="1:63" s="11" customFormat="1" ht="12" customHeight="1" x14ac:dyDescent="0.15">
      <c r="A4986" s="1" t="s">
        <v>16935</v>
      </c>
      <c r="B4986" s="1" t="s">
        <v>13386</v>
      </c>
      <c r="C4986" s="1" t="s">
        <v>20</v>
      </c>
      <c r="D4986" s="1" t="s">
        <v>37</v>
      </c>
      <c r="E4986" s="1" t="s">
        <v>16936</v>
      </c>
      <c r="F4986" s="72">
        <v>41396</v>
      </c>
      <c r="G4986" s="1" t="s">
        <v>16937</v>
      </c>
      <c r="H4986" s="1" t="s">
        <v>16938</v>
      </c>
      <c r="I4986" s="1" t="s">
        <v>472</v>
      </c>
      <c r="J4986" s="4" t="s">
        <v>16939</v>
      </c>
      <c r="K4986" s="1" t="s">
        <v>471</v>
      </c>
      <c r="L4986" s="1" t="s">
        <v>16940</v>
      </c>
      <c r="M4986" s="1" t="s">
        <v>27</v>
      </c>
      <c r="N4986" s="1" t="s">
        <v>16941</v>
      </c>
      <c r="O4986" s="1" t="s">
        <v>29</v>
      </c>
      <c r="P4986" s="1" t="s">
        <v>401</v>
      </c>
      <c r="Q4986" s="63" t="s">
        <v>16942</v>
      </c>
      <c r="R4986" s="1" t="s">
        <v>100</v>
      </c>
      <c r="S4986" s="13" t="s">
        <v>28</v>
      </c>
      <c r="T4986" s="1"/>
      <c r="U4986" s="1"/>
      <c r="V4986" s="1"/>
      <c r="W4986" s="1"/>
      <c r="X4986" s="1"/>
      <c r="Y4986" s="1"/>
      <c r="Z4986" s="1"/>
      <c r="AA4986" s="1"/>
      <c r="AB4986" s="1"/>
      <c r="AC4986" s="1"/>
      <c r="AD4986" s="1"/>
      <c r="AE4986" s="1"/>
      <c r="AF4986" s="1"/>
      <c r="AG4986" s="1"/>
      <c r="AH4986" s="1"/>
      <c r="AI4986" s="1"/>
      <c r="AJ4986" s="1"/>
      <c r="AK4986" s="1"/>
      <c r="AL4986" s="1"/>
      <c r="AU4986" s="1"/>
      <c r="AV4986" s="1"/>
      <c r="AW4986" s="1"/>
      <c r="BA4986" s="1"/>
      <c r="BB4986" s="1"/>
      <c r="BC4986" s="1"/>
      <c r="BD4986" s="1"/>
      <c r="BE4986" s="1"/>
      <c r="BF4986" s="1"/>
      <c r="BG4986" s="1"/>
      <c r="BH4986" s="1"/>
      <c r="BI4986" s="1"/>
      <c r="BJ4986" s="1"/>
      <c r="BK4986" s="1"/>
    </row>
    <row r="4987" spans="1:63" s="11" customFormat="1" ht="12" customHeight="1" x14ac:dyDescent="0.15">
      <c r="A4987" s="1" t="s">
        <v>16928</v>
      </c>
      <c r="B4987" s="1" t="s">
        <v>9182</v>
      </c>
      <c r="C4987" s="1" t="s">
        <v>20</v>
      </c>
      <c r="D4987" s="1" t="s">
        <v>48</v>
      </c>
      <c r="E4987" s="1"/>
      <c r="F4987" s="72">
        <v>41396</v>
      </c>
      <c r="G4987" s="1" t="s">
        <v>16929</v>
      </c>
      <c r="H4987" s="1" t="s">
        <v>16930</v>
      </c>
      <c r="I4987" s="1" t="s">
        <v>423</v>
      </c>
      <c r="J4987" s="4" t="s">
        <v>16931</v>
      </c>
      <c r="K4987" s="1" t="s">
        <v>16930</v>
      </c>
      <c r="L4987" s="1" t="s">
        <v>16932</v>
      </c>
      <c r="M4987" s="1" t="s">
        <v>27</v>
      </c>
      <c r="N4987" s="1" t="s">
        <v>16933</v>
      </c>
      <c r="O4987" s="1" t="s">
        <v>29</v>
      </c>
      <c r="P4987" s="1" t="s">
        <v>401</v>
      </c>
      <c r="Q4987" s="63" t="s">
        <v>16934</v>
      </c>
      <c r="R4987" s="1" t="s">
        <v>29</v>
      </c>
      <c r="S4987" s="13" t="s">
        <v>28</v>
      </c>
      <c r="T4987" s="1"/>
      <c r="U4987" s="1"/>
      <c r="V4987" s="1"/>
      <c r="W4987" s="1"/>
      <c r="X4987" s="1"/>
      <c r="Y4987" s="1"/>
      <c r="Z4987" s="1"/>
      <c r="AA4987" s="1"/>
      <c r="AB4987" s="1"/>
      <c r="AC4987" s="1"/>
      <c r="AD4987" s="1"/>
      <c r="AE4987" s="1"/>
      <c r="AF4987" s="1"/>
      <c r="AG4987" s="1"/>
      <c r="AH4987" s="1"/>
      <c r="AI4987" s="1"/>
      <c r="AJ4987" s="1"/>
      <c r="AK4987" s="1"/>
      <c r="AL4987" s="1"/>
      <c r="AU4987" s="1"/>
      <c r="AV4987" s="1"/>
      <c r="AW4987" s="1"/>
      <c r="AX4987" s="1"/>
      <c r="AY4987" s="1"/>
      <c r="AZ4987" s="1"/>
      <c r="BA4987" s="1"/>
      <c r="BB4987" s="1"/>
      <c r="BC4987" s="1"/>
      <c r="BD4987" s="1"/>
      <c r="BE4987" s="1"/>
      <c r="BF4987" s="1"/>
      <c r="BG4987" s="1"/>
      <c r="BH4987" s="1"/>
      <c r="BI4987" s="1"/>
      <c r="BJ4987" s="1"/>
      <c r="BK4987" s="1"/>
    </row>
    <row r="4988" spans="1:63" s="11" customFormat="1" ht="12" customHeight="1" x14ac:dyDescent="0.2">
      <c r="A4988" s="1" t="s">
        <v>16923</v>
      </c>
      <c r="B4988" s="1">
        <v>38</v>
      </c>
      <c r="C4988" s="1" t="s">
        <v>20</v>
      </c>
      <c r="D4988" s="1" t="s">
        <v>85</v>
      </c>
      <c r="E4988" s="1" t="s">
        <v>16924</v>
      </c>
      <c r="F4988" s="72">
        <v>41396</v>
      </c>
      <c r="G4988" s="1" t="s">
        <v>16925</v>
      </c>
      <c r="H4988" s="1" t="s">
        <v>1094</v>
      </c>
      <c r="I4988" s="1" t="s">
        <v>395</v>
      </c>
      <c r="J4988" s="4" t="s">
        <v>12210</v>
      </c>
      <c r="K4988" s="1" t="s">
        <v>1095</v>
      </c>
      <c r="L4988" s="1" t="s">
        <v>1096</v>
      </c>
      <c r="M4988" s="1" t="s">
        <v>12821</v>
      </c>
      <c r="N4988" s="1" t="s">
        <v>16926</v>
      </c>
      <c r="O4988" s="1" t="s">
        <v>400</v>
      </c>
      <c r="P4988" s="1" t="s">
        <v>401</v>
      </c>
      <c r="Q4988" s="63" t="s">
        <v>16927</v>
      </c>
      <c r="R4988" s="1" t="s">
        <v>555</v>
      </c>
      <c r="S4988" s="13" t="s">
        <v>28</v>
      </c>
      <c r="T4988" s="1"/>
      <c r="U4988" s="1"/>
      <c r="V4988" s="1"/>
      <c r="W4988" s="1"/>
      <c r="X4988" s="1"/>
      <c r="Y4988" s="1"/>
      <c r="Z4988" s="1"/>
      <c r="AA4988" s="1"/>
      <c r="AB4988" s="1"/>
      <c r="AC4988" s="1"/>
      <c r="AD4988" s="1"/>
      <c r="AE4988" s="1"/>
      <c r="AF4988" s="1"/>
      <c r="AG4988" s="1"/>
      <c r="AH4988" s="1"/>
      <c r="AI4988" s="1"/>
      <c r="AJ4988" s="1"/>
      <c r="AK4988" s="1"/>
      <c r="AL4988" s="1"/>
      <c r="AU4988" s="70"/>
      <c r="AV4988" s="70"/>
      <c r="AW4988" s="70"/>
      <c r="AX4988" s="44"/>
      <c r="AY4988" s="44"/>
      <c r="AZ4988" s="1"/>
      <c r="BC4988" s="44"/>
      <c r="BD4988" s="44"/>
      <c r="BE4988" s="44"/>
      <c r="BF4988" s="44"/>
      <c r="BG4988" s="44"/>
      <c r="BH4988" s="44"/>
      <c r="BI4988" s="44"/>
      <c r="BJ4988" s="44"/>
      <c r="BK4988" s="78"/>
    </row>
    <row r="4989" spans="1:63" s="11" customFormat="1" ht="12" customHeight="1" x14ac:dyDescent="0.15">
      <c r="A4989" s="1" t="s">
        <v>16911</v>
      </c>
      <c r="B4989" s="1" t="s">
        <v>13399</v>
      </c>
      <c r="C4989" s="1" t="s">
        <v>20</v>
      </c>
      <c r="D4989" s="1" t="s">
        <v>85</v>
      </c>
      <c r="E4989" s="1" t="s">
        <v>16912</v>
      </c>
      <c r="F4989" s="72">
        <v>41396</v>
      </c>
      <c r="G4989" s="1" t="s">
        <v>16913</v>
      </c>
      <c r="H4989" s="1" t="s">
        <v>723</v>
      </c>
      <c r="I4989" s="1" t="s">
        <v>73</v>
      </c>
      <c r="J4989" s="4" t="s">
        <v>16914</v>
      </c>
      <c r="K4989" s="1" t="s">
        <v>558</v>
      </c>
      <c r="L4989" s="1" t="s">
        <v>16915</v>
      </c>
      <c r="M4989" s="1" t="s">
        <v>27</v>
      </c>
      <c r="N4989" s="1" t="s">
        <v>16916</v>
      </c>
      <c r="O4989" s="1" t="s">
        <v>613</v>
      </c>
      <c r="P4989" s="1" t="s">
        <v>401</v>
      </c>
      <c r="Q4989" s="63" t="s">
        <v>16917</v>
      </c>
      <c r="R4989" s="1" t="s">
        <v>555</v>
      </c>
      <c r="S4989" s="13" t="s">
        <v>28</v>
      </c>
      <c r="T4989" s="1"/>
      <c r="U4989" s="1"/>
      <c r="V4989" s="1"/>
      <c r="W4989" s="1"/>
      <c r="X4989" s="1"/>
      <c r="Y4989" s="1"/>
      <c r="Z4989" s="1"/>
      <c r="AA4989" s="1"/>
      <c r="AB4989" s="1"/>
      <c r="AC4989" s="1"/>
      <c r="AD4989" s="1"/>
      <c r="AE4989" s="1"/>
      <c r="AF4989" s="1"/>
      <c r="AG4989" s="1"/>
      <c r="AH4989" s="1"/>
      <c r="AI4989" s="1"/>
      <c r="AJ4989" s="1"/>
      <c r="AK4989" s="1"/>
      <c r="AL4989" s="1"/>
      <c r="AU4989" s="1"/>
      <c r="AV4989" s="1"/>
      <c r="AW4989" s="1"/>
      <c r="AX4989" s="44"/>
      <c r="AY4989" s="44"/>
      <c r="AZ4989" s="1"/>
      <c r="BA4989" s="1"/>
      <c r="BB4989" s="1"/>
      <c r="BC4989" s="44"/>
      <c r="BD4989" s="44"/>
      <c r="BE4989" s="44"/>
      <c r="BF4989" s="44"/>
      <c r="BG4989" s="44"/>
      <c r="BH4989" s="44"/>
      <c r="BI4989" s="44"/>
      <c r="BJ4989" s="44"/>
      <c r="BK4989" s="1"/>
    </row>
    <row r="4990" spans="1:63" s="11" customFormat="1" ht="12" customHeight="1" x14ac:dyDescent="0.15">
      <c r="A4990" s="1" t="s">
        <v>16943</v>
      </c>
      <c r="B4990" s="1" t="s">
        <v>8769</v>
      </c>
      <c r="C4990" s="1" t="s">
        <v>20</v>
      </c>
      <c r="D4990" s="1" t="s">
        <v>85</v>
      </c>
      <c r="E4990" s="1" t="s">
        <v>16944</v>
      </c>
      <c r="F4990" s="72">
        <v>41395</v>
      </c>
      <c r="G4990" s="1" t="s">
        <v>16945</v>
      </c>
      <c r="H4990" s="1" t="s">
        <v>444</v>
      </c>
      <c r="I4990" s="1" t="s">
        <v>57</v>
      </c>
      <c r="J4990" s="4" t="s">
        <v>16946</v>
      </c>
      <c r="K4990" s="1" t="s">
        <v>1128</v>
      </c>
      <c r="L4990" s="1" t="s">
        <v>16947</v>
      </c>
      <c r="M4990" s="1" t="s">
        <v>27</v>
      </c>
      <c r="N4990" s="1" t="s">
        <v>16948</v>
      </c>
      <c r="O4990" s="1" t="s">
        <v>30999</v>
      </c>
      <c r="P4990" s="1" t="s">
        <v>20489</v>
      </c>
      <c r="Q4990" s="63" t="s">
        <v>16949</v>
      </c>
      <c r="R4990" s="1" t="s">
        <v>100</v>
      </c>
      <c r="S4990" s="13" t="s">
        <v>28</v>
      </c>
      <c r="T4990" s="1"/>
      <c r="U4990" s="1"/>
      <c r="V4990" s="1"/>
      <c r="W4990" s="1"/>
      <c r="X4990" s="1"/>
      <c r="Y4990" s="1"/>
      <c r="Z4990" s="1"/>
      <c r="AA4990" s="1"/>
      <c r="AB4990" s="1"/>
      <c r="AC4990" s="1"/>
      <c r="AD4990" s="1"/>
      <c r="AE4990" s="1"/>
      <c r="AF4990" s="1"/>
      <c r="AG4990" s="1"/>
      <c r="AH4990" s="1"/>
      <c r="AI4990" s="1"/>
      <c r="AJ4990" s="1"/>
      <c r="AK4990" s="1"/>
      <c r="AL4990" s="1"/>
      <c r="AU4990" s="1"/>
      <c r="AV4990" s="1"/>
      <c r="AW4990" s="1"/>
      <c r="AX4990" s="44"/>
      <c r="AY4990" s="44"/>
      <c r="AZ4990" s="1"/>
      <c r="BA4990" s="1"/>
      <c r="BB4990" s="1"/>
      <c r="BC4990" s="44"/>
      <c r="BD4990" s="44"/>
      <c r="BE4990" s="44"/>
      <c r="BF4990" s="44"/>
      <c r="BG4990" s="44"/>
      <c r="BH4990" s="44"/>
      <c r="BI4990" s="44"/>
      <c r="BJ4990" s="44"/>
      <c r="BK4990" s="1"/>
    </row>
    <row r="4991" spans="1:63" s="11" customFormat="1" ht="12" customHeight="1" x14ac:dyDescent="0.15">
      <c r="A4991" s="1" t="s">
        <v>16950</v>
      </c>
      <c r="B4991" s="1">
        <v>20</v>
      </c>
      <c r="C4991" s="1" t="s">
        <v>20</v>
      </c>
      <c r="D4991" s="1" t="s">
        <v>85</v>
      </c>
      <c r="E4991" s="1" t="s">
        <v>16951</v>
      </c>
      <c r="F4991" s="72">
        <v>41395</v>
      </c>
      <c r="G4991" s="1" t="s">
        <v>16952</v>
      </c>
      <c r="H4991" s="1" t="s">
        <v>5949</v>
      </c>
      <c r="I4991" s="1" t="s">
        <v>366</v>
      </c>
      <c r="J4991" s="4" t="s">
        <v>16953</v>
      </c>
      <c r="K4991" s="1" t="s">
        <v>3152</v>
      </c>
      <c r="L4991" s="1" t="s">
        <v>5951</v>
      </c>
      <c r="M4991" s="1" t="s">
        <v>27</v>
      </c>
      <c r="N4991" s="1" t="s">
        <v>16954</v>
      </c>
      <c r="O4991" s="1" t="s">
        <v>550</v>
      </c>
      <c r="P4991" s="1" t="s">
        <v>401</v>
      </c>
      <c r="Q4991" s="63" t="s">
        <v>16955</v>
      </c>
      <c r="R4991" s="1" t="s">
        <v>100</v>
      </c>
      <c r="S4991" s="13" t="s">
        <v>28</v>
      </c>
      <c r="T4991" s="1"/>
      <c r="U4991" s="1"/>
      <c r="V4991" s="1"/>
      <c r="W4991" s="1"/>
      <c r="X4991" s="1"/>
      <c r="Y4991" s="1"/>
      <c r="Z4991" s="1"/>
      <c r="AA4991" s="1"/>
      <c r="AB4991" s="1"/>
      <c r="AC4991" s="1"/>
      <c r="AD4991" s="1"/>
      <c r="AE4991" s="1"/>
      <c r="AF4991" s="1"/>
      <c r="AG4991" s="1"/>
      <c r="AH4991" s="1"/>
      <c r="AI4991" s="1"/>
      <c r="AJ4991" s="1"/>
      <c r="AK4991" s="1"/>
      <c r="AL4991" s="1"/>
      <c r="AU4991" s="1"/>
      <c r="AV4991" s="1"/>
      <c r="AW4991" s="1"/>
      <c r="AX4991" s="44"/>
      <c r="AY4991" s="44"/>
      <c r="AZ4991" s="1"/>
      <c r="BA4991" s="1"/>
      <c r="BB4991" s="1"/>
      <c r="BC4991" s="44"/>
      <c r="BD4991" s="44"/>
      <c r="BE4991" s="44"/>
      <c r="BF4991" s="44"/>
      <c r="BG4991" s="44"/>
      <c r="BH4991" s="44"/>
      <c r="BI4991" s="44"/>
      <c r="BJ4991" s="44"/>
      <c r="BK4991" s="1"/>
    </row>
    <row r="4992" spans="1:63" s="11" customFormat="1" ht="12" customHeight="1" x14ac:dyDescent="0.15">
      <c r="A4992" s="1" t="s">
        <v>16956</v>
      </c>
      <c r="B4992" s="1">
        <v>55</v>
      </c>
      <c r="C4992" s="1" t="s">
        <v>20</v>
      </c>
      <c r="D4992" s="1" t="s">
        <v>85</v>
      </c>
      <c r="E4992" s="1"/>
      <c r="F4992" s="72">
        <v>41395</v>
      </c>
      <c r="G4992" s="1" t="s">
        <v>16957</v>
      </c>
      <c r="H4992" s="1" t="s">
        <v>98</v>
      </c>
      <c r="I4992" s="1" t="s">
        <v>45</v>
      </c>
      <c r="J4992" s="4" t="s">
        <v>3922</v>
      </c>
      <c r="K4992" s="1" t="s">
        <v>98</v>
      </c>
      <c r="L4992" s="1" t="s">
        <v>14111</v>
      </c>
      <c r="M4992" s="1" t="s">
        <v>27</v>
      </c>
      <c r="N4992" s="1" t="s">
        <v>16958</v>
      </c>
      <c r="O4992" s="1" t="s">
        <v>1010</v>
      </c>
      <c r="P4992" s="1" t="s">
        <v>401</v>
      </c>
      <c r="Q4992" s="63" t="s">
        <v>16959</v>
      </c>
      <c r="R4992" s="1" t="s">
        <v>29</v>
      </c>
      <c r="S4992" s="13" t="s">
        <v>28</v>
      </c>
      <c r="T4992" s="1"/>
      <c r="U4992" s="1"/>
      <c r="V4992" s="1"/>
      <c r="W4992" s="1"/>
      <c r="X4992" s="1"/>
      <c r="Y4992" s="1"/>
      <c r="Z4992" s="1"/>
      <c r="AA4992" s="1"/>
      <c r="AB4992" s="1"/>
      <c r="AC4992" s="1"/>
      <c r="AD4992" s="1"/>
      <c r="AE4992" s="1"/>
      <c r="AF4992" s="1"/>
      <c r="AG4992" s="1"/>
      <c r="AH4992" s="1"/>
      <c r="AI4992" s="1"/>
      <c r="AJ4992" s="1"/>
      <c r="AK4992" s="1"/>
      <c r="AL4992" s="1"/>
      <c r="AU4992" s="1"/>
      <c r="AV4992" s="1"/>
      <c r="AW4992" s="1"/>
      <c r="AX4992" s="44"/>
      <c r="AY4992" s="44"/>
      <c r="AZ4992" s="1"/>
      <c r="BA4992" s="1"/>
      <c r="BB4992" s="1"/>
      <c r="BC4992" s="44"/>
      <c r="BD4992" s="44"/>
      <c r="BE4992" s="44"/>
      <c r="BF4992" s="44"/>
      <c r="BG4992" s="44"/>
      <c r="BH4992" s="44"/>
      <c r="BI4992" s="44"/>
      <c r="BJ4992" s="44"/>
      <c r="BK4992" s="1"/>
    </row>
    <row r="4993" spans="1:63" s="11" customFormat="1" ht="12" customHeight="1" x14ac:dyDescent="0.15">
      <c r="A4993" s="1" t="s">
        <v>16960</v>
      </c>
      <c r="B4993" s="1" t="s">
        <v>29</v>
      </c>
      <c r="C4993" s="1" t="s">
        <v>20</v>
      </c>
      <c r="D4993" s="1" t="s">
        <v>30</v>
      </c>
      <c r="E4993" s="1"/>
      <c r="F4993" s="72">
        <v>41395</v>
      </c>
      <c r="G4993" s="1" t="s">
        <v>16961</v>
      </c>
      <c r="H4993" s="1" t="s">
        <v>98</v>
      </c>
      <c r="I4993" s="1" t="s">
        <v>45</v>
      </c>
      <c r="J4993" s="4" t="s">
        <v>3922</v>
      </c>
      <c r="K4993" s="1" t="s">
        <v>98</v>
      </c>
      <c r="L4993" s="1" t="s">
        <v>99</v>
      </c>
      <c r="M4993" s="1" t="s">
        <v>27</v>
      </c>
      <c r="N4993" s="1" t="s">
        <v>16962</v>
      </c>
      <c r="O4993" s="1" t="s">
        <v>1010</v>
      </c>
      <c r="P4993" s="1" t="s">
        <v>401</v>
      </c>
      <c r="Q4993" s="63" t="s">
        <v>16963</v>
      </c>
      <c r="R4993" s="1" t="s">
        <v>29</v>
      </c>
      <c r="S4993" s="13" t="s">
        <v>28</v>
      </c>
      <c r="T4993" s="1"/>
      <c r="U4993" s="1"/>
      <c r="V4993" s="1"/>
      <c r="W4993" s="1"/>
      <c r="X4993" s="1"/>
      <c r="Y4993" s="1"/>
      <c r="Z4993" s="1"/>
      <c r="AA4993" s="1"/>
      <c r="AB4993" s="1"/>
      <c r="AC4993" s="1"/>
      <c r="AD4993" s="1"/>
      <c r="AE4993" s="1"/>
      <c r="AF4993" s="1"/>
      <c r="AG4993" s="1"/>
      <c r="AH4993" s="1"/>
      <c r="AI4993" s="1"/>
      <c r="AJ4993" s="1"/>
      <c r="AK4993" s="1"/>
      <c r="AL4993" s="1"/>
      <c r="AM4993" s="44"/>
      <c r="AN4993" s="44"/>
      <c r="AO4993" s="44"/>
      <c r="AP4993" s="44"/>
      <c r="AQ4993" s="44"/>
      <c r="AR4993" s="44"/>
      <c r="AS4993" s="44"/>
      <c r="AT4993" s="44"/>
      <c r="AU4993" s="1"/>
      <c r="AV4993" s="1"/>
      <c r="AW4993" s="1"/>
      <c r="AX4993" s="1"/>
      <c r="AY4993" s="1"/>
      <c r="AZ4993" s="1"/>
      <c r="BA4993" s="1"/>
      <c r="BB4993" s="1"/>
      <c r="BC4993" s="1"/>
      <c r="BD4993" s="1"/>
      <c r="BE4993" s="1"/>
      <c r="BF4993" s="1"/>
      <c r="BG4993" s="1"/>
      <c r="BH4993" s="1"/>
      <c r="BI4993" s="1"/>
      <c r="BJ4993" s="1"/>
      <c r="BK4993" s="1"/>
    </row>
    <row r="4994" spans="1:63" s="11" customFormat="1" ht="12" customHeight="1" x14ac:dyDescent="0.15">
      <c r="A4994" s="1" t="s">
        <v>16964</v>
      </c>
      <c r="B4994" s="1" t="s">
        <v>15907</v>
      </c>
      <c r="C4994" s="1" t="s">
        <v>20</v>
      </c>
      <c r="D4994" s="1" t="s">
        <v>30</v>
      </c>
      <c r="E4994" s="1"/>
      <c r="F4994" s="72">
        <v>41395</v>
      </c>
      <c r="G4994" s="1" t="s">
        <v>16965</v>
      </c>
      <c r="H4994" s="1" t="s">
        <v>280</v>
      </c>
      <c r="I4994" s="1" t="s">
        <v>73</v>
      </c>
      <c r="J4994" s="4" t="s">
        <v>16966</v>
      </c>
      <c r="K4994" s="1" t="s">
        <v>7010</v>
      </c>
      <c r="L4994" s="1" t="s">
        <v>16967</v>
      </c>
      <c r="M4994" s="1" t="s">
        <v>27</v>
      </c>
      <c r="N4994" s="1" t="s">
        <v>16968</v>
      </c>
      <c r="O4994" s="1" t="s">
        <v>29</v>
      </c>
      <c r="P4994" s="1" t="s">
        <v>401</v>
      </c>
      <c r="Q4994" s="63" t="s">
        <v>16969</v>
      </c>
      <c r="R4994" s="1" t="s">
        <v>29</v>
      </c>
      <c r="S4994" s="13" t="s">
        <v>28</v>
      </c>
      <c r="T4994" s="1"/>
      <c r="U4994" s="1"/>
      <c r="V4994" s="1"/>
      <c r="W4994" s="1"/>
      <c r="X4994" s="1"/>
      <c r="Y4994" s="1"/>
      <c r="Z4994" s="1"/>
      <c r="AA4994" s="1"/>
      <c r="AB4994" s="1"/>
      <c r="AC4994" s="1"/>
      <c r="AD4994" s="1"/>
      <c r="AE4994" s="1"/>
      <c r="AF4994" s="1"/>
      <c r="AG4994" s="1"/>
      <c r="AH4994" s="1"/>
      <c r="AI4994" s="1"/>
      <c r="AJ4994" s="1"/>
      <c r="AK4994" s="1"/>
      <c r="AL4994" s="1"/>
      <c r="AU4994" s="1"/>
      <c r="AV4994" s="1"/>
      <c r="AW4994" s="1"/>
      <c r="AX4994" s="1"/>
      <c r="AY4994" s="1"/>
      <c r="AZ4994" s="1"/>
      <c r="BA4994" s="1"/>
      <c r="BB4994" s="1"/>
      <c r="BC4994" s="1"/>
      <c r="BD4994" s="1"/>
      <c r="BE4994" s="1"/>
      <c r="BF4994" s="1"/>
      <c r="BG4994" s="1"/>
      <c r="BH4994" s="1"/>
      <c r="BI4994" s="1"/>
      <c r="BJ4994" s="1"/>
      <c r="BK4994" s="1"/>
    </row>
    <row r="4995" spans="1:63" s="11" customFormat="1" ht="12" customHeight="1" x14ac:dyDescent="0.15">
      <c r="A4995" s="1" t="s">
        <v>16977</v>
      </c>
      <c r="B4995" s="1" t="s">
        <v>13386</v>
      </c>
      <c r="C4995" s="1" t="s">
        <v>20</v>
      </c>
      <c r="D4995" s="1" t="s">
        <v>48</v>
      </c>
      <c r="E4995" s="1"/>
      <c r="F4995" s="72">
        <v>41394</v>
      </c>
      <c r="G4995" s="1" t="s">
        <v>24622</v>
      </c>
      <c r="H4995" s="1" t="s">
        <v>98</v>
      </c>
      <c r="I4995" s="1" t="s">
        <v>45</v>
      </c>
      <c r="J4995" s="4" t="s">
        <v>3004</v>
      </c>
      <c r="K4995" s="1" t="s">
        <v>98</v>
      </c>
      <c r="L4995" s="1" t="s">
        <v>99</v>
      </c>
      <c r="M4995" s="1" t="s">
        <v>27</v>
      </c>
      <c r="N4995" s="1" t="s">
        <v>16978</v>
      </c>
      <c r="O4995" s="1" t="s">
        <v>29</v>
      </c>
      <c r="P4995" s="1" t="s">
        <v>401</v>
      </c>
      <c r="Q4995" s="63" t="s">
        <v>16979</v>
      </c>
      <c r="R4995" s="1" t="s">
        <v>100</v>
      </c>
      <c r="S4995" s="13" t="s">
        <v>28</v>
      </c>
      <c r="T4995" s="1"/>
      <c r="U4995" s="1"/>
      <c r="V4995" s="1"/>
      <c r="W4995" s="1"/>
      <c r="X4995" s="1"/>
      <c r="Y4995" s="1"/>
      <c r="Z4995" s="1"/>
      <c r="AA4995" s="1"/>
      <c r="AB4995" s="1"/>
      <c r="AC4995" s="1"/>
      <c r="AD4995" s="1"/>
      <c r="AE4995" s="1"/>
      <c r="AF4995" s="1"/>
      <c r="AG4995" s="1"/>
      <c r="AH4995" s="1"/>
      <c r="AI4995" s="1"/>
      <c r="AJ4995" s="1"/>
      <c r="AK4995" s="1"/>
      <c r="AL4995" s="1"/>
      <c r="AU4995" s="1"/>
      <c r="AV4995" s="1"/>
      <c r="AW4995" s="1"/>
      <c r="AX4995" s="1"/>
      <c r="AY4995" s="1"/>
      <c r="AZ4995" s="1"/>
      <c r="BA4995" s="1"/>
      <c r="BB4995" s="1"/>
      <c r="BC4995" s="1"/>
      <c r="BD4995" s="1"/>
      <c r="BE4995" s="1"/>
      <c r="BF4995" s="1"/>
      <c r="BG4995" s="1"/>
      <c r="BH4995" s="1"/>
      <c r="BI4995" s="1"/>
      <c r="BJ4995" s="1"/>
      <c r="BK4995" s="1"/>
    </row>
    <row r="4996" spans="1:63" s="11" customFormat="1" ht="12" customHeight="1" x14ac:dyDescent="0.15">
      <c r="A4996" s="1" t="s">
        <v>16970</v>
      </c>
      <c r="B4996" s="1" t="s">
        <v>8769</v>
      </c>
      <c r="C4996" s="1" t="s">
        <v>20</v>
      </c>
      <c r="D4996" s="1" t="s">
        <v>85</v>
      </c>
      <c r="E4996" s="1" t="s">
        <v>16971</v>
      </c>
      <c r="F4996" s="72">
        <v>41394</v>
      </c>
      <c r="G4996" s="1" t="s">
        <v>16972</v>
      </c>
      <c r="H4996" s="1" t="s">
        <v>4890</v>
      </c>
      <c r="I4996" s="1" t="s">
        <v>217</v>
      </c>
      <c r="J4996" s="4" t="s">
        <v>16973</v>
      </c>
      <c r="K4996" s="1" t="s">
        <v>1104</v>
      </c>
      <c r="L4996" s="1" t="s">
        <v>16974</v>
      </c>
      <c r="M4996" s="1" t="s">
        <v>27</v>
      </c>
      <c r="N4996" s="1" t="s">
        <v>16975</v>
      </c>
      <c r="O4996" s="1" t="s">
        <v>613</v>
      </c>
      <c r="P4996" s="1" t="s">
        <v>401</v>
      </c>
      <c r="Q4996" s="63" t="s">
        <v>16976</v>
      </c>
      <c r="R4996" s="1" t="s">
        <v>29</v>
      </c>
      <c r="S4996" s="13" t="s">
        <v>28</v>
      </c>
      <c r="T4996" s="1"/>
      <c r="U4996" s="1"/>
      <c r="V4996" s="1"/>
      <c r="W4996" s="1"/>
      <c r="X4996" s="1"/>
      <c r="Y4996" s="1"/>
      <c r="Z4996" s="1"/>
      <c r="AA4996" s="1"/>
      <c r="AB4996" s="1"/>
      <c r="AC4996" s="1"/>
      <c r="AD4996" s="1"/>
      <c r="AE4996" s="1"/>
      <c r="AF4996" s="1"/>
      <c r="AG4996" s="1"/>
      <c r="AH4996" s="1"/>
      <c r="AI4996" s="1"/>
      <c r="AJ4996" s="1"/>
      <c r="AK4996" s="1"/>
      <c r="AL4996" s="1"/>
      <c r="AU4996" s="1"/>
      <c r="AV4996" s="1"/>
      <c r="AW4996" s="1"/>
      <c r="AX4996" s="44"/>
      <c r="AY4996" s="44"/>
      <c r="AZ4996" s="1"/>
      <c r="BA4996" s="1"/>
      <c r="BB4996" s="1"/>
      <c r="BC4996" s="44"/>
      <c r="BD4996" s="44"/>
      <c r="BE4996" s="44"/>
      <c r="BF4996" s="44"/>
      <c r="BG4996" s="44"/>
      <c r="BH4996" s="44"/>
      <c r="BI4996" s="44"/>
      <c r="BJ4996" s="44"/>
      <c r="BK4996" s="1"/>
    </row>
    <row r="4997" spans="1:63" s="11" customFormat="1" ht="12" customHeight="1" x14ac:dyDescent="0.15">
      <c r="A4997" s="1" t="s">
        <v>8275</v>
      </c>
      <c r="B4997" s="1" t="s">
        <v>10335</v>
      </c>
      <c r="C4997" s="1" t="s">
        <v>20</v>
      </c>
      <c r="D4997" s="1" t="s">
        <v>30</v>
      </c>
      <c r="E4997" s="1"/>
      <c r="F4997" s="72">
        <v>41394</v>
      </c>
      <c r="G4997" s="1" t="s">
        <v>16987</v>
      </c>
      <c r="H4997" s="1" t="s">
        <v>16988</v>
      </c>
      <c r="I4997" s="1" t="s">
        <v>195</v>
      </c>
      <c r="J4997" s="4" t="s">
        <v>16989</v>
      </c>
      <c r="K4997" s="1" t="s">
        <v>6717</v>
      </c>
      <c r="L4997" s="1" t="s">
        <v>16990</v>
      </c>
      <c r="M4997" s="1" t="s">
        <v>27</v>
      </c>
      <c r="N4997" s="1" t="s">
        <v>16991</v>
      </c>
      <c r="O4997" s="1" t="s">
        <v>550</v>
      </c>
      <c r="P4997" s="1" t="s">
        <v>401</v>
      </c>
      <c r="Q4997" s="63" t="s">
        <v>16992</v>
      </c>
      <c r="R4997" s="1" t="s">
        <v>29</v>
      </c>
      <c r="S4997" s="13" t="s">
        <v>28</v>
      </c>
      <c r="T4997" s="1"/>
      <c r="U4997" s="1"/>
      <c r="V4997" s="1"/>
      <c r="W4997" s="1"/>
      <c r="X4997" s="1"/>
      <c r="Y4997" s="1"/>
      <c r="Z4997" s="1"/>
      <c r="AA4997" s="1"/>
      <c r="AB4997" s="1"/>
      <c r="AC4997" s="1"/>
      <c r="AD4997" s="1"/>
      <c r="AE4997" s="1"/>
      <c r="AF4997" s="1"/>
      <c r="AG4997" s="1"/>
      <c r="AH4997" s="1"/>
      <c r="AI4997" s="1"/>
      <c r="AJ4997" s="1"/>
      <c r="AK4997" s="1"/>
      <c r="AL4997" s="1"/>
      <c r="AU4997" s="1"/>
      <c r="AV4997" s="1"/>
      <c r="AW4997" s="1"/>
      <c r="AX4997" s="1"/>
      <c r="AY4997" s="1"/>
      <c r="AZ4997" s="1"/>
      <c r="BA4997" s="1"/>
      <c r="BB4997" s="1"/>
      <c r="BC4997" s="1"/>
      <c r="BD4997" s="1"/>
      <c r="BE4997" s="1"/>
      <c r="BF4997" s="1"/>
      <c r="BG4997" s="1"/>
      <c r="BH4997" s="1"/>
      <c r="BI4997" s="1"/>
      <c r="BJ4997" s="1"/>
      <c r="BK4997" s="1"/>
    </row>
    <row r="4998" spans="1:63" s="11" customFormat="1" ht="12" customHeight="1" x14ac:dyDescent="0.15">
      <c r="A4998" s="1" t="s">
        <v>16980</v>
      </c>
      <c r="B4998" s="1" t="s">
        <v>15964</v>
      </c>
      <c r="C4998" s="1" t="s">
        <v>20</v>
      </c>
      <c r="D4998" s="1" t="s">
        <v>30</v>
      </c>
      <c r="E4998" s="1"/>
      <c r="F4998" s="72">
        <v>41394</v>
      </c>
      <c r="G4998" s="1" t="s">
        <v>24621</v>
      </c>
      <c r="H4998" s="1" t="s">
        <v>16981</v>
      </c>
      <c r="I4998" s="1" t="s">
        <v>244</v>
      </c>
      <c r="J4998" s="4" t="s">
        <v>16982</v>
      </c>
      <c r="K4998" s="1" t="s">
        <v>16983</v>
      </c>
      <c r="L4998" s="1" t="s">
        <v>16984</v>
      </c>
      <c r="M4998" s="1" t="s">
        <v>27</v>
      </c>
      <c r="N4998" s="1" t="s">
        <v>16985</v>
      </c>
      <c r="O4998" s="1" t="s">
        <v>29</v>
      </c>
      <c r="P4998" s="1" t="s">
        <v>401</v>
      </c>
      <c r="Q4998" s="63" t="s">
        <v>16986</v>
      </c>
      <c r="R4998" s="1" t="s">
        <v>29</v>
      </c>
      <c r="S4998" s="13" t="s">
        <v>28</v>
      </c>
      <c r="T4998" s="1"/>
      <c r="U4998" s="1"/>
      <c r="V4998" s="1"/>
      <c r="W4998" s="1"/>
      <c r="X4998" s="1"/>
      <c r="Y4998" s="1"/>
      <c r="Z4998" s="1"/>
      <c r="AA4998" s="1"/>
      <c r="AB4998" s="1"/>
      <c r="AC4998" s="1"/>
      <c r="AD4998" s="1"/>
      <c r="AE4998" s="1"/>
      <c r="AF4998" s="1"/>
      <c r="AG4998" s="1"/>
      <c r="AH4998" s="1"/>
      <c r="AI4998" s="1"/>
      <c r="AJ4998" s="1"/>
      <c r="AK4998" s="1"/>
      <c r="AL4998" s="1"/>
      <c r="AU4998" s="1"/>
      <c r="AV4998" s="1"/>
      <c r="AW4998" s="1"/>
      <c r="AX4998" s="1"/>
      <c r="AY4998" s="1"/>
      <c r="AZ4998" s="1"/>
      <c r="BA4998" s="1"/>
      <c r="BB4998" s="1"/>
      <c r="BC4998" s="1"/>
      <c r="BD4998" s="1"/>
      <c r="BE4998" s="1"/>
      <c r="BF4998" s="1"/>
      <c r="BG4998" s="1"/>
      <c r="BH4998" s="1"/>
      <c r="BI4998" s="1"/>
      <c r="BJ4998" s="1"/>
      <c r="BK4998" s="1"/>
    </row>
    <row r="4999" spans="1:63" s="11" customFormat="1" ht="12" customHeight="1" x14ac:dyDescent="0.15">
      <c r="A4999" s="1" t="s">
        <v>16993</v>
      </c>
      <c r="B4999" s="1">
        <v>28</v>
      </c>
      <c r="C4999" s="1" t="s">
        <v>20</v>
      </c>
      <c r="D4999" s="1" t="s">
        <v>37</v>
      </c>
      <c r="E4999" s="1" t="s">
        <v>16994</v>
      </c>
      <c r="F4999" s="72">
        <v>41394</v>
      </c>
      <c r="G4999" s="1" t="s">
        <v>16995</v>
      </c>
      <c r="H4999" s="1" t="s">
        <v>16996</v>
      </c>
      <c r="I4999" s="1" t="s">
        <v>240</v>
      </c>
      <c r="J4999" s="4" t="s">
        <v>16997</v>
      </c>
      <c r="K4999" s="1" t="s">
        <v>16998</v>
      </c>
      <c r="L4999" s="1" t="s">
        <v>16999</v>
      </c>
      <c r="M4999" s="1" t="s">
        <v>391</v>
      </c>
      <c r="N4999" s="1" t="s">
        <v>17000</v>
      </c>
      <c r="O4999" s="1" t="s">
        <v>29</v>
      </c>
      <c r="P4999" s="1" t="s">
        <v>401</v>
      </c>
      <c r="Q4999" s="63" t="s">
        <v>17001</v>
      </c>
      <c r="R4999" s="1" t="s">
        <v>555</v>
      </c>
      <c r="S4999" s="13" t="s">
        <v>28</v>
      </c>
      <c r="T4999" s="1"/>
      <c r="U4999" s="1"/>
      <c r="V4999" s="1"/>
      <c r="W4999" s="1"/>
      <c r="X4999" s="1"/>
      <c r="Y4999" s="1"/>
      <c r="Z4999" s="1"/>
      <c r="AA4999" s="1"/>
      <c r="AB4999" s="1"/>
      <c r="AC4999" s="1"/>
      <c r="AD4999" s="1"/>
      <c r="AE4999" s="1"/>
      <c r="AF4999" s="1"/>
      <c r="AG4999" s="1"/>
      <c r="AH4999" s="1"/>
      <c r="AI4999" s="1"/>
      <c r="AJ4999" s="1"/>
      <c r="AK4999" s="1"/>
      <c r="AL4999" s="1"/>
      <c r="AX4999" s="1"/>
      <c r="AY4999" s="1"/>
      <c r="AZ4999" s="1"/>
      <c r="BA4999" s="1"/>
      <c r="BB4999" s="1"/>
      <c r="BC4999" s="1"/>
      <c r="BD4999" s="1"/>
      <c r="BE4999" s="1"/>
      <c r="BF4999" s="1"/>
      <c r="BG4999" s="1"/>
      <c r="BH4999" s="1"/>
      <c r="BI4999" s="1"/>
      <c r="BJ4999" s="1"/>
      <c r="BK4999" s="1"/>
    </row>
    <row r="5000" spans="1:63" s="11" customFormat="1" ht="12" customHeight="1" x14ac:dyDescent="0.2">
      <c r="A5000" s="66" t="s">
        <v>30716</v>
      </c>
      <c r="B5000" s="66">
        <v>41</v>
      </c>
      <c r="C5000" s="66" t="s">
        <v>20</v>
      </c>
      <c r="D5000" s="66" t="s">
        <v>37</v>
      </c>
      <c r="E5000" s="66"/>
      <c r="F5000" s="69">
        <v>41394</v>
      </c>
      <c r="G5000" s="66" t="s">
        <v>30717</v>
      </c>
      <c r="H5000" s="66" t="s">
        <v>651</v>
      </c>
      <c r="I5000" s="66" t="s">
        <v>62</v>
      </c>
      <c r="J5000" s="66" t="s">
        <v>17008</v>
      </c>
      <c r="K5000" s="66" t="s">
        <v>652</v>
      </c>
      <c r="L5000" s="66" t="s">
        <v>653</v>
      </c>
      <c r="M5000" s="66" t="s">
        <v>27</v>
      </c>
      <c r="N5000" s="66" t="s">
        <v>30718</v>
      </c>
      <c r="O5000" s="66" t="s">
        <v>1010</v>
      </c>
      <c r="P5000" s="66" t="s">
        <v>30375</v>
      </c>
      <c r="Q5000" s="76" t="s">
        <v>30719</v>
      </c>
      <c r="R5000" s="66" t="s">
        <v>555</v>
      </c>
      <c r="S5000" s="66" t="s">
        <v>18</v>
      </c>
      <c r="T5000" s="77"/>
      <c r="U5000" s="77"/>
      <c r="V5000" s="77"/>
      <c r="W5000" s="77"/>
      <c r="X5000" s="77"/>
      <c r="Y5000" s="66"/>
      <c r="Z5000" s="66"/>
      <c r="AA5000" s="66"/>
      <c r="AB5000" s="66"/>
      <c r="AC5000" s="66"/>
      <c r="AD5000" s="66"/>
      <c r="AE5000" s="66"/>
      <c r="AF5000" s="66"/>
      <c r="AG5000" s="66"/>
      <c r="AH5000" s="66"/>
      <c r="AI5000" s="66"/>
      <c r="AJ5000" s="66"/>
      <c r="AK5000" s="66"/>
      <c r="AL5000" s="66"/>
      <c r="AM5000" s="66"/>
      <c r="AN5000" s="66"/>
      <c r="AO5000" s="66"/>
      <c r="AP5000" s="66"/>
      <c r="AQ5000" s="66"/>
      <c r="AR5000" s="66"/>
      <c r="AS5000" s="66"/>
      <c r="AT5000" s="66"/>
      <c r="AU5000" s="66"/>
      <c r="AV5000" s="78"/>
      <c r="AW5000" s="78"/>
      <c r="AX5000" s="78"/>
      <c r="AY5000" s="78"/>
      <c r="AZ5000" s="78"/>
      <c r="BA5000" s="78"/>
      <c r="BB5000" s="78"/>
      <c r="BC5000" s="78"/>
      <c r="BD5000" s="78"/>
      <c r="BE5000" s="78"/>
      <c r="BF5000" s="78"/>
      <c r="BG5000" s="78"/>
      <c r="BH5000" s="78"/>
      <c r="BI5000" s="78"/>
      <c r="BJ5000" s="78"/>
      <c r="BK5000" s="1"/>
    </row>
    <row r="5001" spans="1:63" s="11" customFormat="1" ht="12" customHeight="1" x14ac:dyDescent="0.15">
      <c r="A5001" s="1" t="s">
        <v>17002</v>
      </c>
      <c r="B5001" s="1">
        <v>34</v>
      </c>
      <c r="C5001" s="1" t="s">
        <v>20</v>
      </c>
      <c r="D5001" s="1" t="s">
        <v>48</v>
      </c>
      <c r="E5001" s="1"/>
      <c r="F5001" s="72">
        <v>41393</v>
      </c>
      <c r="G5001" s="1" t="s">
        <v>17003</v>
      </c>
      <c r="H5001" s="1" t="s">
        <v>1060</v>
      </c>
      <c r="I5001" s="1" t="s">
        <v>62</v>
      </c>
      <c r="J5001" s="4" t="s">
        <v>17004</v>
      </c>
      <c r="K5001" s="1" t="s">
        <v>1061</v>
      </c>
      <c r="L5001" s="1" t="s">
        <v>4424</v>
      </c>
      <c r="M5001" s="1" t="s">
        <v>27</v>
      </c>
      <c r="N5001" s="1" t="s">
        <v>17005</v>
      </c>
      <c r="O5001" s="1" t="s">
        <v>1010</v>
      </c>
      <c r="P5001" s="1" t="s">
        <v>401</v>
      </c>
      <c r="Q5001" s="63" t="s">
        <v>17006</v>
      </c>
      <c r="R5001" s="1" t="s">
        <v>100</v>
      </c>
      <c r="S5001" s="13" t="s">
        <v>28</v>
      </c>
      <c r="T5001" s="1"/>
      <c r="U5001" s="1"/>
      <c r="V5001" s="1"/>
      <c r="W5001" s="1"/>
      <c r="X5001" s="1"/>
      <c r="Y5001" s="1"/>
      <c r="Z5001" s="1"/>
      <c r="AA5001" s="1"/>
      <c r="AB5001" s="1"/>
      <c r="AC5001" s="1"/>
      <c r="AD5001" s="1"/>
      <c r="AE5001" s="1"/>
      <c r="AF5001" s="1"/>
      <c r="AG5001" s="1"/>
      <c r="AH5001" s="1"/>
      <c r="AI5001" s="1"/>
      <c r="AJ5001" s="1"/>
      <c r="AK5001" s="1"/>
      <c r="AL5001" s="1"/>
      <c r="AU5001" s="1"/>
      <c r="AV5001" s="1"/>
      <c r="AW5001" s="1"/>
      <c r="AX5001" s="1"/>
      <c r="AY5001" s="1"/>
      <c r="AZ5001" s="1"/>
      <c r="BA5001" s="1"/>
      <c r="BB5001" s="1"/>
      <c r="BC5001" s="1"/>
      <c r="BD5001" s="1"/>
      <c r="BE5001" s="1"/>
      <c r="BF5001" s="1"/>
      <c r="BG5001" s="1"/>
      <c r="BH5001" s="1"/>
      <c r="BI5001" s="1"/>
      <c r="BJ5001" s="1"/>
      <c r="BK5001" s="1"/>
    </row>
    <row r="5002" spans="1:63" s="11" customFormat="1" ht="12" customHeight="1" x14ac:dyDescent="0.15">
      <c r="A5002" s="1" t="s">
        <v>17007</v>
      </c>
      <c r="B5002" s="1" t="s">
        <v>16010</v>
      </c>
      <c r="C5002" s="1" t="s">
        <v>20</v>
      </c>
      <c r="D5002" s="1" t="s">
        <v>30</v>
      </c>
      <c r="E5002" s="1"/>
      <c r="F5002" s="72">
        <v>41393</v>
      </c>
      <c r="G5002" s="1" t="s">
        <v>24623</v>
      </c>
      <c r="H5002" s="1" t="s">
        <v>651</v>
      </c>
      <c r="I5002" s="1" t="s">
        <v>62</v>
      </c>
      <c r="J5002" s="4" t="s">
        <v>17008</v>
      </c>
      <c r="K5002" s="1" t="s">
        <v>652</v>
      </c>
      <c r="L5002" s="11" t="s">
        <v>653</v>
      </c>
      <c r="M5002" s="1" t="s">
        <v>27</v>
      </c>
      <c r="N5002" s="1" t="s">
        <v>17009</v>
      </c>
      <c r="O5002" s="1" t="s">
        <v>29</v>
      </c>
      <c r="P5002" s="1" t="s">
        <v>401</v>
      </c>
      <c r="Q5002" s="63" t="s">
        <v>17010</v>
      </c>
      <c r="R5002" s="1" t="s">
        <v>100</v>
      </c>
      <c r="S5002" s="13" t="s">
        <v>28</v>
      </c>
      <c r="T5002" s="1"/>
      <c r="U5002" s="1"/>
      <c r="V5002" s="1"/>
      <c r="W5002" s="1"/>
      <c r="X5002" s="1"/>
      <c r="Y5002" s="1"/>
      <c r="Z5002" s="1"/>
      <c r="AA5002" s="1"/>
      <c r="AB5002" s="1"/>
      <c r="AC5002" s="1"/>
      <c r="AD5002" s="1"/>
      <c r="AE5002" s="1"/>
      <c r="AF5002" s="1"/>
      <c r="AG5002" s="1"/>
      <c r="AH5002" s="1"/>
      <c r="AI5002" s="1"/>
      <c r="AJ5002" s="1"/>
      <c r="AK5002" s="1"/>
      <c r="AL5002" s="1"/>
      <c r="AM5002" s="44"/>
      <c r="AN5002" s="44"/>
      <c r="AO5002" s="44"/>
      <c r="AP5002" s="44"/>
      <c r="AQ5002" s="44"/>
      <c r="AR5002" s="44"/>
      <c r="AS5002" s="44"/>
      <c r="AT5002" s="44"/>
      <c r="AU5002" s="1"/>
      <c r="AV5002" s="1"/>
      <c r="AW5002" s="1"/>
      <c r="AX5002" s="1"/>
      <c r="AY5002" s="1"/>
      <c r="AZ5002" s="1"/>
      <c r="BA5002" s="1"/>
      <c r="BB5002" s="1"/>
      <c r="BC5002" s="1"/>
      <c r="BD5002" s="1"/>
      <c r="BE5002" s="1"/>
      <c r="BF5002" s="1"/>
      <c r="BG5002" s="1"/>
      <c r="BH5002" s="1"/>
      <c r="BI5002" s="1"/>
      <c r="BJ5002" s="1"/>
      <c r="BK5002" s="1"/>
    </row>
    <row r="5003" spans="1:63" s="11" customFormat="1" ht="12" customHeight="1" x14ac:dyDescent="0.15">
      <c r="A5003" s="1" t="s">
        <v>17011</v>
      </c>
      <c r="B5003" s="1" t="s">
        <v>17012</v>
      </c>
      <c r="C5003" s="1" t="s">
        <v>20</v>
      </c>
      <c r="D5003" s="1" t="s">
        <v>30</v>
      </c>
      <c r="E5003" s="1"/>
      <c r="F5003" s="72">
        <v>41393</v>
      </c>
      <c r="G5003" s="1" t="s">
        <v>17013</v>
      </c>
      <c r="H5003" s="1" t="s">
        <v>17014</v>
      </c>
      <c r="I5003" s="1" t="s">
        <v>217</v>
      </c>
      <c r="J5003" s="4" t="s">
        <v>17015</v>
      </c>
      <c r="K5003" s="1" t="s">
        <v>2681</v>
      </c>
      <c r="L5003" s="1" t="s">
        <v>18973</v>
      </c>
      <c r="M5003" s="1" t="s">
        <v>27</v>
      </c>
      <c r="N5003" s="1" t="s">
        <v>17016</v>
      </c>
      <c r="O5003" s="1" t="s">
        <v>29</v>
      </c>
      <c r="P5003" s="1" t="s">
        <v>401</v>
      </c>
      <c r="Q5003" s="63" t="s">
        <v>17017</v>
      </c>
      <c r="R5003" s="1" t="s">
        <v>100</v>
      </c>
      <c r="S5003" s="13" t="s">
        <v>28</v>
      </c>
      <c r="T5003" s="1"/>
      <c r="U5003" s="1"/>
      <c r="V5003" s="1"/>
      <c r="W5003" s="1"/>
      <c r="X5003" s="1"/>
      <c r="Y5003" s="1"/>
      <c r="Z5003" s="1"/>
      <c r="AA5003" s="1"/>
      <c r="AB5003" s="1"/>
      <c r="AC5003" s="1"/>
      <c r="AD5003" s="1"/>
      <c r="AE5003" s="1"/>
      <c r="AF5003" s="1"/>
      <c r="AG5003" s="1"/>
      <c r="AH5003" s="1"/>
      <c r="AI5003" s="1"/>
      <c r="AJ5003" s="1"/>
      <c r="AK5003" s="1"/>
      <c r="AL5003" s="1"/>
      <c r="AU5003" s="1"/>
      <c r="AV5003" s="1"/>
      <c r="AW5003" s="1"/>
      <c r="AX5003" s="1"/>
      <c r="AY5003" s="1"/>
      <c r="AZ5003" s="1"/>
      <c r="BA5003" s="1"/>
      <c r="BB5003" s="1"/>
      <c r="BC5003" s="1"/>
      <c r="BD5003" s="1"/>
      <c r="BE5003" s="1"/>
      <c r="BF5003" s="1"/>
      <c r="BG5003" s="1"/>
      <c r="BH5003" s="1"/>
      <c r="BI5003" s="1"/>
      <c r="BJ5003" s="1"/>
      <c r="BK5003" s="1"/>
    </row>
    <row r="5004" spans="1:63" s="11" customFormat="1" ht="12" customHeight="1" x14ac:dyDescent="0.2">
      <c r="A5004" s="66" t="s">
        <v>30720</v>
      </c>
      <c r="B5004" s="66">
        <v>46</v>
      </c>
      <c r="C5004" s="66" t="s">
        <v>20</v>
      </c>
      <c r="D5004" s="66" t="s">
        <v>30</v>
      </c>
      <c r="E5004" s="66"/>
      <c r="F5004" s="69">
        <v>41393</v>
      </c>
      <c r="G5004" s="66"/>
      <c r="H5004" s="66" t="s">
        <v>30721</v>
      </c>
      <c r="I5004" s="66" t="s">
        <v>32</v>
      </c>
      <c r="J5004" s="66" t="s">
        <v>30722</v>
      </c>
      <c r="K5004" s="66" t="s">
        <v>1007</v>
      </c>
      <c r="L5004" s="66" t="s">
        <v>30723</v>
      </c>
      <c r="M5004" s="66" t="s">
        <v>379</v>
      </c>
      <c r="N5004" s="66" t="s">
        <v>30724</v>
      </c>
      <c r="O5004" s="66" t="s">
        <v>1010</v>
      </c>
      <c r="P5004" s="66" t="s">
        <v>30375</v>
      </c>
      <c r="Q5004" s="76" t="s">
        <v>30725</v>
      </c>
      <c r="R5004" s="66" t="s">
        <v>100</v>
      </c>
      <c r="S5004" s="66" t="s">
        <v>379</v>
      </c>
      <c r="T5004" s="77"/>
      <c r="U5004" s="77"/>
      <c r="V5004" s="77"/>
      <c r="W5004" s="77"/>
      <c r="X5004" s="77"/>
      <c r="Y5004" s="66"/>
      <c r="Z5004" s="66"/>
      <c r="AA5004" s="66"/>
      <c r="AB5004" s="66"/>
      <c r="AC5004" s="66"/>
      <c r="AD5004" s="66"/>
      <c r="AE5004" s="66"/>
      <c r="AF5004" s="66"/>
      <c r="AG5004" s="66"/>
      <c r="AH5004" s="66"/>
      <c r="AI5004" s="66"/>
      <c r="AJ5004" s="66"/>
      <c r="AK5004" s="66"/>
      <c r="AL5004" s="66"/>
      <c r="AM5004" s="66"/>
      <c r="AN5004" s="66"/>
      <c r="AO5004" s="66"/>
      <c r="AP5004" s="66"/>
      <c r="AQ5004" s="66"/>
      <c r="AR5004" s="66"/>
      <c r="AS5004" s="66"/>
      <c r="AT5004" s="66"/>
      <c r="AU5004" s="66"/>
      <c r="AV5004" s="78"/>
      <c r="AW5004" s="78"/>
      <c r="AX5004" s="78"/>
      <c r="AY5004" s="78"/>
      <c r="AZ5004" s="78"/>
      <c r="BA5004" s="78"/>
      <c r="BB5004" s="78"/>
      <c r="BC5004" s="78"/>
      <c r="BD5004" s="78"/>
      <c r="BE5004" s="78"/>
      <c r="BF5004" s="78"/>
      <c r="BG5004" s="78"/>
      <c r="BH5004" s="78"/>
      <c r="BI5004" s="78"/>
      <c r="BJ5004" s="78"/>
      <c r="BK5004" s="1"/>
    </row>
    <row r="5005" spans="1:63" s="11" customFormat="1" ht="12" customHeight="1" x14ac:dyDescent="0.15">
      <c r="A5005" s="1" t="s">
        <v>3252</v>
      </c>
      <c r="B5005" s="1" t="s">
        <v>15659</v>
      </c>
      <c r="C5005" s="1" t="s">
        <v>20</v>
      </c>
      <c r="D5005" s="1" t="s">
        <v>30</v>
      </c>
      <c r="E5005" s="1"/>
      <c r="F5005" s="72">
        <v>41393</v>
      </c>
      <c r="G5005" s="1" t="s">
        <v>24624</v>
      </c>
      <c r="H5005" s="1" t="s">
        <v>1100</v>
      </c>
      <c r="I5005" s="1" t="s">
        <v>404</v>
      </c>
      <c r="J5005" s="4" t="s">
        <v>17018</v>
      </c>
      <c r="K5005" s="1" t="s">
        <v>1100</v>
      </c>
      <c r="L5005" s="1" t="s">
        <v>1101</v>
      </c>
      <c r="M5005" s="1" t="s">
        <v>27</v>
      </c>
      <c r="N5005" s="1" t="s">
        <v>17019</v>
      </c>
      <c r="O5005" s="1" t="s">
        <v>550</v>
      </c>
      <c r="P5005" s="1" t="s">
        <v>401</v>
      </c>
      <c r="Q5005" s="63" t="s">
        <v>17020</v>
      </c>
      <c r="R5005" s="1" t="s">
        <v>29</v>
      </c>
      <c r="S5005" s="13" t="s">
        <v>28</v>
      </c>
      <c r="T5005" s="1"/>
      <c r="U5005" s="1"/>
      <c r="V5005" s="1"/>
      <c r="W5005" s="1"/>
      <c r="X5005" s="1"/>
      <c r="Y5005" s="1"/>
      <c r="Z5005" s="1"/>
      <c r="AA5005" s="1"/>
      <c r="AB5005" s="1"/>
      <c r="AC5005" s="1"/>
      <c r="AD5005" s="1"/>
      <c r="AE5005" s="1"/>
      <c r="AF5005" s="1"/>
      <c r="AG5005" s="1"/>
      <c r="AH5005" s="1"/>
      <c r="AI5005" s="1"/>
      <c r="AJ5005" s="1"/>
      <c r="AK5005" s="1"/>
      <c r="AL5005" s="1"/>
      <c r="AU5005" s="1"/>
      <c r="AV5005" s="1"/>
      <c r="AW5005" s="1"/>
      <c r="AX5005" s="1"/>
      <c r="AY5005" s="1"/>
      <c r="AZ5005" s="1"/>
      <c r="BA5005" s="1"/>
      <c r="BB5005" s="1"/>
      <c r="BC5005" s="1"/>
      <c r="BD5005" s="1"/>
      <c r="BE5005" s="1"/>
      <c r="BF5005" s="1"/>
      <c r="BG5005" s="1"/>
      <c r="BH5005" s="1"/>
      <c r="BI5005" s="1"/>
      <c r="BJ5005" s="1"/>
      <c r="BK5005" s="1"/>
    </row>
    <row r="5006" spans="1:63" s="11" customFormat="1" ht="12" customHeight="1" x14ac:dyDescent="0.15">
      <c r="A5006" s="1" t="s">
        <v>17021</v>
      </c>
      <c r="B5006" s="1" t="s">
        <v>15841</v>
      </c>
      <c r="C5006" s="1" t="s">
        <v>20</v>
      </c>
      <c r="D5006" s="1" t="s">
        <v>48</v>
      </c>
      <c r="E5006" s="1"/>
      <c r="F5006" s="72">
        <v>41392</v>
      </c>
      <c r="G5006" s="1" t="s">
        <v>17022</v>
      </c>
      <c r="H5006" s="1" t="s">
        <v>489</v>
      </c>
      <c r="I5006" s="1" t="s">
        <v>45</v>
      </c>
      <c r="J5006" s="4" t="s">
        <v>16488</v>
      </c>
      <c r="K5006" s="1" t="s">
        <v>98</v>
      </c>
      <c r="L5006" s="1" t="s">
        <v>490</v>
      </c>
      <c r="M5006" s="1" t="s">
        <v>27</v>
      </c>
      <c r="N5006" s="1" t="s">
        <v>17023</v>
      </c>
      <c r="O5006" s="1" t="s">
        <v>29</v>
      </c>
      <c r="P5006" s="1" t="s">
        <v>401</v>
      </c>
      <c r="Q5006" s="63" t="s">
        <v>17024</v>
      </c>
      <c r="R5006" s="1" t="s">
        <v>29</v>
      </c>
      <c r="S5006" s="13" t="s">
        <v>28</v>
      </c>
      <c r="T5006" s="1"/>
      <c r="U5006" s="1"/>
      <c r="V5006" s="1"/>
      <c r="W5006" s="1"/>
      <c r="X5006" s="1"/>
      <c r="Y5006" s="1"/>
      <c r="Z5006" s="1"/>
      <c r="AA5006" s="1"/>
      <c r="AB5006" s="1"/>
      <c r="AC5006" s="1"/>
      <c r="AD5006" s="1"/>
      <c r="AE5006" s="1"/>
      <c r="AF5006" s="1"/>
      <c r="AG5006" s="1"/>
      <c r="AH5006" s="1"/>
      <c r="AI5006" s="1"/>
      <c r="AJ5006" s="1"/>
      <c r="AK5006" s="1"/>
      <c r="AL5006" s="1"/>
      <c r="AU5006" s="1"/>
      <c r="AV5006" s="1"/>
      <c r="AW5006" s="1"/>
      <c r="AX5006" s="1"/>
      <c r="AY5006" s="1"/>
      <c r="AZ5006" s="1"/>
      <c r="BA5006" s="1"/>
      <c r="BB5006" s="1"/>
      <c r="BC5006" s="1"/>
      <c r="BD5006" s="1"/>
      <c r="BE5006" s="1"/>
      <c r="BF5006" s="1"/>
      <c r="BG5006" s="1"/>
      <c r="BH5006" s="1"/>
      <c r="BI5006" s="1"/>
      <c r="BJ5006" s="1"/>
      <c r="BK5006" s="1"/>
    </row>
    <row r="5007" spans="1:63" s="11" customFormat="1" ht="12" customHeight="1" x14ac:dyDescent="0.15">
      <c r="A5007" s="1" t="s">
        <v>17025</v>
      </c>
      <c r="B5007" s="1" t="s">
        <v>17026</v>
      </c>
      <c r="C5007" s="1" t="s">
        <v>114</v>
      </c>
      <c r="D5007" s="1" t="s">
        <v>37</v>
      </c>
      <c r="E5007" s="1" t="s">
        <v>17027</v>
      </c>
      <c r="F5007" s="72">
        <v>41392</v>
      </c>
      <c r="G5007" s="1" t="s">
        <v>17028</v>
      </c>
      <c r="H5007" s="1" t="s">
        <v>13437</v>
      </c>
      <c r="I5007" s="1" t="s">
        <v>62</v>
      </c>
      <c r="J5007" s="4" t="s">
        <v>14269</v>
      </c>
      <c r="K5007" s="1" t="s">
        <v>2309</v>
      </c>
      <c r="L5007" s="1" t="s">
        <v>14047</v>
      </c>
      <c r="M5007" s="1" t="s">
        <v>27</v>
      </c>
      <c r="N5007" s="1" t="s">
        <v>17029</v>
      </c>
      <c r="O5007" s="1" t="s">
        <v>29</v>
      </c>
      <c r="P5007" s="1" t="s">
        <v>401</v>
      </c>
      <c r="Q5007" s="63" t="s">
        <v>17030</v>
      </c>
      <c r="R5007" s="1" t="s">
        <v>555</v>
      </c>
      <c r="S5007" s="13" t="s">
        <v>28</v>
      </c>
      <c r="T5007" s="1"/>
      <c r="U5007" s="1"/>
      <c r="V5007" s="1"/>
      <c r="W5007" s="1"/>
      <c r="X5007" s="1"/>
      <c r="Y5007" s="1"/>
      <c r="Z5007" s="1"/>
      <c r="AA5007" s="1"/>
      <c r="AB5007" s="1"/>
      <c r="AC5007" s="1"/>
      <c r="AD5007" s="1"/>
      <c r="AE5007" s="1"/>
      <c r="AF5007" s="1"/>
      <c r="AG5007" s="1"/>
      <c r="AH5007" s="1"/>
      <c r="AI5007" s="1"/>
      <c r="AJ5007" s="1"/>
      <c r="AK5007" s="1"/>
      <c r="AL5007" s="1"/>
      <c r="AU5007" s="1"/>
      <c r="AV5007" s="1"/>
      <c r="AW5007" s="1"/>
      <c r="BA5007" s="44"/>
      <c r="BB5007" s="44"/>
      <c r="BC5007" s="1"/>
      <c r="BD5007" s="1"/>
      <c r="BE5007" s="1"/>
      <c r="BF5007" s="1"/>
      <c r="BG5007" s="1"/>
      <c r="BH5007" s="1"/>
      <c r="BI5007" s="1"/>
      <c r="BJ5007" s="1"/>
      <c r="BK5007" s="1"/>
    </row>
    <row r="5008" spans="1:63" s="11" customFormat="1" ht="12" customHeight="1" x14ac:dyDescent="0.15">
      <c r="A5008" s="1" t="s">
        <v>17031</v>
      </c>
      <c r="B5008" s="1" t="s">
        <v>10335</v>
      </c>
      <c r="C5008" s="1" t="s">
        <v>20</v>
      </c>
      <c r="D5008" s="1" t="s">
        <v>85</v>
      </c>
      <c r="E5008" s="1" t="s">
        <v>17032</v>
      </c>
      <c r="F5008" s="72">
        <v>41391</v>
      </c>
      <c r="G5008" s="1" t="s">
        <v>24625</v>
      </c>
      <c r="H5008" s="1" t="s">
        <v>1801</v>
      </c>
      <c r="I5008" s="1" t="s">
        <v>217</v>
      </c>
      <c r="J5008" s="4" t="s">
        <v>17033</v>
      </c>
      <c r="K5008" s="1" t="s">
        <v>1803</v>
      </c>
      <c r="L5008" s="1" t="s">
        <v>1804</v>
      </c>
      <c r="M5008" s="1" t="s">
        <v>27</v>
      </c>
      <c r="N5008" s="1" t="s">
        <v>17034</v>
      </c>
      <c r="O5008" s="1" t="s">
        <v>29</v>
      </c>
      <c r="P5008" s="1" t="s">
        <v>401</v>
      </c>
      <c r="Q5008" s="63" t="s">
        <v>17035</v>
      </c>
      <c r="R5008" s="1" t="s">
        <v>100</v>
      </c>
      <c r="S5008" s="13" t="s">
        <v>28</v>
      </c>
      <c r="T5008" s="1"/>
      <c r="U5008" s="1"/>
      <c r="V5008" s="1"/>
      <c r="W5008" s="1"/>
      <c r="X5008" s="1"/>
      <c r="Y5008" s="1"/>
      <c r="Z5008" s="1"/>
      <c r="AA5008" s="1"/>
      <c r="AB5008" s="1"/>
      <c r="AC5008" s="1"/>
      <c r="AD5008" s="1"/>
      <c r="AE5008" s="1"/>
      <c r="AF5008" s="1"/>
      <c r="AG5008" s="1"/>
      <c r="AH5008" s="1"/>
      <c r="AI5008" s="1"/>
      <c r="AJ5008" s="1"/>
      <c r="AK5008" s="1"/>
      <c r="AL5008" s="1"/>
      <c r="AU5008" s="1"/>
      <c r="AV5008" s="1"/>
      <c r="AW5008" s="1"/>
      <c r="AX5008" s="44"/>
      <c r="AY5008" s="44"/>
      <c r="AZ5008" s="1"/>
      <c r="BA5008" s="1"/>
      <c r="BB5008" s="1"/>
      <c r="BC5008" s="44"/>
      <c r="BD5008" s="44"/>
      <c r="BE5008" s="44"/>
      <c r="BF5008" s="44"/>
      <c r="BG5008" s="44"/>
      <c r="BH5008" s="44"/>
      <c r="BI5008" s="44"/>
      <c r="BJ5008" s="44"/>
      <c r="BK5008" s="1"/>
    </row>
    <row r="5009" spans="1:63" s="11" customFormat="1" ht="12" customHeight="1" x14ac:dyDescent="0.15">
      <c r="A5009" s="1" t="s">
        <v>17045</v>
      </c>
      <c r="B5009" s="1" t="s">
        <v>9368</v>
      </c>
      <c r="C5009" s="1" t="s">
        <v>20</v>
      </c>
      <c r="D5009" s="1" t="s">
        <v>30</v>
      </c>
      <c r="E5009" s="1"/>
      <c r="F5009" s="72">
        <v>41391</v>
      </c>
      <c r="G5009" s="1" t="s">
        <v>17046</v>
      </c>
      <c r="H5009" s="1" t="s">
        <v>17047</v>
      </c>
      <c r="I5009" s="1" t="s">
        <v>62</v>
      </c>
      <c r="J5009" s="4" t="s">
        <v>15296</v>
      </c>
      <c r="K5009" s="1" t="s">
        <v>1123</v>
      </c>
      <c r="L5009" s="1" t="s">
        <v>5181</v>
      </c>
      <c r="M5009" s="1" t="s">
        <v>27</v>
      </c>
      <c r="N5009" s="1" t="s">
        <v>17048</v>
      </c>
      <c r="O5009" s="1" t="s">
        <v>29</v>
      </c>
      <c r="P5009" s="1" t="s">
        <v>401</v>
      </c>
      <c r="Q5009" s="63" t="s">
        <v>17049</v>
      </c>
      <c r="R5009" s="1" t="s">
        <v>100</v>
      </c>
      <c r="S5009" s="13" t="s">
        <v>28</v>
      </c>
      <c r="T5009" s="1"/>
      <c r="U5009" s="1"/>
      <c r="V5009" s="1"/>
      <c r="W5009" s="1"/>
      <c r="X5009" s="1"/>
      <c r="Y5009" s="1"/>
      <c r="Z5009" s="1"/>
      <c r="AA5009" s="1"/>
      <c r="AB5009" s="1"/>
      <c r="AC5009" s="1"/>
      <c r="AD5009" s="1"/>
      <c r="AE5009" s="1"/>
      <c r="AF5009" s="1"/>
      <c r="AG5009" s="1"/>
      <c r="AH5009" s="1"/>
      <c r="AI5009" s="1"/>
      <c r="AJ5009" s="1"/>
      <c r="AK5009" s="1"/>
      <c r="AL5009" s="1"/>
      <c r="AU5009" s="1"/>
      <c r="AV5009" s="1"/>
      <c r="AW5009" s="1"/>
      <c r="AX5009" s="1"/>
      <c r="AY5009" s="1"/>
      <c r="AZ5009" s="1"/>
      <c r="BA5009" s="1"/>
      <c r="BB5009" s="1"/>
      <c r="BC5009" s="1"/>
      <c r="BD5009" s="1"/>
      <c r="BE5009" s="1"/>
      <c r="BF5009" s="1"/>
      <c r="BG5009" s="1"/>
      <c r="BH5009" s="1"/>
      <c r="BI5009" s="1"/>
      <c r="BJ5009" s="1"/>
      <c r="BK5009" s="1"/>
    </row>
    <row r="5010" spans="1:63" s="11" customFormat="1" ht="12" customHeight="1" x14ac:dyDescent="0.2">
      <c r="A5010" s="66" t="s">
        <v>10199</v>
      </c>
      <c r="B5010" s="66">
        <v>31</v>
      </c>
      <c r="C5010" s="66" t="s">
        <v>20</v>
      </c>
      <c r="D5010" s="66" t="s">
        <v>30</v>
      </c>
      <c r="E5010" s="66"/>
      <c r="F5010" s="69">
        <v>41391</v>
      </c>
      <c r="G5010" s="66" t="s">
        <v>30726</v>
      </c>
      <c r="H5010" s="66" t="s">
        <v>1007</v>
      </c>
      <c r="I5010" s="66" t="s">
        <v>315</v>
      </c>
      <c r="J5010" s="66">
        <v>40509</v>
      </c>
      <c r="K5010" s="66" t="s">
        <v>1516</v>
      </c>
      <c r="L5010" s="66" t="s">
        <v>30727</v>
      </c>
      <c r="M5010" s="66" t="s">
        <v>27</v>
      </c>
      <c r="N5010" s="66" t="s">
        <v>30728</v>
      </c>
      <c r="O5010" s="66" t="s">
        <v>550</v>
      </c>
      <c r="P5010" s="66" t="s">
        <v>30375</v>
      </c>
      <c r="Q5010" s="76" t="s">
        <v>30729</v>
      </c>
      <c r="R5010" s="66" t="s">
        <v>100</v>
      </c>
      <c r="S5010" s="66" t="s">
        <v>28</v>
      </c>
      <c r="T5010" s="77"/>
      <c r="U5010" s="77"/>
      <c r="V5010" s="77"/>
      <c r="W5010" s="77"/>
      <c r="X5010" s="77"/>
      <c r="Y5010" s="66"/>
      <c r="Z5010" s="66"/>
      <c r="AA5010" s="66"/>
      <c r="AB5010" s="66"/>
      <c r="AC5010" s="66"/>
      <c r="AD5010" s="66"/>
      <c r="AE5010" s="66"/>
      <c r="AF5010" s="66"/>
      <c r="AG5010" s="66"/>
      <c r="AH5010" s="66"/>
      <c r="AI5010" s="66"/>
      <c r="AJ5010" s="66"/>
      <c r="AK5010" s="66"/>
      <c r="AL5010" s="66"/>
      <c r="AM5010" s="66"/>
      <c r="AN5010" s="66"/>
      <c r="AO5010" s="66"/>
      <c r="AP5010" s="66"/>
      <c r="AQ5010" s="66"/>
      <c r="AR5010" s="66"/>
      <c r="AS5010" s="66"/>
      <c r="AT5010" s="66"/>
      <c r="AU5010" s="66"/>
      <c r="AV5010" s="78"/>
      <c r="AW5010" s="78"/>
      <c r="AX5010" s="78"/>
      <c r="AY5010" s="78"/>
      <c r="AZ5010" s="78"/>
      <c r="BA5010" s="78"/>
      <c r="BB5010" s="78"/>
      <c r="BC5010" s="78"/>
      <c r="BD5010" s="78"/>
      <c r="BE5010" s="78"/>
      <c r="BF5010" s="78"/>
      <c r="BG5010" s="78"/>
      <c r="BH5010" s="78"/>
      <c r="BI5010" s="78"/>
      <c r="BJ5010" s="78"/>
      <c r="BK5010" s="1"/>
    </row>
    <row r="5011" spans="1:63" s="11" customFormat="1" ht="12" customHeight="1" x14ac:dyDescent="0.15">
      <c r="A5011" s="1" t="s">
        <v>17061</v>
      </c>
      <c r="B5011" s="1" t="s">
        <v>13541</v>
      </c>
      <c r="C5011" s="1" t="s">
        <v>20</v>
      </c>
      <c r="D5011" s="1" t="s">
        <v>37</v>
      </c>
      <c r="E5011" s="1" t="s">
        <v>17062</v>
      </c>
      <c r="F5011" s="72">
        <v>41391</v>
      </c>
      <c r="G5011" s="1" t="s">
        <v>17063</v>
      </c>
      <c r="H5011" s="1" t="s">
        <v>1874</v>
      </c>
      <c r="I5011" s="1" t="s">
        <v>978</v>
      </c>
      <c r="J5011" s="4" t="s">
        <v>17064</v>
      </c>
      <c r="K5011" s="1" t="s">
        <v>17065</v>
      </c>
      <c r="L5011" s="1" t="s">
        <v>17066</v>
      </c>
      <c r="M5011" s="1" t="s">
        <v>27</v>
      </c>
      <c r="N5011" s="1" t="s">
        <v>17067</v>
      </c>
      <c r="O5011" s="1" t="s">
        <v>29</v>
      </c>
      <c r="P5011" s="1" t="s">
        <v>401</v>
      </c>
      <c r="Q5011" s="63" t="s">
        <v>17068</v>
      </c>
      <c r="R5011" s="1" t="s">
        <v>100</v>
      </c>
      <c r="S5011" s="13" t="s">
        <v>28</v>
      </c>
      <c r="T5011" s="1"/>
      <c r="U5011" s="1"/>
      <c r="V5011" s="1"/>
      <c r="W5011" s="1"/>
      <c r="X5011" s="1"/>
      <c r="Y5011" s="1"/>
      <c r="Z5011" s="1"/>
      <c r="AA5011" s="1"/>
      <c r="AB5011" s="1"/>
      <c r="AC5011" s="1"/>
      <c r="AD5011" s="1"/>
      <c r="AE5011" s="1"/>
      <c r="AF5011" s="1"/>
      <c r="AG5011" s="1"/>
      <c r="AH5011" s="1"/>
      <c r="AI5011" s="1"/>
      <c r="AJ5011" s="1"/>
      <c r="AK5011" s="1"/>
      <c r="AL5011" s="1"/>
      <c r="AU5011" s="1"/>
      <c r="AV5011" s="1"/>
      <c r="AW5011" s="1"/>
      <c r="BA5011" s="1"/>
      <c r="BB5011" s="1"/>
      <c r="BC5011" s="1"/>
      <c r="BD5011" s="1"/>
      <c r="BE5011" s="1"/>
      <c r="BF5011" s="1"/>
      <c r="BG5011" s="1"/>
      <c r="BH5011" s="1"/>
      <c r="BI5011" s="1"/>
      <c r="BJ5011" s="1"/>
      <c r="BK5011" s="1"/>
    </row>
    <row r="5012" spans="1:63" s="11" customFormat="1" ht="12" customHeight="1" x14ac:dyDescent="0.15">
      <c r="A5012" s="1" t="s">
        <v>17036</v>
      </c>
      <c r="B5012" s="1" t="s">
        <v>15985</v>
      </c>
      <c r="C5012" s="1" t="s">
        <v>20</v>
      </c>
      <c r="D5012" s="1" t="s">
        <v>85</v>
      </c>
      <c r="E5012" s="1" t="s">
        <v>17037</v>
      </c>
      <c r="F5012" s="72">
        <v>41391</v>
      </c>
      <c r="G5012" s="1" t="s">
        <v>17038</v>
      </c>
      <c r="H5012" s="1" t="s">
        <v>17039</v>
      </c>
      <c r="I5012" s="1" t="s">
        <v>73</v>
      </c>
      <c r="J5012" s="4" t="s">
        <v>17040</v>
      </c>
      <c r="K5012" s="1" t="s">
        <v>17041</v>
      </c>
      <c r="L5012" s="1" t="s">
        <v>17042</v>
      </c>
      <c r="M5012" s="1" t="s">
        <v>27</v>
      </c>
      <c r="N5012" s="1" t="s">
        <v>17043</v>
      </c>
      <c r="O5012" s="1" t="s">
        <v>29</v>
      </c>
      <c r="P5012" s="1" t="s">
        <v>401</v>
      </c>
      <c r="Q5012" s="63" t="s">
        <v>17044</v>
      </c>
      <c r="R5012" s="1" t="s">
        <v>29</v>
      </c>
      <c r="S5012" s="13" t="s">
        <v>28</v>
      </c>
      <c r="T5012" s="1"/>
      <c r="U5012" s="1"/>
      <c r="V5012" s="1"/>
      <c r="W5012" s="1"/>
      <c r="X5012" s="1"/>
      <c r="Y5012" s="1"/>
      <c r="Z5012" s="1"/>
      <c r="AA5012" s="1"/>
      <c r="AB5012" s="1"/>
      <c r="AC5012" s="1"/>
      <c r="AD5012" s="1"/>
      <c r="AE5012" s="1"/>
      <c r="AF5012" s="1"/>
      <c r="AG5012" s="1"/>
      <c r="AH5012" s="1"/>
      <c r="AI5012" s="1"/>
      <c r="AJ5012" s="1"/>
      <c r="AK5012" s="1"/>
      <c r="AL5012" s="1"/>
      <c r="AU5012" s="1"/>
      <c r="AV5012" s="1"/>
      <c r="AW5012" s="1"/>
      <c r="AX5012" s="44"/>
      <c r="AY5012" s="44"/>
      <c r="AZ5012" s="1"/>
      <c r="BA5012" s="1"/>
      <c r="BB5012" s="1"/>
      <c r="BC5012" s="44"/>
      <c r="BD5012" s="44"/>
      <c r="BE5012" s="44"/>
      <c r="BF5012" s="44"/>
      <c r="BG5012" s="44"/>
      <c r="BH5012" s="44"/>
      <c r="BI5012" s="44"/>
      <c r="BJ5012" s="44"/>
      <c r="BK5012" s="1"/>
    </row>
    <row r="5013" spans="1:63" s="11" customFormat="1" ht="12" customHeight="1" x14ac:dyDescent="0.15">
      <c r="A5013" s="1" t="s">
        <v>17069</v>
      </c>
      <c r="B5013" s="1" t="s">
        <v>13478</v>
      </c>
      <c r="C5013" s="1" t="s">
        <v>20</v>
      </c>
      <c r="D5013" s="1" t="s">
        <v>37</v>
      </c>
      <c r="E5013" s="1" t="s">
        <v>17070</v>
      </c>
      <c r="F5013" s="72">
        <v>41391</v>
      </c>
      <c r="G5013" s="1" t="s">
        <v>24626</v>
      </c>
      <c r="H5013" s="1" t="s">
        <v>887</v>
      </c>
      <c r="I5013" s="1" t="s">
        <v>438</v>
      </c>
      <c r="J5013" s="4" t="s">
        <v>17071</v>
      </c>
      <c r="K5013" s="1" t="s">
        <v>887</v>
      </c>
      <c r="L5013" s="1" t="s">
        <v>3865</v>
      </c>
      <c r="M5013" s="1" t="s">
        <v>27</v>
      </c>
      <c r="N5013" s="1" t="s">
        <v>17072</v>
      </c>
      <c r="O5013" s="1" t="s">
        <v>29</v>
      </c>
      <c r="P5013" s="1" t="s">
        <v>401</v>
      </c>
      <c r="Q5013" s="63" t="s">
        <v>17073</v>
      </c>
      <c r="R5013" s="1" t="s">
        <v>29</v>
      </c>
      <c r="S5013" s="13" t="s">
        <v>28</v>
      </c>
      <c r="T5013" s="1"/>
      <c r="U5013" s="1"/>
      <c r="V5013" s="1"/>
      <c r="W5013" s="1"/>
      <c r="X5013" s="1"/>
      <c r="Y5013" s="1"/>
      <c r="Z5013" s="1"/>
      <c r="AA5013" s="1"/>
      <c r="AB5013" s="1"/>
      <c r="AC5013" s="1"/>
      <c r="AD5013" s="1"/>
      <c r="AE5013" s="1"/>
      <c r="AF5013" s="1"/>
      <c r="AG5013" s="1"/>
      <c r="AH5013" s="1"/>
      <c r="AI5013" s="1"/>
      <c r="AJ5013" s="1"/>
      <c r="AK5013" s="1"/>
      <c r="AL5013" s="1"/>
      <c r="AU5013" s="1"/>
      <c r="AV5013" s="1"/>
      <c r="AW5013" s="1"/>
      <c r="BA5013" s="1"/>
      <c r="BB5013" s="1"/>
      <c r="BC5013" s="1"/>
      <c r="BD5013" s="1"/>
      <c r="BE5013" s="1"/>
      <c r="BF5013" s="1"/>
      <c r="BG5013" s="1"/>
      <c r="BH5013" s="1"/>
      <c r="BI5013" s="1"/>
      <c r="BJ5013" s="1"/>
      <c r="BK5013" s="1"/>
    </row>
    <row r="5014" spans="1:63" s="11" customFormat="1" ht="12" customHeight="1" x14ac:dyDescent="0.15">
      <c r="A5014" s="1" t="s">
        <v>17050</v>
      </c>
      <c r="B5014" s="1" t="s">
        <v>15659</v>
      </c>
      <c r="C5014" s="1" t="s">
        <v>114</v>
      </c>
      <c r="D5014" s="1" t="s">
        <v>30</v>
      </c>
      <c r="E5014" s="1"/>
      <c r="F5014" s="72">
        <v>41391</v>
      </c>
      <c r="G5014" s="1" t="s">
        <v>24627</v>
      </c>
      <c r="H5014" s="1" t="s">
        <v>156</v>
      </c>
      <c r="I5014" s="1" t="s">
        <v>45</v>
      </c>
      <c r="J5014" s="4" t="s">
        <v>17051</v>
      </c>
      <c r="K5014" s="1" t="s">
        <v>156</v>
      </c>
      <c r="L5014" s="1" t="s">
        <v>157</v>
      </c>
      <c r="M5014" s="1" t="s">
        <v>27</v>
      </c>
      <c r="N5014" s="1" t="s">
        <v>17052</v>
      </c>
      <c r="O5014" s="1" t="s">
        <v>29</v>
      </c>
      <c r="P5014" s="1" t="s">
        <v>401</v>
      </c>
      <c r="Q5014" s="63" t="s">
        <v>17053</v>
      </c>
      <c r="R5014" s="1" t="s">
        <v>555</v>
      </c>
      <c r="S5014" s="13" t="s">
        <v>28</v>
      </c>
      <c r="T5014" s="1"/>
      <c r="U5014" s="1"/>
      <c r="V5014" s="1"/>
      <c r="W5014" s="1"/>
      <c r="X5014" s="1"/>
      <c r="Y5014" s="1"/>
      <c r="Z5014" s="1"/>
      <c r="AA5014" s="1"/>
      <c r="AB5014" s="1"/>
      <c r="AC5014" s="1"/>
      <c r="AD5014" s="1"/>
      <c r="AE5014" s="1"/>
      <c r="AF5014" s="1"/>
      <c r="AG5014" s="1"/>
      <c r="AH5014" s="1"/>
      <c r="AI5014" s="1"/>
      <c r="AJ5014" s="1"/>
      <c r="AK5014" s="1"/>
      <c r="AL5014" s="1"/>
      <c r="AU5014" s="1"/>
      <c r="AV5014" s="1"/>
      <c r="AW5014" s="1"/>
      <c r="AX5014" s="1"/>
      <c r="AY5014" s="1"/>
      <c r="AZ5014" s="1"/>
      <c r="BC5014" s="1"/>
      <c r="BD5014" s="1"/>
      <c r="BE5014" s="1"/>
      <c r="BF5014" s="1"/>
      <c r="BG5014" s="1"/>
      <c r="BH5014" s="1"/>
      <c r="BI5014" s="1"/>
      <c r="BJ5014" s="1"/>
      <c r="BK5014" s="1"/>
    </row>
    <row r="5015" spans="1:63" ht="12" customHeight="1" x14ac:dyDescent="0.15">
      <c r="A5015" s="1" t="s">
        <v>1513</v>
      </c>
      <c r="B5015" s="1" t="s">
        <v>11070</v>
      </c>
      <c r="C5015" s="1" t="s">
        <v>20</v>
      </c>
      <c r="D5015" s="1" t="s">
        <v>37</v>
      </c>
      <c r="E5015" s="1" t="s">
        <v>17054</v>
      </c>
      <c r="F5015" s="72">
        <v>41391</v>
      </c>
      <c r="G5015" s="1" t="s">
        <v>17055</v>
      </c>
      <c r="H5015" s="1" t="s">
        <v>17056</v>
      </c>
      <c r="I5015" s="1" t="s">
        <v>52</v>
      </c>
      <c r="J5015" s="4" t="s">
        <v>17057</v>
      </c>
      <c r="K5015" s="1" t="s">
        <v>3182</v>
      </c>
      <c r="L5015" s="1" t="s">
        <v>17058</v>
      </c>
      <c r="M5015" s="1" t="s">
        <v>27</v>
      </c>
      <c r="N5015" s="1" t="s">
        <v>17059</v>
      </c>
      <c r="O5015" s="1" t="s">
        <v>613</v>
      </c>
      <c r="P5015" s="1" t="s">
        <v>401</v>
      </c>
      <c r="Q5015" s="63" t="s">
        <v>17060</v>
      </c>
      <c r="R5015" s="1" t="s">
        <v>555</v>
      </c>
      <c r="S5015" s="13" t="s">
        <v>28</v>
      </c>
      <c r="AM5015" s="11"/>
      <c r="AN5015" s="11"/>
      <c r="AO5015" s="11"/>
      <c r="AP5015" s="11"/>
      <c r="AQ5015" s="11"/>
      <c r="AR5015" s="11"/>
      <c r="AS5015" s="11"/>
      <c r="AT5015" s="11"/>
      <c r="AX5015" s="11"/>
      <c r="AY5015" s="11"/>
      <c r="AZ5015" s="11"/>
      <c r="BA5015" s="44"/>
      <c r="BB5015" s="44"/>
    </row>
    <row r="5016" spans="1:63" s="44" customFormat="1" ht="12" customHeight="1" x14ac:dyDescent="0.15">
      <c r="A5016" s="1" t="s">
        <v>17074</v>
      </c>
      <c r="B5016" s="1" t="s">
        <v>9419</v>
      </c>
      <c r="C5016" s="1" t="s">
        <v>20</v>
      </c>
      <c r="D5016" s="1" t="s">
        <v>85</v>
      </c>
      <c r="E5016" s="1" t="s">
        <v>17075</v>
      </c>
      <c r="F5016" s="72">
        <v>41390</v>
      </c>
      <c r="G5016" s="1" t="s">
        <v>17076</v>
      </c>
      <c r="H5016" s="1" t="s">
        <v>17077</v>
      </c>
      <c r="I5016" s="1" t="s">
        <v>73</v>
      </c>
      <c r="J5016" s="4" t="s">
        <v>17078</v>
      </c>
      <c r="K5016" s="1" t="s">
        <v>558</v>
      </c>
      <c r="L5016" s="1" t="s">
        <v>724</v>
      </c>
      <c r="M5016" s="1" t="s">
        <v>27</v>
      </c>
      <c r="N5016" s="1" t="s">
        <v>17079</v>
      </c>
      <c r="O5016" s="1" t="s">
        <v>29</v>
      </c>
      <c r="P5016" s="1" t="s">
        <v>401</v>
      </c>
      <c r="Q5016" s="63" t="s">
        <v>17080</v>
      </c>
      <c r="R5016" s="1" t="s">
        <v>100</v>
      </c>
      <c r="S5016" s="13" t="s">
        <v>28</v>
      </c>
      <c r="T5016" s="1"/>
      <c r="U5016" s="1"/>
      <c r="V5016" s="1"/>
      <c r="W5016" s="1"/>
      <c r="X5016" s="1"/>
      <c r="Y5016" s="1"/>
      <c r="Z5016" s="1"/>
      <c r="AA5016" s="1"/>
      <c r="AB5016" s="1"/>
      <c r="AC5016" s="1"/>
      <c r="AD5016" s="1"/>
      <c r="AE5016" s="1"/>
      <c r="AF5016" s="1"/>
      <c r="AG5016" s="1"/>
      <c r="AH5016" s="1"/>
      <c r="AI5016" s="1"/>
      <c r="AJ5016" s="1"/>
      <c r="AK5016" s="1"/>
      <c r="AL5016" s="1"/>
      <c r="AM5016" s="11"/>
      <c r="AN5016" s="11"/>
      <c r="AO5016" s="11"/>
      <c r="AP5016" s="11"/>
      <c r="AQ5016" s="11"/>
      <c r="AR5016" s="11"/>
      <c r="AS5016" s="11"/>
      <c r="AT5016" s="11"/>
      <c r="AU5016" s="1"/>
      <c r="AV5016" s="1"/>
      <c r="AW5016" s="1"/>
      <c r="AZ5016" s="1"/>
      <c r="BA5016" s="1"/>
      <c r="BB5016" s="1"/>
      <c r="BK5016" s="1"/>
    </row>
    <row r="5017" spans="1:63" s="44" customFormat="1" ht="12" customHeight="1" x14ac:dyDescent="0.15">
      <c r="A5017" s="1" t="s">
        <v>17081</v>
      </c>
      <c r="B5017" s="1">
        <v>24</v>
      </c>
      <c r="C5017" s="1" t="s">
        <v>20</v>
      </c>
      <c r="D5017" s="1" t="s">
        <v>85</v>
      </c>
      <c r="E5017" s="1"/>
      <c r="F5017" s="72">
        <v>41390</v>
      </c>
      <c r="G5017" s="1" t="s">
        <v>17082</v>
      </c>
      <c r="H5017" s="1" t="s">
        <v>6923</v>
      </c>
      <c r="I5017" s="1" t="s">
        <v>45</v>
      </c>
      <c r="J5017" s="4" t="s">
        <v>3302</v>
      </c>
      <c r="K5017" s="1" t="s">
        <v>98</v>
      </c>
      <c r="L5017" s="11" t="s">
        <v>414</v>
      </c>
      <c r="M5017" s="1" t="s">
        <v>27</v>
      </c>
      <c r="N5017" s="1" t="s">
        <v>17083</v>
      </c>
      <c r="O5017" s="1" t="s">
        <v>1010</v>
      </c>
      <c r="P5017" s="1" t="s">
        <v>401</v>
      </c>
      <c r="Q5017" s="63" t="s">
        <v>17084</v>
      </c>
      <c r="R5017" s="1" t="s">
        <v>29</v>
      </c>
      <c r="S5017" s="13" t="s">
        <v>379</v>
      </c>
      <c r="T5017" s="1"/>
      <c r="U5017" s="1"/>
      <c r="V5017" s="1"/>
      <c r="W5017" s="1"/>
      <c r="X5017" s="1"/>
      <c r="Y5017" s="1"/>
      <c r="Z5017" s="1"/>
      <c r="AA5017" s="1"/>
      <c r="AB5017" s="1"/>
      <c r="AC5017" s="1"/>
      <c r="AD5017" s="1"/>
      <c r="AE5017" s="1"/>
      <c r="AF5017" s="1"/>
      <c r="AG5017" s="1"/>
      <c r="AH5017" s="1"/>
      <c r="AI5017" s="1"/>
      <c r="AJ5017" s="1"/>
      <c r="AK5017" s="1"/>
      <c r="AL5017" s="1"/>
      <c r="AM5017" s="11"/>
      <c r="AN5017" s="11"/>
      <c r="AO5017" s="11"/>
      <c r="AP5017" s="11"/>
      <c r="AQ5017" s="11"/>
      <c r="AR5017" s="11"/>
      <c r="AS5017" s="11"/>
      <c r="AT5017" s="11"/>
      <c r="AU5017" s="1"/>
      <c r="AV5017" s="1"/>
      <c r="AW5017" s="1"/>
      <c r="AZ5017" s="1"/>
      <c r="BA5017" s="1"/>
      <c r="BB5017" s="1"/>
      <c r="BK5017" s="1"/>
    </row>
    <row r="5018" spans="1:63" s="44" customFormat="1" ht="12" customHeight="1" x14ac:dyDescent="0.15">
      <c r="A5018" s="1" t="s">
        <v>17085</v>
      </c>
      <c r="B5018" s="1" t="s">
        <v>9419</v>
      </c>
      <c r="C5018" s="1" t="s">
        <v>20</v>
      </c>
      <c r="D5018" s="1" t="s">
        <v>85</v>
      </c>
      <c r="E5018" s="1" t="s">
        <v>17086</v>
      </c>
      <c r="F5018" s="72">
        <v>41389</v>
      </c>
      <c r="G5018" s="1" t="s">
        <v>17087</v>
      </c>
      <c r="H5018" s="1" t="s">
        <v>9752</v>
      </c>
      <c r="I5018" s="1" t="s">
        <v>978</v>
      </c>
      <c r="J5018" s="4" t="s">
        <v>11272</v>
      </c>
      <c r="K5018" s="1" t="s">
        <v>2495</v>
      </c>
      <c r="L5018" s="1" t="s">
        <v>9754</v>
      </c>
      <c r="M5018" s="1" t="s">
        <v>27</v>
      </c>
      <c r="N5018" s="1" t="s">
        <v>17088</v>
      </c>
      <c r="O5018" s="1" t="s">
        <v>29</v>
      </c>
      <c r="P5018" s="1" t="s">
        <v>401</v>
      </c>
      <c r="Q5018" s="63" t="s">
        <v>17089</v>
      </c>
      <c r="R5018" s="1" t="s">
        <v>100</v>
      </c>
      <c r="S5018" s="13" t="s">
        <v>28</v>
      </c>
      <c r="T5018" s="1"/>
      <c r="U5018" s="1"/>
      <c r="V5018" s="1"/>
      <c r="W5018" s="1"/>
      <c r="X5018" s="1"/>
      <c r="Y5018" s="1"/>
      <c r="Z5018" s="1"/>
      <c r="AA5018" s="1"/>
      <c r="AB5018" s="1"/>
      <c r="AC5018" s="1"/>
      <c r="AD5018" s="1"/>
      <c r="AE5018" s="1"/>
      <c r="AF5018" s="1"/>
      <c r="AG5018" s="1"/>
      <c r="AH5018" s="1"/>
      <c r="AI5018" s="1"/>
      <c r="AJ5018" s="1"/>
      <c r="AK5018" s="1"/>
      <c r="AL5018" s="1"/>
      <c r="AM5018" s="1"/>
      <c r="AN5018" s="1"/>
      <c r="AO5018" s="1"/>
      <c r="AP5018" s="1"/>
      <c r="AQ5018" s="1"/>
      <c r="AR5018" s="1"/>
      <c r="AS5018" s="1"/>
      <c r="AT5018" s="1"/>
      <c r="AU5018" s="1"/>
      <c r="AV5018" s="1"/>
      <c r="AW5018" s="1"/>
      <c r="AZ5018" s="1"/>
      <c r="BA5018" s="1"/>
      <c r="BB5018" s="1"/>
      <c r="BK5018" s="1"/>
    </row>
    <row r="5019" spans="1:63" s="44" customFormat="1" ht="12" customHeight="1" x14ac:dyDescent="0.15">
      <c r="A5019" s="1" t="s">
        <v>17090</v>
      </c>
      <c r="B5019" s="1" t="s">
        <v>13741</v>
      </c>
      <c r="C5019" s="1" t="s">
        <v>20</v>
      </c>
      <c r="D5019" s="1" t="s">
        <v>48</v>
      </c>
      <c r="E5019" s="1"/>
      <c r="F5019" s="72">
        <v>41389</v>
      </c>
      <c r="G5019" s="1" t="s">
        <v>24628</v>
      </c>
      <c r="H5019" s="1" t="s">
        <v>7913</v>
      </c>
      <c r="I5019" s="1" t="s">
        <v>45</v>
      </c>
      <c r="J5019" s="4" t="s">
        <v>7914</v>
      </c>
      <c r="K5019" s="1" t="s">
        <v>98</v>
      </c>
      <c r="L5019" s="1" t="s">
        <v>17091</v>
      </c>
      <c r="M5019" s="1" t="s">
        <v>27</v>
      </c>
      <c r="N5019" s="1" t="s">
        <v>17092</v>
      </c>
      <c r="O5019" s="1" t="s">
        <v>29</v>
      </c>
      <c r="P5019" s="1" t="s">
        <v>401</v>
      </c>
      <c r="Q5019" s="63" t="s">
        <v>17093</v>
      </c>
      <c r="R5019" s="1" t="s">
        <v>555</v>
      </c>
      <c r="S5019" s="13" t="s">
        <v>28</v>
      </c>
      <c r="T5019" s="1"/>
      <c r="U5019" s="1"/>
      <c r="V5019" s="1"/>
      <c r="W5019" s="1"/>
      <c r="X5019" s="1"/>
      <c r="Y5019" s="1"/>
      <c r="Z5019" s="1"/>
      <c r="AA5019" s="1"/>
      <c r="AB5019" s="1"/>
      <c r="AC5019" s="1"/>
      <c r="AD5019" s="1"/>
      <c r="AE5019" s="1"/>
      <c r="AF5019" s="1"/>
      <c r="AG5019" s="1"/>
      <c r="AH5019" s="1"/>
      <c r="AI5019" s="1"/>
      <c r="AJ5019" s="1"/>
      <c r="AK5019" s="1"/>
      <c r="AL5019" s="1"/>
      <c r="AM5019" s="11"/>
      <c r="AN5019" s="11"/>
      <c r="AO5019" s="11"/>
      <c r="AP5019" s="11"/>
      <c r="AQ5019" s="11"/>
      <c r="AR5019" s="11"/>
      <c r="AS5019" s="11"/>
      <c r="AT5019" s="11"/>
      <c r="AU5019" s="1"/>
      <c r="AV5019" s="1"/>
      <c r="AW5019" s="1"/>
      <c r="AX5019" s="1"/>
      <c r="AY5019" s="1"/>
      <c r="AZ5019" s="1"/>
      <c r="BA5019" s="11"/>
      <c r="BB5019" s="11"/>
      <c r="BC5019" s="1"/>
      <c r="BD5019" s="1"/>
      <c r="BE5019" s="1"/>
      <c r="BF5019" s="1"/>
      <c r="BG5019" s="1"/>
      <c r="BH5019" s="1"/>
      <c r="BI5019" s="1"/>
      <c r="BJ5019" s="1"/>
      <c r="BK5019" s="1"/>
    </row>
    <row r="5020" spans="1:63" s="44" customFormat="1" ht="12" customHeight="1" x14ac:dyDescent="0.15">
      <c r="A5020" s="1" t="s">
        <v>17098</v>
      </c>
      <c r="B5020" s="1" t="s">
        <v>15985</v>
      </c>
      <c r="C5020" s="1" t="s">
        <v>20</v>
      </c>
      <c r="D5020" s="1" t="s">
        <v>85</v>
      </c>
      <c r="E5020" s="1" t="s">
        <v>17099</v>
      </c>
      <c r="F5020" s="72">
        <v>41388</v>
      </c>
      <c r="G5020" s="1" t="s">
        <v>17100</v>
      </c>
      <c r="H5020" s="1" t="s">
        <v>709</v>
      </c>
      <c r="I5020" s="1" t="s">
        <v>431</v>
      </c>
      <c r="J5020" s="4" t="s">
        <v>17101</v>
      </c>
      <c r="K5020" s="1" t="s">
        <v>709</v>
      </c>
      <c r="L5020" s="1" t="s">
        <v>4516</v>
      </c>
      <c r="M5020" s="1" t="s">
        <v>27</v>
      </c>
      <c r="N5020" s="1" t="s">
        <v>17102</v>
      </c>
      <c r="O5020" s="1" t="s">
        <v>29</v>
      </c>
      <c r="P5020" s="1" t="s">
        <v>401</v>
      </c>
      <c r="Q5020" s="63" t="s">
        <v>17103</v>
      </c>
      <c r="R5020" s="1" t="s">
        <v>100</v>
      </c>
      <c r="S5020" s="13" t="s">
        <v>28</v>
      </c>
      <c r="T5020" s="1"/>
      <c r="U5020" s="1"/>
      <c r="V5020" s="1"/>
      <c r="W5020" s="1"/>
      <c r="X5020" s="1"/>
      <c r="Y5020" s="1"/>
      <c r="Z5020" s="1"/>
      <c r="AA5020" s="1"/>
      <c r="AB5020" s="1"/>
      <c r="AC5020" s="1"/>
      <c r="AD5020" s="1"/>
      <c r="AE5020" s="1"/>
      <c r="AF5020" s="1"/>
      <c r="AG5020" s="1"/>
      <c r="AH5020" s="1"/>
      <c r="AI5020" s="1"/>
      <c r="AJ5020" s="1"/>
      <c r="AK5020" s="1"/>
      <c r="AL5020" s="1"/>
      <c r="AM5020" s="11"/>
      <c r="AN5020" s="11"/>
      <c r="AO5020" s="11"/>
      <c r="AP5020" s="11"/>
      <c r="AQ5020" s="11"/>
      <c r="AR5020" s="11"/>
      <c r="AS5020" s="11"/>
      <c r="AT5020" s="11"/>
      <c r="AU5020" s="1"/>
      <c r="AV5020" s="1"/>
      <c r="AW5020" s="1"/>
      <c r="AZ5020" s="1"/>
      <c r="BA5020" s="1"/>
      <c r="BB5020" s="1"/>
      <c r="BK5020" s="1"/>
    </row>
    <row r="5021" spans="1:63" s="44" customFormat="1" ht="12" customHeight="1" x14ac:dyDescent="0.15">
      <c r="A5021" s="1" t="s">
        <v>17104</v>
      </c>
      <c r="B5021" s="1" t="s">
        <v>13399</v>
      </c>
      <c r="C5021" s="1" t="s">
        <v>20</v>
      </c>
      <c r="D5021" s="1" t="s">
        <v>30</v>
      </c>
      <c r="E5021" s="1"/>
      <c r="F5021" s="72">
        <v>41388</v>
      </c>
      <c r="G5021" s="1" t="s">
        <v>24629</v>
      </c>
      <c r="H5021" s="1" t="s">
        <v>926</v>
      </c>
      <c r="I5021" s="1" t="s">
        <v>73</v>
      </c>
      <c r="J5021" s="4" t="s">
        <v>6752</v>
      </c>
      <c r="K5021" s="1" t="s">
        <v>74</v>
      </c>
      <c r="L5021" s="1" t="s">
        <v>927</v>
      </c>
      <c r="M5021" s="1" t="s">
        <v>27</v>
      </c>
      <c r="N5021" s="1" t="s">
        <v>17105</v>
      </c>
      <c r="O5021" s="1" t="s">
        <v>550</v>
      </c>
      <c r="P5021" s="1" t="s">
        <v>401</v>
      </c>
      <c r="Q5021" s="63" t="s">
        <v>17106</v>
      </c>
      <c r="R5021" s="1" t="s">
        <v>100</v>
      </c>
      <c r="S5021" s="13" t="s">
        <v>28</v>
      </c>
      <c r="T5021" s="1"/>
      <c r="U5021" s="1"/>
      <c r="V5021" s="1"/>
      <c r="W5021" s="1"/>
      <c r="X5021" s="1"/>
      <c r="Y5021" s="1"/>
      <c r="Z5021" s="1"/>
      <c r="AA5021" s="1"/>
      <c r="AB5021" s="1"/>
      <c r="AC5021" s="1"/>
      <c r="AD5021" s="1"/>
      <c r="AE5021" s="1"/>
      <c r="AF5021" s="1"/>
      <c r="AG5021" s="1"/>
      <c r="AH5021" s="1"/>
      <c r="AI5021" s="1"/>
      <c r="AJ5021" s="1"/>
      <c r="AK5021" s="1"/>
      <c r="AL5021" s="1"/>
      <c r="AM5021" s="11"/>
      <c r="AN5021" s="11"/>
      <c r="AO5021" s="11"/>
      <c r="AP5021" s="11"/>
      <c r="AQ5021" s="11"/>
      <c r="AR5021" s="11"/>
      <c r="AS5021" s="11"/>
      <c r="AT5021" s="11"/>
      <c r="AU5021" s="1"/>
      <c r="AV5021" s="1"/>
      <c r="AW5021" s="1"/>
      <c r="AX5021" s="1"/>
      <c r="AY5021" s="1"/>
      <c r="AZ5021" s="1"/>
      <c r="BA5021" s="1"/>
      <c r="BB5021" s="1"/>
      <c r="BC5021" s="1"/>
      <c r="BD5021" s="1"/>
      <c r="BE5021" s="1"/>
      <c r="BF5021" s="1"/>
      <c r="BG5021" s="1"/>
      <c r="BH5021" s="1"/>
      <c r="BI5021" s="1"/>
      <c r="BJ5021" s="1"/>
      <c r="BK5021" s="1"/>
    </row>
    <row r="5022" spans="1:63" s="44" customFormat="1" ht="12" customHeight="1" x14ac:dyDescent="0.15">
      <c r="A5022" s="1" t="s">
        <v>17094</v>
      </c>
      <c r="B5022" s="1" t="s">
        <v>10011</v>
      </c>
      <c r="C5022" s="1" t="s">
        <v>20</v>
      </c>
      <c r="D5022" s="1" t="s">
        <v>85</v>
      </c>
      <c r="E5022" s="1" t="s">
        <v>17095</v>
      </c>
      <c r="F5022" s="72">
        <v>41388</v>
      </c>
      <c r="G5022" s="1" t="s">
        <v>24630</v>
      </c>
      <c r="H5022" s="1" t="s">
        <v>887</v>
      </c>
      <c r="I5022" s="1" t="s">
        <v>438</v>
      </c>
      <c r="J5022" s="4" t="s">
        <v>11827</v>
      </c>
      <c r="K5022" s="1" t="s">
        <v>887</v>
      </c>
      <c r="L5022" s="1" t="s">
        <v>3865</v>
      </c>
      <c r="M5022" s="1" t="s">
        <v>27</v>
      </c>
      <c r="N5022" s="1" t="s">
        <v>17096</v>
      </c>
      <c r="O5022" s="1" t="s">
        <v>29</v>
      </c>
      <c r="P5022" s="1" t="s">
        <v>401</v>
      </c>
      <c r="Q5022" s="63" t="s">
        <v>17097</v>
      </c>
      <c r="R5022" s="1" t="s">
        <v>555</v>
      </c>
      <c r="S5022" s="13" t="s">
        <v>28</v>
      </c>
      <c r="T5022" s="1"/>
      <c r="U5022" s="1"/>
      <c r="V5022" s="1"/>
      <c r="W5022" s="1"/>
      <c r="X5022" s="1"/>
      <c r="Y5022" s="1"/>
      <c r="Z5022" s="1"/>
      <c r="AA5022" s="1"/>
      <c r="AB5022" s="1"/>
      <c r="AC5022" s="1"/>
      <c r="AD5022" s="1"/>
      <c r="AE5022" s="1"/>
      <c r="AF5022" s="1"/>
      <c r="AG5022" s="1"/>
      <c r="AH5022" s="1"/>
      <c r="AI5022" s="1"/>
      <c r="AJ5022" s="1"/>
      <c r="AK5022" s="1"/>
      <c r="AL5022" s="1"/>
      <c r="AM5022" s="11"/>
      <c r="AN5022" s="11"/>
      <c r="AO5022" s="11"/>
      <c r="AP5022" s="11"/>
      <c r="AQ5022" s="11"/>
      <c r="AR5022" s="11"/>
      <c r="AS5022" s="11"/>
      <c r="AT5022" s="11"/>
      <c r="AU5022" s="1"/>
      <c r="AV5022" s="1"/>
      <c r="AW5022" s="1"/>
      <c r="AZ5022" s="1"/>
      <c r="BA5022" s="1"/>
      <c r="BB5022" s="1"/>
      <c r="BK5022" s="1"/>
    </row>
    <row r="5023" spans="1:63" s="44" customFormat="1" ht="12" customHeight="1" x14ac:dyDescent="0.15">
      <c r="A5023" s="1" t="s">
        <v>17111</v>
      </c>
      <c r="B5023" s="1" t="s">
        <v>15659</v>
      </c>
      <c r="C5023" s="1" t="s">
        <v>20</v>
      </c>
      <c r="D5023" s="1" t="s">
        <v>48</v>
      </c>
      <c r="E5023" s="1" t="s">
        <v>17112</v>
      </c>
      <c r="F5023" s="72">
        <v>41387</v>
      </c>
      <c r="G5023" s="1" t="s">
        <v>24632</v>
      </c>
      <c r="H5023" s="1" t="s">
        <v>561</v>
      </c>
      <c r="I5023" s="1" t="s">
        <v>123</v>
      </c>
      <c r="J5023" s="4" t="s">
        <v>11489</v>
      </c>
      <c r="K5023" s="1" t="s">
        <v>562</v>
      </c>
      <c r="L5023" s="1" t="s">
        <v>563</v>
      </c>
      <c r="M5023" s="1" t="s">
        <v>27</v>
      </c>
      <c r="N5023" s="1" t="s">
        <v>17113</v>
      </c>
      <c r="O5023" s="1" t="s">
        <v>29</v>
      </c>
      <c r="P5023" s="1" t="s">
        <v>401</v>
      </c>
      <c r="Q5023" s="63" t="s">
        <v>17114</v>
      </c>
      <c r="R5023" s="1" t="s">
        <v>100</v>
      </c>
      <c r="S5023" s="13" t="s">
        <v>28</v>
      </c>
      <c r="T5023" s="1"/>
      <c r="U5023" s="1"/>
      <c r="V5023" s="1"/>
      <c r="W5023" s="1"/>
      <c r="X5023" s="1"/>
      <c r="Y5023" s="1"/>
      <c r="Z5023" s="1"/>
      <c r="AA5023" s="1"/>
      <c r="AB5023" s="1"/>
      <c r="AC5023" s="1"/>
      <c r="AD5023" s="1"/>
      <c r="AE5023" s="1"/>
      <c r="AF5023" s="1"/>
      <c r="AG5023" s="1"/>
      <c r="AH5023" s="1"/>
      <c r="AI5023" s="1"/>
      <c r="AJ5023" s="1"/>
      <c r="AK5023" s="1"/>
      <c r="AL5023" s="1"/>
      <c r="AM5023" s="11"/>
      <c r="AN5023" s="11"/>
      <c r="AO5023" s="11"/>
      <c r="AP5023" s="11"/>
      <c r="AQ5023" s="11"/>
      <c r="AR5023" s="11"/>
      <c r="AS5023" s="11"/>
      <c r="AT5023" s="11"/>
      <c r="AU5023" s="1"/>
      <c r="AV5023" s="1"/>
      <c r="AW5023" s="1"/>
      <c r="AX5023" s="1"/>
      <c r="AY5023" s="1"/>
      <c r="AZ5023" s="1"/>
      <c r="BA5023" s="1"/>
      <c r="BB5023" s="1"/>
      <c r="BC5023" s="1"/>
      <c r="BD5023" s="1"/>
      <c r="BE5023" s="1"/>
      <c r="BF5023" s="1"/>
      <c r="BG5023" s="1"/>
      <c r="BH5023" s="1"/>
      <c r="BI5023" s="1"/>
      <c r="BJ5023" s="1"/>
      <c r="BK5023" s="1"/>
    </row>
    <row r="5024" spans="1:63" s="44" customFormat="1" ht="12" customHeight="1" x14ac:dyDescent="0.15">
      <c r="A5024" s="1" t="s">
        <v>17107</v>
      </c>
      <c r="B5024" s="1" t="s">
        <v>9368</v>
      </c>
      <c r="C5024" s="1" t="s">
        <v>20</v>
      </c>
      <c r="D5024" s="1" t="s">
        <v>85</v>
      </c>
      <c r="E5024" s="1"/>
      <c r="F5024" s="72">
        <v>41387</v>
      </c>
      <c r="G5024" s="1" t="s">
        <v>17108</v>
      </c>
      <c r="H5024" s="1" t="s">
        <v>1192</v>
      </c>
      <c r="I5024" s="1" t="s">
        <v>319</v>
      </c>
      <c r="J5024" s="4" t="s">
        <v>3714</v>
      </c>
      <c r="K5024" s="1" t="s">
        <v>1193</v>
      </c>
      <c r="L5024" s="1" t="s">
        <v>1194</v>
      </c>
      <c r="M5024" s="1" t="s">
        <v>27</v>
      </c>
      <c r="N5024" s="1" t="s">
        <v>17109</v>
      </c>
      <c r="O5024" s="1" t="s">
        <v>29</v>
      </c>
      <c r="P5024" s="1" t="s">
        <v>401</v>
      </c>
      <c r="Q5024" s="63" t="s">
        <v>17110</v>
      </c>
      <c r="R5024" s="1" t="s">
        <v>100</v>
      </c>
      <c r="S5024" s="13" t="s">
        <v>379</v>
      </c>
      <c r="T5024" s="1"/>
      <c r="U5024" s="1"/>
      <c r="V5024" s="1"/>
      <c r="W5024" s="1"/>
      <c r="X5024" s="1"/>
      <c r="Y5024" s="1"/>
      <c r="Z5024" s="1"/>
      <c r="AA5024" s="1"/>
      <c r="AB5024" s="1"/>
      <c r="AC5024" s="1"/>
      <c r="AD5024" s="1"/>
      <c r="AE5024" s="1"/>
      <c r="AF5024" s="64"/>
      <c r="AG5024" s="64"/>
      <c r="AH5024" s="64"/>
      <c r="AI5024" s="1"/>
      <c r="AJ5024" s="1"/>
      <c r="AK5024" s="1"/>
      <c r="AL5024" s="1"/>
      <c r="AM5024" s="11"/>
      <c r="AN5024" s="11"/>
      <c r="AO5024" s="11"/>
      <c r="AP5024" s="11"/>
      <c r="AQ5024" s="11"/>
      <c r="AR5024" s="11"/>
      <c r="AS5024" s="11"/>
      <c r="AT5024" s="11"/>
      <c r="AU5024" s="1"/>
      <c r="AV5024" s="1"/>
      <c r="AW5024" s="1"/>
      <c r="AX5024" s="11"/>
      <c r="AY5024" s="11"/>
      <c r="AZ5024" s="1"/>
      <c r="BA5024" s="1"/>
      <c r="BB5024" s="1"/>
      <c r="BK5024" s="1"/>
    </row>
    <row r="5025" spans="1:63" s="44" customFormat="1" ht="12" customHeight="1" x14ac:dyDescent="0.15">
      <c r="A5025" s="1" t="s">
        <v>17120</v>
      </c>
      <c r="B5025" s="1" t="s">
        <v>8486</v>
      </c>
      <c r="C5025" s="1" t="s">
        <v>20</v>
      </c>
      <c r="D5025" s="1" t="s">
        <v>37</v>
      </c>
      <c r="E5025" s="1" t="s">
        <v>17121</v>
      </c>
      <c r="F5025" s="72">
        <v>41387</v>
      </c>
      <c r="G5025" s="1" t="s">
        <v>17122</v>
      </c>
      <c r="H5025" s="1" t="s">
        <v>6179</v>
      </c>
      <c r="I5025" s="1" t="s">
        <v>44</v>
      </c>
      <c r="J5025" s="4" t="s">
        <v>17123</v>
      </c>
      <c r="K5025" s="1" t="s">
        <v>7055</v>
      </c>
      <c r="L5025" s="1" t="s">
        <v>17124</v>
      </c>
      <c r="M5025" s="1" t="s">
        <v>27</v>
      </c>
      <c r="N5025" s="1" t="s">
        <v>17125</v>
      </c>
      <c r="O5025" s="1" t="s">
        <v>29</v>
      </c>
      <c r="P5025" s="1" t="s">
        <v>401</v>
      </c>
      <c r="Q5025" s="63" t="s">
        <v>17126</v>
      </c>
      <c r="R5025" s="1" t="s">
        <v>29</v>
      </c>
      <c r="S5025" s="13" t="s">
        <v>28</v>
      </c>
      <c r="T5025" s="1"/>
      <c r="U5025" s="1"/>
      <c r="V5025" s="1"/>
      <c r="W5025" s="1"/>
      <c r="X5025" s="1"/>
      <c r="Y5025" s="1"/>
      <c r="Z5025" s="1"/>
      <c r="AA5025" s="1"/>
      <c r="AB5025" s="1"/>
      <c r="AC5025" s="1"/>
      <c r="AD5025" s="1"/>
      <c r="AE5025" s="1"/>
      <c r="AF5025" s="1"/>
      <c r="AG5025" s="1"/>
      <c r="AH5025" s="1"/>
      <c r="AI5025" s="1"/>
      <c r="AJ5025" s="1"/>
      <c r="AK5025" s="1"/>
      <c r="AL5025" s="1"/>
      <c r="AM5025" s="11"/>
      <c r="AN5025" s="11"/>
      <c r="AO5025" s="11"/>
      <c r="AP5025" s="11"/>
      <c r="AQ5025" s="11"/>
      <c r="AR5025" s="11"/>
      <c r="AS5025" s="11"/>
      <c r="AT5025" s="11"/>
      <c r="AU5025" s="1"/>
      <c r="AV5025" s="1"/>
      <c r="AW5025" s="1"/>
      <c r="AX5025" s="11"/>
      <c r="AY5025" s="11"/>
      <c r="AZ5025" s="11"/>
      <c r="BA5025" s="1"/>
      <c r="BB5025" s="1"/>
      <c r="BC5025" s="1"/>
      <c r="BD5025" s="1"/>
      <c r="BE5025" s="1"/>
      <c r="BF5025" s="1"/>
      <c r="BG5025" s="1"/>
      <c r="BH5025" s="1"/>
      <c r="BI5025" s="1"/>
      <c r="BJ5025" s="1"/>
      <c r="BK5025" s="1"/>
    </row>
    <row r="5026" spans="1:63" s="44" customFormat="1" ht="12" customHeight="1" x14ac:dyDescent="0.15">
      <c r="A5026" s="1" t="s">
        <v>17115</v>
      </c>
      <c r="B5026" s="1" t="s">
        <v>17116</v>
      </c>
      <c r="C5026" s="1" t="s">
        <v>20</v>
      </c>
      <c r="D5026" s="1" t="s">
        <v>37</v>
      </c>
      <c r="E5026" s="1" t="s">
        <v>17117</v>
      </c>
      <c r="F5026" s="72">
        <v>41387</v>
      </c>
      <c r="G5026" s="1" t="s">
        <v>24631</v>
      </c>
      <c r="H5026" s="1" t="s">
        <v>1313</v>
      </c>
      <c r="I5026" s="1" t="s">
        <v>73</v>
      </c>
      <c r="J5026" s="4" t="s">
        <v>8375</v>
      </c>
      <c r="K5026" s="1" t="s">
        <v>1314</v>
      </c>
      <c r="L5026" s="1" t="s">
        <v>1315</v>
      </c>
      <c r="M5026" s="1" t="s">
        <v>27</v>
      </c>
      <c r="N5026" s="1" t="s">
        <v>17118</v>
      </c>
      <c r="O5026" s="1" t="s">
        <v>29</v>
      </c>
      <c r="P5026" s="1" t="s">
        <v>401</v>
      </c>
      <c r="Q5026" s="63" t="s">
        <v>17119</v>
      </c>
      <c r="R5026" s="1" t="s">
        <v>555</v>
      </c>
      <c r="S5026" s="13" t="s">
        <v>28</v>
      </c>
      <c r="T5026" s="1"/>
      <c r="U5026" s="1"/>
      <c r="V5026" s="1"/>
      <c r="W5026" s="1"/>
      <c r="X5026" s="1"/>
      <c r="Y5026" s="1"/>
      <c r="Z5026" s="1"/>
      <c r="AA5026" s="1"/>
      <c r="AB5026" s="1"/>
      <c r="AC5026" s="1"/>
      <c r="AD5026" s="1"/>
      <c r="AE5026" s="1"/>
      <c r="AF5026" s="1"/>
      <c r="AG5026" s="1"/>
      <c r="AH5026" s="1"/>
      <c r="AI5026" s="1"/>
      <c r="AJ5026" s="1"/>
      <c r="AK5026" s="1"/>
      <c r="AL5026" s="1"/>
      <c r="AM5026" s="11"/>
      <c r="AN5026" s="11"/>
      <c r="AO5026" s="11"/>
      <c r="AP5026" s="11"/>
      <c r="AQ5026" s="11"/>
      <c r="AR5026" s="11"/>
      <c r="AS5026" s="11"/>
      <c r="AT5026" s="11"/>
      <c r="AU5026" s="1"/>
      <c r="AV5026" s="1"/>
      <c r="AW5026" s="1"/>
      <c r="AX5026" s="11"/>
      <c r="AY5026" s="11"/>
      <c r="AZ5026" s="11"/>
      <c r="BC5026" s="1"/>
      <c r="BD5026" s="1"/>
      <c r="BE5026" s="1"/>
      <c r="BF5026" s="1"/>
      <c r="BG5026" s="1"/>
      <c r="BH5026" s="1"/>
      <c r="BI5026" s="1"/>
      <c r="BJ5026" s="1"/>
      <c r="BK5026" s="1"/>
    </row>
    <row r="5027" spans="1:63" s="44" customFormat="1" ht="12" customHeight="1" x14ac:dyDescent="0.15">
      <c r="A5027" s="1" t="s">
        <v>17127</v>
      </c>
      <c r="B5027" s="1" t="s">
        <v>15955</v>
      </c>
      <c r="C5027" s="1" t="s">
        <v>20</v>
      </c>
      <c r="D5027" s="1" t="s">
        <v>85</v>
      </c>
      <c r="E5027" s="1"/>
      <c r="F5027" s="72">
        <v>41386</v>
      </c>
      <c r="G5027" s="1" t="s">
        <v>24633</v>
      </c>
      <c r="H5027" s="1" t="s">
        <v>1592</v>
      </c>
      <c r="I5027" s="1" t="s">
        <v>52</v>
      </c>
      <c r="J5027" s="4" t="s">
        <v>4696</v>
      </c>
      <c r="K5027" s="1" t="s">
        <v>4697</v>
      </c>
      <c r="L5027" s="1" t="s">
        <v>2770</v>
      </c>
      <c r="M5027" s="1" t="s">
        <v>27</v>
      </c>
      <c r="N5027" s="1" t="s">
        <v>17128</v>
      </c>
      <c r="O5027" s="1" t="s">
        <v>29</v>
      </c>
      <c r="P5027" s="1" t="s">
        <v>401</v>
      </c>
      <c r="Q5027" s="63" t="s">
        <v>17129</v>
      </c>
      <c r="R5027" s="1" t="s">
        <v>100</v>
      </c>
      <c r="S5027" s="13" t="s">
        <v>28</v>
      </c>
      <c r="T5027" s="1"/>
      <c r="U5027" s="1"/>
      <c r="V5027" s="1"/>
      <c r="W5027" s="1"/>
      <c r="X5027" s="1"/>
      <c r="Y5027" s="1"/>
      <c r="Z5027" s="1"/>
      <c r="AA5027" s="1"/>
      <c r="AB5027" s="1"/>
      <c r="AC5027" s="1"/>
      <c r="AD5027" s="1"/>
      <c r="AE5027" s="1"/>
      <c r="AF5027" s="1"/>
      <c r="AG5027" s="1"/>
      <c r="AH5027" s="1"/>
      <c r="AI5027" s="1"/>
      <c r="AJ5027" s="1"/>
      <c r="AK5027" s="1"/>
      <c r="AL5027" s="1"/>
      <c r="AM5027" s="11"/>
      <c r="AN5027" s="11"/>
      <c r="AO5027" s="11"/>
      <c r="AP5027" s="11"/>
      <c r="AQ5027" s="11"/>
      <c r="AR5027" s="11"/>
      <c r="AS5027" s="11"/>
      <c r="AT5027" s="11"/>
      <c r="AU5027" s="1"/>
      <c r="AV5027" s="1"/>
      <c r="AW5027" s="1"/>
      <c r="AX5027" s="11"/>
      <c r="AY5027" s="11"/>
      <c r="AZ5027" s="1"/>
      <c r="BA5027" s="1"/>
      <c r="BB5027" s="1"/>
      <c r="BK5027" s="1"/>
    </row>
    <row r="5028" spans="1:63" s="44" customFormat="1" ht="12" customHeight="1" x14ac:dyDescent="0.15">
      <c r="A5028" s="1" t="s">
        <v>17143</v>
      </c>
      <c r="B5028" s="1" t="s">
        <v>10011</v>
      </c>
      <c r="C5028" s="1" t="s">
        <v>20</v>
      </c>
      <c r="D5028" s="1" t="s">
        <v>30</v>
      </c>
      <c r="E5028" s="1"/>
      <c r="F5028" s="72">
        <v>41386</v>
      </c>
      <c r="G5028" s="1" t="s">
        <v>17144</v>
      </c>
      <c r="H5028" s="1" t="s">
        <v>17145</v>
      </c>
      <c r="I5028" s="1" t="s">
        <v>173</v>
      </c>
      <c r="J5028" s="4" t="s">
        <v>17146</v>
      </c>
      <c r="K5028" s="1" t="s">
        <v>1325</v>
      </c>
      <c r="L5028" s="1" t="s">
        <v>9120</v>
      </c>
      <c r="M5028" s="1" t="s">
        <v>27</v>
      </c>
      <c r="N5028" s="1" t="s">
        <v>17147</v>
      </c>
      <c r="O5028" s="1" t="s">
        <v>29</v>
      </c>
      <c r="P5028" s="1" t="s">
        <v>401</v>
      </c>
      <c r="Q5028" s="63" t="s">
        <v>17148</v>
      </c>
      <c r="R5028" s="1" t="s">
        <v>100</v>
      </c>
      <c r="S5028" s="13" t="s">
        <v>28</v>
      </c>
      <c r="T5028" s="1"/>
      <c r="U5028" s="1"/>
      <c r="V5028" s="1"/>
      <c r="W5028" s="1"/>
      <c r="X5028" s="1"/>
      <c r="Y5028" s="1"/>
      <c r="Z5028" s="1"/>
      <c r="AA5028" s="1"/>
      <c r="AB5028" s="1"/>
      <c r="AC5028" s="1"/>
      <c r="AD5028" s="1"/>
      <c r="AE5028" s="1"/>
      <c r="AF5028" s="1"/>
      <c r="AG5028" s="1"/>
      <c r="AH5028" s="1"/>
      <c r="AI5028" s="1"/>
      <c r="AJ5028" s="1"/>
      <c r="AK5028" s="1"/>
      <c r="AL5028" s="1"/>
      <c r="AM5028" s="11"/>
      <c r="AN5028" s="11"/>
      <c r="AO5028" s="11"/>
      <c r="AP5028" s="11"/>
      <c r="AQ5028" s="11"/>
      <c r="AR5028" s="11"/>
      <c r="AS5028" s="11"/>
      <c r="AT5028" s="11"/>
      <c r="AU5028" s="1"/>
      <c r="AV5028" s="1"/>
      <c r="AW5028" s="1"/>
      <c r="AX5028" s="1"/>
      <c r="AY5028" s="1"/>
      <c r="AZ5028" s="1"/>
      <c r="BA5028" s="1"/>
      <c r="BB5028" s="1"/>
      <c r="BC5028" s="1"/>
      <c r="BD5028" s="1"/>
      <c r="BE5028" s="1"/>
      <c r="BF5028" s="1"/>
      <c r="BG5028" s="1"/>
      <c r="BH5028" s="1"/>
      <c r="BI5028" s="1"/>
      <c r="BJ5028" s="1"/>
      <c r="BK5028" s="1"/>
    </row>
    <row r="5029" spans="1:63" s="44" customFormat="1" ht="12" customHeight="1" x14ac:dyDescent="0.15">
      <c r="A5029" s="1" t="s">
        <v>17137</v>
      </c>
      <c r="B5029" s="1" t="s">
        <v>15717</v>
      </c>
      <c r="C5029" s="1" t="s">
        <v>20</v>
      </c>
      <c r="D5029" s="1" t="s">
        <v>30</v>
      </c>
      <c r="E5029" s="1"/>
      <c r="F5029" s="72">
        <v>41386</v>
      </c>
      <c r="G5029" s="1" t="s">
        <v>24634</v>
      </c>
      <c r="H5029" s="1" t="s">
        <v>17138</v>
      </c>
      <c r="I5029" s="1" t="s">
        <v>44</v>
      </c>
      <c r="J5029" s="4" t="s">
        <v>17139</v>
      </c>
      <c r="K5029" s="1" t="s">
        <v>88</v>
      </c>
      <c r="L5029" s="1" t="s">
        <v>17140</v>
      </c>
      <c r="M5029" s="1" t="s">
        <v>27</v>
      </c>
      <c r="N5029" s="1" t="s">
        <v>17141</v>
      </c>
      <c r="O5029" s="1" t="s">
        <v>29</v>
      </c>
      <c r="P5029" s="1" t="s">
        <v>401</v>
      </c>
      <c r="Q5029" s="63" t="s">
        <v>17142</v>
      </c>
      <c r="R5029" s="1" t="s">
        <v>100</v>
      </c>
      <c r="S5029" s="13" t="s">
        <v>28</v>
      </c>
      <c r="T5029" s="1"/>
      <c r="U5029" s="1"/>
      <c r="V5029" s="1"/>
      <c r="W5029" s="1"/>
      <c r="X5029" s="1"/>
      <c r="Y5029" s="1"/>
      <c r="Z5029" s="1"/>
      <c r="AA5029" s="1"/>
      <c r="AB5029" s="1"/>
      <c r="AC5029" s="1"/>
      <c r="AD5029" s="1"/>
      <c r="AE5029" s="1"/>
      <c r="AF5029" s="1"/>
      <c r="AG5029" s="1"/>
      <c r="AH5029" s="1"/>
      <c r="AI5029" s="1"/>
      <c r="AJ5029" s="1"/>
      <c r="AK5029" s="1"/>
      <c r="AL5029" s="1"/>
      <c r="AM5029" s="11"/>
      <c r="AN5029" s="11"/>
      <c r="AO5029" s="11"/>
      <c r="AP5029" s="11"/>
      <c r="AQ5029" s="11"/>
      <c r="AR5029" s="11"/>
      <c r="AS5029" s="11"/>
      <c r="AT5029" s="11"/>
      <c r="AU5029" s="1"/>
      <c r="AV5029" s="1"/>
      <c r="AW5029" s="1"/>
      <c r="AX5029" s="1"/>
      <c r="AY5029" s="1"/>
      <c r="AZ5029" s="1"/>
      <c r="BA5029" s="1"/>
      <c r="BB5029" s="1"/>
      <c r="BC5029" s="1"/>
      <c r="BD5029" s="1"/>
      <c r="BE5029" s="1"/>
      <c r="BF5029" s="1"/>
      <c r="BG5029" s="1"/>
      <c r="BH5029" s="1"/>
      <c r="BI5029" s="1"/>
      <c r="BJ5029" s="1"/>
      <c r="BK5029" s="1"/>
    </row>
    <row r="5030" spans="1:63" s="44" customFormat="1" ht="12" customHeight="1" x14ac:dyDescent="0.15">
      <c r="A5030" s="1" t="s">
        <v>17149</v>
      </c>
      <c r="B5030" s="1">
        <v>57</v>
      </c>
      <c r="C5030" s="1" t="s">
        <v>20</v>
      </c>
      <c r="D5030" s="1" t="s">
        <v>37</v>
      </c>
      <c r="E5030" s="1" t="s">
        <v>17150</v>
      </c>
      <c r="F5030" s="72">
        <v>41386</v>
      </c>
      <c r="G5030" s="1" t="s">
        <v>17151</v>
      </c>
      <c r="H5030" s="1" t="s">
        <v>17152</v>
      </c>
      <c r="I5030" s="1" t="s">
        <v>62</v>
      </c>
      <c r="J5030" s="4" t="s">
        <v>17153</v>
      </c>
      <c r="K5030" s="1" t="s">
        <v>1769</v>
      </c>
      <c r="L5030" s="1" t="s">
        <v>3765</v>
      </c>
      <c r="M5030" s="1" t="s">
        <v>27</v>
      </c>
      <c r="N5030" s="1" t="s">
        <v>17154</v>
      </c>
      <c r="O5030" s="1" t="s">
        <v>1010</v>
      </c>
      <c r="P5030" s="1" t="s">
        <v>401</v>
      </c>
      <c r="Q5030" s="63" t="s">
        <v>17155</v>
      </c>
      <c r="R5030" s="1" t="s">
        <v>100</v>
      </c>
      <c r="S5030" s="13" t="s">
        <v>28</v>
      </c>
      <c r="T5030" s="1"/>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c r="AQ5030" s="1"/>
      <c r="AR5030" s="1"/>
      <c r="AS5030" s="1"/>
      <c r="AT5030" s="1"/>
      <c r="AU5030" s="1"/>
      <c r="AV5030" s="1"/>
      <c r="AW5030" s="1"/>
      <c r="AX5030" s="11"/>
      <c r="AY5030" s="11"/>
      <c r="AZ5030" s="11"/>
      <c r="BA5030" s="1"/>
      <c r="BB5030" s="1"/>
      <c r="BC5030" s="1"/>
      <c r="BD5030" s="1"/>
      <c r="BE5030" s="1"/>
      <c r="BF5030" s="1"/>
      <c r="BG5030" s="1"/>
      <c r="BH5030" s="1"/>
      <c r="BI5030" s="1"/>
      <c r="BJ5030" s="1"/>
      <c r="BK5030" s="1"/>
    </row>
    <row r="5031" spans="1:63" s="44" customFormat="1" ht="12" customHeight="1" x14ac:dyDescent="0.15">
      <c r="A5031" s="1" t="s">
        <v>17156</v>
      </c>
      <c r="B5031" s="1" t="s">
        <v>10335</v>
      </c>
      <c r="C5031" s="1" t="s">
        <v>20</v>
      </c>
      <c r="D5031" s="1" t="s">
        <v>37</v>
      </c>
      <c r="E5031" s="1" t="s">
        <v>17157</v>
      </c>
      <c r="F5031" s="72">
        <v>41386</v>
      </c>
      <c r="G5031" s="1" t="s">
        <v>24635</v>
      </c>
      <c r="H5031" s="1" t="s">
        <v>17158</v>
      </c>
      <c r="I5031" s="1" t="s">
        <v>81</v>
      </c>
      <c r="J5031" s="4" t="s">
        <v>17159</v>
      </c>
      <c r="K5031" s="1" t="s">
        <v>1400</v>
      </c>
      <c r="L5031" s="1" t="s">
        <v>17160</v>
      </c>
      <c r="M5031" s="1" t="s">
        <v>27</v>
      </c>
      <c r="N5031" s="1" t="s">
        <v>17161</v>
      </c>
      <c r="O5031" s="1" t="s">
        <v>550</v>
      </c>
      <c r="P5031" s="1" t="s">
        <v>401</v>
      </c>
      <c r="Q5031" s="63" t="s">
        <v>17162</v>
      </c>
      <c r="R5031" s="1" t="s">
        <v>29</v>
      </c>
      <c r="S5031" s="13" t="s">
        <v>28</v>
      </c>
      <c r="T5031" s="1"/>
      <c r="U5031" s="1"/>
      <c r="V5031" s="1"/>
      <c r="W5031" s="1"/>
      <c r="X5031" s="1"/>
      <c r="Y5031" s="1"/>
      <c r="Z5031" s="1"/>
      <c r="AA5031" s="1"/>
      <c r="AB5031" s="1"/>
      <c r="AC5031" s="1"/>
      <c r="AD5031" s="1"/>
      <c r="AE5031" s="1"/>
      <c r="AF5031" s="1"/>
      <c r="AG5031" s="1"/>
      <c r="AH5031" s="1"/>
      <c r="AI5031" s="1"/>
      <c r="AJ5031" s="1"/>
      <c r="AK5031" s="1"/>
      <c r="AL5031" s="1"/>
      <c r="AM5031" s="11"/>
      <c r="AN5031" s="11"/>
      <c r="AO5031" s="11"/>
      <c r="AP5031" s="11"/>
      <c r="AQ5031" s="11"/>
      <c r="AR5031" s="11"/>
      <c r="AS5031" s="11"/>
      <c r="AT5031" s="11"/>
      <c r="AU5031" s="1"/>
      <c r="AV5031" s="1"/>
      <c r="AW5031" s="1"/>
      <c r="AX5031" s="11"/>
      <c r="AY5031" s="11"/>
      <c r="AZ5031" s="11"/>
      <c r="BA5031" s="1"/>
      <c r="BB5031" s="1"/>
      <c r="BC5031" s="1"/>
      <c r="BD5031" s="1"/>
      <c r="BE5031" s="1"/>
      <c r="BF5031" s="1"/>
      <c r="BG5031" s="1"/>
      <c r="BH5031" s="1"/>
      <c r="BI5031" s="1"/>
      <c r="BJ5031" s="1"/>
      <c r="BK5031" s="1"/>
    </row>
    <row r="5032" spans="1:63" s="44" customFormat="1" ht="12" customHeight="1" x14ac:dyDescent="0.15">
      <c r="A5032" s="1" t="s">
        <v>17130</v>
      </c>
      <c r="B5032" s="1"/>
      <c r="C5032" s="1" t="s">
        <v>20</v>
      </c>
      <c r="D5032" s="1" t="s">
        <v>30</v>
      </c>
      <c r="E5032" s="1"/>
      <c r="F5032" s="72">
        <v>41386</v>
      </c>
      <c r="G5032" s="1" t="s">
        <v>17131</v>
      </c>
      <c r="H5032" s="1" t="s">
        <v>17132</v>
      </c>
      <c r="I5032" s="1" t="s">
        <v>62</v>
      </c>
      <c r="J5032" s="4" t="s">
        <v>17133</v>
      </c>
      <c r="K5032" s="1" t="s">
        <v>9145</v>
      </c>
      <c r="L5032" s="1" t="s">
        <v>17134</v>
      </c>
      <c r="M5032" s="1" t="s">
        <v>27</v>
      </c>
      <c r="N5032" s="1" t="s">
        <v>17135</v>
      </c>
      <c r="O5032" s="1" t="s">
        <v>29</v>
      </c>
      <c r="P5032" s="1" t="s">
        <v>401</v>
      </c>
      <c r="Q5032" s="63" t="s">
        <v>17136</v>
      </c>
      <c r="R5032" s="1" t="s">
        <v>555</v>
      </c>
      <c r="S5032" s="13" t="s">
        <v>28</v>
      </c>
      <c r="T5032" s="1"/>
      <c r="U5032" s="1"/>
      <c r="V5032" s="1"/>
      <c r="W5032" s="1"/>
      <c r="X5032" s="1"/>
      <c r="Y5032" s="1"/>
      <c r="Z5032" s="1"/>
      <c r="AA5032" s="1"/>
      <c r="AB5032" s="1"/>
      <c r="AC5032" s="1"/>
      <c r="AD5032" s="1"/>
      <c r="AE5032" s="1"/>
      <c r="AF5032" s="1"/>
      <c r="AG5032" s="1"/>
      <c r="AH5032" s="1"/>
      <c r="AI5032" s="1"/>
      <c r="AJ5032" s="1"/>
      <c r="AK5032" s="1"/>
      <c r="AL5032" s="1"/>
      <c r="AM5032" s="11"/>
      <c r="AN5032" s="11"/>
      <c r="AO5032" s="11"/>
      <c r="AP5032" s="11"/>
      <c r="AQ5032" s="11"/>
      <c r="AR5032" s="11"/>
      <c r="AS5032" s="11"/>
      <c r="AT5032" s="11"/>
      <c r="AU5032" s="1"/>
      <c r="AV5032" s="1"/>
      <c r="AW5032" s="1"/>
      <c r="AX5032" s="1"/>
      <c r="AY5032" s="1"/>
      <c r="AZ5032" s="1"/>
      <c r="BA5032" s="11"/>
      <c r="BB5032" s="11"/>
      <c r="BC5032" s="1"/>
      <c r="BD5032" s="1"/>
      <c r="BE5032" s="1"/>
      <c r="BF5032" s="1"/>
      <c r="BG5032" s="1"/>
      <c r="BH5032" s="1"/>
      <c r="BI5032" s="1"/>
      <c r="BJ5032" s="1"/>
      <c r="BK5032" s="1"/>
    </row>
    <row r="5033" spans="1:63" s="44" customFormat="1" ht="12" customHeight="1" x14ac:dyDescent="0.15">
      <c r="A5033" s="1" t="s">
        <v>17168</v>
      </c>
      <c r="B5033" s="1" t="s">
        <v>9368</v>
      </c>
      <c r="C5033" s="1" t="s">
        <v>20</v>
      </c>
      <c r="D5033" s="1" t="s">
        <v>85</v>
      </c>
      <c r="E5033" s="1" t="s">
        <v>17169</v>
      </c>
      <c r="F5033" s="72">
        <v>41385</v>
      </c>
      <c r="G5033" s="1" t="s">
        <v>17170</v>
      </c>
      <c r="H5033" s="1" t="s">
        <v>17171</v>
      </c>
      <c r="I5033" s="1" t="s">
        <v>303</v>
      </c>
      <c r="J5033" s="4" t="s">
        <v>17172</v>
      </c>
      <c r="K5033" s="1" t="s">
        <v>1209</v>
      </c>
      <c r="L5033" s="1" t="s">
        <v>17173</v>
      </c>
      <c r="M5033" s="1" t="s">
        <v>27</v>
      </c>
      <c r="N5033" s="1" t="s">
        <v>17174</v>
      </c>
      <c r="O5033" s="1" t="s">
        <v>29</v>
      </c>
      <c r="P5033" s="1" t="s">
        <v>401</v>
      </c>
      <c r="Q5033" s="63" t="s">
        <v>17175</v>
      </c>
      <c r="R5033" s="1" t="s">
        <v>100</v>
      </c>
      <c r="S5033" s="13" t="s">
        <v>28</v>
      </c>
      <c r="T5033" s="1"/>
      <c r="U5033" s="1"/>
      <c r="V5033" s="1"/>
      <c r="W5033" s="1"/>
      <c r="X5033" s="1"/>
      <c r="Y5033" s="1"/>
      <c r="Z5033" s="1"/>
      <c r="AA5033" s="1"/>
      <c r="AB5033" s="1"/>
      <c r="AC5033" s="1"/>
      <c r="AD5033" s="1"/>
      <c r="AE5033" s="1"/>
      <c r="AF5033" s="1"/>
      <c r="AG5033" s="1"/>
      <c r="AH5033" s="1"/>
      <c r="AI5033" s="1"/>
      <c r="AJ5033" s="1"/>
      <c r="AK5033" s="1"/>
      <c r="AL5033" s="1"/>
      <c r="AM5033" s="11"/>
      <c r="AN5033" s="11"/>
      <c r="AO5033" s="11"/>
      <c r="AP5033" s="11"/>
      <c r="AQ5033" s="11"/>
      <c r="AR5033" s="11"/>
      <c r="AS5033" s="11"/>
      <c r="AT5033" s="11"/>
      <c r="AU5033" s="1"/>
      <c r="AV5033" s="1"/>
      <c r="AW5033" s="1"/>
      <c r="AX5033" s="11"/>
      <c r="AY5033" s="11"/>
      <c r="AZ5033" s="1"/>
      <c r="BA5033" s="1"/>
      <c r="BB5033" s="1"/>
      <c r="BK5033" s="1"/>
    </row>
    <row r="5034" spans="1:63" s="44" customFormat="1" ht="12" customHeight="1" x14ac:dyDescent="0.2">
      <c r="A5034" s="1" t="s">
        <v>17163</v>
      </c>
      <c r="B5034" s="1">
        <v>51</v>
      </c>
      <c r="C5034" s="1" t="s">
        <v>20</v>
      </c>
      <c r="D5034" s="1" t="s">
        <v>85</v>
      </c>
      <c r="E5034" s="1" t="s">
        <v>17164</v>
      </c>
      <c r="F5034" s="72">
        <v>41385</v>
      </c>
      <c r="G5034" s="1" t="s">
        <v>17165</v>
      </c>
      <c r="H5034" s="1" t="s">
        <v>285</v>
      </c>
      <c r="I5034" s="1" t="s">
        <v>73</v>
      </c>
      <c r="J5034" s="4" t="s">
        <v>10703</v>
      </c>
      <c r="K5034" s="1" t="s">
        <v>285</v>
      </c>
      <c r="L5034" s="1" t="s">
        <v>286</v>
      </c>
      <c r="M5034" s="1" t="s">
        <v>379</v>
      </c>
      <c r="N5034" s="1" t="s">
        <v>17166</v>
      </c>
      <c r="O5034" s="1" t="s">
        <v>31000</v>
      </c>
      <c r="P5034" s="1" t="s">
        <v>20489</v>
      </c>
      <c r="Q5034" s="63" t="s">
        <v>17167</v>
      </c>
      <c r="R5034" s="1" t="s">
        <v>100</v>
      </c>
      <c r="S5034" s="13" t="s">
        <v>18</v>
      </c>
      <c r="T5034" s="1"/>
      <c r="U5034" s="1"/>
      <c r="V5034" s="1"/>
      <c r="W5034" s="1"/>
      <c r="X5034" s="1"/>
      <c r="Y5034" s="1"/>
      <c r="Z5034" s="1"/>
      <c r="AA5034" s="1"/>
      <c r="AB5034" s="1"/>
      <c r="AC5034" s="1"/>
      <c r="AD5034" s="1"/>
      <c r="AE5034" s="1"/>
      <c r="AF5034" s="1"/>
      <c r="AG5034" s="1"/>
      <c r="AH5034" s="1"/>
      <c r="AI5034" s="1"/>
      <c r="AJ5034" s="1"/>
      <c r="AK5034" s="1"/>
      <c r="AL5034" s="1"/>
      <c r="AM5034" s="11"/>
      <c r="AN5034" s="11"/>
      <c r="AO5034" s="11"/>
      <c r="AP5034" s="11"/>
      <c r="AQ5034" s="11"/>
      <c r="AR5034" s="11"/>
      <c r="AS5034" s="11"/>
      <c r="AT5034" s="11"/>
      <c r="AU5034" s="1"/>
      <c r="AV5034" s="1"/>
      <c r="AW5034" s="1"/>
      <c r="AZ5034" s="1"/>
      <c r="BA5034" s="1"/>
      <c r="BB5034" s="1"/>
      <c r="BK5034" s="70"/>
    </row>
    <row r="5035" spans="1:63" s="44" customFormat="1" ht="12" customHeight="1" x14ac:dyDescent="0.15">
      <c r="A5035" s="1" t="s">
        <v>17179</v>
      </c>
      <c r="B5035" s="1" t="s">
        <v>10200</v>
      </c>
      <c r="C5035" s="1" t="s">
        <v>20</v>
      </c>
      <c r="D5035" s="1" t="s">
        <v>48</v>
      </c>
      <c r="E5035" s="1" t="s">
        <v>17180</v>
      </c>
      <c r="F5035" s="72">
        <v>41384</v>
      </c>
      <c r="G5035" s="1" t="s">
        <v>17181</v>
      </c>
      <c r="H5035" s="1" t="s">
        <v>632</v>
      </c>
      <c r="I5035" s="1" t="s">
        <v>123</v>
      </c>
      <c r="J5035" s="4" t="s">
        <v>16347</v>
      </c>
      <c r="K5035" s="1" t="s">
        <v>633</v>
      </c>
      <c r="L5035" s="1" t="s">
        <v>634</v>
      </c>
      <c r="M5035" s="1" t="s">
        <v>27</v>
      </c>
      <c r="N5035" s="1" t="s">
        <v>17182</v>
      </c>
      <c r="O5035" s="1" t="s">
        <v>29</v>
      </c>
      <c r="P5035" s="1" t="s">
        <v>401</v>
      </c>
      <c r="Q5035" s="63" t="s">
        <v>17183</v>
      </c>
      <c r="R5035" s="1" t="s">
        <v>100</v>
      </c>
      <c r="S5035" s="13" t="s">
        <v>28</v>
      </c>
      <c r="T5035" s="1"/>
      <c r="U5035" s="1"/>
      <c r="V5035" s="1"/>
      <c r="W5035" s="1"/>
      <c r="X5035" s="1"/>
      <c r="Y5035" s="1"/>
      <c r="Z5035" s="1"/>
      <c r="AA5035" s="1"/>
      <c r="AB5035" s="1"/>
      <c r="AC5035" s="1"/>
      <c r="AD5035" s="1"/>
      <c r="AE5035" s="1"/>
      <c r="AF5035" s="1"/>
      <c r="AG5035" s="1"/>
      <c r="AH5035" s="1"/>
      <c r="AI5035" s="1"/>
      <c r="AJ5035" s="1"/>
      <c r="AK5035" s="1"/>
      <c r="AL5035" s="1"/>
      <c r="AM5035" s="11"/>
      <c r="AN5035" s="11"/>
      <c r="AO5035" s="11"/>
      <c r="AP5035" s="11"/>
      <c r="AQ5035" s="11"/>
      <c r="AR5035" s="11"/>
      <c r="AS5035" s="11"/>
      <c r="AT5035" s="11"/>
      <c r="AU5035" s="1"/>
      <c r="AV5035" s="1"/>
      <c r="AW5035" s="1"/>
      <c r="AX5035" s="1"/>
      <c r="AY5035" s="1"/>
      <c r="AZ5035" s="1"/>
      <c r="BA5035" s="1"/>
      <c r="BB5035" s="1"/>
      <c r="BC5035" s="1"/>
      <c r="BD5035" s="1"/>
      <c r="BE5035" s="1"/>
      <c r="BF5035" s="1"/>
      <c r="BG5035" s="1"/>
      <c r="BH5035" s="1"/>
      <c r="BI5035" s="1"/>
      <c r="BJ5035" s="1"/>
      <c r="BK5035" s="1"/>
    </row>
    <row r="5036" spans="1:63" s="44" customFormat="1" ht="12" customHeight="1" x14ac:dyDescent="0.15">
      <c r="A5036" s="1" t="s">
        <v>17189</v>
      </c>
      <c r="B5036" s="1" t="s">
        <v>15659</v>
      </c>
      <c r="C5036" s="1" t="s">
        <v>20</v>
      </c>
      <c r="D5036" s="1" t="s">
        <v>37</v>
      </c>
      <c r="E5036" s="1" t="s">
        <v>17190</v>
      </c>
      <c r="F5036" s="72">
        <v>41384</v>
      </c>
      <c r="G5036" s="1" t="s">
        <v>17191</v>
      </c>
      <c r="H5036" s="1" t="s">
        <v>17192</v>
      </c>
      <c r="I5036" s="1" t="s">
        <v>123</v>
      </c>
      <c r="J5036" s="4" t="s">
        <v>17193</v>
      </c>
      <c r="K5036" s="1" t="s">
        <v>633</v>
      </c>
      <c r="L5036" s="1" t="s">
        <v>1429</v>
      </c>
      <c r="M5036" s="1" t="s">
        <v>27</v>
      </c>
      <c r="N5036" s="1" t="s">
        <v>17194</v>
      </c>
      <c r="O5036" s="1" t="s">
        <v>29</v>
      </c>
      <c r="P5036" s="1" t="s">
        <v>401</v>
      </c>
      <c r="Q5036" s="63" t="s">
        <v>17195</v>
      </c>
      <c r="R5036" s="1" t="s">
        <v>100</v>
      </c>
      <c r="S5036" s="13" t="s">
        <v>28</v>
      </c>
      <c r="T5036" s="1"/>
      <c r="U5036" s="1"/>
      <c r="V5036" s="1"/>
      <c r="W5036" s="1"/>
      <c r="X5036" s="1"/>
      <c r="Y5036" s="1"/>
      <c r="Z5036" s="1"/>
      <c r="AA5036" s="1"/>
      <c r="AB5036" s="1"/>
      <c r="AC5036" s="1"/>
      <c r="AD5036" s="1"/>
      <c r="AE5036" s="1"/>
      <c r="AF5036" s="1"/>
      <c r="AG5036" s="1"/>
      <c r="AH5036" s="1"/>
      <c r="AI5036" s="1"/>
      <c r="AJ5036" s="1"/>
      <c r="AK5036" s="1"/>
      <c r="AL5036" s="1"/>
      <c r="AM5036" s="11"/>
      <c r="AN5036" s="11"/>
      <c r="AO5036" s="11"/>
      <c r="AP5036" s="11"/>
      <c r="AQ5036" s="11"/>
      <c r="AR5036" s="11"/>
      <c r="AS5036" s="11"/>
      <c r="AT5036" s="11"/>
      <c r="AU5036" s="1"/>
      <c r="AV5036" s="1"/>
      <c r="AW5036" s="1"/>
      <c r="AX5036" s="11"/>
      <c r="AY5036" s="11"/>
      <c r="AZ5036" s="11"/>
      <c r="BA5036" s="1"/>
      <c r="BB5036" s="1"/>
      <c r="BC5036" s="1"/>
      <c r="BD5036" s="1"/>
      <c r="BE5036" s="1"/>
      <c r="BF5036" s="1"/>
      <c r="BG5036" s="1"/>
      <c r="BH5036" s="1"/>
      <c r="BI5036" s="1"/>
      <c r="BJ5036" s="1"/>
      <c r="BK5036" s="1"/>
    </row>
    <row r="5037" spans="1:63" s="44" customFormat="1" ht="12" customHeight="1" x14ac:dyDescent="0.15">
      <c r="A5037" s="1" t="s">
        <v>17176</v>
      </c>
      <c r="B5037" s="1">
        <v>22</v>
      </c>
      <c r="C5037" s="1" t="s">
        <v>20</v>
      </c>
      <c r="D5037" s="1" t="s">
        <v>85</v>
      </c>
      <c r="E5037" s="1" t="s">
        <v>17177</v>
      </c>
      <c r="F5037" s="72">
        <v>41384</v>
      </c>
      <c r="G5037" s="1" t="s">
        <v>17178</v>
      </c>
      <c r="H5037" s="1" t="s">
        <v>61</v>
      </c>
      <c r="I5037" s="1" t="s">
        <v>62</v>
      </c>
      <c r="J5037" s="4" t="s">
        <v>13371</v>
      </c>
      <c r="K5037" s="1" t="s">
        <v>5318</v>
      </c>
      <c r="L5037" s="1" t="s">
        <v>63</v>
      </c>
      <c r="M5037" s="1" t="s">
        <v>27</v>
      </c>
      <c r="N5037" s="1" t="s">
        <v>21046</v>
      </c>
      <c r="O5037" s="1" t="s">
        <v>1010</v>
      </c>
      <c r="P5037" s="1" t="s">
        <v>401</v>
      </c>
      <c r="Q5037" s="63" t="str">
        <f>HYPERLINK("http://www.palmbeachpost.com/news/news/man-shot-and-killed-by-deputies-near-marriott-in-w/nXR2K/","http://www.palmbeachpost.com/news/news/man-shot-and-killed-by-deputies-near-marriott-in-w/nXR2K/")</f>
        <v>http://www.palmbeachpost.com/news/news/man-shot-and-killed-by-deputies-near-marriott-in-w/nXR2K/</v>
      </c>
      <c r="R5037" s="1" t="s">
        <v>100</v>
      </c>
      <c r="S5037" s="13" t="s">
        <v>18</v>
      </c>
      <c r="T5037" s="1"/>
      <c r="U5037" s="1"/>
      <c r="V5037" s="1"/>
      <c r="W5037" s="1"/>
      <c r="X5037" s="1"/>
      <c r="Y5037" s="1"/>
      <c r="Z5037" s="1"/>
      <c r="AA5037" s="1"/>
      <c r="AB5037" s="1"/>
      <c r="AC5037" s="1"/>
      <c r="AD5037" s="1"/>
      <c r="AE5037" s="1"/>
      <c r="AF5037" s="1"/>
      <c r="AG5037" s="1"/>
      <c r="AH5037" s="1"/>
      <c r="AI5037" s="1"/>
      <c r="AJ5037" s="1"/>
      <c r="AK5037" s="1"/>
      <c r="AL5037" s="1"/>
      <c r="AM5037" s="11"/>
      <c r="AN5037" s="11"/>
      <c r="AO5037" s="11"/>
      <c r="AP5037" s="11"/>
      <c r="AQ5037" s="11"/>
      <c r="AR5037" s="11"/>
      <c r="AS5037" s="11"/>
      <c r="AT5037" s="11"/>
      <c r="AU5037" s="1"/>
      <c r="AV5037" s="1"/>
      <c r="AW5037" s="1"/>
      <c r="AX5037" s="11"/>
      <c r="AY5037" s="11"/>
      <c r="AZ5037" s="1"/>
      <c r="BA5037" s="1"/>
      <c r="BB5037" s="1"/>
      <c r="BK5037" s="1"/>
    </row>
    <row r="5038" spans="1:63" s="44" customFormat="1" ht="12" customHeight="1" x14ac:dyDescent="0.15">
      <c r="A5038" s="1" t="s">
        <v>17184</v>
      </c>
      <c r="B5038" s="1" t="s">
        <v>15985</v>
      </c>
      <c r="C5038" s="1" t="s">
        <v>20</v>
      </c>
      <c r="D5038" s="1" t="s">
        <v>48</v>
      </c>
      <c r="E5038" s="1" t="s">
        <v>17185</v>
      </c>
      <c r="F5038" s="72">
        <v>41384</v>
      </c>
      <c r="G5038" s="1" t="s">
        <v>17186</v>
      </c>
      <c r="H5038" s="1" t="s">
        <v>1747</v>
      </c>
      <c r="I5038" s="1" t="s">
        <v>45</v>
      </c>
      <c r="J5038" s="4" t="s">
        <v>1748</v>
      </c>
      <c r="K5038" s="1" t="s">
        <v>1163</v>
      </c>
      <c r="L5038" s="1" t="s">
        <v>1749</v>
      </c>
      <c r="M5038" s="1" t="s">
        <v>27</v>
      </c>
      <c r="N5038" s="1" t="s">
        <v>17187</v>
      </c>
      <c r="O5038" s="1" t="s">
        <v>29</v>
      </c>
      <c r="P5038" s="1" t="s">
        <v>401</v>
      </c>
      <c r="Q5038" s="63" t="s">
        <v>17188</v>
      </c>
      <c r="R5038" s="1" t="s">
        <v>29</v>
      </c>
      <c r="S5038" s="13" t="s">
        <v>28</v>
      </c>
      <c r="T5038" s="1"/>
      <c r="U5038" s="1"/>
      <c r="V5038" s="1"/>
      <c r="W5038" s="1"/>
      <c r="X5038" s="1"/>
      <c r="Y5038" s="1"/>
      <c r="Z5038" s="1"/>
      <c r="AA5038" s="1"/>
      <c r="AB5038" s="1"/>
      <c r="AC5038" s="1"/>
      <c r="AD5038" s="1"/>
      <c r="AE5038" s="1"/>
      <c r="AF5038" s="1"/>
      <c r="AG5038" s="1"/>
      <c r="AH5038" s="1"/>
      <c r="AI5038" s="1"/>
      <c r="AJ5038" s="1"/>
      <c r="AK5038" s="1"/>
      <c r="AL5038" s="1"/>
      <c r="AM5038" s="11"/>
      <c r="AN5038" s="11"/>
      <c r="AO5038" s="11"/>
      <c r="AP5038" s="11"/>
      <c r="AQ5038" s="11"/>
      <c r="AR5038" s="11"/>
      <c r="AS5038" s="11"/>
      <c r="AT5038" s="11"/>
      <c r="AU5038" s="1"/>
      <c r="AV5038" s="1"/>
      <c r="AW5038" s="1"/>
      <c r="AX5038" s="1"/>
      <c r="AY5038" s="1"/>
      <c r="AZ5038" s="1"/>
      <c r="BA5038" s="1"/>
      <c r="BB5038" s="1"/>
      <c r="BC5038" s="1"/>
      <c r="BD5038" s="1"/>
      <c r="BE5038" s="1"/>
      <c r="BF5038" s="1"/>
      <c r="BG5038" s="1"/>
      <c r="BH5038" s="1"/>
      <c r="BI5038" s="1"/>
      <c r="BJ5038" s="1"/>
      <c r="BK5038" s="1"/>
    </row>
    <row r="5039" spans="1:63" s="44" customFormat="1" ht="12" customHeight="1" x14ac:dyDescent="0.15">
      <c r="A5039" s="1" t="s">
        <v>17205</v>
      </c>
      <c r="B5039" s="1" t="s">
        <v>15717</v>
      </c>
      <c r="C5039" s="1" t="s">
        <v>20</v>
      </c>
      <c r="D5039" s="1" t="s">
        <v>37</v>
      </c>
      <c r="E5039" s="1" t="s">
        <v>17206</v>
      </c>
      <c r="F5039" s="72">
        <v>41384</v>
      </c>
      <c r="G5039" s="1" t="s">
        <v>17207</v>
      </c>
      <c r="H5039" s="1" t="s">
        <v>632</v>
      </c>
      <c r="I5039" s="1" t="s">
        <v>123</v>
      </c>
      <c r="J5039" s="4" t="s">
        <v>17208</v>
      </c>
      <c r="K5039" s="1" t="s">
        <v>633</v>
      </c>
      <c r="L5039" s="1" t="s">
        <v>634</v>
      </c>
      <c r="M5039" s="1" t="s">
        <v>27</v>
      </c>
      <c r="N5039" s="1" t="s">
        <v>17209</v>
      </c>
      <c r="O5039" s="1" t="s">
        <v>29</v>
      </c>
      <c r="P5039" s="1" t="s">
        <v>401</v>
      </c>
      <c r="Q5039" s="63" t="s">
        <v>17210</v>
      </c>
      <c r="R5039" s="1" t="s">
        <v>29</v>
      </c>
      <c r="S5039" s="13" t="s">
        <v>28</v>
      </c>
      <c r="T5039" s="1"/>
      <c r="U5039" s="1"/>
      <c r="V5039" s="1"/>
      <c r="W5039" s="1"/>
      <c r="X5039" s="1"/>
      <c r="Y5039" s="1"/>
      <c r="Z5039" s="1"/>
      <c r="AA5039" s="1"/>
      <c r="AB5039" s="1"/>
      <c r="AC5039" s="1"/>
      <c r="AD5039" s="1"/>
      <c r="AE5039" s="1"/>
      <c r="AF5039" s="1"/>
      <c r="AG5039" s="1"/>
      <c r="AH5039" s="1"/>
      <c r="AI5039" s="1"/>
      <c r="AJ5039" s="1"/>
      <c r="AK5039" s="1"/>
      <c r="AL5039" s="1"/>
      <c r="AM5039" s="11"/>
      <c r="AN5039" s="11"/>
      <c r="AO5039" s="11"/>
      <c r="AP5039" s="11"/>
      <c r="AQ5039" s="11"/>
      <c r="AR5039" s="11"/>
      <c r="AS5039" s="11"/>
      <c r="AT5039" s="11"/>
      <c r="AU5039" s="1"/>
      <c r="AV5039" s="1"/>
      <c r="AW5039" s="1"/>
      <c r="AX5039" s="11"/>
      <c r="AY5039" s="11"/>
      <c r="AZ5039" s="11"/>
      <c r="BA5039" s="1"/>
      <c r="BB5039" s="1"/>
      <c r="BC5039" s="1"/>
      <c r="BD5039" s="1"/>
      <c r="BE5039" s="1"/>
      <c r="BF5039" s="1"/>
      <c r="BG5039" s="1"/>
      <c r="BH5039" s="1"/>
      <c r="BI5039" s="1"/>
      <c r="BJ5039" s="1"/>
      <c r="BK5039" s="1"/>
    </row>
    <row r="5040" spans="1:63" s="44" customFormat="1" ht="12" customHeight="1" x14ac:dyDescent="0.15">
      <c r="A5040" s="1" t="s">
        <v>17196</v>
      </c>
      <c r="B5040" s="1" t="s">
        <v>15985</v>
      </c>
      <c r="C5040" s="1" t="s">
        <v>20</v>
      </c>
      <c r="D5040" s="1" t="s">
        <v>37</v>
      </c>
      <c r="E5040" s="1" t="s">
        <v>17197</v>
      </c>
      <c r="F5040" s="72">
        <v>41384</v>
      </c>
      <c r="G5040" s="1" t="s">
        <v>17198</v>
      </c>
      <c r="H5040" s="1" t="s">
        <v>17199</v>
      </c>
      <c r="I5040" s="1" t="s">
        <v>669</v>
      </c>
      <c r="J5040" s="4" t="s">
        <v>17200</v>
      </c>
      <c r="K5040" s="1" t="s">
        <v>17201</v>
      </c>
      <c r="L5040" s="1" t="s">
        <v>17202</v>
      </c>
      <c r="M5040" s="1" t="s">
        <v>27</v>
      </c>
      <c r="N5040" s="1" t="s">
        <v>17203</v>
      </c>
      <c r="O5040" s="1" t="s">
        <v>29</v>
      </c>
      <c r="P5040" s="1" t="s">
        <v>401</v>
      </c>
      <c r="Q5040" s="63" t="s">
        <v>17204</v>
      </c>
      <c r="R5040" s="1" t="s">
        <v>29</v>
      </c>
      <c r="S5040" s="13" t="s">
        <v>28</v>
      </c>
      <c r="T5040" s="1"/>
      <c r="U5040" s="1"/>
      <c r="V5040" s="1"/>
      <c r="W5040" s="1"/>
      <c r="X5040" s="1"/>
      <c r="Y5040" s="1"/>
      <c r="Z5040" s="1"/>
      <c r="AA5040" s="1"/>
      <c r="AB5040" s="1"/>
      <c r="AC5040" s="1"/>
      <c r="AD5040" s="1"/>
      <c r="AE5040" s="1"/>
      <c r="AF5040" s="1"/>
      <c r="AG5040" s="1"/>
      <c r="AH5040" s="1"/>
      <c r="AI5040" s="1"/>
      <c r="AJ5040" s="1"/>
      <c r="AK5040" s="1"/>
      <c r="AL5040" s="1"/>
      <c r="AM5040" s="11"/>
      <c r="AN5040" s="11"/>
      <c r="AO5040" s="11"/>
      <c r="AP5040" s="11"/>
      <c r="AQ5040" s="11"/>
      <c r="AR5040" s="11"/>
      <c r="AS5040" s="11"/>
      <c r="AT5040" s="11"/>
      <c r="AU5040" s="1"/>
      <c r="AV5040" s="1"/>
      <c r="AW5040" s="1"/>
      <c r="AX5040" s="11"/>
      <c r="AY5040" s="11"/>
      <c r="AZ5040" s="11"/>
      <c r="BA5040" s="1"/>
      <c r="BB5040" s="1"/>
      <c r="BC5040" s="1"/>
      <c r="BD5040" s="1"/>
      <c r="BE5040" s="1"/>
      <c r="BF5040" s="1"/>
      <c r="BG5040" s="1"/>
      <c r="BH5040" s="1"/>
      <c r="BI5040" s="1"/>
      <c r="BJ5040" s="1"/>
      <c r="BK5040" s="1"/>
    </row>
    <row r="5041" spans="1:63" s="44" customFormat="1" ht="12" customHeight="1" x14ac:dyDescent="0.15">
      <c r="A5041" s="1" t="s">
        <v>17211</v>
      </c>
      <c r="B5041" s="1" t="s">
        <v>17012</v>
      </c>
      <c r="C5041" s="1" t="s">
        <v>114</v>
      </c>
      <c r="D5041" s="1" t="s">
        <v>48</v>
      </c>
      <c r="E5041" s="1" t="s">
        <v>17212</v>
      </c>
      <c r="F5041" s="72">
        <v>41383</v>
      </c>
      <c r="G5041" s="1" t="s">
        <v>17213</v>
      </c>
      <c r="H5041" s="1" t="s">
        <v>17214</v>
      </c>
      <c r="I5041" s="1" t="s">
        <v>244</v>
      </c>
      <c r="J5041" s="4" t="s">
        <v>17215</v>
      </c>
      <c r="K5041" s="1" t="s">
        <v>17214</v>
      </c>
      <c r="L5041" s="1" t="s">
        <v>405</v>
      </c>
      <c r="M5041" s="1" t="s">
        <v>27</v>
      </c>
      <c r="N5041" s="1" t="s">
        <v>17216</v>
      </c>
      <c r="O5041" s="1" t="s">
        <v>20489</v>
      </c>
      <c r="P5041" s="1" t="s">
        <v>20489</v>
      </c>
      <c r="Q5041" s="63" t="s">
        <v>17217</v>
      </c>
      <c r="R5041" s="1" t="s">
        <v>100</v>
      </c>
      <c r="S5041" s="13" t="s">
        <v>28</v>
      </c>
      <c r="T5041" s="1"/>
      <c r="U5041" s="1"/>
      <c r="V5041" s="1"/>
      <c r="W5041" s="1"/>
      <c r="X5041" s="1"/>
      <c r="Y5041" s="1"/>
      <c r="Z5041" s="1"/>
      <c r="AA5041" s="1"/>
      <c r="AB5041" s="1"/>
      <c r="AC5041" s="1"/>
      <c r="AD5041" s="1"/>
      <c r="AE5041" s="1"/>
      <c r="AF5041" s="1"/>
      <c r="AG5041" s="1"/>
      <c r="AH5041" s="1"/>
      <c r="AI5041" s="1"/>
      <c r="AJ5041" s="1"/>
      <c r="AK5041" s="1"/>
      <c r="AL5041" s="1"/>
      <c r="AM5041" s="11"/>
      <c r="AN5041" s="11"/>
      <c r="AO5041" s="11"/>
      <c r="AP5041" s="11"/>
      <c r="AQ5041" s="11"/>
      <c r="AR5041" s="11"/>
      <c r="AS5041" s="11"/>
      <c r="AT5041" s="11"/>
      <c r="AU5041" s="1"/>
      <c r="AV5041" s="1"/>
      <c r="AW5041" s="1"/>
      <c r="AX5041" s="1"/>
      <c r="AY5041" s="1"/>
      <c r="AZ5041" s="1"/>
      <c r="BA5041" s="1"/>
      <c r="BB5041" s="1"/>
      <c r="BC5041" s="1"/>
      <c r="BD5041" s="1"/>
      <c r="BE5041" s="1"/>
      <c r="BF5041" s="1"/>
      <c r="BG5041" s="1"/>
      <c r="BH5041" s="1"/>
      <c r="BI5041" s="1"/>
      <c r="BJ5041" s="1"/>
      <c r="BK5041" s="1"/>
    </row>
    <row r="5042" spans="1:63" s="44" customFormat="1" ht="12" customHeight="1" x14ac:dyDescent="0.15">
      <c r="A5042" s="1" t="s">
        <v>17221</v>
      </c>
      <c r="B5042" s="1" t="s">
        <v>15264</v>
      </c>
      <c r="C5042" s="1" t="s">
        <v>20</v>
      </c>
      <c r="D5042" s="1" t="s">
        <v>30</v>
      </c>
      <c r="E5042" s="1"/>
      <c r="F5042" s="72">
        <v>41383</v>
      </c>
      <c r="G5042" s="1" t="s">
        <v>24637</v>
      </c>
      <c r="H5042" s="1" t="s">
        <v>3324</v>
      </c>
      <c r="I5042" s="1" t="s">
        <v>123</v>
      </c>
      <c r="J5042" s="4" t="s">
        <v>3325</v>
      </c>
      <c r="K5042" s="1" t="s">
        <v>633</v>
      </c>
      <c r="L5042" s="1" t="s">
        <v>634</v>
      </c>
      <c r="M5042" s="1" t="s">
        <v>27</v>
      </c>
      <c r="N5042" s="1" t="s">
        <v>17222</v>
      </c>
      <c r="O5042" s="1" t="s">
        <v>29</v>
      </c>
      <c r="P5042" s="1" t="s">
        <v>401</v>
      </c>
      <c r="Q5042" s="63" t="s">
        <v>17223</v>
      </c>
      <c r="R5042" s="1" t="s">
        <v>100</v>
      </c>
      <c r="S5042" s="13" t="s">
        <v>28</v>
      </c>
      <c r="T5042" s="1"/>
      <c r="U5042" s="1"/>
      <c r="V5042" s="1"/>
      <c r="W5042" s="1"/>
      <c r="X5042" s="1"/>
      <c r="Y5042" s="1"/>
      <c r="Z5042" s="1"/>
      <c r="AA5042" s="1"/>
      <c r="AB5042" s="1"/>
      <c r="AC5042" s="1"/>
      <c r="AD5042" s="1"/>
      <c r="AE5042" s="1"/>
      <c r="AF5042" s="1"/>
      <c r="AG5042" s="1"/>
      <c r="AH5042" s="1"/>
      <c r="AI5042" s="1"/>
      <c r="AJ5042" s="1"/>
      <c r="AK5042" s="1"/>
      <c r="AL5042" s="1"/>
      <c r="AM5042" s="11"/>
      <c r="AN5042" s="11"/>
      <c r="AO5042" s="11"/>
      <c r="AP5042" s="11"/>
      <c r="AQ5042" s="11"/>
      <c r="AR5042" s="11"/>
      <c r="AS5042" s="11"/>
      <c r="AT5042" s="11"/>
      <c r="AU5042" s="1"/>
      <c r="AV5042" s="1"/>
      <c r="AW5042" s="1"/>
      <c r="AX5042" s="1"/>
      <c r="AY5042" s="1"/>
      <c r="AZ5042" s="1"/>
      <c r="BA5042" s="1"/>
      <c r="BB5042" s="1"/>
      <c r="BC5042" s="1"/>
      <c r="BD5042" s="1"/>
      <c r="BE5042" s="1"/>
      <c r="BF5042" s="1"/>
      <c r="BG5042" s="1"/>
      <c r="BH5042" s="1"/>
      <c r="BI5042" s="1"/>
      <c r="BJ5042" s="1"/>
      <c r="BK5042" s="1"/>
    </row>
    <row r="5043" spans="1:63" s="44" customFormat="1" ht="12" customHeight="1" x14ac:dyDescent="0.15">
      <c r="A5043" s="1" t="s">
        <v>17218</v>
      </c>
      <c r="B5043" s="1">
        <v>51</v>
      </c>
      <c r="C5043" s="1" t="s">
        <v>20</v>
      </c>
      <c r="D5043" s="1" t="s">
        <v>30</v>
      </c>
      <c r="E5043" s="1"/>
      <c r="F5043" s="72">
        <v>41383</v>
      </c>
      <c r="G5043" s="1" t="s">
        <v>24636</v>
      </c>
      <c r="H5043" s="1" t="s">
        <v>11820</v>
      </c>
      <c r="I5043" s="1" t="s">
        <v>52</v>
      </c>
      <c r="J5043" s="4" t="s">
        <v>11821</v>
      </c>
      <c r="K5043" s="1" t="s">
        <v>1056</v>
      </c>
      <c r="L5043" s="1" t="s">
        <v>2357</v>
      </c>
      <c r="M5043" s="1" t="s">
        <v>391</v>
      </c>
      <c r="N5043" s="1" t="s">
        <v>17219</v>
      </c>
      <c r="O5043" s="1" t="s">
        <v>1010</v>
      </c>
      <c r="P5043" s="1" t="s">
        <v>401</v>
      </c>
      <c r="Q5043" s="63" t="s">
        <v>17220</v>
      </c>
      <c r="R5043" s="1" t="s">
        <v>100</v>
      </c>
      <c r="S5043" s="13" t="s">
        <v>28</v>
      </c>
      <c r="T5043" s="1"/>
      <c r="U5043" s="1"/>
      <c r="V5043" s="1"/>
      <c r="W5043" s="1"/>
      <c r="X5043" s="1"/>
      <c r="Y5043" s="1"/>
      <c r="Z5043" s="1"/>
      <c r="AA5043" s="1"/>
      <c r="AB5043" s="1"/>
      <c r="AC5043" s="1"/>
      <c r="AD5043" s="1"/>
      <c r="AE5043" s="1"/>
      <c r="AF5043" s="1"/>
      <c r="AG5043" s="1"/>
      <c r="AH5043" s="1"/>
      <c r="AI5043" s="1"/>
      <c r="AJ5043" s="1"/>
      <c r="AK5043" s="1"/>
      <c r="AL5043" s="1"/>
      <c r="AM5043" s="11"/>
      <c r="AN5043" s="11"/>
      <c r="AO5043" s="11"/>
      <c r="AP5043" s="11"/>
      <c r="AQ5043" s="11"/>
      <c r="AR5043" s="11"/>
      <c r="AS5043" s="11"/>
      <c r="AT5043" s="11"/>
      <c r="AU5043" s="11"/>
      <c r="AV5043" s="11"/>
      <c r="AW5043" s="11"/>
      <c r="AX5043" s="1"/>
      <c r="AY5043" s="1"/>
      <c r="AZ5043" s="1"/>
      <c r="BA5043" s="1"/>
      <c r="BB5043" s="1"/>
      <c r="BC5043" s="1"/>
      <c r="BD5043" s="1"/>
      <c r="BE5043" s="1"/>
      <c r="BF5043" s="1"/>
      <c r="BG5043" s="1"/>
      <c r="BH5043" s="1"/>
      <c r="BI5043" s="1"/>
      <c r="BJ5043" s="1"/>
      <c r="BK5043" s="1"/>
    </row>
    <row r="5044" spans="1:63" s="44" customFormat="1" ht="12" customHeight="1" x14ac:dyDescent="0.15">
      <c r="A5044" s="1" t="s">
        <v>17224</v>
      </c>
      <c r="B5044" s="1" t="s">
        <v>17225</v>
      </c>
      <c r="C5044" s="1" t="s">
        <v>20</v>
      </c>
      <c r="D5044" s="1" t="s">
        <v>30</v>
      </c>
      <c r="E5044" s="1"/>
      <c r="F5044" s="72">
        <v>41383</v>
      </c>
      <c r="G5044" s="1" t="s">
        <v>24638</v>
      </c>
      <c r="H5044" s="1" t="s">
        <v>17226</v>
      </c>
      <c r="I5044" s="1" t="s">
        <v>404</v>
      </c>
      <c r="J5044" s="4" t="s">
        <v>17227</v>
      </c>
      <c r="K5044" s="1" t="s">
        <v>17228</v>
      </c>
      <c r="L5044" s="1" t="s">
        <v>17229</v>
      </c>
      <c r="M5044" s="1" t="s">
        <v>27</v>
      </c>
      <c r="N5044" s="1" t="s">
        <v>17230</v>
      </c>
      <c r="O5044" s="1" t="s">
        <v>29</v>
      </c>
      <c r="P5044" s="1" t="s">
        <v>401</v>
      </c>
      <c r="Q5044" s="63" t="s">
        <v>17231</v>
      </c>
      <c r="R5044" s="1" t="s">
        <v>29</v>
      </c>
      <c r="S5044" s="13" t="s">
        <v>28</v>
      </c>
      <c r="T5044" s="1"/>
      <c r="U5044" s="1"/>
      <c r="V5044" s="1"/>
      <c r="W5044" s="1"/>
      <c r="X5044" s="1"/>
      <c r="Y5044" s="1"/>
      <c r="Z5044" s="1"/>
      <c r="AA5044" s="1"/>
      <c r="AB5044" s="1"/>
      <c r="AC5044" s="1"/>
      <c r="AD5044" s="1"/>
      <c r="AE5044" s="1"/>
      <c r="AF5044" s="1"/>
      <c r="AG5044" s="1"/>
      <c r="AH5044" s="1"/>
      <c r="AI5044" s="1"/>
      <c r="AJ5044" s="1"/>
      <c r="AK5044" s="1"/>
      <c r="AL5044" s="1"/>
      <c r="AM5044" s="11"/>
      <c r="AN5044" s="11"/>
      <c r="AO5044" s="11"/>
      <c r="AP5044" s="11"/>
      <c r="AQ5044" s="11"/>
      <c r="AR5044" s="11"/>
      <c r="AS5044" s="11"/>
      <c r="AT5044" s="11"/>
      <c r="AU5044" s="1"/>
      <c r="AV5044" s="1"/>
      <c r="AW5044" s="1"/>
      <c r="AX5044" s="1"/>
      <c r="AY5044" s="1"/>
      <c r="AZ5044" s="1"/>
      <c r="BA5044" s="1"/>
      <c r="BB5044" s="1"/>
      <c r="BC5044" s="1"/>
      <c r="BD5044" s="1"/>
      <c r="BE5044" s="1"/>
      <c r="BF5044" s="1"/>
      <c r="BG5044" s="1"/>
      <c r="BH5044" s="1"/>
      <c r="BI5044" s="1"/>
      <c r="BJ5044" s="1"/>
      <c r="BK5044" s="1"/>
    </row>
    <row r="5045" spans="1:63" s="44" customFormat="1" ht="12" customHeight="1" x14ac:dyDescent="0.15">
      <c r="A5045" s="1" t="s">
        <v>17232</v>
      </c>
      <c r="B5045" s="1">
        <v>66</v>
      </c>
      <c r="C5045" s="1" t="s">
        <v>20</v>
      </c>
      <c r="D5045" s="1" t="s">
        <v>37</v>
      </c>
      <c r="E5045" s="1"/>
      <c r="F5045" s="72">
        <v>41383</v>
      </c>
      <c r="G5045" s="1" t="s">
        <v>17233</v>
      </c>
      <c r="H5045" s="1" t="s">
        <v>17234</v>
      </c>
      <c r="I5045" s="1" t="s">
        <v>438</v>
      </c>
      <c r="J5045" s="4" t="s">
        <v>17235</v>
      </c>
      <c r="K5045" s="1" t="s">
        <v>2335</v>
      </c>
      <c r="L5045" s="1" t="s">
        <v>17236</v>
      </c>
      <c r="M5045" s="1" t="s">
        <v>27</v>
      </c>
      <c r="N5045" s="1" t="s">
        <v>17237</v>
      </c>
      <c r="O5045" s="1" t="s">
        <v>550</v>
      </c>
      <c r="P5045" s="1" t="s">
        <v>401</v>
      </c>
      <c r="Q5045" s="63" t="s">
        <v>17238</v>
      </c>
      <c r="R5045" s="1" t="s">
        <v>555</v>
      </c>
      <c r="S5045" s="13" t="s">
        <v>28</v>
      </c>
      <c r="T5045" s="1"/>
      <c r="U5045" s="1"/>
      <c r="V5045" s="1"/>
      <c r="W5045" s="1"/>
      <c r="X5045" s="1"/>
      <c r="Y5045" s="1"/>
      <c r="Z5045" s="1"/>
      <c r="AA5045" s="1"/>
      <c r="AB5045" s="1"/>
      <c r="AC5045" s="1"/>
      <c r="AD5045" s="1"/>
      <c r="AE5045" s="1"/>
      <c r="AF5045" s="1"/>
      <c r="AG5045" s="1"/>
      <c r="AH5045" s="1"/>
      <c r="AI5045" s="1"/>
      <c r="AJ5045" s="1"/>
      <c r="AK5045" s="1"/>
      <c r="AL5045" s="1"/>
      <c r="AM5045" s="11"/>
      <c r="AN5045" s="11"/>
      <c r="AO5045" s="11"/>
      <c r="AP5045" s="11"/>
      <c r="AQ5045" s="11"/>
      <c r="AR5045" s="11"/>
      <c r="AS5045" s="11"/>
      <c r="AT5045" s="11"/>
      <c r="AU5045" s="1"/>
      <c r="AV5045" s="1"/>
      <c r="AW5045" s="1"/>
      <c r="AX5045" s="11"/>
      <c r="AY5045" s="11"/>
      <c r="AZ5045" s="11"/>
      <c r="BC5045" s="1"/>
      <c r="BD5045" s="1"/>
      <c r="BE5045" s="1"/>
      <c r="BF5045" s="1"/>
      <c r="BG5045" s="1"/>
      <c r="BH5045" s="1"/>
      <c r="BI5045" s="1"/>
      <c r="BJ5045" s="1"/>
      <c r="BK5045" s="1"/>
    </row>
    <row r="5046" spans="1:63" s="44" customFormat="1" ht="12" customHeight="1" x14ac:dyDescent="0.15">
      <c r="A5046" s="1" t="s">
        <v>17252</v>
      </c>
      <c r="B5046" s="1">
        <v>26</v>
      </c>
      <c r="C5046" s="1" t="s">
        <v>20</v>
      </c>
      <c r="D5046" s="1" t="s">
        <v>37</v>
      </c>
      <c r="E5046" s="1" t="s">
        <v>17253</v>
      </c>
      <c r="F5046" s="72">
        <v>41382</v>
      </c>
      <c r="G5046" s="1" t="s">
        <v>17254</v>
      </c>
      <c r="H5046" s="1" t="s">
        <v>17255</v>
      </c>
      <c r="I5046" s="1" t="s">
        <v>46</v>
      </c>
      <c r="J5046" s="4" t="s">
        <v>17256</v>
      </c>
      <c r="K5046" s="1" t="s">
        <v>42</v>
      </c>
      <c r="L5046" s="1" t="s">
        <v>17257</v>
      </c>
      <c r="M5046" s="1" t="s">
        <v>27</v>
      </c>
      <c r="N5046" s="1" t="s">
        <v>17258</v>
      </c>
      <c r="O5046" s="1" t="s">
        <v>29</v>
      </c>
      <c r="P5046" s="1" t="s">
        <v>401</v>
      </c>
      <c r="Q5046" s="63" t="s">
        <v>17259</v>
      </c>
      <c r="R5046" s="1" t="s">
        <v>100</v>
      </c>
      <c r="S5046" s="13" t="s">
        <v>28</v>
      </c>
      <c r="T5046" s="1"/>
      <c r="U5046" s="1"/>
      <c r="V5046" s="1"/>
      <c r="W5046" s="1"/>
      <c r="X5046" s="1"/>
      <c r="Y5046" s="1"/>
      <c r="Z5046" s="1"/>
      <c r="AA5046" s="1"/>
      <c r="AB5046" s="1"/>
      <c r="AC5046" s="1"/>
      <c r="AD5046" s="1"/>
      <c r="AE5046" s="1"/>
      <c r="AF5046" s="1"/>
      <c r="AG5046" s="1"/>
      <c r="AH5046" s="1"/>
      <c r="AI5046" s="1"/>
      <c r="AJ5046" s="1"/>
      <c r="AK5046" s="1"/>
      <c r="AL5046" s="1"/>
      <c r="AM5046" s="11"/>
      <c r="AN5046" s="11"/>
      <c r="AO5046" s="11"/>
      <c r="AP5046" s="11"/>
      <c r="AQ5046" s="11"/>
      <c r="AR5046" s="11"/>
      <c r="AS5046" s="11"/>
      <c r="AT5046" s="11"/>
      <c r="AU5046" s="1"/>
      <c r="AV5046" s="1"/>
      <c r="AW5046" s="1"/>
      <c r="AX5046" s="11"/>
      <c r="AY5046" s="11"/>
      <c r="AZ5046" s="11"/>
      <c r="BA5046" s="1"/>
      <c r="BB5046" s="1"/>
      <c r="BC5046" s="1"/>
      <c r="BD5046" s="1"/>
      <c r="BE5046" s="1"/>
      <c r="BF5046" s="1"/>
      <c r="BG5046" s="1"/>
      <c r="BH5046" s="1"/>
      <c r="BI5046" s="1"/>
      <c r="BJ5046" s="1"/>
      <c r="BK5046" s="1"/>
    </row>
    <row r="5047" spans="1:63" s="44" customFormat="1" ht="12" customHeight="1" x14ac:dyDescent="0.15">
      <c r="A5047" s="1" t="s">
        <v>17243</v>
      </c>
      <c r="B5047" s="1" t="s">
        <v>10109</v>
      </c>
      <c r="C5047" s="1" t="s">
        <v>20</v>
      </c>
      <c r="D5047" s="1" t="s">
        <v>37</v>
      </c>
      <c r="E5047" s="1" t="s">
        <v>17244</v>
      </c>
      <c r="F5047" s="72">
        <v>41382</v>
      </c>
      <c r="G5047" s="1" t="s">
        <v>17245</v>
      </c>
      <c r="H5047" s="1" t="s">
        <v>17246</v>
      </c>
      <c r="I5047" s="1" t="s">
        <v>404</v>
      </c>
      <c r="J5047" s="4" t="s">
        <v>17247</v>
      </c>
      <c r="K5047" s="1" t="s">
        <v>17248</v>
      </c>
      <c r="L5047" s="1" t="s">
        <v>17249</v>
      </c>
      <c r="M5047" s="1" t="s">
        <v>27</v>
      </c>
      <c r="N5047" s="1" t="s">
        <v>17250</v>
      </c>
      <c r="O5047" s="1" t="s">
        <v>550</v>
      </c>
      <c r="P5047" s="1" t="s">
        <v>401</v>
      </c>
      <c r="Q5047" s="63" t="s">
        <v>17251</v>
      </c>
      <c r="R5047" s="1" t="s">
        <v>100</v>
      </c>
      <c r="S5047" s="13" t="s">
        <v>28</v>
      </c>
      <c r="T5047" s="1"/>
      <c r="U5047" s="1"/>
      <c r="V5047" s="1"/>
      <c r="W5047" s="1"/>
      <c r="X5047" s="1"/>
      <c r="Y5047" s="1"/>
      <c r="Z5047" s="1"/>
      <c r="AA5047" s="1"/>
      <c r="AB5047" s="1"/>
      <c r="AC5047" s="1"/>
      <c r="AD5047" s="1"/>
      <c r="AE5047" s="1"/>
      <c r="AF5047" s="1"/>
      <c r="AG5047" s="1"/>
      <c r="AH5047" s="1"/>
      <c r="AI5047" s="1"/>
      <c r="AJ5047" s="1"/>
      <c r="AK5047" s="1"/>
      <c r="AL5047" s="1"/>
      <c r="AM5047" s="11"/>
      <c r="AN5047" s="11"/>
      <c r="AO5047" s="11"/>
      <c r="AP5047" s="11"/>
      <c r="AQ5047" s="11"/>
      <c r="AR5047" s="11"/>
      <c r="AS5047" s="11"/>
      <c r="AT5047" s="11"/>
      <c r="AU5047" s="1"/>
      <c r="AV5047" s="1"/>
      <c r="AW5047" s="1"/>
      <c r="AX5047" s="11"/>
      <c r="AY5047" s="11"/>
      <c r="AZ5047" s="11"/>
      <c r="BA5047" s="1"/>
      <c r="BB5047" s="1"/>
      <c r="BC5047" s="1"/>
      <c r="BD5047" s="1"/>
      <c r="BE5047" s="1"/>
      <c r="BF5047" s="1"/>
      <c r="BG5047" s="1"/>
      <c r="BH5047" s="1"/>
      <c r="BI5047" s="1"/>
      <c r="BJ5047" s="1"/>
      <c r="BK5047" s="1"/>
    </row>
    <row r="5048" spans="1:63" s="44" customFormat="1" ht="12" customHeight="1" x14ac:dyDescent="0.15">
      <c r="A5048" s="1" t="s">
        <v>17239</v>
      </c>
      <c r="B5048" s="1" t="s">
        <v>17012</v>
      </c>
      <c r="C5048" s="1" t="s">
        <v>20</v>
      </c>
      <c r="D5048" s="1" t="s">
        <v>30</v>
      </c>
      <c r="E5048" s="1"/>
      <c r="F5048" s="72">
        <v>41382</v>
      </c>
      <c r="G5048" s="1" t="s">
        <v>24639</v>
      </c>
      <c r="H5048" s="1" t="s">
        <v>1592</v>
      </c>
      <c r="I5048" s="1" t="s">
        <v>52</v>
      </c>
      <c r="J5048" s="4" t="s">
        <v>17240</v>
      </c>
      <c r="K5048" s="1" t="s">
        <v>4697</v>
      </c>
      <c r="L5048" s="1" t="s">
        <v>2770</v>
      </c>
      <c r="M5048" s="1" t="s">
        <v>27</v>
      </c>
      <c r="N5048" s="1" t="s">
        <v>17241</v>
      </c>
      <c r="O5048" s="1" t="s">
        <v>29</v>
      </c>
      <c r="P5048" s="1" t="s">
        <v>401</v>
      </c>
      <c r="Q5048" s="63" t="s">
        <v>17242</v>
      </c>
      <c r="R5048" s="1" t="s">
        <v>29</v>
      </c>
      <c r="S5048" s="13" t="s">
        <v>28</v>
      </c>
      <c r="T5048" s="1"/>
      <c r="U5048" s="64"/>
      <c r="V5048" s="64"/>
      <c r="W5048" s="64"/>
      <c r="X5048" s="64"/>
      <c r="Y5048" s="1"/>
      <c r="Z5048" s="1"/>
      <c r="AA5048" s="1"/>
      <c r="AB5048" s="1"/>
      <c r="AC5048" s="1"/>
      <c r="AD5048" s="1"/>
      <c r="AE5048" s="1"/>
      <c r="AF5048" s="1"/>
      <c r="AG5048" s="1"/>
      <c r="AH5048" s="1"/>
      <c r="AI5048" s="1"/>
      <c r="AJ5048" s="1"/>
      <c r="AK5048" s="1"/>
      <c r="AL5048" s="1"/>
      <c r="AM5048" s="11"/>
      <c r="AN5048" s="11"/>
      <c r="AO5048" s="11"/>
      <c r="AP5048" s="11"/>
      <c r="AQ5048" s="11"/>
      <c r="AR5048" s="11"/>
      <c r="AS5048" s="11"/>
      <c r="AT5048" s="11"/>
      <c r="AU5048" s="1"/>
      <c r="AV5048" s="1"/>
      <c r="AW5048" s="1"/>
      <c r="AX5048" s="1"/>
      <c r="AY5048" s="1"/>
      <c r="AZ5048" s="1"/>
      <c r="BA5048" s="1"/>
      <c r="BB5048" s="1"/>
      <c r="BC5048" s="1"/>
      <c r="BD5048" s="1"/>
      <c r="BE5048" s="1"/>
      <c r="BF5048" s="1"/>
      <c r="BG5048" s="1"/>
      <c r="BH5048" s="1"/>
      <c r="BI5048" s="1"/>
      <c r="BJ5048" s="1"/>
      <c r="BK5048" s="1"/>
    </row>
    <row r="5049" spans="1:63" s="44" customFormat="1" ht="12" customHeight="1" x14ac:dyDescent="0.15">
      <c r="A5049" s="1" t="s">
        <v>17260</v>
      </c>
      <c r="B5049" s="1">
        <v>47</v>
      </c>
      <c r="C5049" s="1" t="s">
        <v>114</v>
      </c>
      <c r="D5049" s="1" t="s">
        <v>37</v>
      </c>
      <c r="E5049" s="1"/>
      <c r="F5049" s="72">
        <v>41382</v>
      </c>
      <c r="G5049" s="1" t="s">
        <v>17261</v>
      </c>
      <c r="H5049" s="1" t="s">
        <v>15823</v>
      </c>
      <c r="I5049" s="1" t="s">
        <v>150</v>
      </c>
      <c r="J5049" s="4" t="s">
        <v>15824</v>
      </c>
      <c r="K5049" s="1" t="s">
        <v>151</v>
      </c>
      <c r="L5049" s="1" t="s">
        <v>17262</v>
      </c>
      <c r="M5049" s="1" t="s">
        <v>27</v>
      </c>
      <c r="N5049" s="1" t="s">
        <v>17263</v>
      </c>
      <c r="O5049" s="1" t="s">
        <v>29</v>
      </c>
      <c r="P5049" s="1" t="s">
        <v>401</v>
      </c>
      <c r="Q5049" s="63" t="s">
        <v>17264</v>
      </c>
      <c r="R5049" s="1" t="s">
        <v>555</v>
      </c>
      <c r="S5049" s="13" t="s">
        <v>28</v>
      </c>
      <c r="T5049" s="1"/>
      <c r="U5049" s="1"/>
      <c r="V5049" s="1"/>
      <c r="W5049" s="1"/>
      <c r="X5049" s="1"/>
      <c r="Y5049" s="1"/>
      <c r="Z5049" s="1"/>
      <c r="AA5049" s="1"/>
      <c r="AB5049" s="1"/>
      <c r="AC5049" s="1"/>
      <c r="AD5049" s="1"/>
      <c r="AE5049" s="1"/>
      <c r="AF5049" s="1"/>
      <c r="AG5049" s="1"/>
      <c r="AH5049" s="1"/>
      <c r="AI5049" s="1"/>
      <c r="AJ5049" s="1"/>
      <c r="AK5049" s="1"/>
      <c r="AL5049" s="1"/>
      <c r="AM5049" s="11"/>
      <c r="AN5049" s="11"/>
      <c r="AO5049" s="11"/>
      <c r="AP5049" s="11"/>
      <c r="AQ5049" s="11"/>
      <c r="AR5049" s="11"/>
      <c r="AS5049" s="11"/>
      <c r="AT5049" s="11"/>
      <c r="AU5049" s="1"/>
      <c r="AV5049" s="1"/>
      <c r="AW5049" s="1"/>
      <c r="AX5049" s="11"/>
      <c r="AY5049" s="11"/>
      <c r="AZ5049" s="11"/>
      <c r="BC5049" s="1"/>
      <c r="BD5049" s="1"/>
      <c r="BE5049" s="1"/>
      <c r="BF5049" s="1"/>
      <c r="BG5049" s="1"/>
      <c r="BH5049" s="1"/>
      <c r="BI5049" s="1"/>
      <c r="BJ5049" s="1"/>
      <c r="BK5049" s="1"/>
    </row>
    <row r="5050" spans="1:63" s="44" customFormat="1" ht="12" customHeight="1" x14ac:dyDescent="0.15">
      <c r="A5050" s="1" t="s">
        <v>17265</v>
      </c>
      <c r="B5050" s="1" t="s">
        <v>15717</v>
      </c>
      <c r="C5050" s="1" t="s">
        <v>20</v>
      </c>
      <c r="D5050" s="1" t="s">
        <v>85</v>
      </c>
      <c r="E5050" s="1" t="s">
        <v>17266</v>
      </c>
      <c r="F5050" s="72">
        <v>41381</v>
      </c>
      <c r="G5050" s="1" t="s">
        <v>17267</v>
      </c>
      <c r="H5050" s="1" t="s">
        <v>17268</v>
      </c>
      <c r="I5050" s="1" t="s">
        <v>57</v>
      </c>
      <c r="J5050" s="4" t="s">
        <v>8801</v>
      </c>
      <c r="K5050" s="1" t="s">
        <v>8509</v>
      </c>
      <c r="L5050" s="1" t="s">
        <v>17269</v>
      </c>
      <c r="M5050" s="1" t="s">
        <v>27</v>
      </c>
      <c r="N5050" s="1" t="s">
        <v>17270</v>
      </c>
      <c r="O5050" s="1" t="s">
        <v>550</v>
      </c>
      <c r="P5050" s="1" t="s">
        <v>401</v>
      </c>
      <c r="Q5050" s="63" t="s">
        <v>17271</v>
      </c>
      <c r="R5050" s="1" t="s">
        <v>100</v>
      </c>
      <c r="S5050" s="13" t="s">
        <v>28</v>
      </c>
      <c r="T5050" s="1"/>
      <c r="U5050" s="1"/>
      <c r="V5050" s="1"/>
      <c r="W5050" s="1"/>
      <c r="X5050" s="1"/>
      <c r="Y5050" s="1"/>
      <c r="Z5050" s="1"/>
      <c r="AA5050" s="1"/>
      <c r="AB5050" s="1"/>
      <c r="AC5050" s="1"/>
      <c r="AD5050" s="1"/>
      <c r="AE5050" s="1"/>
      <c r="AF5050" s="1"/>
      <c r="AG5050" s="1"/>
      <c r="AH5050" s="1"/>
      <c r="AI5050" s="1"/>
      <c r="AJ5050" s="1"/>
      <c r="AK5050" s="1"/>
      <c r="AL5050" s="1"/>
      <c r="AM5050" s="11"/>
      <c r="AN5050" s="11"/>
      <c r="AO5050" s="11"/>
      <c r="AP5050" s="11"/>
      <c r="AQ5050" s="11"/>
      <c r="AR5050" s="11"/>
      <c r="AS5050" s="11"/>
      <c r="AT5050" s="11"/>
      <c r="AU5050" s="1"/>
      <c r="AV5050" s="1"/>
      <c r="AW5050" s="1"/>
      <c r="AX5050" s="11"/>
      <c r="AY5050" s="11"/>
      <c r="AZ5050" s="1"/>
      <c r="BA5050" s="1"/>
      <c r="BB5050" s="1"/>
      <c r="BK5050" s="1"/>
    </row>
    <row r="5051" spans="1:63" s="44" customFormat="1" ht="12" customHeight="1" x14ac:dyDescent="0.15">
      <c r="A5051" s="1" t="s">
        <v>17272</v>
      </c>
      <c r="B5051" s="1" t="s">
        <v>15985</v>
      </c>
      <c r="C5051" s="1" t="s">
        <v>20</v>
      </c>
      <c r="D5051" s="1" t="s">
        <v>48</v>
      </c>
      <c r="E5051" s="1"/>
      <c r="F5051" s="72">
        <v>41381</v>
      </c>
      <c r="G5051" s="1" t="s">
        <v>24641</v>
      </c>
      <c r="H5051" s="1" t="s">
        <v>17273</v>
      </c>
      <c r="I5051" s="1" t="s">
        <v>73</v>
      </c>
      <c r="J5051" s="4" t="s">
        <v>17274</v>
      </c>
      <c r="K5051" s="1" t="s">
        <v>7574</v>
      </c>
      <c r="L5051" s="1" t="s">
        <v>17275</v>
      </c>
      <c r="M5051" s="1" t="s">
        <v>27</v>
      </c>
      <c r="N5051" s="1" t="s">
        <v>17276</v>
      </c>
      <c r="O5051" s="1" t="s">
        <v>29</v>
      </c>
      <c r="P5051" s="1" t="s">
        <v>401</v>
      </c>
      <c r="Q5051" s="63" t="s">
        <v>17277</v>
      </c>
      <c r="R5051" s="1" t="s">
        <v>100</v>
      </c>
      <c r="S5051" s="13" t="s">
        <v>28</v>
      </c>
      <c r="T5051" s="1"/>
      <c r="U5051" s="1"/>
      <c r="V5051" s="1"/>
      <c r="W5051" s="1"/>
      <c r="X5051" s="1"/>
      <c r="Y5051" s="1"/>
      <c r="Z5051" s="1"/>
      <c r="AA5051" s="1"/>
      <c r="AB5051" s="1"/>
      <c r="AC5051" s="1"/>
      <c r="AD5051" s="1"/>
      <c r="AE5051" s="1"/>
      <c r="AF5051" s="1"/>
      <c r="AG5051" s="1"/>
      <c r="AH5051" s="1"/>
      <c r="AI5051" s="1"/>
      <c r="AJ5051" s="1"/>
      <c r="AK5051" s="1"/>
      <c r="AL5051" s="1"/>
      <c r="AM5051" s="11"/>
      <c r="AN5051" s="11"/>
      <c r="AO5051" s="11"/>
      <c r="AP5051" s="11"/>
      <c r="AQ5051" s="11"/>
      <c r="AR5051" s="11"/>
      <c r="AS5051" s="11"/>
      <c r="AT5051" s="11"/>
      <c r="AU5051" s="1"/>
      <c r="AV5051" s="1"/>
      <c r="AW5051" s="1"/>
      <c r="AX5051" s="1"/>
      <c r="AY5051" s="1"/>
      <c r="AZ5051" s="1"/>
      <c r="BA5051" s="1"/>
      <c r="BB5051" s="1"/>
      <c r="BC5051" s="1"/>
      <c r="BD5051" s="1"/>
      <c r="BE5051" s="1"/>
      <c r="BF5051" s="1"/>
      <c r="BG5051" s="1"/>
      <c r="BH5051" s="1"/>
      <c r="BI5051" s="1"/>
      <c r="BJ5051" s="1"/>
      <c r="BK5051" s="1"/>
    </row>
    <row r="5052" spans="1:63" s="44" customFormat="1" ht="12" customHeight="1" x14ac:dyDescent="0.15">
      <c r="A5052" s="1" t="s">
        <v>17278</v>
      </c>
      <c r="B5052" s="1">
        <v>60</v>
      </c>
      <c r="C5052" s="1" t="s">
        <v>20</v>
      </c>
      <c r="D5052" s="1" t="s">
        <v>37</v>
      </c>
      <c r="E5052" s="1"/>
      <c r="F5052" s="72">
        <v>41381</v>
      </c>
      <c r="G5052" s="1" t="s">
        <v>24640</v>
      </c>
      <c r="H5052" s="1" t="s">
        <v>945</v>
      </c>
      <c r="I5052" s="1" t="s">
        <v>45</v>
      </c>
      <c r="J5052" s="4" t="s">
        <v>6829</v>
      </c>
      <c r="K5052" s="1" t="s">
        <v>945</v>
      </c>
      <c r="L5052" s="1" t="s">
        <v>946</v>
      </c>
      <c r="M5052" s="1" t="s">
        <v>27</v>
      </c>
      <c r="N5052" s="1" t="s">
        <v>17279</v>
      </c>
      <c r="O5052" s="1" t="s">
        <v>29</v>
      </c>
      <c r="P5052" s="1" t="s">
        <v>401</v>
      </c>
      <c r="Q5052" s="63" t="s">
        <v>17280</v>
      </c>
      <c r="R5052" s="1" t="s">
        <v>29</v>
      </c>
      <c r="S5052" s="13" t="s">
        <v>28</v>
      </c>
      <c r="T5052" s="1"/>
      <c r="U5052" s="1"/>
      <c r="V5052" s="1"/>
      <c r="W5052" s="1"/>
      <c r="X5052" s="1"/>
      <c r="Y5052" s="1"/>
      <c r="Z5052" s="1"/>
      <c r="AA5052" s="1"/>
      <c r="AB5052" s="1"/>
      <c r="AC5052" s="1"/>
      <c r="AD5052" s="1"/>
      <c r="AE5052" s="1"/>
      <c r="AF5052" s="1"/>
      <c r="AG5052" s="1"/>
      <c r="AH5052" s="1"/>
      <c r="AI5052" s="1"/>
      <c r="AJ5052" s="1"/>
      <c r="AK5052" s="1"/>
      <c r="AL5052" s="1"/>
      <c r="AM5052" s="11"/>
      <c r="AN5052" s="11"/>
      <c r="AO5052" s="11"/>
      <c r="AP5052" s="11"/>
      <c r="AQ5052" s="11"/>
      <c r="AR5052" s="11"/>
      <c r="AS5052" s="11"/>
      <c r="AT5052" s="11"/>
      <c r="AU5052" s="1"/>
      <c r="AV5052" s="1"/>
      <c r="AW5052" s="1"/>
      <c r="AX5052" s="11"/>
      <c r="AY5052" s="11"/>
      <c r="AZ5052" s="11"/>
      <c r="BA5052" s="1"/>
      <c r="BB5052" s="1"/>
      <c r="BC5052" s="1"/>
      <c r="BD5052" s="1"/>
      <c r="BE5052" s="1"/>
      <c r="BF5052" s="1"/>
      <c r="BG5052" s="1"/>
      <c r="BH5052" s="1"/>
      <c r="BI5052" s="1"/>
      <c r="BJ5052" s="1"/>
      <c r="BK5052" s="1"/>
    </row>
    <row r="5053" spans="1:63" s="44" customFormat="1" ht="12" customHeight="1" x14ac:dyDescent="0.15">
      <c r="A5053" s="1" t="s">
        <v>17285</v>
      </c>
      <c r="B5053" s="1">
        <v>33</v>
      </c>
      <c r="C5053" s="1" t="s">
        <v>20</v>
      </c>
      <c r="D5053" s="1" t="s">
        <v>85</v>
      </c>
      <c r="E5053" s="1"/>
      <c r="F5053" s="72">
        <v>41379</v>
      </c>
      <c r="G5053" s="1" t="s">
        <v>17282</v>
      </c>
      <c r="H5053" s="1" t="s">
        <v>1710</v>
      </c>
      <c r="I5053" s="1" t="s">
        <v>423</v>
      </c>
      <c r="J5053" s="4" t="s">
        <v>9716</v>
      </c>
      <c r="K5053" s="1" t="s">
        <v>1712</v>
      </c>
      <c r="L5053" s="1" t="s">
        <v>582</v>
      </c>
      <c r="M5053" s="1" t="s">
        <v>27</v>
      </c>
      <c r="N5053" s="1" t="s">
        <v>17283</v>
      </c>
      <c r="O5053" s="1" t="s">
        <v>613</v>
      </c>
      <c r="P5053" s="1" t="s">
        <v>401</v>
      </c>
      <c r="Q5053" s="63" t="s">
        <v>17284</v>
      </c>
      <c r="R5053" s="1" t="s">
        <v>100</v>
      </c>
      <c r="S5053" s="13" t="s">
        <v>18</v>
      </c>
      <c r="T5053" s="1"/>
      <c r="U5053" s="1"/>
      <c r="V5053" s="1"/>
      <c r="W5053" s="1"/>
      <c r="X5053" s="1"/>
      <c r="Y5053" s="1"/>
      <c r="Z5053" s="1"/>
      <c r="AA5053" s="1"/>
      <c r="AB5053" s="1"/>
      <c r="AC5053" s="1"/>
      <c r="AD5053" s="1"/>
      <c r="AE5053" s="1"/>
      <c r="AF5053" s="1"/>
      <c r="AG5053" s="1"/>
      <c r="AH5053" s="1"/>
      <c r="AI5053" s="1"/>
      <c r="AJ5053" s="1"/>
      <c r="AK5053" s="1"/>
      <c r="AL5053" s="1"/>
      <c r="AM5053" s="11"/>
      <c r="AN5053" s="11"/>
      <c r="AO5053" s="11"/>
      <c r="AP5053" s="11"/>
      <c r="AQ5053" s="11"/>
      <c r="AR5053" s="11"/>
      <c r="AS5053" s="11"/>
      <c r="AT5053" s="11"/>
      <c r="AU5053" s="1"/>
      <c r="AV5053" s="1"/>
      <c r="AW5053" s="1"/>
      <c r="AX5053" s="11"/>
      <c r="AY5053" s="11"/>
      <c r="AZ5053" s="1"/>
      <c r="BA5053" s="1"/>
      <c r="BB5053" s="1"/>
      <c r="BK5053" s="1"/>
    </row>
    <row r="5054" spans="1:63" s="44" customFormat="1" ht="12" customHeight="1" x14ac:dyDescent="0.15">
      <c r="A5054" s="1" t="s">
        <v>17281</v>
      </c>
      <c r="B5054" s="1">
        <v>1</v>
      </c>
      <c r="C5054" s="1" t="s">
        <v>20</v>
      </c>
      <c r="D5054" s="1" t="s">
        <v>85</v>
      </c>
      <c r="E5054" s="1"/>
      <c r="F5054" s="72">
        <v>41379</v>
      </c>
      <c r="G5054" s="1" t="s">
        <v>17282</v>
      </c>
      <c r="H5054" s="1" t="s">
        <v>1710</v>
      </c>
      <c r="I5054" s="1" t="s">
        <v>423</v>
      </c>
      <c r="J5054" s="4" t="s">
        <v>9716</v>
      </c>
      <c r="K5054" s="1" t="s">
        <v>1712</v>
      </c>
      <c r="L5054" s="1" t="s">
        <v>582</v>
      </c>
      <c r="M5054" s="1" t="s">
        <v>27</v>
      </c>
      <c r="N5054" s="1" t="s">
        <v>17283</v>
      </c>
      <c r="O5054" s="1" t="s">
        <v>613</v>
      </c>
      <c r="P5054" s="1" t="s">
        <v>401</v>
      </c>
      <c r="Q5054" s="63" t="s">
        <v>17284</v>
      </c>
      <c r="R5054" s="1" t="s">
        <v>100</v>
      </c>
      <c r="S5054" s="13" t="s">
        <v>18</v>
      </c>
      <c r="T5054" s="1"/>
      <c r="U5054" s="1"/>
      <c r="V5054" s="1"/>
      <c r="W5054" s="1"/>
      <c r="X5054" s="1"/>
      <c r="Y5054" s="1"/>
      <c r="Z5054" s="1"/>
      <c r="AA5054" s="1"/>
      <c r="AB5054" s="1"/>
      <c r="AC5054" s="1"/>
      <c r="AD5054" s="1"/>
      <c r="AE5054" s="1"/>
      <c r="AF5054" s="1"/>
      <c r="AG5054" s="1"/>
      <c r="AH5054" s="1"/>
      <c r="AI5054" s="1"/>
      <c r="AJ5054" s="1"/>
      <c r="AK5054" s="1"/>
      <c r="AL5054" s="1"/>
      <c r="AM5054" s="11"/>
      <c r="AN5054" s="11"/>
      <c r="AO5054" s="11"/>
      <c r="AP5054" s="11"/>
      <c r="AQ5054" s="11"/>
      <c r="AR5054" s="11"/>
      <c r="AS5054" s="11"/>
      <c r="AT5054" s="11"/>
      <c r="AU5054" s="1"/>
      <c r="AV5054" s="1"/>
      <c r="AW5054" s="1"/>
      <c r="AX5054" s="11"/>
      <c r="AY5054" s="11"/>
      <c r="AZ5054" s="1"/>
      <c r="BA5054" s="1"/>
      <c r="BB5054" s="1"/>
      <c r="BK5054" s="1"/>
    </row>
    <row r="5055" spans="1:63" s="44" customFormat="1" ht="12" customHeight="1" x14ac:dyDescent="0.15">
      <c r="A5055" s="1" t="s">
        <v>17286</v>
      </c>
      <c r="B5055" s="1">
        <v>29</v>
      </c>
      <c r="C5055" s="1" t="s">
        <v>20</v>
      </c>
      <c r="D5055" s="1" t="s">
        <v>48</v>
      </c>
      <c r="E5055" s="1"/>
      <c r="F5055" s="72">
        <v>41377</v>
      </c>
      <c r="G5055" s="1" t="s">
        <v>17287</v>
      </c>
      <c r="H5055" s="1" t="s">
        <v>632</v>
      </c>
      <c r="I5055" s="1" t="s">
        <v>123</v>
      </c>
      <c r="J5055" s="4" t="s">
        <v>17288</v>
      </c>
      <c r="K5055" s="1" t="s">
        <v>633</v>
      </c>
      <c r="L5055" s="1" t="s">
        <v>634</v>
      </c>
      <c r="M5055" s="1" t="s">
        <v>27</v>
      </c>
      <c r="N5055" s="1" t="s">
        <v>17289</v>
      </c>
      <c r="O5055" s="1" t="s">
        <v>29</v>
      </c>
      <c r="P5055" s="1" t="s">
        <v>401</v>
      </c>
      <c r="Q5055" s="63" t="s">
        <v>17290</v>
      </c>
      <c r="R5055" s="1" t="s">
        <v>100</v>
      </c>
      <c r="S5055" s="13" t="s">
        <v>28</v>
      </c>
      <c r="T5055" s="1"/>
      <c r="U5055" s="1"/>
      <c r="V5055" s="1"/>
      <c r="W5055" s="1"/>
      <c r="X5055" s="1"/>
      <c r="Y5055" s="1"/>
      <c r="Z5055" s="1"/>
      <c r="AA5055" s="1"/>
      <c r="AB5055" s="1"/>
      <c r="AC5055" s="1"/>
      <c r="AD5055" s="1"/>
      <c r="AE5055" s="1"/>
      <c r="AF5055" s="1"/>
      <c r="AG5055" s="1"/>
      <c r="AH5055" s="1"/>
      <c r="AI5055" s="1"/>
      <c r="AJ5055" s="1"/>
      <c r="AK5055" s="1"/>
      <c r="AL5055" s="1"/>
      <c r="AM5055" s="11"/>
      <c r="AN5055" s="11"/>
      <c r="AO5055" s="11"/>
      <c r="AP5055" s="11"/>
      <c r="AQ5055" s="11"/>
      <c r="AR5055" s="11"/>
      <c r="AS5055" s="11"/>
      <c r="AT5055" s="11"/>
      <c r="AU5055" s="1"/>
      <c r="AV5055" s="1"/>
      <c r="AW5055" s="1"/>
      <c r="AX5055" s="1"/>
      <c r="AY5055" s="1"/>
      <c r="AZ5055" s="1"/>
      <c r="BA5055" s="1"/>
      <c r="BB5055" s="1"/>
      <c r="BC5055" s="1"/>
      <c r="BD5055" s="1"/>
      <c r="BE5055" s="1"/>
      <c r="BF5055" s="1"/>
      <c r="BG5055" s="1"/>
      <c r="BH5055" s="1"/>
      <c r="BI5055" s="1"/>
      <c r="BJ5055" s="1"/>
      <c r="BK5055" s="1"/>
    </row>
    <row r="5056" spans="1:63" s="44" customFormat="1" ht="12" customHeight="1" x14ac:dyDescent="0.15">
      <c r="A5056" s="1" t="s">
        <v>17291</v>
      </c>
      <c r="B5056" s="1" t="s">
        <v>13741</v>
      </c>
      <c r="C5056" s="1" t="s">
        <v>20</v>
      </c>
      <c r="D5056" s="1" t="s">
        <v>30</v>
      </c>
      <c r="E5056" s="1"/>
      <c r="F5056" s="72">
        <v>41376</v>
      </c>
      <c r="G5056" s="1" t="s">
        <v>17292</v>
      </c>
      <c r="H5056" s="1" t="s">
        <v>17293</v>
      </c>
      <c r="I5056" s="1" t="s">
        <v>431</v>
      </c>
      <c r="J5056" s="4" t="s">
        <v>17294</v>
      </c>
      <c r="K5056" s="1" t="s">
        <v>4946</v>
      </c>
      <c r="L5056" s="1" t="s">
        <v>17295</v>
      </c>
      <c r="M5056" s="1" t="s">
        <v>27</v>
      </c>
      <c r="N5056" s="1" t="s">
        <v>17296</v>
      </c>
      <c r="O5056" s="1" t="s">
        <v>550</v>
      </c>
      <c r="P5056" s="1" t="s">
        <v>401</v>
      </c>
      <c r="Q5056" s="63" t="s">
        <v>17297</v>
      </c>
      <c r="R5056" s="1" t="s">
        <v>29</v>
      </c>
      <c r="S5056" s="13" t="s">
        <v>28</v>
      </c>
      <c r="T5056" s="1"/>
      <c r="U5056" s="1"/>
      <c r="V5056" s="1"/>
      <c r="W5056" s="1"/>
      <c r="X5056" s="1"/>
      <c r="Y5056" s="1"/>
      <c r="Z5056" s="1"/>
      <c r="AA5056" s="1"/>
      <c r="AB5056" s="1"/>
      <c r="AC5056" s="1"/>
      <c r="AD5056" s="1"/>
      <c r="AE5056" s="1"/>
      <c r="AF5056" s="1"/>
      <c r="AG5056" s="1"/>
      <c r="AH5056" s="1"/>
      <c r="AI5056" s="1"/>
      <c r="AJ5056" s="1"/>
      <c r="AK5056" s="1"/>
      <c r="AL5056" s="1"/>
      <c r="AM5056" s="11"/>
      <c r="AN5056" s="11"/>
      <c r="AO5056" s="11"/>
      <c r="AP5056" s="11"/>
      <c r="AQ5056" s="11"/>
      <c r="AR5056" s="11"/>
      <c r="AS5056" s="11"/>
      <c r="AT5056" s="11"/>
      <c r="AU5056" s="1"/>
      <c r="AV5056" s="1"/>
      <c r="AW5056" s="1"/>
      <c r="AX5056" s="1"/>
      <c r="AY5056" s="1"/>
      <c r="AZ5056" s="1"/>
      <c r="BA5056" s="1"/>
      <c r="BB5056" s="1"/>
      <c r="BC5056" s="1"/>
      <c r="BD5056" s="1"/>
      <c r="BE5056" s="1"/>
      <c r="BF5056" s="1"/>
      <c r="BG5056" s="1"/>
      <c r="BH5056" s="1"/>
      <c r="BI5056" s="1"/>
      <c r="BJ5056" s="1"/>
      <c r="BK5056" s="1"/>
    </row>
    <row r="5057" spans="1:63" s="44" customFormat="1" ht="12" customHeight="1" x14ac:dyDescent="0.15">
      <c r="A5057" s="1" t="s">
        <v>17298</v>
      </c>
      <c r="B5057" s="1" t="s">
        <v>17299</v>
      </c>
      <c r="C5057" s="1" t="s">
        <v>20</v>
      </c>
      <c r="D5057" s="1" t="s">
        <v>37</v>
      </c>
      <c r="E5057" s="1" t="s">
        <v>17300</v>
      </c>
      <c r="F5057" s="72">
        <v>41376</v>
      </c>
      <c r="G5057" s="1" t="s">
        <v>17301</v>
      </c>
      <c r="H5057" s="1" t="s">
        <v>17302</v>
      </c>
      <c r="I5057" s="1" t="s">
        <v>173</v>
      </c>
      <c r="J5057" s="4" t="s">
        <v>17303</v>
      </c>
      <c r="K5057" s="1" t="s">
        <v>1556</v>
      </c>
      <c r="L5057" s="1" t="s">
        <v>17304</v>
      </c>
      <c r="M5057" s="1" t="s">
        <v>27</v>
      </c>
      <c r="N5057" s="1" t="s">
        <v>17305</v>
      </c>
      <c r="O5057" s="1" t="s">
        <v>29</v>
      </c>
      <c r="P5057" s="1" t="s">
        <v>401</v>
      </c>
      <c r="Q5057" s="63" t="s">
        <v>17306</v>
      </c>
      <c r="R5057" s="1" t="s">
        <v>555</v>
      </c>
      <c r="S5057" s="13" t="s">
        <v>28</v>
      </c>
      <c r="T5057" s="1"/>
      <c r="U5057" s="1"/>
      <c r="V5057" s="1"/>
      <c r="W5057" s="1"/>
      <c r="X5057" s="1"/>
      <c r="Y5057" s="1"/>
      <c r="Z5057" s="1"/>
      <c r="AA5057" s="1"/>
      <c r="AB5057" s="1"/>
      <c r="AC5057" s="1"/>
      <c r="AD5057" s="1"/>
      <c r="AE5057" s="1"/>
      <c r="AF5057" s="1"/>
      <c r="AG5057" s="1"/>
      <c r="AH5057" s="1"/>
      <c r="AI5057" s="1"/>
      <c r="AJ5057" s="1"/>
      <c r="AK5057" s="1"/>
      <c r="AL5057" s="1"/>
      <c r="AM5057" s="11"/>
      <c r="AN5057" s="11"/>
      <c r="AO5057" s="11"/>
      <c r="AP5057" s="11"/>
      <c r="AQ5057" s="11"/>
      <c r="AR5057" s="11"/>
      <c r="AS5057" s="11"/>
      <c r="AT5057" s="11"/>
      <c r="AU5057" s="1"/>
      <c r="AV5057" s="1"/>
      <c r="AW5057" s="1"/>
      <c r="AX5057" s="11"/>
      <c r="AY5057" s="11"/>
      <c r="AZ5057" s="11"/>
      <c r="BC5057" s="1"/>
      <c r="BD5057" s="1"/>
      <c r="BE5057" s="1"/>
      <c r="BF5057" s="1"/>
      <c r="BG5057" s="1"/>
      <c r="BH5057" s="1"/>
      <c r="BI5057" s="1"/>
      <c r="BJ5057" s="1"/>
      <c r="BK5057" s="1"/>
    </row>
    <row r="5058" spans="1:63" s="44" customFormat="1" ht="12" customHeight="1" x14ac:dyDescent="0.15">
      <c r="A5058" s="1" t="s">
        <v>17307</v>
      </c>
      <c r="B5058" s="1">
        <v>26</v>
      </c>
      <c r="C5058" s="1" t="s">
        <v>20</v>
      </c>
      <c r="D5058" s="1" t="s">
        <v>30</v>
      </c>
      <c r="E5058" s="1"/>
      <c r="F5058" s="72">
        <v>41375</v>
      </c>
      <c r="G5058" s="1" t="s">
        <v>24642</v>
      </c>
      <c r="H5058" s="1" t="s">
        <v>17308</v>
      </c>
      <c r="I5058" s="1" t="s">
        <v>303</v>
      </c>
      <c r="J5058" s="4" t="s">
        <v>17309</v>
      </c>
      <c r="K5058" s="1" t="s">
        <v>2150</v>
      </c>
      <c r="L5058" s="1" t="s">
        <v>17310</v>
      </c>
      <c r="M5058" s="1" t="s">
        <v>379</v>
      </c>
      <c r="N5058" s="1" t="s">
        <v>17311</v>
      </c>
      <c r="O5058" s="1" t="s">
        <v>1010</v>
      </c>
      <c r="P5058" s="1" t="s">
        <v>401</v>
      </c>
      <c r="Q5058" s="63" t="s">
        <v>17312</v>
      </c>
      <c r="R5058" s="11" t="s">
        <v>964</v>
      </c>
      <c r="S5058" s="66" t="s">
        <v>379</v>
      </c>
      <c r="T5058" s="66" t="s">
        <v>30738</v>
      </c>
      <c r="U5058" s="1"/>
      <c r="V5058" s="1"/>
      <c r="W5058" s="1"/>
      <c r="X5058" s="1"/>
      <c r="Y5058" s="1"/>
      <c r="Z5058" s="1"/>
      <c r="AA5058" s="1"/>
      <c r="AB5058" s="1"/>
      <c r="AC5058" s="1"/>
      <c r="AD5058" s="1"/>
      <c r="AE5058" s="1"/>
      <c r="AF5058" s="1"/>
      <c r="AG5058" s="1"/>
      <c r="AH5058" s="1"/>
      <c r="AI5058" s="1"/>
      <c r="AJ5058" s="1"/>
      <c r="AK5058" s="1"/>
      <c r="AL5058" s="1"/>
      <c r="AM5058" s="11"/>
      <c r="AN5058" s="11"/>
      <c r="AO5058" s="11"/>
      <c r="AP5058" s="11"/>
      <c r="AQ5058" s="11"/>
      <c r="AR5058" s="11"/>
      <c r="AS5058" s="11"/>
      <c r="AT5058" s="11"/>
      <c r="AU5058" s="1"/>
      <c r="AV5058" s="1"/>
      <c r="AW5058" s="1"/>
      <c r="AX5058" s="1"/>
      <c r="AY5058" s="1"/>
      <c r="AZ5058" s="1"/>
      <c r="BA5058" s="1"/>
      <c r="BB5058" s="1"/>
      <c r="BC5058" s="1"/>
      <c r="BD5058" s="1"/>
      <c r="BE5058" s="1"/>
      <c r="BF5058" s="1"/>
      <c r="BG5058" s="1"/>
      <c r="BH5058" s="1"/>
      <c r="BI5058" s="1"/>
      <c r="BJ5058" s="1"/>
      <c r="BK5058" s="1"/>
    </row>
    <row r="5059" spans="1:63" s="44" customFormat="1" ht="12" customHeight="1" x14ac:dyDescent="0.15">
      <c r="A5059" s="1" t="s">
        <v>17313</v>
      </c>
      <c r="B5059" s="1">
        <v>25</v>
      </c>
      <c r="C5059" s="1" t="s">
        <v>20</v>
      </c>
      <c r="D5059" s="1" t="s">
        <v>37</v>
      </c>
      <c r="E5059" s="1" t="s">
        <v>17314</v>
      </c>
      <c r="F5059" s="72">
        <v>41375</v>
      </c>
      <c r="G5059" s="1" t="s">
        <v>24643</v>
      </c>
      <c r="H5059" s="1" t="s">
        <v>17315</v>
      </c>
      <c r="I5059" s="1" t="s">
        <v>45</v>
      </c>
      <c r="J5059" s="4" t="s">
        <v>17316</v>
      </c>
      <c r="K5059" s="1" t="s">
        <v>2958</v>
      </c>
      <c r="L5059" s="1" t="s">
        <v>17317</v>
      </c>
      <c r="M5059" s="1" t="s">
        <v>27</v>
      </c>
      <c r="N5059" s="1" t="s">
        <v>17318</v>
      </c>
      <c r="O5059" s="1" t="s">
        <v>13616</v>
      </c>
      <c r="P5059" s="1" t="s">
        <v>401</v>
      </c>
      <c r="Q5059" s="63" t="s">
        <v>17319</v>
      </c>
      <c r="R5059" s="1" t="s">
        <v>29</v>
      </c>
      <c r="S5059" s="13" t="s">
        <v>28</v>
      </c>
      <c r="T5059" s="1"/>
      <c r="U5059" s="64"/>
      <c r="V5059" s="64"/>
      <c r="W5059" s="64"/>
      <c r="X5059" s="64"/>
      <c r="Y5059" s="1"/>
      <c r="Z5059" s="1"/>
      <c r="AA5059" s="1"/>
      <c r="AB5059" s="1"/>
      <c r="AC5059" s="1"/>
      <c r="AD5059" s="1"/>
      <c r="AE5059" s="1"/>
      <c r="AF5059" s="1"/>
      <c r="AG5059" s="1"/>
      <c r="AH5059" s="1"/>
      <c r="AI5059" s="1"/>
      <c r="AJ5059" s="1"/>
      <c r="AK5059" s="1"/>
      <c r="AL5059" s="1"/>
      <c r="AM5059" s="11"/>
      <c r="AN5059" s="11"/>
      <c r="AO5059" s="11"/>
      <c r="AP5059" s="11"/>
      <c r="AQ5059" s="11"/>
      <c r="AR5059" s="11"/>
      <c r="AS5059" s="11"/>
      <c r="AT5059" s="11"/>
      <c r="AU5059" s="1"/>
      <c r="AV5059" s="1"/>
      <c r="AW5059" s="1"/>
      <c r="AX5059" s="11"/>
      <c r="AY5059" s="11"/>
      <c r="AZ5059" s="11"/>
      <c r="BA5059" s="1"/>
      <c r="BB5059" s="1"/>
      <c r="BC5059" s="1"/>
      <c r="BD5059" s="1"/>
      <c r="BE5059" s="1"/>
      <c r="BF5059" s="1"/>
      <c r="BG5059" s="1"/>
      <c r="BH5059" s="1"/>
      <c r="BI5059" s="1"/>
      <c r="BJ5059" s="1"/>
      <c r="BK5059" s="1"/>
    </row>
    <row r="5060" spans="1:63" s="44" customFormat="1" ht="12" customHeight="1" x14ac:dyDescent="0.15">
      <c r="A5060" s="1" t="s">
        <v>17333</v>
      </c>
      <c r="B5060" s="1">
        <v>45</v>
      </c>
      <c r="C5060" s="1" t="s">
        <v>20</v>
      </c>
      <c r="D5060" s="1" t="s">
        <v>37</v>
      </c>
      <c r="E5060" s="1" t="s">
        <v>17334</v>
      </c>
      <c r="F5060" s="72">
        <v>41374</v>
      </c>
      <c r="G5060" s="1" t="s">
        <v>17335</v>
      </c>
      <c r="H5060" s="1" t="s">
        <v>151</v>
      </c>
      <c r="I5060" s="1" t="s">
        <v>366</v>
      </c>
      <c r="J5060" s="4" t="s">
        <v>17336</v>
      </c>
      <c r="K5060" s="1" t="s">
        <v>690</v>
      </c>
      <c r="L5060" s="1" t="s">
        <v>17337</v>
      </c>
      <c r="M5060" s="1" t="s">
        <v>391</v>
      </c>
      <c r="N5060" s="1" t="s">
        <v>17338</v>
      </c>
      <c r="O5060" s="1" t="s">
        <v>1010</v>
      </c>
      <c r="P5060" s="1" t="s">
        <v>401</v>
      </c>
      <c r="Q5060" s="63" t="s">
        <v>17339</v>
      </c>
      <c r="R5060" s="1" t="s">
        <v>100</v>
      </c>
      <c r="S5060" s="13" t="s">
        <v>28</v>
      </c>
      <c r="T5060" s="1"/>
      <c r="U5060" s="1"/>
      <c r="V5060" s="1"/>
      <c r="W5060" s="1"/>
      <c r="X5060" s="1"/>
      <c r="Y5060" s="1"/>
      <c r="Z5060" s="1"/>
      <c r="AA5060" s="1"/>
      <c r="AB5060" s="1"/>
      <c r="AC5060" s="1"/>
      <c r="AD5060" s="1"/>
      <c r="AE5060" s="1"/>
      <c r="AF5060" s="1"/>
      <c r="AG5060" s="1"/>
      <c r="AH5060" s="1"/>
      <c r="AI5060" s="1"/>
      <c r="AJ5060" s="1"/>
      <c r="AK5060" s="1"/>
      <c r="AL5060" s="1"/>
      <c r="AM5060" s="11"/>
      <c r="AN5060" s="11"/>
      <c r="AO5060" s="11"/>
      <c r="AP5060" s="11"/>
      <c r="AQ5060" s="11"/>
      <c r="AR5060" s="11"/>
      <c r="AS5060" s="11"/>
      <c r="AT5060" s="11"/>
      <c r="AU5060" s="11"/>
      <c r="AV5060" s="11"/>
      <c r="AW5060" s="11"/>
      <c r="AX5060" s="1"/>
      <c r="AY5060" s="1"/>
      <c r="AZ5060" s="1"/>
      <c r="BA5060" s="1"/>
      <c r="BB5060" s="1"/>
      <c r="BC5060" s="1"/>
      <c r="BD5060" s="1"/>
      <c r="BE5060" s="1"/>
      <c r="BF5060" s="1"/>
      <c r="BG5060" s="1"/>
      <c r="BH5060" s="1"/>
      <c r="BI5060" s="1"/>
      <c r="BJ5060" s="1"/>
      <c r="BK5060" s="1"/>
    </row>
    <row r="5061" spans="1:63" s="44" customFormat="1" ht="12" customHeight="1" x14ac:dyDescent="0.15">
      <c r="A5061" s="1" t="s">
        <v>17320</v>
      </c>
      <c r="B5061" s="1">
        <v>55</v>
      </c>
      <c r="C5061" s="1" t="s">
        <v>20</v>
      </c>
      <c r="D5061" s="1" t="s">
        <v>37</v>
      </c>
      <c r="E5061" s="1" t="s">
        <v>17321</v>
      </c>
      <c r="F5061" s="72">
        <v>41374</v>
      </c>
      <c r="G5061" s="1" t="s">
        <v>17322</v>
      </c>
      <c r="H5061" s="1" t="s">
        <v>17323</v>
      </c>
      <c r="I5061" s="1" t="s">
        <v>173</v>
      </c>
      <c r="J5061" s="4" t="s">
        <v>17324</v>
      </c>
      <c r="K5061" s="1" t="s">
        <v>1325</v>
      </c>
      <c r="L5061" s="1" t="s">
        <v>17325</v>
      </c>
      <c r="M5061" s="1" t="s">
        <v>27</v>
      </c>
      <c r="N5061" s="1" t="s">
        <v>17326</v>
      </c>
      <c r="O5061" s="1" t="s">
        <v>29</v>
      </c>
      <c r="P5061" s="1" t="s">
        <v>401</v>
      </c>
      <c r="Q5061" s="63" t="s">
        <v>17327</v>
      </c>
      <c r="R5061" s="1" t="s">
        <v>29</v>
      </c>
      <c r="S5061" s="13" t="s">
        <v>28</v>
      </c>
      <c r="T5061" s="1"/>
      <c r="U5061" s="1"/>
      <c r="V5061" s="1"/>
      <c r="W5061" s="1"/>
      <c r="X5061" s="1"/>
      <c r="Y5061" s="1"/>
      <c r="Z5061" s="1"/>
      <c r="AA5061" s="1"/>
      <c r="AB5061" s="1"/>
      <c r="AC5061" s="1"/>
      <c r="AD5061" s="1"/>
      <c r="AE5061" s="1"/>
      <c r="AF5061" s="1"/>
      <c r="AG5061" s="1"/>
      <c r="AH5061" s="1"/>
      <c r="AI5061" s="1"/>
      <c r="AJ5061" s="1"/>
      <c r="AK5061" s="1"/>
      <c r="AL5061" s="1"/>
      <c r="AM5061" s="11"/>
      <c r="AN5061" s="11"/>
      <c r="AO5061" s="11"/>
      <c r="AP5061" s="11"/>
      <c r="AQ5061" s="11"/>
      <c r="AR5061" s="11"/>
      <c r="AS5061" s="11"/>
      <c r="AT5061" s="11"/>
      <c r="AU5061" s="1"/>
      <c r="AV5061" s="1"/>
      <c r="AW5061" s="1"/>
      <c r="AX5061" s="11"/>
      <c r="AY5061" s="11"/>
      <c r="AZ5061" s="11"/>
      <c r="BA5061" s="1"/>
      <c r="BB5061" s="1"/>
      <c r="BC5061" s="1"/>
      <c r="BD5061" s="1"/>
      <c r="BE5061" s="1"/>
      <c r="BF5061" s="1"/>
      <c r="BG5061" s="1"/>
      <c r="BH5061" s="1"/>
      <c r="BI5061" s="1"/>
      <c r="BJ5061" s="1"/>
      <c r="BK5061" s="1"/>
    </row>
    <row r="5062" spans="1:63" s="44" customFormat="1" ht="12" customHeight="1" x14ac:dyDescent="0.15">
      <c r="A5062" s="1" t="s">
        <v>17328</v>
      </c>
      <c r="B5062" s="1" t="s">
        <v>13541</v>
      </c>
      <c r="C5062" s="1" t="s">
        <v>20</v>
      </c>
      <c r="D5062" s="1" t="s">
        <v>37</v>
      </c>
      <c r="E5062" s="1" t="s">
        <v>17329</v>
      </c>
      <c r="F5062" s="72">
        <v>41374</v>
      </c>
      <c r="G5062" s="1" t="s">
        <v>17330</v>
      </c>
      <c r="H5062" s="1" t="s">
        <v>1192</v>
      </c>
      <c r="I5062" s="1" t="s">
        <v>319</v>
      </c>
      <c r="J5062" s="4">
        <v>38134</v>
      </c>
      <c r="K5062" s="1" t="s">
        <v>1193</v>
      </c>
      <c r="L5062" s="1" t="s">
        <v>1194</v>
      </c>
      <c r="M5062" s="1" t="s">
        <v>27</v>
      </c>
      <c r="N5062" s="1" t="s">
        <v>17331</v>
      </c>
      <c r="O5062" s="1" t="s">
        <v>29</v>
      </c>
      <c r="P5062" s="1" t="s">
        <v>401</v>
      </c>
      <c r="Q5062" s="63" t="s">
        <v>17332</v>
      </c>
      <c r="R5062" s="1" t="s">
        <v>29</v>
      </c>
      <c r="S5062" s="13" t="s">
        <v>28</v>
      </c>
      <c r="T5062" s="1"/>
      <c r="U5062" s="1"/>
      <c r="V5062" s="1"/>
      <c r="W5062" s="1"/>
      <c r="X5062" s="1"/>
      <c r="Y5062" s="1"/>
      <c r="Z5062" s="1"/>
      <c r="AA5062" s="1"/>
      <c r="AB5062" s="1"/>
      <c r="AC5062" s="1"/>
      <c r="AD5062" s="1"/>
      <c r="AE5062" s="1"/>
      <c r="AF5062" s="1"/>
      <c r="AG5062" s="1"/>
      <c r="AH5062" s="1"/>
      <c r="AI5062" s="1"/>
      <c r="AJ5062" s="1"/>
      <c r="AK5062" s="1"/>
      <c r="AL5062" s="1"/>
      <c r="AM5062" s="11"/>
      <c r="AN5062" s="11"/>
      <c r="AO5062" s="11"/>
      <c r="AP5062" s="11"/>
      <c r="AQ5062" s="11"/>
      <c r="AR5062" s="11"/>
      <c r="AS5062" s="11"/>
      <c r="AT5062" s="11"/>
      <c r="AU5062" s="1"/>
      <c r="AV5062" s="1"/>
      <c r="AW5062" s="1"/>
      <c r="AX5062" s="11"/>
      <c r="AY5062" s="11"/>
      <c r="AZ5062" s="11"/>
      <c r="BA5062" s="1"/>
      <c r="BB5062" s="1"/>
      <c r="BC5062" s="1"/>
      <c r="BD5062" s="1"/>
      <c r="BE5062" s="1"/>
      <c r="BF5062" s="1"/>
      <c r="BG5062" s="1"/>
      <c r="BH5062" s="1"/>
      <c r="BI5062" s="1"/>
      <c r="BJ5062" s="1"/>
      <c r="BK5062" s="1"/>
    </row>
    <row r="5063" spans="1:63" s="44" customFormat="1" ht="12" customHeight="1" x14ac:dyDescent="0.15">
      <c r="A5063" s="1" t="s">
        <v>17350</v>
      </c>
      <c r="B5063" s="1">
        <v>23</v>
      </c>
      <c r="C5063" s="1" t="s">
        <v>20</v>
      </c>
      <c r="D5063" s="1" t="s">
        <v>37</v>
      </c>
      <c r="E5063" s="1" t="s">
        <v>17351</v>
      </c>
      <c r="F5063" s="72">
        <v>41373</v>
      </c>
      <c r="G5063" s="1" t="s">
        <v>17352</v>
      </c>
      <c r="H5063" s="1" t="s">
        <v>1094</v>
      </c>
      <c r="I5063" s="1" t="s">
        <v>395</v>
      </c>
      <c r="J5063" s="4" t="s">
        <v>17347</v>
      </c>
      <c r="K5063" s="1" t="s">
        <v>1095</v>
      </c>
      <c r="L5063" s="1" t="s">
        <v>1096</v>
      </c>
      <c r="M5063" s="1" t="s">
        <v>27</v>
      </c>
      <c r="N5063" s="1" t="s">
        <v>17348</v>
      </c>
      <c r="O5063" s="1" t="s">
        <v>550</v>
      </c>
      <c r="P5063" s="1" t="s">
        <v>401</v>
      </c>
      <c r="Q5063" s="63" t="s">
        <v>17349</v>
      </c>
      <c r="R5063" s="1" t="s">
        <v>100</v>
      </c>
      <c r="S5063" s="13" t="s">
        <v>28</v>
      </c>
      <c r="T5063" s="1"/>
      <c r="U5063" s="1"/>
      <c r="V5063" s="1"/>
      <c r="W5063" s="1"/>
      <c r="X5063" s="1"/>
      <c r="Y5063" s="1"/>
      <c r="Z5063" s="1"/>
      <c r="AA5063" s="1"/>
      <c r="AB5063" s="1"/>
      <c r="AC5063" s="1"/>
      <c r="AD5063" s="1"/>
      <c r="AE5063" s="1"/>
      <c r="AF5063" s="1"/>
      <c r="AG5063" s="1"/>
      <c r="AH5063" s="1"/>
      <c r="AI5063" s="1"/>
      <c r="AJ5063" s="1"/>
      <c r="AK5063" s="1"/>
      <c r="AL5063" s="1"/>
      <c r="AM5063" s="11"/>
      <c r="AN5063" s="11"/>
      <c r="AO5063" s="11"/>
      <c r="AP5063" s="11"/>
      <c r="AQ5063" s="11"/>
      <c r="AR5063" s="11"/>
      <c r="AS5063" s="11"/>
      <c r="AT5063" s="11"/>
      <c r="AU5063" s="1"/>
      <c r="AV5063" s="1"/>
      <c r="AW5063" s="1"/>
      <c r="AX5063" s="11"/>
      <c r="AY5063" s="11"/>
      <c r="AZ5063" s="11"/>
      <c r="BA5063" s="1"/>
      <c r="BB5063" s="1"/>
      <c r="BC5063" s="1"/>
      <c r="BD5063" s="1"/>
      <c r="BE5063" s="1"/>
      <c r="BF5063" s="1"/>
      <c r="BG5063" s="1"/>
      <c r="BH5063" s="1"/>
      <c r="BI5063" s="1"/>
      <c r="BJ5063" s="1"/>
      <c r="BK5063" s="1"/>
    </row>
    <row r="5064" spans="1:63" s="44" customFormat="1" ht="12" customHeight="1" x14ac:dyDescent="0.15">
      <c r="A5064" s="1" t="s">
        <v>17344</v>
      </c>
      <c r="B5064" s="1">
        <v>20</v>
      </c>
      <c r="C5064" s="1" t="s">
        <v>20</v>
      </c>
      <c r="D5064" s="1" t="s">
        <v>37</v>
      </c>
      <c r="E5064" s="1" t="s">
        <v>17345</v>
      </c>
      <c r="F5064" s="72">
        <v>41373</v>
      </c>
      <c r="G5064" s="1" t="s">
        <v>17346</v>
      </c>
      <c r="H5064" s="1" t="s">
        <v>1094</v>
      </c>
      <c r="I5064" s="1" t="s">
        <v>395</v>
      </c>
      <c r="J5064" s="4" t="s">
        <v>17347</v>
      </c>
      <c r="K5064" s="1" t="s">
        <v>1095</v>
      </c>
      <c r="L5064" s="1" t="s">
        <v>1096</v>
      </c>
      <c r="M5064" s="1" t="s">
        <v>27</v>
      </c>
      <c r="N5064" s="1" t="s">
        <v>17348</v>
      </c>
      <c r="O5064" s="1" t="s">
        <v>550</v>
      </c>
      <c r="P5064" s="1" t="s">
        <v>401</v>
      </c>
      <c r="Q5064" s="63" t="s">
        <v>17349</v>
      </c>
      <c r="R5064" s="1" t="s">
        <v>100</v>
      </c>
      <c r="S5064" s="13" t="s">
        <v>28</v>
      </c>
      <c r="T5064" s="1"/>
      <c r="U5064" s="1"/>
      <c r="V5064" s="1"/>
      <c r="W5064" s="1"/>
      <c r="X5064" s="1"/>
      <c r="Y5064" s="1"/>
      <c r="Z5064" s="1"/>
      <c r="AA5064" s="1"/>
      <c r="AB5064" s="1"/>
      <c r="AC5064" s="1"/>
      <c r="AD5064" s="1"/>
      <c r="AE5064" s="1"/>
      <c r="AF5064" s="1"/>
      <c r="AG5064" s="1"/>
      <c r="AH5064" s="1"/>
      <c r="AI5064" s="1"/>
      <c r="AJ5064" s="1"/>
      <c r="AK5064" s="1"/>
      <c r="AL5064" s="1"/>
      <c r="AM5064" s="11"/>
      <c r="AN5064" s="11"/>
      <c r="AO5064" s="11"/>
      <c r="AP5064" s="11"/>
      <c r="AQ5064" s="11"/>
      <c r="AR5064" s="11"/>
      <c r="AS5064" s="11"/>
      <c r="AT5064" s="11"/>
      <c r="AU5064" s="1"/>
      <c r="AV5064" s="1"/>
      <c r="AW5064" s="1"/>
      <c r="AX5064" s="11"/>
      <c r="AY5064" s="11"/>
      <c r="AZ5064" s="11"/>
      <c r="BA5064" s="1"/>
      <c r="BB5064" s="1"/>
      <c r="BC5064" s="1"/>
      <c r="BD5064" s="1"/>
      <c r="BE5064" s="1"/>
      <c r="BF5064" s="1"/>
      <c r="BG5064" s="1"/>
      <c r="BH5064" s="1"/>
      <c r="BI5064" s="1"/>
      <c r="BJ5064" s="1"/>
      <c r="BK5064" s="1"/>
    </row>
    <row r="5065" spans="1:63" s="44" customFormat="1" ht="12" customHeight="1" x14ac:dyDescent="0.15">
      <c r="A5065" s="1" t="s">
        <v>17340</v>
      </c>
      <c r="B5065" s="1">
        <v>25</v>
      </c>
      <c r="C5065" s="1" t="s">
        <v>20</v>
      </c>
      <c r="D5065" s="1" t="s">
        <v>48</v>
      </c>
      <c r="E5065" s="1"/>
      <c r="F5065" s="72">
        <v>41373</v>
      </c>
      <c r="G5065" s="1" t="s">
        <v>17341</v>
      </c>
      <c r="H5065" s="1" t="s">
        <v>7554</v>
      </c>
      <c r="I5065" s="1" t="s">
        <v>45</v>
      </c>
      <c r="J5065" s="4" t="s">
        <v>7555</v>
      </c>
      <c r="K5065" s="1" t="s">
        <v>98</v>
      </c>
      <c r="L5065" s="1" t="s">
        <v>14111</v>
      </c>
      <c r="M5065" s="1" t="s">
        <v>27</v>
      </c>
      <c r="N5065" s="1" t="s">
        <v>17342</v>
      </c>
      <c r="O5065" s="1" t="s">
        <v>1010</v>
      </c>
      <c r="P5065" s="1" t="s">
        <v>401</v>
      </c>
      <c r="Q5065" s="63" t="s">
        <v>17343</v>
      </c>
      <c r="R5065" s="1" t="s">
        <v>29</v>
      </c>
      <c r="S5065" s="13" t="s">
        <v>28</v>
      </c>
      <c r="T5065" s="1"/>
      <c r="U5065" s="1"/>
      <c r="V5065" s="1"/>
      <c r="W5065" s="1"/>
      <c r="X5065" s="1"/>
      <c r="Y5065" s="1"/>
      <c r="Z5065" s="1"/>
      <c r="AA5065" s="1"/>
      <c r="AB5065" s="1"/>
      <c r="AC5065" s="1"/>
      <c r="AD5065" s="1"/>
      <c r="AE5065" s="1"/>
      <c r="AF5065" s="1"/>
      <c r="AG5065" s="1"/>
      <c r="AH5065" s="1"/>
      <c r="AI5065" s="1"/>
      <c r="AJ5065" s="1"/>
      <c r="AK5065" s="1"/>
      <c r="AL5065" s="1"/>
      <c r="AM5065" s="11"/>
      <c r="AN5065" s="11"/>
      <c r="AO5065" s="11"/>
      <c r="AP5065" s="11"/>
      <c r="AQ5065" s="11"/>
      <c r="AR5065" s="11"/>
      <c r="AS5065" s="11"/>
      <c r="AT5065" s="11"/>
      <c r="AU5065" s="1"/>
      <c r="AV5065" s="1"/>
      <c r="AW5065" s="1"/>
      <c r="AX5065" s="1"/>
      <c r="AY5065" s="1"/>
      <c r="AZ5065" s="1"/>
      <c r="BA5065" s="1"/>
      <c r="BB5065" s="1"/>
      <c r="BC5065" s="1"/>
      <c r="BD5065" s="1"/>
      <c r="BE5065" s="1"/>
      <c r="BF5065" s="1"/>
      <c r="BG5065" s="1"/>
      <c r="BH5065" s="1"/>
      <c r="BI5065" s="1"/>
      <c r="BJ5065" s="1"/>
      <c r="BK5065" s="1"/>
    </row>
    <row r="5066" spans="1:63" s="44" customFormat="1" ht="12" customHeight="1" x14ac:dyDescent="0.15">
      <c r="A5066" s="8" t="s">
        <v>29665</v>
      </c>
      <c r="B5066" s="8">
        <v>37</v>
      </c>
      <c r="C5066" s="8" t="s">
        <v>20</v>
      </c>
      <c r="D5066" s="11" t="s">
        <v>85</v>
      </c>
      <c r="E5066" s="8"/>
      <c r="F5066" s="72">
        <v>41372</v>
      </c>
      <c r="G5066" s="8" t="s">
        <v>29666</v>
      </c>
      <c r="H5066" s="8" t="s">
        <v>189</v>
      </c>
      <c r="I5066" s="8" t="s">
        <v>25</v>
      </c>
      <c r="J5066" s="8">
        <v>70806</v>
      </c>
      <c r="K5066" s="16" t="s">
        <v>3743</v>
      </c>
      <c r="L5066" s="8" t="s">
        <v>1683</v>
      </c>
      <c r="M5066" s="2" t="s">
        <v>27</v>
      </c>
      <c r="N5066" s="8" t="s">
        <v>29667</v>
      </c>
      <c r="O5066" s="8" t="s">
        <v>400</v>
      </c>
      <c r="P5066" s="8" t="s">
        <v>401</v>
      </c>
      <c r="Q5066" s="14" t="s">
        <v>29668</v>
      </c>
      <c r="R5066" s="8" t="s">
        <v>555</v>
      </c>
      <c r="S5066" s="8" t="s">
        <v>28</v>
      </c>
      <c r="T5066" s="8"/>
      <c r="AU5066" s="11"/>
      <c r="AV5066" s="11"/>
      <c r="AX5066" s="1"/>
      <c r="AY5066" s="1"/>
      <c r="AZ5066" s="1"/>
      <c r="BA5066" s="1"/>
      <c r="BB5066" s="1"/>
      <c r="BK5066" s="1"/>
    </row>
    <row r="5067" spans="1:63" s="44" customFormat="1" ht="12" customHeight="1" x14ac:dyDescent="0.15">
      <c r="A5067" s="1" t="s">
        <v>17357</v>
      </c>
      <c r="B5067" s="1" t="s">
        <v>9368</v>
      </c>
      <c r="C5067" s="1" t="s">
        <v>20</v>
      </c>
      <c r="D5067" s="1" t="s">
        <v>30</v>
      </c>
      <c r="E5067" s="1"/>
      <c r="F5067" s="72">
        <v>41371</v>
      </c>
      <c r="G5067" s="1" t="s">
        <v>17358</v>
      </c>
      <c r="H5067" s="1" t="s">
        <v>17359</v>
      </c>
      <c r="I5067" s="1" t="s">
        <v>46</v>
      </c>
      <c r="J5067" s="4" t="s">
        <v>17360</v>
      </c>
      <c r="K5067" s="1" t="s">
        <v>8933</v>
      </c>
      <c r="L5067" s="1" t="s">
        <v>17229</v>
      </c>
      <c r="M5067" s="1" t="s">
        <v>27</v>
      </c>
      <c r="N5067" s="1" t="s">
        <v>17361</v>
      </c>
      <c r="O5067" s="1" t="s">
        <v>550</v>
      </c>
      <c r="P5067" s="1" t="s">
        <v>401</v>
      </c>
      <c r="Q5067" s="63" t="s">
        <v>17362</v>
      </c>
      <c r="R5067" s="1" t="s">
        <v>100</v>
      </c>
      <c r="S5067" s="13" t="s">
        <v>28</v>
      </c>
      <c r="T5067" s="1"/>
      <c r="U5067" s="1"/>
      <c r="V5067" s="1"/>
      <c r="W5067" s="1"/>
      <c r="X5067" s="1"/>
      <c r="Y5067" s="1"/>
      <c r="Z5067" s="1"/>
      <c r="AA5067" s="1"/>
      <c r="AB5067" s="1"/>
      <c r="AC5067" s="1"/>
      <c r="AD5067" s="1"/>
      <c r="AE5067" s="1"/>
      <c r="AF5067" s="1"/>
      <c r="AG5067" s="1"/>
      <c r="AH5067" s="1"/>
      <c r="AI5067" s="1"/>
      <c r="AJ5067" s="1"/>
      <c r="AK5067" s="1"/>
      <c r="AL5067" s="1"/>
      <c r="AM5067" s="11"/>
      <c r="AN5067" s="11"/>
      <c r="AO5067" s="11"/>
      <c r="AP5067" s="11"/>
      <c r="AQ5067" s="11"/>
      <c r="AR5067" s="11"/>
      <c r="AS5067" s="11"/>
      <c r="AT5067" s="11"/>
      <c r="AU5067" s="1"/>
      <c r="AV5067" s="1"/>
      <c r="AW5067" s="1"/>
      <c r="AX5067" s="1"/>
      <c r="AY5067" s="1"/>
      <c r="AZ5067" s="1"/>
      <c r="BA5067" s="1"/>
      <c r="BB5067" s="1"/>
      <c r="BC5067" s="1"/>
      <c r="BD5067" s="1"/>
      <c r="BE5067" s="1"/>
      <c r="BF5067" s="1"/>
      <c r="BG5067" s="1"/>
      <c r="BH5067" s="1"/>
      <c r="BI5067" s="1"/>
      <c r="BJ5067" s="1"/>
      <c r="BK5067" s="1"/>
    </row>
    <row r="5068" spans="1:63" s="44" customFormat="1" ht="12" customHeight="1" x14ac:dyDescent="0.15">
      <c r="A5068" s="1" t="s">
        <v>17353</v>
      </c>
      <c r="B5068" s="1" t="s">
        <v>16278</v>
      </c>
      <c r="C5068" s="1" t="s">
        <v>20</v>
      </c>
      <c r="D5068" s="1" t="s">
        <v>85</v>
      </c>
      <c r="E5068" s="1" t="s">
        <v>17354</v>
      </c>
      <c r="F5068" s="72">
        <v>41371</v>
      </c>
      <c r="G5068" s="1" t="s">
        <v>7688</v>
      </c>
      <c r="H5068" s="1" t="s">
        <v>632</v>
      </c>
      <c r="I5068" s="1" t="s">
        <v>123</v>
      </c>
      <c r="J5068" s="4" t="s">
        <v>4614</v>
      </c>
      <c r="K5068" s="1" t="s">
        <v>633</v>
      </c>
      <c r="L5068" s="1" t="s">
        <v>11142</v>
      </c>
      <c r="M5068" s="1" t="s">
        <v>27</v>
      </c>
      <c r="N5068" s="1" t="s">
        <v>17355</v>
      </c>
      <c r="O5068" s="1" t="s">
        <v>550</v>
      </c>
      <c r="P5068" s="1" t="s">
        <v>401</v>
      </c>
      <c r="Q5068" s="63" t="s">
        <v>17356</v>
      </c>
      <c r="R5068" s="1" t="s">
        <v>100</v>
      </c>
      <c r="S5068" s="13" t="s">
        <v>379</v>
      </c>
      <c r="T5068" s="1"/>
      <c r="U5068" s="1"/>
      <c r="V5068" s="1"/>
      <c r="W5068" s="1"/>
      <c r="X5068" s="1"/>
      <c r="Y5068" s="1"/>
      <c r="Z5068" s="1"/>
      <c r="AA5068" s="1"/>
      <c r="AB5068" s="1"/>
      <c r="AC5068" s="1"/>
      <c r="AD5068" s="1"/>
      <c r="AE5068" s="1"/>
      <c r="AF5068" s="1"/>
      <c r="AG5068" s="1"/>
      <c r="AH5068" s="1"/>
      <c r="AI5068" s="1"/>
      <c r="AJ5068" s="1"/>
      <c r="AK5068" s="1"/>
      <c r="AL5068" s="1"/>
      <c r="AM5068" s="11"/>
      <c r="AN5068" s="11"/>
      <c r="AO5068" s="11"/>
      <c r="AP5068" s="11"/>
      <c r="AQ5068" s="11"/>
      <c r="AR5068" s="11"/>
      <c r="AS5068" s="11"/>
      <c r="AT5068" s="11"/>
      <c r="AU5068" s="1"/>
      <c r="AV5068" s="1"/>
      <c r="AW5068" s="1"/>
      <c r="AX5068" s="11"/>
      <c r="AY5068" s="11"/>
      <c r="AZ5068" s="1"/>
      <c r="BA5068" s="1"/>
      <c r="BB5068" s="1"/>
      <c r="BK5068" s="1"/>
    </row>
    <row r="5069" spans="1:63" s="44" customFormat="1" ht="12" customHeight="1" x14ac:dyDescent="0.15">
      <c r="A5069" s="1" t="s">
        <v>17363</v>
      </c>
      <c r="B5069" s="1">
        <v>18</v>
      </c>
      <c r="C5069" s="1" t="s">
        <v>114</v>
      </c>
      <c r="D5069" s="1" t="s">
        <v>85</v>
      </c>
      <c r="E5069" s="1"/>
      <c r="F5069" s="72">
        <v>41370</v>
      </c>
      <c r="G5069" s="1" t="s">
        <v>17364</v>
      </c>
      <c r="H5069" s="1" t="s">
        <v>5536</v>
      </c>
      <c r="I5069" s="1" t="s">
        <v>62</v>
      </c>
      <c r="J5069" s="4" t="s">
        <v>17365</v>
      </c>
      <c r="K5069" s="1" t="s">
        <v>9145</v>
      </c>
      <c r="L5069" s="1" t="s">
        <v>9194</v>
      </c>
      <c r="M5069" s="1" t="s">
        <v>379</v>
      </c>
      <c r="N5069" s="1" t="s">
        <v>17366</v>
      </c>
      <c r="O5069" s="1" t="s">
        <v>1010</v>
      </c>
      <c r="P5069" s="1" t="s">
        <v>401</v>
      </c>
      <c r="Q5069" s="63" t="s">
        <v>21177</v>
      </c>
      <c r="R5069" s="1" t="s">
        <v>100</v>
      </c>
      <c r="S5069" s="13" t="s">
        <v>35</v>
      </c>
      <c r="T5069" s="1"/>
      <c r="U5069" s="1"/>
      <c r="V5069" s="1"/>
      <c r="W5069" s="1"/>
      <c r="X5069" s="1"/>
      <c r="Y5069" s="1"/>
      <c r="Z5069" s="1"/>
      <c r="AA5069" s="1"/>
      <c r="AB5069" s="1"/>
      <c r="AC5069" s="1"/>
      <c r="AD5069" s="1"/>
      <c r="AE5069" s="1"/>
      <c r="AF5069" s="1"/>
      <c r="AG5069" s="1"/>
      <c r="AH5069" s="1"/>
      <c r="AI5069" s="1"/>
      <c r="AJ5069" s="1"/>
      <c r="AK5069" s="1"/>
      <c r="AL5069" s="1"/>
      <c r="AM5069" s="11"/>
      <c r="AN5069" s="11"/>
      <c r="AO5069" s="11"/>
      <c r="AP5069" s="11"/>
      <c r="AQ5069" s="11"/>
      <c r="AR5069" s="11"/>
      <c r="AS5069" s="11"/>
      <c r="AT5069" s="11"/>
      <c r="AU5069" s="1"/>
      <c r="AV5069" s="1"/>
      <c r="AW5069" s="1"/>
      <c r="AX5069" s="1"/>
      <c r="AY5069" s="1"/>
      <c r="AZ5069" s="1"/>
      <c r="BA5069" s="1"/>
      <c r="BB5069" s="1"/>
      <c r="BK5069" s="11"/>
    </row>
    <row r="5070" spans="1:63" s="44" customFormat="1" ht="12" customHeight="1" x14ac:dyDescent="0.15">
      <c r="A5070" s="1" t="s">
        <v>17367</v>
      </c>
      <c r="B5070" s="1">
        <v>20</v>
      </c>
      <c r="C5070" s="1" t="s">
        <v>20</v>
      </c>
      <c r="D5070" s="1" t="s">
        <v>85</v>
      </c>
      <c r="E5070" s="1" t="s">
        <v>17368</v>
      </c>
      <c r="F5070" s="72">
        <v>41370</v>
      </c>
      <c r="G5070" s="1" t="s">
        <v>17364</v>
      </c>
      <c r="H5070" s="1" t="s">
        <v>5536</v>
      </c>
      <c r="I5070" s="1" t="s">
        <v>62</v>
      </c>
      <c r="J5070" s="4" t="s">
        <v>17365</v>
      </c>
      <c r="K5070" s="1" t="s">
        <v>9145</v>
      </c>
      <c r="L5070" s="1" t="s">
        <v>9194</v>
      </c>
      <c r="M5070" s="1" t="s">
        <v>379</v>
      </c>
      <c r="N5070" s="1" t="s">
        <v>21182</v>
      </c>
      <c r="O5070" s="1" t="s">
        <v>1010</v>
      </c>
      <c r="P5070" s="1" t="s">
        <v>401</v>
      </c>
      <c r="Q5070" s="63" t="s">
        <v>21177</v>
      </c>
      <c r="R5070" s="1" t="s">
        <v>100</v>
      </c>
      <c r="S5070" s="13" t="s">
        <v>35</v>
      </c>
      <c r="T5070" s="1"/>
      <c r="U5070" s="1"/>
      <c r="V5070" s="1"/>
      <c r="W5070" s="1"/>
      <c r="X5070" s="1"/>
      <c r="Y5070" s="1"/>
      <c r="Z5070" s="1"/>
      <c r="AA5070" s="1"/>
      <c r="AB5070" s="1"/>
      <c r="AC5070" s="1"/>
      <c r="AD5070" s="1"/>
      <c r="AE5070" s="1"/>
      <c r="AF5070" s="1"/>
      <c r="AG5070" s="1"/>
      <c r="AH5070" s="1"/>
      <c r="AI5070" s="1"/>
      <c r="AJ5070" s="1"/>
      <c r="AK5070" s="1"/>
      <c r="AL5070" s="1"/>
      <c r="AM5070" s="11"/>
      <c r="AN5070" s="11"/>
      <c r="AO5070" s="11"/>
      <c r="AP5070" s="11"/>
      <c r="AQ5070" s="11"/>
      <c r="AR5070" s="11"/>
      <c r="AS5070" s="11"/>
      <c r="AT5070" s="11"/>
      <c r="AU5070" s="1"/>
      <c r="AV5070" s="1"/>
      <c r="AW5070" s="1"/>
      <c r="AX5070" s="1"/>
      <c r="AY5070" s="1"/>
      <c r="AZ5070" s="1"/>
      <c r="BA5070" s="1"/>
      <c r="BB5070" s="1"/>
      <c r="BK5070" s="11"/>
    </row>
    <row r="5071" spans="1:63" s="44" customFormat="1" ht="12" customHeight="1" x14ac:dyDescent="0.15">
      <c r="A5071" s="1" t="s">
        <v>17369</v>
      </c>
      <c r="B5071" s="1">
        <v>27</v>
      </c>
      <c r="C5071" s="1" t="s">
        <v>20</v>
      </c>
      <c r="D5071" s="1" t="s">
        <v>30</v>
      </c>
      <c r="E5071" s="1"/>
      <c r="F5071" s="72">
        <v>41369</v>
      </c>
      <c r="G5071" s="1" t="s">
        <v>17370</v>
      </c>
      <c r="H5071" s="1" t="s">
        <v>8763</v>
      </c>
      <c r="I5071" s="1" t="s">
        <v>330</v>
      </c>
      <c r="J5071" s="4" t="s">
        <v>4418</v>
      </c>
      <c r="K5071" s="1" t="s">
        <v>7216</v>
      </c>
      <c r="L5071" s="1" t="s">
        <v>4419</v>
      </c>
      <c r="M5071" s="1" t="s">
        <v>27</v>
      </c>
      <c r="N5071" s="1" t="s">
        <v>17371</v>
      </c>
      <c r="O5071" s="1" t="s">
        <v>550</v>
      </c>
      <c r="P5071" s="1" t="s">
        <v>401</v>
      </c>
      <c r="Q5071" s="63" t="s">
        <v>17372</v>
      </c>
      <c r="R5071" s="1" t="s">
        <v>29</v>
      </c>
      <c r="S5071" s="13" t="s">
        <v>28</v>
      </c>
      <c r="T5071" s="1"/>
      <c r="U5071" s="1"/>
      <c r="V5071" s="1"/>
      <c r="W5071" s="1"/>
      <c r="X5071" s="1"/>
      <c r="Y5071" s="1"/>
      <c r="Z5071" s="1"/>
      <c r="AA5071" s="1"/>
      <c r="AB5071" s="1"/>
      <c r="AC5071" s="1"/>
      <c r="AD5071" s="1"/>
      <c r="AE5071" s="1"/>
      <c r="AF5071" s="1"/>
      <c r="AG5071" s="1"/>
      <c r="AH5071" s="1"/>
      <c r="AI5071" s="1"/>
      <c r="AJ5071" s="1"/>
      <c r="AK5071" s="1"/>
      <c r="AL5071" s="1"/>
      <c r="AM5071" s="11"/>
      <c r="AN5071" s="11"/>
      <c r="AO5071" s="11"/>
      <c r="AP5071" s="11"/>
      <c r="AQ5071" s="11"/>
      <c r="AR5071" s="11"/>
      <c r="AS5071" s="11"/>
      <c r="AT5071" s="11"/>
      <c r="AU5071" s="1"/>
      <c r="AV5071" s="1"/>
      <c r="AW5071" s="1"/>
      <c r="AX5071" s="1"/>
      <c r="AY5071" s="1"/>
      <c r="AZ5071" s="1"/>
      <c r="BA5071" s="1"/>
      <c r="BB5071" s="1"/>
      <c r="BC5071" s="1"/>
      <c r="BD5071" s="1"/>
      <c r="BE5071" s="1"/>
      <c r="BF5071" s="1"/>
      <c r="BG5071" s="1"/>
      <c r="BH5071" s="1"/>
      <c r="BI5071" s="1"/>
      <c r="BJ5071" s="1"/>
      <c r="BK5071" s="1"/>
    </row>
    <row r="5072" spans="1:63" s="44" customFormat="1" ht="12" customHeight="1" x14ac:dyDescent="0.15">
      <c r="A5072" s="1" t="s">
        <v>17378</v>
      </c>
      <c r="B5072" s="1">
        <v>50</v>
      </c>
      <c r="C5072" s="1" t="s">
        <v>20</v>
      </c>
      <c r="D5072" s="1" t="s">
        <v>30</v>
      </c>
      <c r="E5072" s="1"/>
      <c r="F5072" s="72">
        <v>41368</v>
      </c>
      <c r="G5072" s="1" t="s">
        <v>17379</v>
      </c>
      <c r="H5072" s="1" t="s">
        <v>98</v>
      </c>
      <c r="I5072" s="1" t="s">
        <v>45</v>
      </c>
      <c r="J5072" s="4">
        <v>90004</v>
      </c>
      <c r="K5072" s="1" t="s">
        <v>98</v>
      </c>
      <c r="L5072" s="1" t="s">
        <v>99</v>
      </c>
      <c r="M5072" s="1" t="s">
        <v>391</v>
      </c>
      <c r="N5072" s="1" t="s">
        <v>17380</v>
      </c>
      <c r="O5072" s="1" t="s">
        <v>29</v>
      </c>
      <c r="P5072" s="1" t="s">
        <v>401</v>
      </c>
      <c r="Q5072" s="63" t="s">
        <v>17381</v>
      </c>
      <c r="R5072" s="1" t="s">
        <v>100</v>
      </c>
      <c r="S5072" s="13" t="s">
        <v>28</v>
      </c>
      <c r="T5072" s="1"/>
      <c r="U5072" s="1"/>
      <c r="V5072" s="1"/>
      <c r="W5072" s="1"/>
      <c r="X5072" s="1"/>
      <c r="Y5072" s="1"/>
      <c r="Z5072" s="1"/>
      <c r="AA5072" s="1"/>
      <c r="AB5072" s="1"/>
      <c r="AC5072" s="1"/>
      <c r="AD5072" s="1"/>
      <c r="AE5072" s="1"/>
      <c r="AF5072" s="1"/>
      <c r="AG5072" s="1"/>
      <c r="AH5072" s="1"/>
      <c r="AI5072" s="1"/>
      <c r="AJ5072" s="1"/>
      <c r="AK5072" s="1"/>
      <c r="AL5072" s="1"/>
      <c r="AM5072" s="11"/>
      <c r="AN5072" s="11"/>
      <c r="AO5072" s="11"/>
      <c r="AP5072" s="11"/>
      <c r="AQ5072" s="11"/>
      <c r="AR5072" s="11"/>
      <c r="AS5072" s="11"/>
      <c r="AT5072" s="11"/>
      <c r="AU5072" s="11"/>
      <c r="AV5072" s="11"/>
      <c r="AW5072" s="11"/>
      <c r="AX5072" s="1"/>
      <c r="AY5072" s="1"/>
      <c r="AZ5072" s="1"/>
      <c r="BA5072" s="1"/>
      <c r="BB5072" s="1"/>
      <c r="BC5072" s="1"/>
      <c r="BD5072" s="1"/>
      <c r="BE5072" s="1"/>
      <c r="BF5072" s="1"/>
      <c r="BG5072" s="1"/>
      <c r="BH5072" s="1"/>
      <c r="BI5072" s="1"/>
      <c r="BJ5072" s="1"/>
      <c r="BK5072" s="1"/>
    </row>
    <row r="5073" spans="1:63" s="44" customFormat="1" ht="12" customHeight="1" x14ac:dyDescent="0.15">
      <c r="A5073" s="1" t="s">
        <v>17373</v>
      </c>
      <c r="B5073" s="1">
        <v>20</v>
      </c>
      <c r="C5073" s="1" t="s">
        <v>20</v>
      </c>
      <c r="D5073" s="1" t="s">
        <v>85</v>
      </c>
      <c r="E5073" s="1" t="s">
        <v>17374</v>
      </c>
      <c r="F5073" s="72">
        <v>41368</v>
      </c>
      <c r="G5073" s="1" t="s">
        <v>17375</v>
      </c>
      <c r="H5073" s="1" t="s">
        <v>1055</v>
      </c>
      <c r="I5073" s="1" t="s">
        <v>69</v>
      </c>
      <c r="J5073" s="4" t="s">
        <v>17376</v>
      </c>
      <c r="K5073" s="1" t="s">
        <v>1056</v>
      </c>
      <c r="L5073" s="1" t="s">
        <v>405</v>
      </c>
      <c r="M5073" s="1" t="s">
        <v>27</v>
      </c>
      <c r="N5073" s="1" t="s">
        <v>17377</v>
      </c>
      <c r="O5073" s="1" t="s">
        <v>550</v>
      </c>
      <c r="P5073" s="1" t="s">
        <v>401</v>
      </c>
      <c r="Q5073" s="63" t="str">
        <f>HYPERLINK("http://www.daytondailynews.com/news/news/crime-law/fbi-working-at-shooting-site/nXDWH/","http://www.daytondailynews.com/news/news/crime-law/fbi-working-at-shooting-site/nXDWH/")</f>
        <v>http://www.daytondailynews.com/news/news/crime-law/fbi-working-at-shooting-site/nXDWH/</v>
      </c>
      <c r="R5073" s="1" t="s">
        <v>100</v>
      </c>
      <c r="S5073" s="13" t="s">
        <v>35</v>
      </c>
      <c r="T5073" s="1"/>
      <c r="U5073" s="1"/>
      <c r="V5073" s="1"/>
      <c r="W5073" s="1"/>
      <c r="X5073" s="1"/>
      <c r="Y5073" s="1"/>
      <c r="Z5073" s="1"/>
      <c r="AA5073" s="1"/>
      <c r="AB5073" s="1"/>
      <c r="AC5073" s="1"/>
      <c r="AD5073" s="1"/>
      <c r="AE5073" s="1"/>
      <c r="AF5073" s="1"/>
      <c r="AG5073" s="1"/>
      <c r="AH5073" s="1"/>
      <c r="AI5073" s="1"/>
      <c r="AJ5073" s="1"/>
      <c r="AK5073" s="1"/>
      <c r="AL5073" s="1"/>
      <c r="AM5073" s="11"/>
      <c r="AN5073" s="11"/>
      <c r="AO5073" s="11"/>
      <c r="AP5073" s="11"/>
      <c r="AQ5073" s="11"/>
      <c r="AR5073" s="11"/>
      <c r="AS5073" s="11"/>
      <c r="AT5073" s="11"/>
      <c r="AU5073" s="1"/>
      <c r="AV5073" s="1"/>
      <c r="AW5073" s="1"/>
      <c r="AX5073" s="11"/>
      <c r="AY5073" s="11"/>
      <c r="AZ5073" s="1"/>
      <c r="BA5073" s="1"/>
      <c r="BB5073" s="1"/>
      <c r="BK5073" s="11"/>
    </row>
    <row r="5074" spans="1:63" s="44" customFormat="1" ht="12" customHeight="1" x14ac:dyDescent="0.2">
      <c r="A5074" s="1" t="s">
        <v>17389</v>
      </c>
      <c r="B5074" s="1">
        <v>31</v>
      </c>
      <c r="C5074" s="1" t="s">
        <v>20</v>
      </c>
      <c r="D5074" s="1" t="s">
        <v>21</v>
      </c>
      <c r="E5074" s="1"/>
      <c r="F5074" s="72">
        <v>41367</v>
      </c>
      <c r="G5074" s="1" t="s">
        <v>17383</v>
      </c>
      <c r="H5074" s="1" t="s">
        <v>213</v>
      </c>
      <c r="I5074" s="1" t="s">
        <v>62</v>
      </c>
      <c r="J5074" s="4" t="s">
        <v>17384</v>
      </c>
      <c r="K5074" s="1" t="s">
        <v>161</v>
      </c>
      <c r="L5074" s="1" t="s">
        <v>17385</v>
      </c>
      <c r="M5074" s="1" t="s">
        <v>379</v>
      </c>
      <c r="N5074" s="1" t="s">
        <v>17386</v>
      </c>
      <c r="O5074" s="1" t="s">
        <v>1010</v>
      </c>
      <c r="P5074" s="1" t="s">
        <v>401</v>
      </c>
      <c r="Q5074" s="63" t="s">
        <v>17387</v>
      </c>
      <c r="R5074" s="1" t="s">
        <v>100</v>
      </c>
      <c r="S5074" s="13" t="s">
        <v>28</v>
      </c>
      <c r="T5074" s="1"/>
      <c r="U5074" s="1"/>
      <c r="V5074" s="1"/>
      <c r="W5074" s="1"/>
      <c r="X5074" s="1"/>
      <c r="Y5074" s="1"/>
      <c r="Z5074" s="1"/>
      <c r="AA5074" s="1"/>
      <c r="AB5074" s="1"/>
      <c r="AC5074" s="1"/>
      <c r="AD5074" s="1"/>
      <c r="AE5074" s="1"/>
      <c r="AF5074" s="1"/>
      <c r="AG5074" s="1"/>
      <c r="AH5074" s="1"/>
      <c r="AI5074" s="1"/>
      <c r="AJ5074" s="1"/>
      <c r="AK5074" s="1"/>
      <c r="AL5074" s="1"/>
      <c r="AM5074" s="11"/>
      <c r="AN5074" s="11"/>
      <c r="AO5074" s="11"/>
      <c r="AP5074" s="11"/>
      <c r="AQ5074" s="11"/>
      <c r="AR5074" s="11"/>
      <c r="AS5074" s="11"/>
      <c r="AT5074" s="11"/>
      <c r="AU5074" s="1"/>
      <c r="AV5074" s="1"/>
      <c r="AW5074" s="1"/>
      <c r="AX5074" s="70"/>
      <c r="AY5074" s="70"/>
      <c r="AZ5074" s="1"/>
      <c r="BA5074" s="1"/>
      <c r="BB5074" s="1"/>
      <c r="BC5074" s="70"/>
      <c r="BD5074" s="70"/>
      <c r="BE5074" s="70"/>
      <c r="BF5074" s="70"/>
      <c r="BG5074" s="70"/>
      <c r="BH5074" s="70"/>
      <c r="BI5074" s="70"/>
      <c r="BJ5074" s="70"/>
      <c r="BK5074" s="1"/>
    </row>
    <row r="5075" spans="1:63" s="44" customFormat="1" ht="12" customHeight="1" x14ac:dyDescent="0.2">
      <c r="A5075" s="1" t="s">
        <v>17390</v>
      </c>
      <c r="B5075" s="1">
        <v>33</v>
      </c>
      <c r="C5075" s="1" t="s">
        <v>20</v>
      </c>
      <c r="D5075" s="1" t="s">
        <v>21</v>
      </c>
      <c r="E5075" s="1"/>
      <c r="F5075" s="72">
        <v>41367</v>
      </c>
      <c r="G5075" s="1" t="s">
        <v>17383</v>
      </c>
      <c r="H5075" s="1" t="s">
        <v>213</v>
      </c>
      <c r="I5075" s="1" t="s">
        <v>62</v>
      </c>
      <c r="J5075" s="4" t="s">
        <v>17384</v>
      </c>
      <c r="K5075" s="1" t="s">
        <v>161</v>
      </c>
      <c r="L5075" s="1" t="s">
        <v>17385</v>
      </c>
      <c r="M5075" s="1" t="s">
        <v>379</v>
      </c>
      <c r="N5075" s="1" t="s">
        <v>17386</v>
      </c>
      <c r="O5075" s="1" t="s">
        <v>1010</v>
      </c>
      <c r="P5075" s="1" t="s">
        <v>401</v>
      </c>
      <c r="Q5075" s="63" t="s">
        <v>17387</v>
      </c>
      <c r="R5075" s="1" t="s">
        <v>100</v>
      </c>
      <c r="S5075" s="13" t="s">
        <v>28</v>
      </c>
      <c r="T5075" s="1"/>
      <c r="U5075" s="1"/>
      <c r="V5075" s="1"/>
      <c r="W5075" s="1"/>
      <c r="X5075" s="1"/>
      <c r="Y5075" s="1"/>
      <c r="Z5075" s="1"/>
      <c r="AA5075" s="1"/>
      <c r="AB5075" s="1"/>
      <c r="AC5075" s="1"/>
      <c r="AD5075" s="1"/>
      <c r="AE5075" s="1"/>
      <c r="AF5075" s="1"/>
      <c r="AG5075" s="1"/>
      <c r="AH5075" s="1"/>
      <c r="AI5075" s="1"/>
      <c r="AJ5075" s="1"/>
      <c r="AK5075" s="1"/>
      <c r="AL5075" s="1"/>
      <c r="AM5075" s="11"/>
      <c r="AN5075" s="11"/>
      <c r="AO5075" s="11"/>
      <c r="AP5075" s="11"/>
      <c r="AQ5075" s="11"/>
      <c r="AR5075" s="11"/>
      <c r="AS5075" s="11"/>
      <c r="AT5075" s="11"/>
      <c r="AU5075" s="1"/>
      <c r="AV5075" s="1"/>
      <c r="AW5075" s="1"/>
      <c r="AX5075" s="70"/>
      <c r="AY5075" s="70"/>
      <c r="AZ5075" s="1"/>
      <c r="BA5075" s="1"/>
      <c r="BB5075" s="1"/>
      <c r="BC5075" s="70"/>
      <c r="BD5075" s="70"/>
      <c r="BE5075" s="70"/>
      <c r="BF5075" s="70"/>
      <c r="BG5075" s="70"/>
      <c r="BH5075" s="70"/>
      <c r="BI5075" s="70"/>
      <c r="BJ5075" s="70"/>
      <c r="BK5075" s="1"/>
    </row>
    <row r="5076" spans="1:63" s="44" customFormat="1" ht="12" customHeight="1" x14ac:dyDescent="0.2">
      <c r="A5076" s="1" t="s">
        <v>17382</v>
      </c>
      <c r="B5076" s="1">
        <v>26</v>
      </c>
      <c r="C5076" s="1" t="s">
        <v>114</v>
      </c>
      <c r="D5076" s="1" t="s">
        <v>21</v>
      </c>
      <c r="E5076" s="1"/>
      <c r="F5076" s="72">
        <v>41367</v>
      </c>
      <c r="G5076" s="1" t="s">
        <v>17383</v>
      </c>
      <c r="H5076" s="1" t="s">
        <v>213</v>
      </c>
      <c r="I5076" s="1" t="s">
        <v>62</v>
      </c>
      <c r="J5076" s="4" t="s">
        <v>17384</v>
      </c>
      <c r="K5076" s="1" t="s">
        <v>161</v>
      </c>
      <c r="L5076" s="1" t="s">
        <v>17385</v>
      </c>
      <c r="M5076" s="1" t="s">
        <v>379</v>
      </c>
      <c r="N5076" s="1" t="s">
        <v>17386</v>
      </c>
      <c r="O5076" s="1" t="s">
        <v>1010</v>
      </c>
      <c r="P5076" s="1" t="s">
        <v>401</v>
      </c>
      <c r="Q5076" s="63" t="s">
        <v>17387</v>
      </c>
      <c r="R5076" s="1" t="s">
        <v>100</v>
      </c>
      <c r="S5076" s="13" t="s">
        <v>28</v>
      </c>
      <c r="T5076" s="1"/>
      <c r="U5076" s="1"/>
      <c r="V5076" s="1"/>
      <c r="W5076" s="1"/>
      <c r="X5076" s="1"/>
      <c r="Y5076" s="1"/>
      <c r="Z5076" s="1"/>
      <c r="AA5076" s="1"/>
      <c r="AB5076" s="1"/>
      <c r="AC5076" s="1"/>
      <c r="AD5076" s="1"/>
      <c r="AE5076" s="1"/>
      <c r="AF5076" s="1"/>
      <c r="AG5076" s="1"/>
      <c r="AH5076" s="1"/>
      <c r="AI5076" s="1"/>
      <c r="AJ5076" s="1"/>
      <c r="AK5076" s="1"/>
      <c r="AL5076" s="1"/>
      <c r="AM5076" s="11"/>
      <c r="AN5076" s="11"/>
      <c r="AO5076" s="11"/>
      <c r="AP5076" s="11"/>
      <c r="AQ5076" s="11"/>
      <c r="AR5076" s="11"/>
      <c r="AS5076" s="11"/>
      <c r="AT5076" s="11"/>
      <c r="AU5076" s="1"/>
      <c r="AV5076" s="1"/>
      <c r="AW5076" s="1"/>
      <c r="AX5076" s="70"/>
      <c r="AY5076" s="70"/>
      <c r="AZ5076" s="1"/>
      <c r="BA5076" s="1"/>
      <c r="BB5076" s="1"/>
      <c r="BC5076" s="70"/>
      <c r="BD5076" s="70"/>
      <c r="BE5076" s="70"/>
      <c r="BF5076" s="70"/>
      <c r="BG5076" s="70"/>
      <c r="BH5076" s="70"/>
      <c r="BI5076" s="70"/>
      <c r="BJ5076" s="70"/>
      <c r="BK5076" s="1"/>
    </row>
    <row r="5077" spans="1:63" s="44" customFormat="1" ht="12" customHeight="1" x14ac:dyDescent="0.2">
      <c r="A5077" s="1" t="s">
        <v>17388</v>
      </c>
      <c r="B5077" s="1">
        <v>26</v>
      </c>
      <c r="C5077" s="1" t="s">
        <v>114</v>
      </c>
      <c r="D5077" s="1" t="s">
        <v>21</v>
      </c>
      <c r="E5077" s="1"/>
      <c r="F5077" s="72">
        <v>41367</v>
      </c>
      <c r="G5077" s="1" t="s">
        <v>17383</v>
      </c>
      <c r="H5077" s="1" t="s">
        <v>213</v>
      </c>
      <c r="I5077" s="1" t="s">
        <v>62</v>
      </c>
      <c r="J5077" s="4" t="s">
        <v>17384</v>
      </c>
      <c r="K5077" s="1" t="s">
        <v>161</v>
      </c>
      <c r="L5077" s="1" t="s">
        <v>17385</v>
      </c>
      <c r="M5077" s="1" t="s">
        <v>379</v>
      </c>
      <c r="N5077" s="1" t="s">
        <v>17386</v>
      </c>
      <c r="O5077" s="1" t="s">
        <v>1010</v>
      </c>
      <c r="P5077" s="1" t="s">
        <v>401</v>
      </c>
      <c r="Q5077" s="63" t="s">
        <v>17387</v>
      </c>
      <c r="R5077" s="1" t="s">
        <v>100</v>
      </c>
      <c r="S5077" s="13" t="s">
        <v>28</v>
      </c>
      <c r="T5077" s="1"/>
      <c r="U5077" s="1"/>
      <c r="V5077" s="1"/>
      <c r="W5077" s="1"/>
      <c r="X5077" s="1"/>
      <c r="Y5077" s="1"/>
      <c r="Z5077" s="1"/>
      <c r="AA5077" s="1"/>
      <c r="AB5077" s="1"/>
      <c r="AC5077" s="1"/>
      <c r="AD5077" s="1"/>
      <c r="AE5077" s="1"/>
      <c r="AF5077" s="1"/>
      <c r="AG5077" s="1"/>
      <c r="AH5077" s="1"/>
      <c r="AI5077" s="1"/>
      <c r="AJ5077" s="1"/>
      <c r="AK5077" s="1"/>
      <c r="AL5077" s="1"/>
      <c r="AM5077" s="11"/>
      <c r="AN5077" s="11"/>
      <c r="AO5077" s="11"/>
      <c r="AP5077" s="11"/>
      <c r="AQ5077" s="11"/>
      <c r="AR5077" s="11"/>
      <c r="AS5077" s="11"/>
      <c r="AT5077" s="11"/>
      <c r="AU5077" s="1"/>
      <c r="AV5077" s="1"/>
      <c r="AW5077" s="1"/>
      <c r="AX5077" s="70"/>
      <c r="AY5077" s="70"/>
      <c r="AZ5077" s="1"/>
      <c r="BA5077" s="1"/>
      <c r="BB5077" s="1"/>
      <c r="BC5077" s="70"/>
      <c r="BD5077" s="70"/>
      <c r="BE5077" s="70"/>
      <c r="BF5077" s="70"/>
      <c r="BG5077" s="70"/>
      <c r="BH5077" s="70"/>
      <c r="BI5077" s="70"/>
      <c r="BJ5077" s="70"/>
      <c r="BK5077" s="1"/>
    </row>
    <row r="5078" spans="1:63" s="44" customFormat="1" ht="12" customHeight="1" x14ac:dyDescent="0.15">
      <c r="A5078" s="1" t="s">
        <v>17396</v>
      </c>
      <c r="B5078" s="1">
        <v>49</v>
      </c>
      <c r="C5078" s="1" t="s">
        <v>114</v>
      </c>
      <c r="D5078" s="1" t="s">
        <v>30</v>
      </c>
      <c r="E5078" s="1"/>
      <c r="F5078" s="72">
        <v>41365</v>
      </c>
      <c r="G5078" s="1" t="s">
        <v>24644</v>
      </c>
      <c r="H5078" s="1" t="s">
        <v>15295</v>
      </c>
      <c r="I5078" s="1" t="s">
        <v>62</v>
      </c>
      <c r="J5078" s="4" t="s">
        <v>17397</v>
      </c>
      <c r="K5078" s="1" t="s">
        <v>1123</v>
      </c>
      <c r="L5078" s="1" t="s">
        <v>17398</v>
      </c>
      <c r="M5078" s="1" t="s">
        <v>27</v>
      </c>
      <c r="N5078" s="1" t="s">
        <v>17399</v>
      </c>
      <c r="O5078" s="1" t="s">
        <v>1010</v>
      </c>
      <c r="P5078" s="1" t="s">
        <v>401</v>
      </c>
      <c r="Q5078" s="63" t="s">
        <v>17400</v>
      </c>
      <c r="R5078" s="1" t="s">
        <v>100</v>
      </c>
      <c r="S5078" s="13" t="s">
        <v>28</v>
      </c>
      <c r="T5078" s="1"/>
      <c r="U5078" s="1"/>
      <c r="V5078" s="1"/>
      <c r="W5078" s="1"/>
      <c r="X5078" s="1"/>
      <c r="Y5078" s="1"/>
      <c r="Z5078" s="1"/>
      <c r="AA5078" s="1"/>
      <c r="AB5078" s="1"/>
      <c r="AC5078" s="1"/>
      <c r="AD5078" s="1"/>
      <c r="AE5078" s="1"/>
      <c r="AF5078" s="1"/>
      <c r="AG5078" s="1"/>
      <c r="AH5078" s="1"/>
      <c r="AI5078" s="1"/>
      <c r="AJ5078" s="1"/>
      <c r="AK5078" s="1"/>
      <c r="AL5078" s="1"/>
      <c r="AM5078" s="11"/>
      <c r="AN5078" s="11"/>
      <c r="AO5078" s="11"/>
      <c r="AP5078" s="11"/>
      <c r="AQ5078" s="11"/>
      <c r="AR5078" s="11"/>
      <c r="AS5078" s="11"/>
      <c r="AT5078" s="11"/>
      <c r="AU5078" s="1"/>
      <c r="AV5078" s="1"/>
      <c r="AW5078" s="1"/>
      <c r="AX5078" s="1"/>
      <c r="AY5078" s="1"/>
      <c r="AZ5078" s="1"/>
      <c r="BA5078" s="1"/>
      <c r="BB5078" s="1"/>
      <c r="BC5078" s="1"/>
      <c r="BD5078" s="1"/>
      <c r="BE5078" s="1"/>
      <c r="BF5078" s="1"/>
      <c r="BG5078" s="1"/>
      <c r="BH5078" s="1"/>
      <c r="BI5078" s="1"/>
      <c r="BJ5078" s="1"/>
      <c r="BK5078" s="1"/>
    </row>
    <row r="5079" spans="1:63" s="44" customFormat="1" ht="12" customHeight="1" x14ac:dyDescent="0.15">
      <c r="A5079" s="1" t="s">
        <v>17391</v>
      </c>
      <c r="B5079" s="1">
        <v>21</v>
      </c>
      <c r="C5079" s="1" t="s">
        <v>20</v>
      </c>
      <c r="D5079" s="1" t="s">
        <v>85</v>
      </c>
      <c r="E5079" s="1" t="s">
        <v>17392</v>
      </c>
      <c r="F5079" s="72">
        <v>41365</v>
      </c>
      <c r="G5079" s="1" t="s">
        <v>17393</v>
      </c>
      <c r="H5079" s="1" t="s">
        <v>12851</v>
      </c>
      <c r="I5079" s="1" t="s">
        <v>41</v>
      </c>
      <c r="J5079" s="4">
        <v>6604</v>
      </c>
      <c r="K5079" s="1" t="s">
        <v>4883</v>
      </c>
      <c r="L5079" s="1" t="s">
        <v>12853</v>
      </c>
      <c r="M5079" s="1" t="s">
        <v>27</v>
      </c>
      <c r="N5079" s="1" t="s">
        <v>17394</v>
      </c>
      <c r="O5079" s="1" t="s">
        <v>550</v>
      </c>
      <c r="P5079" s="1" t="s">
        <v>401</v>
      </c>
      <c r="Q5079" s="63" t="s">
        <v>17395</v>
      </c>
      <c r="R5079" s="1" t="s">
        <v>29</v>
      </c>
      <c r="S5079" s="13" t="s">
        <v>28</v>
      </c>
      <c r="T5079" s="1"/>
      <c r="U5079" s="1"/>
      <c r="V5079" s="1"/>
      <c r="W5079" s="1"/>
      <c r="X5079" s="1"/>
      <c r="Y5079" s="1"/>
      <c r="Z5079" s="1"/>
      <c r="AA5079" s="1"/>
      <c r="AB5079" s="1"/>
      <c r="AC5079" s="1"/>
      <c r="AD5079" s="1"/>
      <c r="AE5079" s="1"/>
      <c r="AF5079" s="1"/>
      <c r="AG5079" s="1"/>
      <c r="AH5079" s="1"/>
      <c r="AI5079" s="1"/>
      <c r="AJ5079" s="1"/>
      <c r="AK5079" s="1"/>
      <c r="AL5079" s="1"/>
      <c r="AM5079" s="11"/>
      <c r="AN5079" s="11"/>
      <c r="AO5079" s="11"/>
      <c r="AP5079" s="11"/>
      <c r="AQ5079" s="11"/>
      <c r="AR5079" s="11"/>
      <c r="AS5079" s="11"/>
      <c r="AT5079" s="11"/>
      <c r="AU5079" s="1"/>
      <c r="AV5079" s="1"/>
      <c r="AW5079" s="1"/>
      <c r="AX5079" s="11"/>
      <c r="AY5079" s="11"/>
      <c r="AZ5079" s="1"/>
      <c r="BA5079" s="1"/>
      <c r="BB5079" s="1"/>
      <c r="BK5079" s="1"/>
    </row>
    <row r="5080" spans="1:63" s="44" customFormat="1" ht="12" customHeight="1" x14ac:dyDescent="0.15">
      <c r="A5080" s="1" t="s">
        <v>17401</v>
      </c>
      <c r="B5080" s="1">
        <v>60</v>
      </c>
      <c r="C5080" s="1" t="s">
        <v>114</v>
      </c>
      <c r="D5080" s="1" t="s">
        <v>37</v>
      </c>
      <c r="E5080" s="1" t="s">
        <v>17402</v>
      </c>
      <c r="F5080" s="72">
        <v>41364</v>
      </c>
      <c r="G5080" s="1" t="s">
        <v>17403</v>
      </c>
      <c r="H5080" s="1" t="s">
        <v>3965</v>
      </c>
      <c r="I5080" s="1" t="s">
        <v>366</v>
      </c>
      <c r="J5080" s="4" t="s">
        <v>3966</v>
      </c>
      <c r="K5080" s="1" t="s">
        <v>3967</v>
      </c>
      <c r="L5080" s="1" t="s">
        <v>17404</v>
      </c>
      <c r="M5080" s="1" t="s">
        <v>27</v>
      </c>
      <c r="N5080" s="1" t="s">
        <v>17405</v>
      </c>
      <c r="O5080" s="1" t="s">
        <v>1010</v>
      </c>
      <c r="P5080" s="1" t="s">
        <v>401</v>
      </c>
      <c r="Q5080" s="63" t="s">
        <v>17406</v>
      </c>
      <c r="R5080" s="1" t="s">
        <v>555</v>
      </c>
      <c r="S5080" s="13" t="s">
        <v>28</v>
      </c>
      <c r="T5080" s="1"/>
      <c r="U5080" s="1"/>
      <c r="V5080" s="1"/>
      <c r="W5080" s="1"/>
      <c r="X5080" s="1"/>
      <c r="Y5080" s="1"/>
      <c r="Z5080" s="1"/>
      <c r="AA5080" s="1"/>
      <c r="AB5080" s="1"/>
      <c r="AC5080" s="1"/>
      <c r="AD5080" s="1"/>
      <c r="AE5080" s="1"/>
      <c r="AF5080" s="1"/>
      <c r="AG5080" s="1"/>
      <c r="AH5080" s="1"/>
      <c r="AI5080" s="1"/>
      <c r="AJ5080" s="1"/>
      <c r="AK5080" s="1"/>
      <c r="AL5080" s="1"/>
      <c r="AM5080" s="11"/>
      <c r="AN5080" s="11"/>
      <c r="AO5080" s="11"/>
      <c r="AP5080" s="11"/>
      <c r="AQ5080" s="11"/>
      <c r="AR5080" s="11"/>
      <c r="AS5080" s="11"/>
      <c r="AT5080" s="11"/>
      <c r="AU5080" s="1"/>
      <c r="AV5080" s="1"/>
      <c r="AW5080" s="1"/>
      <c r="AX5080" s="11"/>
      <c r="AY5080" s="11"/>
      <c r="AZ5080" s="11"/>
      <c r="BC5080" s="1"/>
      <c r="BD5080" s="1"/>
      <c r="BE5080" s="1"/>
      <c r="BF5080" s="1"/>
      <c r="BG5080" s="1"/>
      <c r="BH5080" s="1"/>
      <c r="BI5080" s="1"/>
      <c r="BJ5080" s="1"/>
      <c r="BK5080" s="1"/>
    </row>
    <row r="5081" spans="1:63" s="44" customFormat="1" ht="12" customHeight="1" x14ac:dyDescent="0.15">
      <c r="A5081" s="1" t="s">
        <v>17407</v>
      </c>
      <c r="B5081" s="1" t="s">
        <v>13386</v>
      </c>
      <c r="C5081" s="1" t="s">
        <v>20</v>
      </c>
      <c r="D5081" s="1" t="s">
        <v>37</v>
      </c>
      <c r="E5081" s="1" t="s">
        <v>17408</v>
      </c>
      <c r="F5081" s="72">
        <v>41364</v>
      </c>
      <c r="G5081" s="1" t="s">
        <v>17409</v>
      </c>
      <c r="H5081" s="1" t="s">
        <v>151</v>
      </c>
      <c r="I5081" s="1" t="s">
        <v>366</v>
      </c>
      <c r="J5081" s="4" t="s">
        <v>17410</v>
      </c>
      <c r="K5081" s="1" t="s">
        <v>690</v>
      </c>
      <c r="L5081" s="1" t="s">
        <v>16665</v>
      </c>
      <c r="M5081" s="1" t="s">
        <v>27</v>
      </c>
      <c r="N5081" s="1" t="s">
        <v>17411</v>
      </c>
      <c r="O5081" s="1" t="s">
        <v>550</v>
      </c>
      <c r="P5081" s="1" t="s">
        <v>401</v>
      </c>
      <c r="Q5081" s="63" t="s">
        <v>17412</v>
      </c>
      <c r="R5081" s="1" t="s">
        <v>555</v>
      </c>
      <c r="S5081" s="13" t="s">
        <v>28</v>
      </c>
      <c r="T5081" s="1"/>
      <c r="U5081" s="1"/>
      <c r="V5081" s="1"/>
      <c r="W5081" s="1"/>
      <c r="X5081" s="1"/>
      <c r="Y5081" s="1"/>
      <c r="Z5081" s="1"/>
      <c r="AA5081" s="1"/>
      <c r="AB5081" s="1"/>
      <c r="AC5081" s="1"/>
      <c r="AD5081" s="1"/>
      <c r="AE5081" s="1"/>
      <c r="AF5081" s="1"/>
      <c r="AG5081" s="1"/>
      <c r="AH5081" s="1"/>
      <c r="AI5081" s="1"/>
      <c r="AJ5081" s="1"/>
      <c r="AK5081" s="1"/>
      <c r="AL5081" s="1"/>
      <c r="AM5081" s="11"/>
      <c r="AN5081" s="11"/>
      <c r="AO5081" s="11"/>
      <c r="AP5081" s="11"/>
      <c r="AQ5081" s="11"/>
      <c r="AR5081" s="11"/>
      <c r="AS5081" s="11"/>
      <c r="AT5081" s="11"/>
      <c r="AU5081" s="1"/>
      <c r="AV5081" s="1"/>
      <c r="AW5081" s="1"/>
      <c r="AX5081" s="11"/>
      <c r="AY5081" s="11"/>
      <c r="AZ5081" s="11"/>
      <c r="BC5081" s="1"/>
      <c r="BD5081" s="1"/>
      <c r="BE5081" s="1"/>
      <c r="BF5081" s="1"/>
      <c r="BG5081" s="1"/>
      <c r="BH5081" s="1"/>
      <c r="BI5081" s="1"/>
      <c r="BJ5081" s="1"/>
      <c r="BK5081" s="1"/>
    </row>
    <row r="5082" spans="1:63" s="44" customFormat="1" ht="12" customHeight="1" x14ac:dyDescent="0.15">
      <c r="A5082" s="1" t="s">
        <v>17413</v>
      </c>
      <c r="B5082" s="1">
        <v>32</v>
      </c>
      <c r="C5082" s="1" t="s">
        <v>20</v>
      </c>
      <c r="D5082" s="1" t="s">
        <v>85</v>
      </c>
      <c r="E5082" s="1"/>
      <c r="F5082" s="72">
        <v>41363</v>
      </c>
      <c r="G5082" s="1" t="s">
        <v>17414</v>
      </c>
      <c r="H5082" s="1" t="s">
        <v>601</v>
      </c>
      <c r="I5082" s="1" t="s">
        <v>45</v>
      </c>
      <c r="J5082" s="4" t="s">
        <v>15458</v>
      </c>
      <c r="K5082" s="1" t="s">
        <v>602</v>
      </c>
      <c r="L5082" s="1" t="s">
        <v>249</v>
      </c>
      <c r="M5082" s="1" t="s">
        <v>27</v>
      </c>
      <c r="N5082" s="1" t="s">
        <v>17415</v>
      </c>
      <c r="O5082" s="1" t="s">
        <v>1010</v>
      </c>
      <c r="P5082" s="1" t="s">
        <v>401</v>
      </c>
      <c r="Q5082" s="63" t="s">
        <v>17416</v>
      </c>
      <c r="R5082" s="1" t="s">
        <v>100</v>
      </c>
      <c r="S5082" s="13" t="s">
        <v>379</v>
      </c>
      <c r="T5082" s="1"/>
      <c r="U5082" s="1"/>
      <c r="V5082" s="1"/>
      <c r="W5082" s="1"/>
      <c r="X5082" s="1"/>
      <c r="Y5082" s="1"/>
      <c r="Z5082" s="1"/>
      <c r="AA5082" s="1"/>
      <c r="AB5082" s="1"/>
      <c r="AC5082" s="1"/>
      <c r="AD5082" s="1"/>
      <c r="AE5082" s="1"/>
      <c r="AF5082" s="1"/>
      <c r="AG5082" s="1"/>
      <c r="AH5082" s="1"/>
      <c r="AI5082" s="1"/>
      <c r="AJ5082" s="1"/>
      <c r="AK5082" s="1"/>
      <c r="AL5082" s="1"/>
      <c r="AM5082" s="11"/>
      <c r="AN5082" s="11"/>
      <c r="AO5082" s="11"/>
      <c r="AP5082" s="11"/>
      <c r="AQ5082" s="11"/>
      <c r="AR5082" s="11"/>
      <c r="AS5082" s="11"/>
      <c r="AT5082" s="11"/>
      <c r="AU5082" s="1"/>
      <c r="AV5082" s="1"/>
      <c r="AW5082" s="1"/>
      <c r="AX5082" s="11"/>
      <c r="AY5082" s="11"/>
      <c r="AZ5082" s="1"/>
      <c r="BA5082" s="1"/>
      <c r="BB5082" s="1"/>
      <c r="BK5082" s="1"/>
    </row>
    <row r="5083" spans="1:63" s="44" customFormat="1" ht="12" customHeight="1" x14ac:dyDescent="0.15">
      <c r="A5083" s="1" t="s">
        <v>17417</v>
      </c>
      <c r="B5083" s="1" t="s">
        <v>17225</v>
      </c>
      <c r="C5083" s="1" t="s">
        <v>20</v>
      </c>
      <c r="D5083" s="1" t="s">
        <v>37</v>
      </c>
      <c r="E5083" s="1" t="s">
        <v>17418</v>
      </c>
      <c r="F5083" s="72">
        <v>41362</v>
      </c>
      <c r="G5083" s="1" t="s">
        <v>17419</v>
      </c>
      <c r="H5083" s="1" t="s">
        <v>17420</v>
      </c>
      <c r="I5083" s="1" t="s">
        <v>506</v>
      </c>
      <c r="J5083" s="4" t="s">
        <v>17421</v>
      </c>
      <c r="K5083" s="1" t="s">
        <v>14823</v>
      </c>
      <c r="L5083" s="1" t="s">
        <v>17422</v>
      </c>
      <c r="M5083" s="1" t="s">
        <v>27</v>
      </c>
      <c r="N5083" s="1" t="s">
        <v>17423</v>
      </c>
      <c r="O5083" s="1" t="s">
        <v>550</v>
      </c>
      <c r="P5083" s="1" t="s">
        <v>401</v>
      </c>
      <c r="Q5083" s="63" t="s">
        <v>17424</v>
      </c>
      <c r="R5083" s="1" t="s">
        <v>100</v>
      </c>
      <c r="S5083" s="13" t="s">
        <v>28</v>
      </c>
      <c r="T5083" s="1"/>
      <c r="U5083" s="1"/>
      <c r="V5083" s="1"/>
      <c r="W5083" s="1"/>
      <c r="X5083" s="1"/>
      <c r="Y5083" s="1"/>
      <c r="Z5083" s="1"/>
      <c r="AA5083" s="1"/>
      <c r="AB5083" s="1"/>
      <c r="AC5083" s="1"/>
      <c r="AD5083" s="1"/>
      <c r="AE5083" s="1"/>
      <c r="AF5083" s="1"/>
      <c r="AG5083" s="1"/>
      <c r="AH5083" s="1"/>
      <c r="AI5083" s="1"/>
      <c r="AJ5083" s="1"/>
      <c r="AK5083" s="1"/>
      <c r="AL5083" s="1"/>
      <c r="AM5083" s="11"/>
      <c r="AN5083" s="11"/>
      <c r="AO5083" s="11"/>
      <c r="AP5083" s="11"/>
      <c r="AQ5083" s="11"/>
      <c r="AR5083" s="11"/>
      <c r="AS5083" s="11"/>
      <c r="AT5083" s="11"/>
      <c r="AU5083" s="1"/>
      <c r="AV5083" s="1"/>
      <c r="AW5083" s="1"/>
      <c r="AX5083" s="11"/>
      <c r="AY5083" s="11"/>
      <c r="AZ5083" s="11"/>
      <c r="BA5083" s="1"/>
      <c r="BB5083" s="1"/>
      <c r="BC5083" s="1"/>
      <c r="BD5083" s="1"/>
      <c r="BE5083" s="1"/>
      <c r="BF5083" s="1"/>
      <c r="BG5083" s="1"/>
      <c r="BH5083" s="1"/>
      <c r="BI5083" s="1"/>
      <c r="BJ5083" s="1"/>
      <c r="BK5083" s="1"/>
    </row>
    <row r="5084" spans="1:63" s="44" customFormat="1" ht="12" customHeight="1" x14ac:dyDescent="0.15">
      <c r="A5084" s="1" t="s">
        <v>17425</v>
      </c>
      <c r="B5084" s="1" t="s">
        <v>14980</v>
      </c>
      <c r="C5084" s="1" t="s">
        <v>20</v>
      </c>
      <c r="D5084" s="1" t="s">
        <v>37</v>
      </c>
      <c r="E5084" s="1" t="s">
        <v>17426</v>
      </c>
      <c r="F5084" s="72">
        <v>41362</v>
      </c>
      <c r="G5084" s="1" t="s">
        <v>17427</v>
      </c>
      <c r="H5084" s="1" t="s">
        <v>17428</v>
      </c>
      <c r="I5084" s="1" t="s">
        <v>240</v>
      </c>
      <c r="J5084" s="4" t="s">
        <v>17429</v>
      </c>
      <c r="K5084" s="1" t="s">
        <v>17430</v>
      </c>
      <c r="L5084" s="1" t="s">
        <v>17431</v>
      </c>
      <c r="M5084" s="1" t="s">
        <v>27</v>
      </c>
      <c r="N5084" s="1" t="s">
        <v>17432</v>
      </c>
      <c r="O5084" s="1" t="s">
        <v>550</v>
      </c>
      <c r="P5084" s="1" t="s">
        <v>401</v>
      </c>
      <c r="Q5084" s="63" t="s">
        <v>17433</v>
      </c>
      <c r="R5084" s="1" t="s">
        <v>29</v>
      </c>
      <c r="S5084" s="13" t="s">
        <v>28</v>
      </c>
      <c r="T5084" s="1"/>
      <c r="U5084" s="1"/>
      <c r="V5084" s="1"/>
      <c r="W5084" s="1"/>
      <c r="X5084" s="1"/>
      <c r="Y5084" s="1"/>
      <c r="Z5084" s="1"/>
      <c r="AA5084" s="1"/>
      <c r="AB5084" s="1"/>
      <c r="AC5084" s="1"/>
      <c r="AD5084" s="1"/>
      <c r="AE5084" s="1"/>
      <c r="AF5084" s="1"/>
      <c r="AG5084" s="1"/>
      <c r="AH5084" s="1"/>
      <c r="AI5084" s="1"/>
      <c r="AJ5084" s="1"/>
      <c r="AK5084" s="1"/>
      <c r="AL5084" s="1"/>
      <c r="AM5084" s="11"/>
      <c r="AN5084" s="11"/>
      <c r="AO5084" s="11"/>
      <c r="AP5084" s="11"/>
      <c r="AQ5084" s="11"/>
      <c r="AR5084" s="11"/>
      <c r="AS5084" s="11"/>
      <c r="AT5084" s="11"/>
      <c r="AU5084" s="1"/>
      <c r="AV5084" s="1"/>
      <c r="AW5084" s="1"/>
      <c r="AX5084" s="11"/>
      <c r="AY5084" s="11"/>
      <c r="AZ5084" s="11"/>
      <c r="BA5084" s="1"/>
      <c r="BB5084" s="1"/>
      <c r="BC5084" s="1"/>
      <c r="BD5084" s="1"/>
      <c r="BE5084" s="1"/>
      <c r="BF5084" s="1"/>
      <c r="BG5084" s="1"/>
      <c r="BH5084" s="1"/>
      <c r="BI5084" s="1"/>
      <c r="BJ5084" s="1"/>
      <c r="BK5084" s="1"/>
    </row>
    <row r="5085" spans="1:63" s="44" customFormat="1" ht="12" customHeight="1" x14ac:dyDescent="0.15">
      <c r="A5085" s="1" t="s">
        <v>17434</v>
      </c>
      <c r="B5085" s="1" t="s">
        <v>17012</v>
      </c>
      <c r="C5085" s="1" t="s">
        <v>20</v>
      </c>
      <c r="D5085" s="1" t="s">
        <v>30</v>
      </c>
      <c r="E5085" s="1"/>
      <c r="F5085" s="72">
        <v>41360</v>
      </c>
      <c r="G5085" s="1" t="s">
        <v>17435</v>
      </c>
      <c r="H5085" s="1" t="s">
        <v>1192</v>
      </c>
      <c r="I5085" s="1" t="s">
        <v>319</v>
      </c>
      <c r="J5085" s="4" t="s">
        <v>17436</v>
      </c>
      <c r="K5085" s="1" t="s">
        <v>1193</v>
      </c>
      <c r="L5085" s="1" t="s">
        <v>1194</v>
      </c>
      <c r="M5085" s="1" t="s">
        <v>27</v>
      </c>
      <c r="N5085" s="1" t="s">
        <v>17437</v>
      </c>
      <c r="O5085" s="1" t="s">
        <v>29</v>
      </c>
      <c r="P5085" s="1" t="s">
        <v>401</v>
      </c>
      <c r="Q5085" s="63" t="s">
        <v>17438</v>
      </c>
      <c r="R5085" s="1" t="s">
        <v>100</v>
      </c>
      <c r="S5085" s="13" t="s">
        <v>28</v>
      </c>
      <c r="T5085" s="1"/>
      <c r="U5085" s="1"/>
      <c r="V5085" s="1"/>
      <c r="W5085" s="1"/>
      <c r="X5085" s="1"/>
      <c r="Y5085" s="1"/>
      <c r="Z5085" s="1"/>
      <c r="AA5085" s="1"/>
      <c r="AB5085" s="1"/>
      <c r="AC5085" s="1"/>
      <c r="AD5085" s="1"/>
      <c r="AE5085" s="1"/>
      <c r="AF5085" s="1"/>
      <c r="AG5085" s="1"/>
      <c r="AH5085" s="1"/>
      <c r="AI5085" s="1"/>
      <c r="AJ5085" s="1"/>
      <c r="AK5085" s="1"/>
      <c r="AL5085" s="1"/>
      <c r="AM5085" s="11"/>
      <c r="AN5085" s="11"/>
      <c r="AO5085" s="11"/>
      <c r="AP5085" s="11"/>
      <c r="AQ5085" s="11"/>
      <c r="AR5085" s="11"/>
      <c r="AS5085" s="11"/>
      <c r="AT5085" s="11"/>
      <c r="AU5085" s="1"/>
      <c r="AV5085" s="1"/>
      <c r="AW5085" s="1"/>
      <c r="AX5085" s="1"/>
      <c r="AY5085" s="1"/>
      <c r="AZ5085" s="1"/>
      <c r="BA5085" s="1"/>
      <c r="BB5085" s="1"/>
      <c r="BC5085" s="1"/>
      <c r="BD5085" s="1"/>
      <c r="BE5085" s="1"/>
      <c r="BF5085" s="1"/>
      <c r="BG5085" s="1"/>
      <c r="BH5085" s="1"/>
      <c r="BI5085" s="1"/>
      <c r="BJ5085" s="1"/>
      <c r="BK5085" s="1"/>
    </row>
    <row r="5086" spans="1:63" s="44" customFormat="1" ht="12" customHeight="1" x14ac:dyDescent="0.15">
      <c r="A5086" s="1" t="s">
        <v>17439</v>
      </c>
      <c r="B5086" s="1">
        <v>72</v>
      </c>
      <c r="C5086" s="1" t="s">
        <v>20</v>
      </c>
      <c r="D5086" s="1" t="s">
        <v>30</v>
      </c>
      <c r="E5086" s="1"/>
      <c r="F5086" s="72">
        <v>41360</v>
      </c>
      <c r="G5086" s="1" t="s">
        <v>17440</v>
      </c>
      <c r="H5086" s="1" t="s">
        <v>687</v>
      </c>
      <c r="I5086" s="1" t="s">
        <v>123</v>
      </c>
      <c r="J5086" s="4" t="s">
        <v>12098</v>
      </c>
      <c r="K5086" s="1" t="s">
        <v>633</v>
      </c>
      <c r="L5086" s="1" t="s">
        <v>4878</v>
      </c>
      <c r="M5086" s="1" t="s">
        <v>27</v>
      </c>
      <c r="N5086" s="1" t="s">
        <v>17441</v>
      </c>
      <c r="O5086" s="1" t="s">
        <v>1010</v>
      </c>
      <c r="P5086" s="1" t="s">
        <v>401</v>
      </c>
      <c r="Q5086" s="63" t="s">
        <v>17442</v>
      </c>
      <c r="R5086" s="1" t="s">
        <v>29</v>
      </c>
      <c r="S5086" s="13" t="s">
        <v>28</v>
      </c>
      <c r="T5086" s="1"/>
      <c r="U5086" s="1"/>
      <c r="V5086" s="1"/>
      <c r="W5086" s="1"/>
      <c r="X5086" s="1"/>
      <c r="Y5086" s="1"/>
      <c r="Z5086" s="1"/>
      <c r="AA5086" s="1"/>
      <c r="AB5086" s="1"/>
      <c r="AC5086" s="1"/>
      <c r="AD5086" s="1"/>
      <c r="AE5086" s="1"/>
      <c r="AF5086" s="1"/>
      <c r="AG5086" s="1"/>
      <c r="AH5086" s="1"/>
      <c r="AI5086" s="1"/>
      <c r="AJ5086" s="1"/>
      <c r="AK5086" s="1"/>
      <c r="AL5086" s="1"/>
      <c r="AM5086" s="11"/>
      <c r="AN5086" s="11"/>
      <c r="AO5086" s="11"/>
      <c r="AP5086" s="11"/>
      <c r="AQ5086" s="11"/>
      <c r="AR5086" s="11"/>
      <c r="AS5086" s="11"/>
      <c r="AT5086" s="11"/>
      <c r="AU5086" s="1"/>
      <c r="AV5086" s="1"/>
      <c r="AW5086" s="1"/>
      <c r="AX5086" s="1"/>
      <c r="AY5086" s="1"/>
      <c r="AZ5086" s="1"/>
      <c r="BA5086" s="1"/>
      <c r="BB5086" s="1"/>
      <c r="BC5086" s="1"/>
      <c r="BD5086" s="1"/>
      <c r="BE5086" s="1"/>
      <c r="BF5086" s="1"/>
      <c r="BG5086" s="1"/>
      <c r="BH5086" s="1"/>
      <c r="BI5086" s="1"/>
      <c r="BJ5086" s="1"/>
      <c r="BK5086" s="1"/>
    </row>
    <row r="5087" spans="1:63" s="44" customFormat="1" ht="12" customHeight="1" x14ac:dyDescent="0.15">
      <c r="A5087" s="1" t="s">
        <v>17443</v>
      </c>
      <c r="B5087" s="1">
        <v>20</v>
      </c>
      <c r="C5087" s="1" t="s">
        <v>20</v>
      </c>
      <c r="D5087" s="1" t="s">
        <v>37</v>
      </c>
      <c r="E5087" s="1"/>
      <c r="F5087" s="72">
        <v>41359</v>
      </c>
      <c r="G5087" s="1" t="s">
        <v>17444</v>
      </c>
      <c r="H5087" s="1" t="s">
        <v>17445</v>
      </c>
      <c r="I5087" s="1" t="s">
        <v>69</v>
      </c>
      <c r="J5087" s="4" t="s">
        <v>17446</v>
      </c>
      <c r="K5087" s="1" t="s">
        <v>17445</v>
      </c>
      <c r="L5087" s="1" t="s">
        <v>17447</v>
      </c>
      <c r="M5087" s="1" t="s">
        <v>27</v>
      </c>
      <c r="N5087" s="1" t="s">
        <v>17448</v>
      </c>
      <c r="O5087" s="1" t="s">
        <v>1010</v>
      </c>
      <c r="P5087" s="1" t="s">
        <v>401</v>
      </c>
      <c r="Q5087" s="63" t="s">
        <v>17449</v>
      </c>
      <c r="R5087" s="1" t="s">
        <v>29</v>
      </c>
      <c r="S5087" s="13" t="s">
        <v>28</v>
      </c>
      <c r="T5087" s="1"/>
      <c r="U5087" s="1"/>
      <c r="V5087" s="1"/>
      <c r="W5087" s="1"/>
      <c r="X5087" s="1"/>
      <c r="Y5087" s="1"/>
      <c r="Z5087" s="1"/>
      <c r="AA5087" s="1"/>
      <c r="AB5087" s="1"/>
      <c r="AC5087" s="1"/>
      <c r="AD5087" s="1"/>
      <c r="AE5087" s="1"/>
      <c r="AF5087" s="1"/>
      <c r="AG5087" s="1"/>
      <c r="AH5087" s="1"/>
      <c r="AI5087" s="1"/>
      <c r="AJ5087" s="1"/>
      <c r="AK5087" s="1"/>
      <c r="AL5087" s="1"/>
      <c r="AM5087" s="11"/>
      <c r="AN5087" s="11"/>
      <c r="AO5087" s="11"/>
      <c r="AP5087" s="11"/>
      <c r="AQ5087" s="11"/>
      <c r="AR5087" s="11"/>
      <c r="AS5087" s="11"/>
      <c r="AT5087" s="11"/>
      <c r="AU5087" s="1"/>
      <c r="AV5087" s="1"/>
      <c r="AW5087" s="1"/>
      <c r="AX5087" s="11"/>
      <c r="AY5087" s="11"/>
      <c r="AZ5087" s="11"/>
      <c r="BA5087" s="1"/>
      <c r="BB5087" s="1"/>
      <c r="BC5087" s="1"/>
      <c r="BD5087" s="1"/>
      <c r="BE5087" s="1"/>
      <c r="BF5087" s="1"/>
      <c r="BG5087" s="1"/>
      <c r="BH5087" s="1"/>
      <c r="BI5087" s="1"/>
      <c r="BJ5087" s="1"/>
      <c r="BK5087" s="1"/>
    </row>
    <row r="5088" spans="1:63" s="44" customFormat="1" ht="12" customHeight="1" x14ac:dyDescent="0.15">
      <c r="A5088" s="1" t="s">
        <v>17450</v>
      </c>
      <c r="B5088" s="1">
        <v>26</v>
      </c>
      <c r="C5088" s="1" t="s">
        <v>20</v>
      </c>
      <c r="D5088" s="1" t="s">
        <v>30</v>
      </c>
      <c r="E5088" s="1"/>
      <c r="F5088" s="72">
        <v>41358</v>
      </c>
      <c r="G5088" s="1" t="s">
        <v>17451</v>
      </c>
      <c r="H5088" s="1" t="s">
        <v>4573</v>
      </c>
      <c r="I5088" s="1" t="s">
        <v>854</v>
      </c>
      <c r="J5088" s="4" t="s">
        <v>4574</v>
      </c>
      <c r="K5088" s="1" t="s">
        <v>4575</v>
      </c>
      <c r="L5088" s="1" t="s">
        <v>5024</v>
      </c>
      <c r="M5088" s="1" t="s">
        <v>379</v>
      </c>
      <c r="N5088" s="1" t="s">
        <v>17452</v>
      </c>
      <c r="O5088" s="1" t="s">
        <v>1010</v>
      </c>
      <c r="P5088" s="1" t="s">
        <v>401</v>
      </c>
      <c r="Q5088" s="63" t="s">
        <v>17453</v>
      </c>
      <c r="R5088" s="1" t="s">
        <v>100</v>
      </c>
      <c r="S5088" s="13" t="s">
        <v>379</v>
      </c>
      <c r="T5088" s="1"/>
      <c r="U5088" s="1"/>
      <c r="V5088" s="1"/>
      <c r="W5088" s="1"/>
      <c r="X5088" s="1"/>
      <c r="Y5088" s="1"/>
      <c r="Z5088" s="1"/>
      <c r="AA5088" s="1"/>
      <c r="AB5088" s="1"/>
      <c r="AC5088" s="1"/>
      <c r="AD5088" s="1"/>
      <c r="AE5088" s="1"/>
      <c r="AF5088" s="1"/>
      <c r="AG5088" s="1"/>
      <c r="AH5088" s="1"/>
      <c r="AI5088" s="1"/>
      <c r="AJ5088" s="1"/>
      <c r="AK5088" s="1"/>
      <c r="AL5088" s="1"/>
      <c r="AM5088" s="11"/>
      <c r="AN5088" s="11"/>
      <c r="AO5088" s="11"/>
      <c r="AP5088" s="11"/>
      <c r="AQ5088" s="11"/>
      <c r="AR5088" s="11"/>
      <c r="AS5088" s="11"/>
      <c r="AT5088" s="11"/>
      <c r="AU5088" s="1"/>
      <c r="AV5088" s="1"/>
      <c r="AW5088" s="1"/>
      <c r="AX5088" s="1"/>
      <c r="AY5088" s="1"/>
      <c r="AZ5088" s="1"/>
      <c r="BA5088" s="1"/>
      <c r="BB5088" s="1"/>
      <c r="BC5088" s="1"/>
      <c r="BD5088" s="1"/>
      <c r="BE5088" s="1"/>
      <c r="BF5088" s="1"/>
      <c r="BG5088" s="1"/>
      <c r="BH5088" s="1"/>
      <c r="BI5088" s="1"/>
      <c r="BJ5088" s="1"/>
      <c r="BK5088" s="1"/>
    </row>
    <row r="5089" spans="1:63" s="44" customFormat="1" ht="12" customHeight="1" x14ac:dyDescent="0.15">
      <c r="A5089" s="1" t="s">
        <v>17454</v>
      </c>
      <c r="B5089" s="1">
        <v>25</v>
      </c>
      <c r="C5089" s="1" t="s">
        <v>20</v>
      </c>
      <c r="D5089" s="1" t="s">
        <v>30</v>
      </c>
      <c r="E5089" s="1"/>
      <c r="F5089" s="72">
        <v>41357</v>
      </c>
      <c r="G5089" s="1" t="s">
        <v>24645</v>
      </c>
      <c r="H5089" s="1" t="s">
        <v>12464</v>
      </c>
      <c r="I5089" s="1" t="s">
        <v>94</v>
      </c>
      <c r="J5089" s="4" t="s">
        <v>12465</v>
      </c>
      <c r="K5089" s="1" t="s">
        <v>12466</v>
      </c>
      <c r="L5089" s="1" t="s">
        <v>12467</v>
      </c>
      <c r="M5089" s="1" t="s">
        <v>391</v>
      </c>
      <c r="N5089" s="1" t="s">
        <v>17455</v>
      </c>
      <c r="O5089" s="1" t="s">
        <v>1010</v>
      </c>
      <c r="P5089" s="1" t="s">
        <v>401</v>
      </c>
      <c r="Q5089" s="63" t="s">
        <v>17456</v>
      </c>
      <c r="R5089" s="11" t="s">
        <v>964</v>
      </c>
      <c r="S5089" s="13" t="s">
        <v>28</v>
      </c>
      <c r="T5089" s="1"/>
      <c r="U5089" s="1"/>
      <c r="V5089" s="1"/>
      <c r="W5089" s="1"/>
      <c r="X5089" s="1"/>
      <c r="Y5089" s="1"/>
      <c r="Z5089" s="1"/>
      <c r="AA5089" s="1"/>
      <c r="AB5089" s="1"/>
      <c r="AC5089" s="1"/>
      <c r="AD5089" s="1"/>
      <c r="AE5089" s="1"/>
      <c r="AF5089" s="1"/>
      <c r="AG5089" s="1"/>
      <c r="AH5089" s="1"/>
      <c r="AI5089" s="1"/>
      <c r="AJ5089" s="1"/>
      <c r="AK5089" s="1"/>
      <c r="AL5089" s="1"/>
      <c r="AM5089" s="11"/>
      <c r="AN5089" s="11"/>
      <c r="AO5089" s="11"/>
      <c r="AP5089" s="11"/>
      <c r="AQ5089" s="11"/>
      <c r="AR5089" s="11"/>
      <c r="AS5089" s="11"/>
      <c r="AT5089" s="11"/>
      <c r="AU5089" s="11"/>
      <c r="AV5089" s="11"/>
      <c r="AW5089" s="11"/>
      <c r="AX5089" s="1"/>
      <c r="AY5089" s="1"/>
      <c r="AZ5089" s="1"/>
      <c r="BA5089" s="1"/>
      <c r="BB5089" s="1"/>
      <c r="BC5089" s="1"/>
      <c r="BD5089" s="1"/>
      <c r="BE5089" s="1"/>
      <c r="BF5089" s="1"/>
      <c r="BG5089" s="1"/>
      <c r="BH5089" s="1"/>
      <c r="BI5089" s="1"/>
      <c r="BJ5089" s="1"/>
      <c r="BK5089" s="1"/>
    </row>
    <row r="5090" spans="1:63" s="44" customFormat="1" ht="12" customHeight="1" x14ac:dyDescent="0.15">
      <c r="A5090" s="1" t="s">
        <v>17462</v>
      </c>
      <c r="B5090" s="1">
        <v>49</v>
      </c>
      <c r="C5090" s="1" t="s">
        <v>20</v>
      </c>
      <c r="D5090" s="1" t="s">
        <v>85</v>
      </c>
      <c r="E5090" s="1" t="s">
        <v>17463</v>
      </c>
      <c r="F5090" s="72">
        <v>41355</v>
      </c>
      <c r="G5090" s="1" t="s">
        <v>17464</v>
      </c>
      <c r="H5090" s="1" t="s">
        <v>61</v>
      </c>
      <c r="I5090" s="1" t="s">
        <v>62</v>
      </c>
      <c r="J5090" s="4" t="s">
        <v>17465</v>
      </c>
      <c r="K5090" s="1" t="s">
        <v>5318</v>
      </c>
      <c r="L5090" s="1" t="s">
        <v>63</v>
      </c>
      <c r="M5090" s="1" t="s">
        <v>27</v>
      </c>
      <c r="N5090" s="1" t="s">
        <v>17466</v>
      </c>
      <c r="O5090" s="1" t="s">
        <v>1010</v>
      </c>
      <c r="P5090" s="1" t="s">
        <v>401</v>
      </c>
      <c r="Q5090" s="63" t="s">
        <v>17467</v>
      </c>
      <c r="R5090" s="1" t="s">
        <v>100</v>
      </c>
      <c r="S5090" s="13" t="s">
        <v>28</v>
      </c>
      <c r="T5090" s="1"/>
      <c r="U5090" s="1"/>
      <c r="V5090" s="1"/>
      <c r="W5090" s="1"/>
      <c r="X5090" s="1"/>
      <c r="Y5090" s="1"/>
      <c r="Z5090" s="1"/>
      <c r="AA5090" s="1"/>
      <c r="AB5090" s="1"/>
      <c r="AC5090" s="1"/>
      <c r="AD5090" s="1"/>
      <c r="AE5090" s="1"/>
      <c r="AF5090" s="1"/>
      <c r="AG5090" s="1"/>
      <c r="AH5090" s="1"/>
      <c r="AI5090" s="1"/>
      <c r="AJ5090" s="1"/>
      <c r="AK5090" s="1"/>
      <c r="AL5090" s="1"/>
      <c r="AM5090" s="11"/>
      <c r="AN5090" s="11"/>
      <c r="AO5090" s="11"/>
      <c r="AP5090" s="11"/>
      <c r="AQ5090" s="11"/>
      <c r="AR5090" s="11"/>
      <c r="AS5090" s="11"/>
      <c r="AT5090" s="11"/>
      <c r="AU5090" s="1"/>
      <c r="AV5090" s="1"/>
      <c r="AW5090" s="1"/>
      <c r="AX5090" s="11"/>
      <c r="AY5090" s="11"/>
      <c r="AZ5090" s="1"/>
      <c r="BA5090" s="1"/>
      <c r="BB5090" s="1"/>
      <c r="BK5090" s="1"/>
    </row>
    <row r="5091" spans="1:63" s="44" customFormat="1" ht="12" customHeight="1" x14ac:dyDescent="0.15">
      <c r="A5091" s="1" t="s">
        <v>17468</v>
      </c>
      <c r="B5091" s="1">
        <v>19</v>
      </c>
      <c r="C5091" s="1" t="s">
        <v>114</v>
      </c>
      <c r="D5091" s="1" t="s">
        <v>85</v>
      </c>
      <c r="E5091" s="1"/>
      <c r="F5091" s="72">
        <v>41355</v>
      </c>
      <c r="G5091" s="1" t="s">
        <v>17469</v>
      </c>
      <c r="H5091" s="1" t="s">
        <v>13437</v>
      </c>
      <c r="I5091" s="1" t="s">
        <v>62</v>
      </c>
      <c r="J5091" s="4" t="s">
        <v>15329</v>
      </c>
      <c r="K5091" s="1" t="s">
        <v>2309</v>
      </c>
      <c r="L5091" s="1" t="s">
        <v>14047</v>
      </c>
      <c r="M5091" s="1" t="s">
        <v>379</v>
      </c>
      <c r="N5091" s="1" t="s">
        <v>17470</v>
      </c>
      <c r="O5091" s="1" t="s">
        <v>1010</v>
      </c>
      <c r="P5091" s="1" t="s">
        <v>401</v>
      </c>
      <c r="Q5091" s="63" t="s">
        <v>17471</v>
      </c>
      <c r="R5091" s="1" t="s">
        <v>100</v>
      </c>
      <c r="S5091" s="13" t="s">
        <v>379</v>
      </c>
      <c r="T5091" s="1"/>
      <c r="U5091" s="1"/>
      <c r="V5091" s="1"/>
      <c r="W5091" s="1"/>
      <c r="X5091" s="1"/>
      <c r="Y5091" s="1"/>
      <c r="Z5091" s="1"/>
      <c r="AA5091" s="1"/>
      <c r="AB5091" s="1"/>
      <c r="AC5091" s="1"/>
      <c r="AD5091" s="1"/>
      <c r="AE5091" s="1"/>
      <c r="AF5091" s="1"/>
      <c r="AG5091" s="1"/>
      <c r="AH5091" s="1"/>
      <c r="AI5091" s="1"/>
      <c r="AJ5091" s="1"/>
      <c r="AK5091" s="1"/>
      <c r="AL5091" s="1"/>
      <c r="AM5091" s="11"/>
      <c r="AN5091" s="11"/>
      <c r="AO5091" s="11"/>
      <c r="AP5091" s="11"/>
      <c r="AQ5091" s="11"/>
      <c r="AR5091" s="11"/>
      <c r="AS5091" s="11"/>
      <c r="AT5091" s="11"/>
      <c r="AU5091" s="1"/>
      <c r="AV5091" s="1"/>
      <c r="AW5091" s="1"/>
      <c r="AX5091" s="1"/>
      <c r="AY5091" s="1"/>
      <c r="AZ5091" s="1"/>
      <c r="BA5091" s="1"/>
      <c r="BB5091" s="1"/>
      <c r="BK5091" s="1"/>
    </row>
    <row r="5092" spans="1:63" s="44" customFormat="1" ht="12" customHeight="1" x14ac:dyDescent="0.15">
      <c r="A5092" s="1" t="s">
        <v>17457</v>
      </c>
      <c r="B5092" s="1">
        <v>51</v>
      </c>
      <c r="C5092" s="1" t="s">
        <v>20</v>
      </c>
      <c r="D5092" s="1" t="s">
        <v>85</v>
      </c>
      <c r="E5092" s="1" t="s">
        <v>17458</v>
      </c>
      <c r="F5092" s="72">
        <v>41355</v>
      </c>
      <c r="G5092" s="1" t="s">
        <v>24646</v>
      </c>
      <c r="H5092" s="1" t="s">
        <v>1208</v>
      </c>
      <c r="I5092" s="1" t="s">
        <v>303</v>
      </c>
      <c r="J5092" s="4" t="s">
        <v>17459</v>
      </c>
      <c r="K5092" s="1" t="s">
        <v>1209</v>
      </c>
      <c r="L5092" s="1" t="s">
        <v>23564</v>
      </c>
      <c r="M5092" s="1" t="s">
        <v>27</v>
      </c>
      <c r="N5092" s="1" t="s">
        <v>17460</v>
      </c>
      <c r="O5092" s="1" t="s">
        <v>550</v>
      </c>
      <c r="P5092" s="1" t="s">
        <v>401</v>
      </c>
      <c r="Q5092" s="63" t="s">
        <v>17461</v>
      </c>
      <c r="R5092" s="1" t="s">
        <v>29</v>
      </c>
      <c r="S5092" s="13" t="s">
        <v>18</v>
      </c>
      <c r="T5092" s="1"/>
      <c r="U5092" s="1"/>
      <c r="V5092" s="1"/>
      <c r="W5092" s="1"/>
      <c r="X5092" s="1"/>
      <c r="Y5092" s="1"/>
      <c r="Z5092" s="1"/>
      <c r="AA5092" s="1"/>
      <c r="AB5092" s="1"/>
      <c r="AC5092" s="1"/>
      <c r="AD5092" s="1"/>
      <c r="AE5092" s="1"/>
      <c r="AF5092" s="1"/>
      <c r="AG5092" s="1"/>
      <c r="AH5092" s="1"/>
      <c r="AI5092" s="1"/>
      <c r="AJ5092" s="1"/>
      <c r="AK5092" s="1"/>
      <c r="AL5092" s="1"/>
      <c r="AM5092" s="11"/>
      <c r="AN5092" s="11"/>
      <c r="AO5092" s="11"/>
      <c r="AP5092" s="11"/>
      <c r="AQ5092" s="11"/>
      <c r="AR5092" s="11"/>
      <c r="AS5092" s="11"/>
      <c r="AT5092" s="11"/>
      <c r="AU5092" s="1"/>
      <c r="AV5092" s="1"/>
      <c r="AW5092" s="1"/>
      <c r="AX5092" s="11"/>
      <c r="AY5092" s="11"/>
      <c r="AZ5092" s="1"/>
      <c r="BA5092" s="1"/>
      <c r="BB5092" s="1"/>
      <c r="BK5092" s="1"/>
    </row>
    <row r="5093" spans="1:63" s="44" customFormat="1" ht="12" customHeight="1" x14ac:dyDescent="0.15">
      <c r="A5093" s="1" t="s">
        <v>17472</v>
      </c>
      <c r="B5093" s="1">
        <v>28</v>
      </c>
      <c r="C5093" s="1" t="s">
        <v>20</v>
      </c>
      <c r="D5093" s="1" t="s">
        <v>37</v>
      </c>
      <c r="E5093" s="1" t="s">
        <v>17473</v>
      </c>
      <c r="F5093" s="72">
        <v>41354</v>
      </c>
      <c r="G5093" s="1" t="s">
        <v>17474</v>
      </c>
      <c r="H5093" s="1" t="s">
        <v>17475</v>
      </c>
      <c r="I5093" s="1" t="s">
        <v>73</v>
      </c>
      <c r="J5093" s="4" t="s">
        <v>17476</v>
      </c>
      <c r="K5093" s="1" t="s">
        <v>17477</v>
      </c>
      <c r="L5093" s="1" t="s">
        <v>4732</v>
      </c>
      <c r="M5093" s="1" t="s">
        <v>27</v>
      </c>
      <c r="N5093" s="1" t="s">
        <v>17478</v>
      </c>
      <c r="O5093" s="1" t="s">
        <v>550</v>
      </c>
      <c r="P5093" s="1" t="s">
        <v>401</v>
      </c>
      <c r="Q5093" s="63" t="s">
        <v>17479</v>
      </c>
      <c r="R5093" s="1" t="s">
        <v>100</v>
      </c>
      <c r="S5093" s="13" t="s">
        <v>28</v>
      </c>
      <c r="T5093" s="1"/>
      <c r="U5093" s="1"/>
      <c r="V5093" s="1"/>
      <c r="W5093" s="1"/>
      <c r="X5093" s="1"/>
      <c r="Y5093" s="1"/>
      <c r="Z5093" s="1"/>
      <c r="AA5093" s="1"/>
      <c r="AB5093" s="1"/>
      <c r="AC5093" s="1"/>
      <c r="AD5093" s="1"/>
      <c r="AE5093" s="1"/>
      <c r="AF5093" s="1"/>
      <c r="AG5093" s="1"/>
      <c r="AH5093" s="1"/>
      <c r="AI5093" s="1"/>
      <c r="AJ5093" s="1"/>
      <c r="AK5093" s="1"/>
      <c r="AL5093" s="1"/>
      <c r="AM5093" s="11"/>
      <c r="AN5093" s="11"/>
      <c r="AO5093" s="11"/>
      <c r="AP5093" s="11"/>
      <c r="AQ5093" s="11"/>
      <c r="AR5093" s="11"/>
      <c r="AS5093" s="11"/>
      <c r="AT5093" s="11"/>
      <c r="AU5093" s="1"/>
      <c r="AV5093" s="1"/>
      <c r="AW5093" s="1"/>
      <c r="AX5093" s="11"/>
      <c r="AY5093" s="11"/>
      <c r="AZ5093" s="11"/>
      <c r="BA5093" s="1"/>
      <c r="BB5093" s="1"/>
      <c r="BC5093" s="1"/>
      <c r="BD5093" s="1"/>
      <c r="BE5093" s="1"/>
      <c r="BF5093" s="1"/>
      <c r="BG5093" s="1"/>
      <c r="BH5093" s="1"/>
      <c r="BI5093" s="1"/>
      <c r="BJ5093" s="1"/>
      <c r="BK5093" s="1"/>
    </row>
    <row r="5094" spans="1:63" s="44" customFormat="1" ht="12" customHeight="1" x14ac:dyDescent="0.15">
      <c r="A5094" s="1" t="s">
        <v>17480</v>
      </c>
      <c r="B5094" s="1" t="s">
        <v>13741</v>
      </c>
      <c r="C5094" s="1" t="s">
        <v>20</v>
      </c>
      <c r="D5094" s="1" t="s">
        <v>85</v>
      </c>
      <c r="E5094" s="1" t="s">
        <v>17481</v>
      </c>
      <c r="F5094" s="72">
        <v>41353</v>
      </c>
      <c r="G5094" s="1" t="s">
        <v>24647</v>
      </c>
      <c r="H5094" s="1" t="s">
        <v>1801</v>
      </c>
      <c r="I5094" s="1" t="s">
        <v>217</v>
      </c>
      <c r="J5094" s="4" t="s">
        <v>17033</v>
      </c>
      <c r="K5094" s="1" t="s">
        <v>1803</v>
      </c>
      <c r="L5094" s="1" t="s">
        <v>1804</v>
      </c>
      <c r="M5094" s="1" t="s">
        <v>27</v>
      </c>
      <c r="N5094" s="1" t="s">
        <v>17482</v>
      </c>
      <c r="O5094" s="1" t="s">
        <v>29</v>
      </c>
      <c r="P5094" s="1" t="s">
        <v>401</v>
      </c>
      <c r="Q5094" s="63" t="s">
        <v>17483</v>
      </c>
      <c r="R5094" s="1" t="s">
        <v>100</v>
      </c>
      <c r="S5094" s="13" t="s">
        <v>28</v>
      </c>
      <c r="T5094" s="1"/>
      <c r="U5094" s="1"/>
      <c r="V5094" s="1"/>
      <c r="W5094" s="1"/>
      <c r="X5094" s="1"/>
      <c r="Y5094" s="1"/>
      <c r="Z5094" s="1"/>
      <c r="AA5094" s="1"/>
      <c r="AB5094" s="1"/>
      <c r="AC5094" s="1"/>
      <c r="AD5094" s="1"/>
      <c r="AE5094" s="1"/>
      <c r="AF5094" s="1"/>
      <c r="AG5094" s="1"/>
      <c r="AH5094" s="1"/>
      <c r="AI5094" s="1"/>
      <c r="AJ5094" s="1"/>
      <c r="AK5094" s="1"/>
      <c r="AL5094" s="1"/>
      <c r="AM5094" s="11"/>
      <c r="AN5094" s="11"/>
      <c r="AO5094" s="11"/>
      <c r="AP5094" s="11"/>
      <c r="AQ5094" s="11"/>
      <c r="AR5094" s="11"/>
      <c r="AS5094" s="11"/>
      <c r="AT5094" s="11"/>
      <c r="AU5094" s="1"/>
      <c r="AV5094" s="1"/>
      <c r="AW5094" s="1"/>
      <c r="AX5094" s="11"/>
      <c r="AY5094" s="11"/>
      <c r="AZ5094" s="1"/>
      <c r="BA5094" s="1"/>
      <c r="BB5094" s="1"/>
      <c r="BK5094" s="1"/>
    </row>
    <row r="5095" spans="1:63" s="44" customFormat="1" ht="12" customHeight="1" x14ac:dyDescent="0.15">
      <c r="A5095" s="1" t="s">
        <v>17484</v>
      </c>
      <c r="B5095" s="1" t="s">
        <v>8724</v>
      </c>
      <c r="C5095" s="1" t="s">
        <v>20</v>
      </c>
      <c r="D5095" s="1" t="s">
        <v>48</v>
      </c>
      <c r="E5095" s="1"/>
      <c r="F5095" s="72">
        <v>41352</v>
      </c>
      <c r="G5095" s="1" t="s">
        <v>17485</v>
      </c>
      <c r="H5095" s="1" t="s">
        <v>239</v>
      </c>
      <c r="I5095" s="1" t="s">
        <v>240</v>
      </c>
      <c r="J5095" s="4" t="s">
        <v>10311</v>
      </c>
      <c r="K5095" s="1" t="s">
        <v>611</v>
      </c>
      <c r="L5095" s="1" t="s">
        <v>17486</v>
      </c>
      <c r="M5095" s="1" t="s">
        <v>27</v>
      </c>
      <c r="N5095" s="1" t="s">
        <v>17487</v>
      </c>
      <c r="O5095" s="1" t="s">
        <v>550</v>
      </c>
      <c r="P5095" s="1" t="s">
        <v>401</v>
      </c>
      <c r="Q5095" s="63" t="s">
        <v>17488</v>
      </c>
      <c r="R5095" s="1" t="s">
        <v>100</v>
      </c>
      <c r="S5095" s="13" t="s">
        <v>28</v>
      </c>
      <c r="T5095" s="1"/>
      <c r="U5095" s="1"/>
      <c r="V5095" s="1"/>
      <c r="W5095" s="1"/>
      <c r="X5095" s="1"/>
      <c r="Y5095" s="1"/>
      <c r="Z5095" s="1"/>
      <c r="AA5095" s="1"/>
      <c r="AB5095" s="1"/>
      <c r="AC5095" s="1"/>
      <c r="AD5095" s="1"/>
      <c r="AE5095" s="1"/>
      <c r="AF5095" s="64"/>
      <c r="AG5095" s="64"/>
      <c r="AH5095" s="64"/>
      <c r="AI5095" s="1"/>
      <c r="AJ5095" s="1"/>
      <c r="AK5095" s="1"/>
      <c r="AL5095" s="1"/>
      <c r="AM5095" s="11"/>
      <c r="AN5095" s="11"/>
      <c r="AO5095" s="11"/>
      <c r="AP5095" s="11"/>
      <c r="AQ5095" s="11"/>
      <c r="AR5095" s="11"/>
      <c r="AS5095" s="11"/>
      <c r="AT5095" s="11"/>
      <c r="AU5095" s="1"/>
      <c r="AV5095" s="1"/>
      <c r="AW5095" s="1"/>
      <c r="AX5095" s="1"/>
      <c r="AY5095" s="1"/>
      <c r="AZ5095" s="1"/>
      <c r="BA5095" s="1"/>
      <c r="BB5095" s="1"/>
      <c r="BC5095" s="1"/>
      <c r="BD5095" s="1"/>
      <c r="BE5095" s="1"/>
      <c r="BF5095" s="1"/>
      <c r="BG5095" s="1"/>
      <c r="BH5095" s="1"/>
      <c r="BI5095" s="1"/>
      <c r="BJ5095" s="1"/>
      <c r="BK5095" s="1"/>
    </row>
    <row r="5096" spans="1:63" s="44" customFormat="1" ht="12" customHeight="1" x14ac:dyDescent="0.15">
      <c r="A5096" s="1" t="s">
        <v>17493</v>
      </c>
      <c r="B5096" s="1" t="s">
        <v>13386</v>
      </c>
      <c r="C5096" s="1" t="s">
        <v>20</v>
      </c>
      <c r="D5096" s="1" t="s">
        <v>30</v>
      </c>
      <c r="E5096" s="1"/>
      <c r="F5096" s="72">
        <v>41352</v>
      </c>
      <c r="G5096" s="1" t="s">
        <v>17494</v>
      </c>
      <c r="H5096" s="1" t="s">
        <v>17495</v>
      </c>
      <c r="I5096" s="1" t="s">
        <v>94</v>
      </c>
      <c r="J5096" s="4">
        <v>36022</v>
      </c>
      <c r="K5096" s="1" t="s">
        <v>4070</v>
      </c>
      <c r="L5096" s="1" t="s">
        <v>17496</v>
      </c>
      <c r="M5096" s="1" t="s">
        <v>27</v>
      </c>
      <c r="N5096" s="1" t="s">
        <v>17497</v>
      </c>
      <c r="O5096" s="1" t="s">
        <v>550</v>
      </c>
      <c r="P5096" s="1" t="s">
        <v>401</v>
      </c>
      <c r="Q5096" s="63" t="s">
        <v>17498</v>
      </c>
      <c r="R5096" s="1" t="s">
        <v>100</v>
      </c>
      <c r="S5096" s="13" t="s">
        <v>28</v>
      </c>
      <c r="T5096" s="1"/>
      <c r="U5096" s="1"/>
      <c r="V5096" s="1"/>
      <c r="W5096" s="1"/>
      <c r="X5096" s="1"/>
      <c r="Y5096" s="1"/>
      <c r="Z5096" s="1"/>
      <c r="AA5096" s="1"/>
      <c r="AB5096" s="1"/>
      <c r="AC5096" s="1"/>
      <c r="AD5096" s="1"/>
      <c r="AE5096" s="1"/>
      <c r="AF5096" s="1"/>
      <c r="AG5096" s="1"/>
      <c r="AH5096" s="1"/>
      <c r="AI5096" s="1"/>
      <c r="AJ5096" s="1"/>
      <c r="AK5096" s="1"/>
      <c r="AL5096" s="1"/>
      <c r="AM5096" s="11"/>
      <c r="AN5096" s="11"/>
      <c r="AO5096" s="11"/>
      <c r="AP5096" s="11"/>
      <c r="AQ5096" s="11"/>
      <c r="AR5096" s="11"/>
      <c r="AS5096" s="11"/>
      <c r="AT5096" s="11"/>
      <c r="AU5096" s="1"/>
      <c r="AV5096" s="1"/>
      <c r="AW5096" s="1"/>
      <c r="AX5096" s="1"/>
      <c r="AY5096" s="1"/>
      <c r="AZ5096" s="1"/>
      <c r="BA5096" s="1"/>
      <c r="BB5096" s="1"/>
      <c r="BC5096" s="1"/>
      <c r="BD5096" s="1"/>
      <c r="BE5096" s="1"/>
      <c r="BF5096" s="1"/>
      <c r="BG5096" s="1"/>
      <c r="BH5096" s="1"/>
      <c r="BI5096" s="1"/>
      <c r="BJ5096" s="1"/>
      <c r="BK5096" s="1"/>
    </row>
    <row r="5097" spans="1:63" s="44" customFormat="1" ht="12" customHeight="1" x14ac:dyDescent="0.15">
      <c r="A5097" s="1" t="s">
        <v>17489</v>
      </c>
      <c r="B5097" s="1" t="s">
        <v>15841</v>
      </c>
      <c r="C5097" s="1" t="s">
        <v>20</v>
      </c>
      <c r="D5097" s="1" t="s">
        <v>30</v>
      </c>
      <c r="E5097" s="1"/>
      <c r="F5097" s="72">
        <v>41352</v>
      </c>
      <c r="G5097" s="1" t="s">
        <v>17490</v>
      </c>
      <c r="H5097" s="1" t="s">
        <v>922</v>
      </c>
      <c r="I5097" s="1" t="s">
        <v>195</v>
      </c>
      <c r="J5097" s="4" t="s">
        <v>17491</v>
      </c>
      <c r="K5097" s="1" t="s">
        <v>467</v>
      </c>
      <c r="L5097" s="1" t="s">
        <v>3085</v>
      </c>
      <c r="M5097" s="1" t="s">
        <v>27</v>
      </c>
      <c r="N5097" s="1" t="s">
        <v>17492</v>
      </c>
      <c r="O5097" s="1" t="s">
        <v>29</v>
      </c>
      <c r="P5097" s="1" t="s">
        <v>401</v>
      </c>
      <c r="Q5097" s="63" t="s">
        <v>10114</v>
      </c>
      <c r="R5097" s="1" t="s">
        <v>100</v>
      </c>
      <c r="S5097" s="13" t="s">
        <v>28</v>
      </c>
      <c r="T5097" s="1"/>
      <c r="U5097" s="1"/>
      <c r="V5097" s="1"/>
      <c r="W5097" s="1"/>
      <c r="X5097" s="1"/>
      <c r="Y5097" s="1"/>
      <c r="Z5097" s="1"/>
      <c r="AA5097" s="1"/>
      <c r="AB5097" s="1"/>
      <c r="AC5097" s="1"/>
      <c r="AD5097" s="1"/>
      <c r="AE5097" s="1"/>
      <c r="AF5097" s="1"/>
      <c r="AG5097" s="1"/>
      <c r="AH5097" s="1"/>
      <c r="AI5097" s="1"/>
      <c r="AJ5097" s="1"/>
      <c r="AK5097" s="1"/>
      <c r="AL5097" s="1"/>
      <c r="AM5097" s="11"/>
      <c r="AN5097" s="11"/>
      <c r="AO5097" s="11"/>
      <c r="AP5097" s="11"/>
      <c r="AQ5097" s="11"/>
      <c r="AR5097" s="11"/>
      <c r="AS5097" s="11"/>
      <c r="AT5097" s="11"/>
      <c r="AU5097" s="1"/>
      <c r="AV5097" s="1"/>
      <c r="AW5097" s="1"/>
      <c r="AX5097" s="1"/>
      <c r="AY5097" s="1"/>
      <c r="AZ5097" s="1"/>
      <c r="BA5097" s="1"/>
      <c r="BB5097" s="1"/>
      <c r="BC5097" s="1"/>
      <c r="BD5097" s="1"/>
      <c r="BE5097" s="1"/>
      <c r="BF5097" s="1"/>
      <c r="BG5097" s="1"/>
      <c r="BH5097" s="1"/>
      <c r="BI5097" s="1"/>
      <c r="BJ5097" s="1"/>
      <c r="BK5097" s="1"/>
    </row>
    <row r="5098" spans="1:63" s="44" customFormat="1" ht="12" customHeight="1" x14ac:dyDescent="0.15">
      <c r="A5098" s="1" t="s">
        <v>17501</v>
      </c>
      <c r="B5098" s="1" t="s">
        <v>13492</v>
      </c>
      <c r="C5098" s="1" t="s">
        <v>20</v>
      </c>
      <c r="D5098" s="1" t="s">
        <v>48</v>
      </c>
      <c r="E5098" s="1" t="s">
        <v>17502</v>
      </c>
      <c r="F5098" s="72">
        <v>41351</v>
      </c>
      <c r="G5098" s="1" t="s">
        <v>24648</v>
      </c>
      <c r="H5098" s="1" t="s">
        <v>606</v>
      </c>
      <c r="I5098" s="1" t="s">
        <v>45</v>
      </c>
      <c r="J5098" s="4" t="s">
        <v>17503</v>
      </c>
      <c r="K5098" s="1" t="s">
        <v>607</v>
      </c>
      <c r="L5098" s="1" t="s">
        <v>727</v>
      </c>
      <c r="M5098" s="1" t="s">
        <v>27</v>
      </c>
      <c r="N5098" s="1" t="s">
        <v>17504</v>
      </c>
      <c r="O5098" s="1" t="s">
        <v>550</v>
      </c>
      <c r="P5098" s="1" t="s">
        <v>401</v>
      </c>
      <c r="Q5098" s="63" t="s">
        <v>17505</v>
      </c>
      <c r="R5098" s="1" t="s">
        <v>100</v>
      </c>
      <c r="S5098" s="13" t="s">
        <v>28</v>
      </c>
      <c r="T5098" s="1"/>
      <c r="U5098" s="1"/>
      <c r="V5098" s="1"/>
      <c r="W5098" s="1"/>
      <c r="X5098" s="1"/>
      <c r="Y5098" s="1"/>
      <c r="Z5098" s="1"/>
      <c r="AA5098" s="1"/>
      <c r="AB5098" s="1"/>
      <c r="AC5098" s="1"/>
      <c r="AD5098" s="1"/>
      <c r="AE5098" s="1"/>
      <c r="AF5098" s="1"/>
      <c r="AG5098" s="1"/>
      <c r="AH5098" s="1"/>
      <c r="AI5098" s="1"/>
      <c r="AJ5098" s="1"/>
      <c r="AK5098" s="1"/>
      <c r="AL5098" s="1"/>
      <c r="AM5098" s="11"/>
      <c r="AN5098" s="11"/>
      <c r="AO5098" s="11"/>
      <c r="AP5098" s="11"/>
      <c r="AQ5098" s="11"/>
      <c r="AR5098" s="11"/>
      <c r="AS5098" s="11"/>
      <c r="AT5098" s="11"/>
      <c r="AU5098" s="1"/>
      <c r="AV5098" s="1"/>
      <c r="AW5098" s="1"/>
      <c r="AX5098" s="1"/>
      <c r="AY5098" s="1"/>
      <c r="AZ5098" s="1"/>
      <c r="BA5098" s="1"/>
      <c r="BB5098" s="1"/>
      <c r="BC5098" s="1"/>
      <c r="BD5098" s="1"/>
      <c r="BE5098" s="1"/>
      <c r="BF5098" s="1"/>
      <c r="BG5098" s="1"/>
      <c r="BH5098" s="1"/>
      <c r="BI5098" s="1"/>
      <c r="BJ5098" s="1"/>
      <c r="BK5098" s="1"/>
    </row>
    <row r="5099" spans="1:63" s="44" customFormat="1" ht="12" customHeight="1" x14ac:dyDescent="0.15">
      <c r="A5099" s="1" t="s">
        <v>3252</v>
      </c>
      <c r="B5099" s="1">
        <v>33</v>
      </c>
      <c r="C5099" s="1" t="s">
        <v>20</v>
      </c>
      <c r="D5099" s="1" t="s">
        <v>48</v>
      </c>
      <c r="E5099" s="1"/>
      <c r="F5099" s="72">
        <v>41351</v>
      </c>
      <c r="G5099" s="1" t="s">
        <v>17499</v>
      </c>
      <c r="H5099" s="1" t="s">
        <v>723</v>
      </c>
      <c r="I5099" s="1" t="s">
        <v>73</v>
      </c>
      <c r="J5099" s="4" t="s">
        <v>14103</v>
      </c>
      <c r="K5099" s="1" t="s">
        <v>558</v>
      </c>
      <c r="L5099" s="1" t="s">
        <v>724</v>
      </c>
      <c r="M5099" s="1" t="s">
        <v>27</v>
      </c>
      <c r="N5099" s="1" t="s">
        <v>17500</v>
      </c>
      <c r="O5099" s="1" t="s">
        <v>29</v>
      </c>
      <c r="P5099" s="1" t="s">
        <v>401</v>
      </c>
      <c r="Q5099" s="6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5099" s="1" t="s">
        <v>100</v>
      </c>
      <c r="S5099" s="13" t="s">
        <v>28</v>
      </c>
      <c r="T5099" s="1"/>
      <c r="U5099" s="1"/>
      <c r="V5099" s="1"/>
      <c r="W5099" s="1"/>
      <c r="X5099" s="1"/>
      <c r="Y5099" s="1"/>
      <c r="Z5099" s="1"/>
      <c r="AA5099" s="1"/>
      <c r="AB5099" s="1"/>
      <c r="AC5099" s="1"/>
      <c r="AD5099" s="1"/>
      <c r="AE5099" s="1"/>
      <c r="AF5099" s="1"/>
      <c r="AG5099" s="1"/>
      <c r="AH5099" s="1"/>
      <c r="AI5099" s="1"/>
      <c r="AJ5099" s="1"/>
      <c r="AK5099" s="1"/>
      <c r="AL5099" s="1"/>
      <c r="AM5099" s="11"/>
      <c r="AN5099" s="11"/>
      <c r="AO5099" s="11"/>
      <c r="AP5099" s="11"/>
      <c r="AQ5099" s="11"/>
      <c r="AR5099" s="11"/>
      <c r="AS5099" s="11"/>
      <c r="AT5099" s="11"/>
      <c r="AU5099" s="1"/>
      <c r="AV5099" s="1"/>
      <c r="AW5099" s="1"/>
      <c r="AX5099" s="1"/>
      <c r="AY5099" s="1"/>
      <c r="AZ5099" s="1"/>
      <c r="BA5099" s="1"/>
      <c r="BB5099" s="1"/>
      <c r="BC5099" s="1"/>
      <c r="BD5099" s="1"/>
      <c r="BE5099" s="1"/>
      <c r="BF5099" s="1"/>
      <c r="BG5099" s="1"/>
      <c r="BH5099" s="1"/>
      <c r="BI5099" s="1"/>
      <c r="BJ5099" s="1"/>
      <c r="BK5099" s="1"/>
    </row>
    <row r="5100" spans="1:63" s="44" customFormat="1" ht="12" customHeight="1" x14ac:dyDescent="0.15">
      <c r="A5100" s="1" t="s">
        <v>17506</v>
      </c>
      <c r="B5100" s="1">
        <v>22</v>
      </c>
      <c r="C5100" s="1" t="s">
        <v>20</v>
      </c>
      <c r="D5100" s="1" t="s">
        <v>85</v>
      </c>
      <c r="E5100" s="1" t="s">
        <v>17507</v>
      </c>
      <c r="F5100" s="72">
        <v>41350</v>
      </c>
      <c r="G5100" s="1" t="s">
        <v>17508</v>
      </c>
      <c r="H5100" s="1" t="s">
        <v>17509</v>
      </c>
      <c r="I5100" s="1" t="s">
        <v>69</v>
      </c>
      <c r="J5100" s="4" t="s">
        <v>17510</v>
      </c>
      <c r="K5100" s="1" t="s">
        <v>105</v>
      </c>
      <c r="L5100" s="1" t="s">
        <v>17511</v>
      </c>
      <c r="M5100" s="1" t="s">
        <v>27</v>
      </c>
      <c r="N5100" s="1" t="s">
        <v>17512</v>
      </c>
      <c r="O5100" s="1" t="s">
        <v>550</v>
      </c>
      <c r="P5100" s="1" t="s">
        <v>401</v>
      </c>
      <c r="Q5100" s="63" t="s">
        <v>17513</v>
      </c>
      <c r="R5100" s="1" t="s">
        <v>100</v>
      </c>
      <c r="S5100" s="13" t="s">
        <v>28</v>
      </c>
      <c r="T5100" s="1"/>
      <c r="U5100" s="1"/>
      <c r="V5100" s="1"/>
      <c r="W5100" s="1"/>
      <c r="X5100" s="1"/>
      <c r="Y5100" s="1"/>
      <c r="Z5100" s="1"/>
      <c r="AA5100" s="1"/>
      <c r="AB5100" s="1"/>
      <c r="AC5100" s="1"/>
      <c r="AD5100" s="1"/>
      <c r="AE5100" s="1"/>
      <c r="AF5100" s="1"/>
      <c r="AG5100" s="1"/>
      <c r="AH5100" s="1"/>
      <c r="AI5100" s="1"/>
      <c r="AJ5100" s="1"/>
      <c r="AK5100" s="1"/>
      <c r="AL5100" s="1"/>
      <c r="AM5100" s="11"/>
      <c r="AN5100" s="11"/>
      <c r="AO5100" s="11"/>
      <c r="AP5100" s="11"/>
      <c r="AQ5100" s="11"/>
      <c r="AR5100" s="11"/>
      <c r="AS5100" s="11"/>
      <c r="AT5100" s="11"/>
      <c r="AU5100" s="1"/>
      <c r="AV5100" s="1"/>
      <c r="AW5100" s="1"/>
      <c r="AX5100" s="11"/>
      <c r="AY5100" s="11"/>
      <c r="AZ5100" s="1"/>
      <c r="BA5100" s="1"/>
      <c r="BB5100" s="1"/>
      <c r="BK5100" s="1"/>
    </row>
    <row r="5101" spans="1:63" s="44" customFormat="1" ht="12" customHeight="1" x14ac:dyDescent="0.15">
      <c r="A5101" s="1" t="s">
        <v>17514</v>
      </c>
      <c r="B5101" s="1">
        <v>28</v>
      </c>
      <c r="C5101" s="1" t="s">
        <v>114</v>
      </c>
      <c r="D5101" s="1" t="s">
        <v>48</v>
      </c>
      <c r="E5101" s="1"/>
      <c r="F5101" s="72">
        <v>41349</v>
      </c>
      <c r="G5101" s="1" t="s">
        <v>17515</v>
      </c>
      <c r="H5101" s="1" t="s">
        <v>2874</v>
      </c>
      <c r="I5101" s="1" t="s">
        <v>45</v>
      </c>
      <c r="J5101" s="4" t="s">
        <v>17516</v>
      </c>
      <c r="K5101" s="1" t="s">
        <v>98</v>
      </c>
      <c r="L5101" s="1" t="s">
        <v>17517</v>
      </c>
      <c r="M5101" s="1" t="s">
        <v>27</v>
      </c>
      <c r="N5101" s="1" t="s">
        <v>17518</v>
      </c>
      <c r="O5101" s="1" t="s">
        <v>1010</v>
      </c>
      <c r="P5101" s="1" t="s">
        <v>401</v>
      </c>
      <c r="Q5101" s="63" t="s">
        <v>17519</v>
      </c>
      <c r="R5101" s="1" t="s">
        <v>29</v>
      </c>
      <c r="S5101" s="13" t="s">
        <v>28</v>
      </c>
      <c r="T5101" s="1"/>
      <c r="U5101" s="1"/>
      <c r="V5101" s="1"/>
      <c r="W5101" s="1"/>
      <c r="X5101" s="1"/>
      <c r="Y5101" s="1"/>
      <c r="Z5101" s="1"/>
      <c r="AA5101" s="1"/>
      <c r="AB5101" s="1"/>
      <c r="AC5101" s="1"/>
      <c r="AD5101" s="1"/>
      <c r="AE5101" s="1"/>
      <c r="AF5101" s="1"/>
      <c r="AG5101" s="1"/>
      <c r="AH5101" s="1"/>
      <c r="AI5101" s="1"/>
      <c r="AJ5101" s="1"/>
      <c r="AK5101" s="1"/>
      <c r="AL5101" s="1"/>
      <c r="AM5101" s="11"/>
      <c r="AN5101" s="11"/>
      <c r="AO5101" s="11"/>
      <c r="AP5101" s="11"/>
      <c r="AQ5101" s="11"/>
      <c r="AR5101" s="11"/>
      <c r="AS5101" s="11"/>
      <c r="AT5101" s="11"/>
      <c r="AU5101" s="1"/>
      <c r="AV5101" s="1"/>
      <c r="AW5101" s="1"/>
      <c r="AX5101" s="1"/>
      <c r="AY5101" s="1"/>
      <c r="AZ5101" s="1"/>
      <c r="BA5101" s="1"/>
      <c r="BB5101" s="1"/>
      <c r="BC5101" s="1"/>
      <c r="BD5101" s="1"/>
      <c r="BE5101" s="1"/>
      <c r="BF5101" s="1"/>
      <c r="BG5101" s="1"/>
      <c r="BH5101" s="1"/>
      <c r="BI5101" s="1"/>
      <c r="BJ5101" s="1"/>
      <c r="BK5101" s="1"/>
    </row>
    <row r="5102" spans="1:63" s="44" customFormat="1" ht="12" customHeight="1" x14ac:dyDescent="0.15">
      <c r="A5102" s="1" t="s">
        <v>17520</v>
      </c>
      <c r="B5102" s="1">
        <v>41</v>
      </c>
      <c r="C5102" s="1" t="s">
        <v>20</v>
      </c>
      <c r="D5102" s="1" t="s">
        <v>37</v>
      </c>
      <c r="E5102" s="1" t="s">
        <v>17521</v>
      </c>
      <c r="F5102" s="72">
        <v>41348</v>
      </c>
      <c r="G5102" s="1" t="s">
        <v>17522</v>
      </c>
      <c r="H5102" s="1" t="s">
        <v>3690</v>
      </c>
      <c r="I5102" s="1" t="s">
        <v>45</v>
      </c>
      <c r="J5102" s="4" t="s">
        <v>3691</v>
      </c>
      <c r="K5102" s="1" t="s">
        <v>1061</v>
      </c>
      <c r="L5102" s="1" t="s">
        <v>3692</v>
      </c>
      <c r="M5102" s="1" t="s">
        <v>27</v>
      </c>
      <c r="N5102" s="1" t="s">
        <v>17523</v>
      </c>
      <c r="O5102" s="1" t="s">
        <v>550</v>
      </c>
      <c r="P5102" s="1" t="s">
        <v>401</v>
      </c>
      <c r="Q5102" s="63" t="s">
        <v>17524</v>
      </c>
      <c r="R5102" s="1" t="s">
        <v>100</v>
      </c>
      <c r="S5102" s="13" t="s">
        <v>28</v>
      </c>
      <c r="T5102" s="1"/>
      <c r="U5102" s="1"/>
      <c r="V5102" s="1"/>
      <c r="W5102" s="1"/>
      <c r="X5102" s="1"/>
      <c r="Y5102" s="1"/>
      <c r="Z5102" s="1"/>
      <c r="AA5102" s="1"/>
      <c r="AB5102" s="1"/>
      <c r="AC5102" s="1"/>
      <c r="AD5102" s="1"/>
      <c r="AE5102" s="1"/>
      <c r="AF5102" s="64"/>
      <c r="AG5102" s="64"/>
      <c r="AH5102" s="64"/>
      <c r="AI5102" s="1"/>
      <c r="AJ5102" s="1"/>
      <c r="AK5102" s="1"/>
      <c r="AL5102" s="1"/>
      <c r="AM5102" s="11"/>
      <c r="AN5102" s="11"/>
      <c r="AO5102" s="11"/>
      <c r="AP5102" s="11"/>
      <c r="AQ5102" s="11"/>
      <c r="AR5102" s="11"/>
      <c r="AS5102" s="11"/>
      <c r="AT5102" s="11"/>
      <c r="AU5102" s="1"/>
      <c r="AV5102" s="1"/>
      <c r="AW5102" s="1"/>
      <c r="AX5102" s="11"/>
      <c r="AY5102" s="11"/>
      <c r="AZ5102" s="11"/>
      <c r="BA5102" s="1"/>
      <c r="BB5102" s="1"/>
      <c r="BC5102" s="1"/>
      <c r="BD5102" s="1"/>
      <c r="BE5102" s="1"/>
      <c r="BF5102" s="1"/>
      <c r="BG5102" s="1"/>
      <c r="BH5102" s="1"/>
      <c r="BI5102" s="1"/>
      <c r="BJ5102" s="1"/>
      <c r="BK5102" s="1"/>
    </row>
    <row r="5103" spans="1:63" s="44" customFormat="1" ht="12" customHeight="1" x14ac:dyDescent="0.15">
      <c r="A5103" s="1" t="s">
        <v>17532</v>
      </c>
      <c r="B5103" s="1">
        <v>30</v>
      </c>
      <c r="C5103" s="1" t="s">
        <v>20</v>
      </c>
      <c r="D5103" s="1" t="s">
        <v>37</v>
      </c>
      <c r="E5103" s="1" t="s">
        <v>17533</v>
      </c>
      <c r="F5103" s="72">
        <v>41347</v>
      </c>
      <c r="G5103" s="1" t="s">
        <v>17534</v>
      </c>
      <c r="H5103" s="1" t="s">
        <v>17535</v>
      </c>
      <c r="I5103" s="1" t="s">
        <v>790</v>
      </c>
      <c r="J5103" s="4" t="s">
        <v>17536</v>
      </c>
      <c r="K5103" s="1" t="s">
        <v>17537</v>
      </c>
      <c r="L5103" s="1" t="s">
        <v>17538</v>
      </c>
      <c r="M5103" s="1" t="s">
        <v>27</v>
      </c>
      <c r="N5103" s="1" t="s">
        <v>17539</v>
      </c>
      <c r="O5103" s="1" t="s">
        <v>550</v>
      </c>
      <c r="P5103" s="1" t="s">
        <v>401</v>
      </c>
      <c r="Q5103" s="63" t="s">
        <v>17540</v>
      </c>
      <c r="R5103" s="11" t="s">
        <v>964</v>
      </c>
      <c r="S5103" s="13" t="s">
        <v>28</v>
      </c>
      <c r="T5103" s="1"/>
      <c r="U5103" s="1"/>
      <c r="V5103" s="1"/>
      <c r="W5103" s="1"/>
      <c r="X5103" s="1"/>
      <c r="Y5103" s="1"/>
      <c r="Z5103" s="1"/>
      <c r="AA5103" s="1"/>
      <c r="AB5103" s="1"/>
      <c r="AC5103" s="1"/>
      <c r="AD5103" s="1"/>
      <c r="AE5103" s="1"/>
      <c r="AF5103" s="1"/>
      <c r="AG5103" s="1"/>
      <c r="AH5103" s="1"/>
      <c r="AI5103" s="1"/>
      <c r="AJ5103" s="1"/>
      <c r="AK5103" s="1"/>
      <c r="AL5103" s="1"/>
      <c r="AM5103" s="11"/>
      <c r="AN5103" s="11"/>
      <c r="AO5103" s="11"/>
      <c r="AP5103" s="11"/>
      <c r="AQ5103" s="11"/>
      <c r="AR5103" s="11"/>
      <c r="AS5103" s="11"/>
      <c r="AT5103" s="11"/>
      <c r="AU5103" s="1"/>
      <c r="AV5103" s="1"/>
      <c r="AW5103" s="1"/>
      <c r="AX5103" s="11"/>
      <c r="AY5103" s="11"/>
      <c r="AZ5103" s="11"/>
      <c r="BA5103" s="1"/>
      <c r="BB5103" s="1"/>
      <c r="BC5103" s="1"/>
      <c r="BD5103" s="1"/>
      <c r="BE5103" s="1"/>
      <c r="BF5103" s="1"/>
      <c r="BG5103" s="1"/>
      <c r="BH5103" s="1"/>
      <c r="BI5103" s="1"/>
      <c r="BJ5103" s="1"/>
      <c r="BK5103" s="1"/>
    </row>
    <row r="5104" spans="1:63" s="44" customFormat="1" ht="12" customHeight="1" x14ac:dyDescent="0.15">
      <c r="A5104" s="1" t="s">
        <v>17525</v>
      </c>
      <c r="B5104" s="1">
        <v>21</v>
      </c>
      <c r="C5104" s="1" t="s">
        <v>20</v>
      </c>
      <c r="D5104" s="1" t="s">
        <v>85</v>
      </c>
      <c r="E5104" s="1"/>
      <c r="F5104" s="72">
        <v>41347</v>
      </c>
      <c r="G5104" s="1" t="s">
        <v>17526</v>
      </c>
      <c r="H5104" s="1" t="s">
        <v>285</v>
      </c>
      <c r="I5104" s="1" t="s">
        <v>73</v>
      </c>
      <c r="J5104" s="4" t="s">
        <v>7971</v>
      </c>
      <c r="K5104" s="1" t="s">
        <v>285</v>
      </c>
      <c r="L5104" s="1" t="s">
        <v>286</v>
      </c>
      <c r="M5104" s="1" t="s">
        <v>27</v>
      </c>
      <c r="N5104" s="1" t="s">
        <v>17527</v>
      </c>
      <c r="O5104" s="1" t="s">
        <v>550</v>
      </c>
      <c r="P5104" s="1" t="s">
        <v>401</v>
      </c>
      <c r="Q5104" s="63" t="s">
        <v>17528</v>
      </c>
      <c r="R5104" s="1" t="s">
        <v>100</v>
      </c>
      <c r="S5104" s="13" t="s">
        <v>28</v>
      </c>
      <c r="T5104" s="1"/>
      <c r="U5104" s="1"/>
      <c r="V5104" s="1"/>
      <c r="W5104" s="1"/>
      <c r="X5104" s="1"/>
      <c r="Y5104" s="1"/>
      <c r="Z5104" s="1"/>
      <c r="AA5104" s="1"/>
      <c r="AB5104" s="1"/>
      <c r="AC5104" s="1"/>
      <c r="AD5104" s="1"/>
      <c r="AE5104" s="1"/>
      <c r="AF5104" s="1"/>
      <c r="AG5104" s="1"/>
      <c r="AH5104" s="1"/>
      <c r="AI5104" s="1"/>
      <c r="AJ5104" s="1"/>
      <c r="AK5104" s="1"/>
      <c r="AL5104" s="1"/>
      <c r="AM5104" s="11"/>
      <c r="AN5104" s="11"/>
      <c r="AO5104" s="11"/>
      <c r="AP5104" s="11"/>
      <c r="AQ5104" s="11"/>
      <c r="AR5104" s="11"/>
      <c r="AS5104" s="11"/>
      <c r="AT5104" s="11"/>
      <c r="AU5104" s="1"/>
      <c r="AV5104" s="1"/>
      <c r="AW5104" s="1"/>
      <c r="AX5104" s="11"/>
      <c r="AY5104" s="11"/>
      <c r="AZ5104" s="1"/>
      <c r="BA5104" s="1"/>
      <c r="BB5104" s="1"/>
      <c r="BK5104" s="1"/>
    </row>
    <row r="5105" spans="1:63" s="44" customFormat="1" ht="12" customHeight="1" x14ac:dyDescent="0.15">
      <c r="A5105" s="1" t="s">
        <v>17541</v>
      </c>
      <c r="B5105" s="1">
        <v>64</v>
      </c>
      <c r="C5105" s="1" t="s">
        <v>20</v>
      </c>
      <c r="D5105" s="1" t="s">
        <v>37</v>
      </c>
      <c r="E5105" s="1" t="s">
        <v>17542</v>
      </c>
      <c r="F5105" s="72">
        <v>41347</v>
      </c>
      <c r="G5105" s="1" t="s">
        <v>17543</v>
      </c>
      <c r="H5105" s="1" t="s">
        <v>17544</v>
      </c>
      <c r="I5105" s="1" t="s">
        <v>423</v>
      </c>
      <c r="J5105" s="4" t="s">
        <v>17545</v>
      </c>
      <c r="K5105" s="1" t="s">
        <v>17544</v>
      </c>
      <c r="L5105" s="1" t="s">
        <v>5634</v>
      </c>
      <c r="M5105" s="1" t="s">
        <v>27</v>
      </c>
      <c r="N5105" s="1" t="s">
        <v>17546</v>
      </c>
      <c r="O5105" s="1" t="s">
        <v>550</v>
      </c>
      <c r="P5105" s="1" t="s">
        <v>401</v>
      </c>
      <c r="Q5105" s="63" t="s">
        <v>17547</v>
      </c>
      <c r="R5105" s="1" t="s">
        <v>100</v>
      </c>
      <c r="S5105" s="13" t="s">
        <v>28</v>
      </c>
      <c r="T5105" s="1"/>
      <c r="U5105" s="1"/>
      <c r="V5105" s="1"/>
      <c r="W5105" s="1"/>
      <c r="X5105" s="1"/>
      <c r="Y5105" s="1"/>
      <c r="Z5105" s="1"/>
      <c r="AA5105" s="1"/>
      <c r="AB5105" s="1"/>
      <c r="AC5105" s="1"/>
      <c r="AD5105" s="1"/>
      <c r="AE5105" s="1"/>
      <c r="AF5105" s="1"/>
      <c r="AG5105" s="1"/>
      <c r="AH5105" s="1"/>
      <c r="AI5105" s="1"/>
      <c r="AJ5105" s="1"/>
      <c r="AK5105" s="1"/>
      <c r="AL5105" s="1"/>
      <c r="AM5105" s="11"/>
      <c r="AN5105" s="11"/>
      <c r="AO5105" s="11"/>
      <c r="AP5105" s="11"/>
      <c r="AQ5105" s="11"/>
      <c r="AR5105" s="11"/>
      <c r="AS5105" s="11"/>
      <c r="AT5105" s="11"/>
      <c r="AU5105" s="1"/>
      <c r="AV5105" s="1"/>
      <c r="AW5105" s="1"/>
      <c r="AX5105" s="11"/>
      <c r="AY5105" s="11"/>
      <c r="AZ5105" s="11"/>
      <c r="BA5105" s="1"/>
      <c r="BB5105" s="1"/>
      <c r="BC5105" s="1"/>
      <c r="BD5105" s="1"/>
      <c r="BE5105" s="1"/>
      <c r="BF5105" s="1"/>
      <c r="BG5105" s="1"/>
      <c r="BH5105" s="1"/>
      <c r="BI5105" s="1"/>
      <c r="BJ5105" s="1"/>
      <c r="BK5105" s="1"/>
    </row>
    <row r="5106" spans="1:63" s="44" customFormat="1" ht="12" customHeight="1" x14ac:dyDescent="0.15">
      <c r="A5106" s="1" t="s">
        <v>17529</v>
      </c>
      <c r="B5106" s="1">
        <v>58</v>
      </c>
      <c r="C5106" s="1" t="s">
        <v>20</v>
      </c>
      <c r="D5106" s="1" t="s">
        <v>30</v>
      </c>
      <c r="E5106" s="1"/>
      <c r="F5106" s="72">
        <v>41347</v>
      </c>
      <c r="G5106" s="1" t="s">
        <v>24649</v>
      </c>
      <c r="H5106" s="1" t="s">
        <v>87</v>
      </c>
      <c r="I5106" s="1" t="s">
        <v>44</v>
      </c>
      <c r="J5106" s="4" t="s">
        <v>6594</v>
      </c>
      <c r="K5106" s="1" t="s">
        <v>88</v>
      </c>
      <c r="L5106" s="1" t="s">
        <v>89</v>
      </c>
      <c r="M5106" s="1" t="s">
        <v>27</v>
      </c>
      <c r="N5106" s="1" t="s">
        <v>17530</v>
      </c>
      <c r="O5106" s="1" t="s">
        <v>1010</v>
      </c>
      <c r="P5106" s="1" t="s">
        <v>401</v>
      </c>
      <c r="Q5106" s="63" t="s">
        <v>17531</v>
      </c>
      <c r="R5106" s="1" t="s">
        <v>29</v>
      </c>
      <c r="S5106" s="13" t="s">
        <v>28</v>
      </c>
      <c r="T5106" s="1"/>
      <c r="U5106" s="1"/>
      <c r="V5106" s="1"/>
      <c r="W5106" s="1"/>
      <c r="X5106" s="1"/>
      <c r="Y5106" s="1"/>
      <c r="Z5106" s="1"/>
      <c r="AA5106" s="1"/>
      <c r="AB5106" s="1"/>
      <c r="AC5106" s="1"/>
      <c r="AD5106" s="1"/>
      <c r="AE5106" s="1"/>
      <c r="AF5106" s="1"/>
      <c r="AG5106" s="1"/>
      <c r="AH5106" s="1"/>
      <c r="AI5106" s="1"/>
      <c r="AJ5106" s="1"/>
      <c r="AK5106" s="1"/>
      <c r="AL5106" s="1"/>
      <c r="AM5106" s="11"/>
      <c r="AN5106" s="11"/>
      <c r="AO5106" s="11"/>
      <c r="AP5106" s="11"/>
      <c r="AQ5106" s="11"/>
      <c r="AR5106" s="11"/>
      <c r="AS5106" s="11"/>
      <c r="AT5106" s="11"/>
      <c r="AU5106" s="1"/>
      <c r="AV5106" s="1"/>
      <c r="AW5106" s="1"/>
      <c r="AX5106" s="1"/>
      <c r="AY5106" s="1"/>
      <c r="AZ5106" s="1"/>
      <c r="BA5106" s="1"/>
      <c r="BB5106" s="1"/>
      <c r="BC5106" s="1"/>
      <c r="BD5106" s="1"/>
      <c r="BE5106" s="1"/>
      <c r="BF5106" s="1"/>
      <c r="BG5106" s="1"/>
      <c r="BH5106" s="1"/>
      <c r="BI5106" s="1"/>
      <c r="BJ5106" s="1"/>
      <c r="BK5106" s="1"/>
    </row>
    <row r="5107" spans="1:63" s="44" customFormat="1" ht="12" customHeight="1" x14ac:dyDescent="0.15">
      <c r="A5107" s="1" t="s">
        <v>17567</v>
      </c>
      <c r="B5107" s="1" t="s">
        <v>17026</v>
      </c>
      <c r="C5107" s="1" t="s">
        <v>20</v>
      </c>
      <c r="D5107" s="1" t="s">
        <v>37</v>
      </c>
      <c r="E5107" s="1" t="s">
        <v>17568</v>
      </c>
      <c r="F5107" s="72">
        <v>41346</v>
      </c>
      <c r="G5107" s="1" t="s">
        <v>17569</v>
      </c>
      <c r="H5107" s="1" t="s">
        <v>4890</v>
      </c>
      <c r="I5107" s="1" t="s">
        <v>44</v>
      </c>
      <c r="J5107" s="4" t="s">
        <v>17570</v>
      </c>
      <c r="K5107" s="1" t="s">
        <v>17571</v>
      </c>
      <c r="L5107" s="1" t="s">
        <v>4892</v>
      </c>
      <c r="M5107" s="1" t="s">
        <v>27</v>
      </c>
      <c r="N5107" s="1" t="s">
        <v>17572</v>
      </c>
      <c r="O5107" s="1" t="s">
        <v>550</v>
      </c>
      <c r="P5107" s="1" t="s">
        <v>401</v>
      </c>
      <c r="Q5107" s="63" t="s">
        <v>17573</v>
      </c>
      <c r="R5107" s="11" t="s">
        <v>964</v>
      </c>
      <c r="S5107" s="13" t="s">
        <v>28</v>
      </c>
      <c r="T5107" s="1"/>
      <c r="U5107" s="1"/>
      <c r="V5107" s="1"/>
      <c r="W5107" s="1"/>
      <c r="X5107" s="1"/>
      <c r="Y5107" s="1"/>
      <c r="Z5107" s="1"/>
      <c r="AA5107" s="1"/>
      <c r="AB5107" s="1"/>
      <c r="AC5107" s="1"/>
      <c r="AD5107" s="1"/>
      <c r="AE5107" s="1"/>
      <c r="AF5107" s="1"/>
      <c r="AG5107" s="1"/>
      <c r="AH5107" s="1"/>
      <c r="AI5107" s="1"/>
      <c r="AJ5107" s="1"/>
      <c r="AK5107" s="1"/>
      <c r="AL5107" s="1"/>
      <c r="AM5107" s="11"/>
      <c r="AN5107" s="11"/>
      <c r="AO5107" s="11"/>
      <c r="AP5107" s="11"/>
      <c r="AQ5107" s="11"/>
      <c r="AR5107" s="11"/>
      <c r="AS5107" s="11"/>
      <c r="AT5107" s="11"/>
      <c r="AU5107" s="1"/>
      <c r="AV5107" s="1"/>
      <c r="AW5107" s="1"/>
      <c r="AX5107" s="11"/>
      <c r="AY5107" s="11"/>
      <c r="AZ5107" s="11"/>
      <c r="BA5107" s="1"/>
      <c r="BB5107" s="1"/>
      <c r="BC5107" s="1"/>
      <c r="BD5107" s="1"/>
      <c r="BE5107" s="1"/>
      <c r="BF5107" s="1"/>
      <c r="BG5107" s="1"/>
      <c r="BH5107" s="1"/>
      <c r="BI5107" s="1"/>
      <c r="BJ5107" s="1"/>
      <c r="BK5107" s="1"/>
    </row>
    <row r="5108" spans="1:63" s="44" customFormat="1" ht="12" customHeight="1" x14ac:dyDescent="0.15">
      <c r="A5108" s="1" t="s">
        <v>17548</v>
      </c>
      <c r="B5108" s="1">
        <v>20</v>
      </c>
      <c r="C5108" s="1" t="s">
        <v>20</v>
      </c>
      <c r="D5108" s="1" t="s">
        <v>85</v>
      </c>
      <c r="E5108" s="1"/>
      <c r="F5108" s="72">
        <v>41346</v>
      </c>
      <c r="G5108" s="1" t="s">
        <v>17549</v>
      </c>
      <c r="H5108" s="1" t="s">
        <v>984</v>
      </c>
      <c r="I5108" s="1" t="s">
        <v>669</v>
      </c>
      <c r="J5108" s="4" t="s">
        <v>17550</v>
      </c>
      <c r="K5108" s="1" t="s">
        <v>17551</v>
      </c>
      <c r="L5108" s="1" t="s">
        <v>17552</v>
      </c>
      <c r="M5108" s="1" t="s">
        <v>27</v>
      </c>
      <c r="N5108" s="1" t="s">
        <v>17553</v>
      </c>
      <c r="O5108" s="1" t="s">
        <v>25476</v>
      </c>
      <c r="P5108" s="1" t="s">
        <v>1159</v>
      </c>
      <c r="Q5108" s="63" t="s">
        <v>17554</v>
      </c>
      <c r="R5108" s="1" t="s">
        <v>100</v>
      </c>
      <c r="S5108" s="13" t="s">
        <v>18</v>
      </c>
      <c r="T5108" s="1"/>
      <c r="U5108" s="1"/>
      <c r="V5108" s="1"/>
      <c r="W5108" s="1"/>
      <c r="X5108" s="1"/>
      <c r="Y5108" s="1"/>
      <c r="Z5108" s="1"/>
      <c r="AA5108" s="1"/>
      <c r="AB5108" s="1"/>
      <c r="AC5108" s="1"/>
      <c r="AD5108" s="1"/>
      <c r="AE5108" s="1"/>
      <c r="AF5108" s="1"/>
      <c r="AG5108" s="1"/>
      <c r="AH5108" s="1"/>
      <c r="AI5108" s="1"/>
      <c r="AJ5108" s="1"/>
      <c r="AK5108" s="1"/>
      <c r="AL5108" s="1"/>
      <c r="AM5108" s="11"/>
      <c r="AN5108" s="11"/>
      <c r="AO5108" s="11"/>
      <c r="AP5108" s="11"/>
      <c r="AQ5108" s="11"/>
      <c r="AR5108" s="11"/>
      <c r="AS5108" s="11"/>
      <c r="AT5108" s="11"/>
      <c r="AU5108" s="1"/>
      <c r="AV5108" s="1"/>
      <c r="AW5108" s="1"/>
      <c r="AX5108" s="11"/>
      <c r="AY5108" s="11"/>
      <c r="AZ5108" s="1"/>
      <c r="BA5108" s="1"/>
      <c r="BB5108" s="1"/>
      <c r="BK5108" s="1"/>
    </row>
    <row r="5109" spans="1:63" s="44" customFormat="1" ht="12" customHeight="1" x14ac:dyDescent="0.15">
      <c r="A5109" s="1" t="s">
        <v>17562</v>
      </c>
      <c r="B5109" s="1">
        <v>78</v>
      </c>
      <c r="C5109" s="1" t="s">
        <v>20</v>
      </c>
      <c r="D5109" s="1" t="s">
        <v>48</v>
      </c>
      <c r="E5109" s="1"/>
      <c r="F5109" s="72">
        <v>41346</v>
      </c>
      <c r="G5109" s="1" t="s">
        <v>24650</v>
      </c>
      <c r="H5109" s="1" t="s">
        <v>17563</v>
      </c>
      <c r="I5109" s="1" t="s">
        <v>73</v>
      </c>
      <c r="J5109" s="4" t="s">
        <v>17564</v>
      </c>
      <c r="K5109" s="1" t="s">
        <v>11538</v>
      </c>
      <c r="L5109" s="1" t="s">
        <v>11540</v>
      </c>
      <c r="M5109" s="1" t="s">
        <v>27</v>
      </c>
      <c r="N5109" s="1" t="s">
        <v>17565</v>
      </c>
      <c r="O5109" s="1" t="s">
        <v>1010</v>
      </c>
      <c r="P5109" s="1" t="s">
        <v>401</v>
      </c>
      <c r="Q5109" s="63" t="s">
        <v>17566</v>
      </c>
      <c r="R5109" s="1" t="s">
        <v>29</v>
      </c>
      <c r="S5109" s="13" t="s">
        <v>28</v>
      </c>
      <c r="T5109" s="1"/>
      <c r="U5109" s="1"/>
      <c r="V5109" s="1"/>
      <c r="W5109" s="1"/>
      <c r="X5109" s="1"/>
      <c r="Y5109" s="1"/>
      <c r="Z5109" s="1"/>
      <c r="AA5109" s="1"/>
      <c r="AB5109" s="1"/>
      <c r="AC5109" s="1"/>
      <c r="AD5109" s="1"/>
      <c r="AE5109" s="1"/>
      <c r="AF5109" s="1"/>
      <c r="AG5109" s="1"/>
      <c r="AH5109" s="1"/>
      <c r="AI5109" s="1"/>
      <c r="AJ5109" s="1"/>
      <c r="AK5109" s="1"/>
      <c r="AL5109" s="1"/>
      <c r="AM5109" s="11"/>
      <c r="AN5109" s="11"/>
      <c r="AO5109" s="11"/>
      <c r="AP5109" s="11"/>
      <c r="AQ5109" s="11"/>
      <c r="AR5109" s="11"/>
      <c r="AS5109" s="11"/>
      <c r="AT5109" s="11"/>
      <c r="AU5109" s="1"/>
      <c r="AV5109" s="1"/>
      <c r="AW5109" s="1"/>
      <c r="AX5109" s="1"/>
      <c r="AY5109" s="1"/>
      <c r="AZ5109" s="1"/>
      <c r="BA5109" s="1"/>
      <c r="BB5109" s="1"/>
      <c r="BC5109" s="1"/>
      <c r="BD5109" s="1"/>
      <c r="BE5109" s="1"/>
      <c r="BF5109" s="1"/>
      <c r="BG5109" s="1"/>
      <c r="BH5109" s="1"/>
      <c r="BI5109" s="1"/>
      <c r="BJ5109" s="1"/>
      <c r="BK5109" s="1"/>
    </row>
    <row r="5110" spans="1:63" s="44" customFormat="1" ht="12" customHeight="1" x14ac:dyDescent="0.15">
      <c r="A5110" s="1" t="s">
        <v>17555</v>
      </c>
      <c r="B5110" s="1" t="s">
        <v>10109</v>
      </c>
      <c r="C5110" s="1" t="s">
        <v>20</v>
      </c>
      <c r="D5110" s="1" t="s">
        <v>85</v>
      </c>
      <c r="E5110" s="1" t="s">
        <v>17556</v>
      </c>
      <c r="F5110" s="72">
        <v>41346</v>
      </c>
      <c r="G5110" s="1" t="s">
        <v>24651</v>
      </c>
      <c r="H5110" s="1" t="s">
        <v>17557</v>
      </c>
      <c r="I5110" s="1" t="s">
        <v>150</v>
      </c>
      <c r="J5110" s="4" t="s">
        <v>17558</v>
      </c>
      <c r="K5110" s="1" t="s">
        <v>5329</v>
      </c>
      <c r="L5110" s="1" t="s">
        <v>17559</v>
      </c>
      <c r="M5110" s="1" t="s">
        <v>27</v>
      </c>
      <c r="N5110" s="1" t="s">
        <v>17560</v>
      </c>
      <c r="O5110" s="1" t="s">
        <v>550</v>
      </c>
      <c r="P5110" s="1" t="s">
        <v>401</v>
      </c>
      <c r="Q5110" s="63" t="s">
        <v>17561</v>
      </c>
      <c r="R5110" s="1" t="s">
        <v>555</v>
      </c>
      <c r="S5110" s="13" t="s">
        <v>28</v>
      </c>
      <c r="T5110" s="1"/>
      <c r="U5110" s="1"/>
      <c r="V5110" s="1"/>
      <c r="W5110" s="1"/>
      <c r="X5110" s="1"/>
      <c r="Y5110" s="1"/>
      <c r="Z5110" s="1"/>
      <c r="AA5110" s="1"/>
      <c r="AB5110" s="1"/>
      <c r="AC5110" s="1"/>
      <c r="AD5110" s="1"/>
      <c r="AE5110" s="1"/>
      <c r="AF5110" s="1"/>
      <c r="AG5110" s="1"/>
      <c r="AH5110" s="1"/>
      <c r="AI5110" s="1"/>
      <c r="AJ5110" s="1"/>
      <c r="AK5110" s="1"/>
      <c r="AL5110" s="1"/>
      <c r="AM5110" s="11"/>
      <c r="AN5110" s="11"/>
      <c r="AO5110" s="11"/>
      <c r="AP5110" s="11"/>
      <c r="AQ5110" s="11"/>
      <c r="AR5110" s="11"/>
      <c r="AS5110" s="11"/>
      <c r="AT5110" s="11"/>
      <c r="AU5110" s="1"/>
      <c r="AV5110" s="1"/>
      <c r="AW5110" s="1"/>
      <c r="AX5110" s="11"/>
      <c r="AY5110" s="11"/>
      <c r="AZ5110" s="1"/>
      <c r="BA5110" s="1"/>
      <c r="BB5110" s="1"/>
      <c r="BK5110" s="1"/>
    </row>
    <row r="5111" spans="1:63" s="44" customFormat="1" ht="12" customHeight="1" x14ac:dyDescent="0.15">
      <c r="A5111" s="1" t="s">
        <v>17574</v>
      </c>
      <c r="B5111" s="1">
        <v>17</v>
      </c>
      <c r="C5111" s="1" t="s">
        <v>20</v>
      </c>
      <c r="D5111" s="1" t="s">
        <v>85</v>
      </c>
      <c r="E5111" s="1" t="s">
        <v>17575</v>
      </c>
      <c r="F5111" s="72">
        <v>41345</v>
      </c>
      <c r="G5111" s="1" t="s">
        <v>24652</v>
      </c>
      <c r="H5111" s="1" t="s">
        <v>14512</v>
      </c>
      <c r="I5111" s="1" t="s">
        <v>57</v>
      </c>
      <c r="J5111" s="4" t="s">
        <v>17576</v>
      </c>
      <c r="K5111" s="1" t="s">
        <v>601</v>
      </c>
      <c r="L5111" s="1" t="s">
        <v>17577</v>
      </c>
      <c r="M5111" s="1" t="s">
        <v>27</v>
      </c>
      <c r="N5111" s="1" t="s">
        <v>17578</v>
      </c>
      <c r="O5111" s="1" t="s">
        <v>550</v>
      </c>
      <c r="P5111" s="1" t="s">
        <v>401</v>
      </c>
      <c r="Q5111" s="63" t="s">
        <v>17579</v>
      </c>
      <c r="R5111" s="1" t="s">
        <v>100</v>
      </c>
      <c r="S5111" s="13" t="s">
        <v>28</v>
      </c>
      <c r="T5111" s="1"/>
      <c r="U5111" s="1"/>
      <c r="V5111" s="1"/>
      <c r="W5111" s="1"/>
      <c r="X5111" s="1"/>
      <c r="Y5111" s="1"/>
      <c r="Z5111" s="1"/>
      <c r="AA5111" s="1"/>
      <c r="AB5111" s="1"/>
      <c r="AC5111" s="1"/>
      <c r="AD5111" s="1"/>
      <c r="AE5111" s="1"/>
      <c r="AF5111" s="1"/>
      <c r="AG5111" s="1"/>
      <c r="AH5111" s="1"/>
      <c r="AI5111" s="1"/>
      <c r="AJ5111" s="1"/>
      <c r="AK5111" s="1"/>
      <c r="AL5111" s="1"/>
      <c r="AM5111" s="11"/>
      <c r="AN5111" s="11"/>
      <c r="AO5111" s="11"/>
      <c r="AP5111" s="11"/>
      <c r="AQ5111" s="11"/>
      <c r="AR5111" s="11"/>
      <c r="AS5111" s="11"/>
      <c r="AT5111" s="11"/>
      <c r="AU5111" s="1"/>
      <c r="AV5111" s="1"/>
      <c r="AW5111" s="1"/>
      <c r="AX5111" s="11"/>
      <c r="AY5111" s="11"/>
      <c r="AZ5111" s="1"/>
      <c r="BA5111" s="1"/>
      <c r="BB5111" s="1"/>
      <c r="BK5111" s="1"/>
    </row>
    <row r="5112" spans="1:63" s="44" customFormat="1" ht="12" customHeight="1" x14ac:dyDescent="0.15">
      <c r="A5112" s="1" t="s">
        <v>17580</v>
      </c>
      <c r="B5112" s="1">
        <v>44</v>
      </c>
      <c r="C5112" s="1" t="s">
        <v>20</v>
      </c>
      <c r="D5112" s="1" t="s">
        <v>48</v>
      </c>
      <c r="E5112" s="1"/>
      <c r="F5112" s="72">
        <v>41345</v>
      </c>
      <c r="G5112" s="1" t="s">
        <v>17581</v>
      </c>
      <c r="H5112" s="1" t="s">
        <v>213</v>
      </c>
      <c r="I5112" s="1" t="s">
        <v>62</v>
      </c>
      <c r="J5112" s="4" t="s">
        <v>17582</v>
      </c>
      <c r="K5112" s="1" t="s">
        <v>161</v>
      </c>
      <c r="L5112" s="1" t="s">
        <v>162</v>
      </c>
      <c r="M5112" s="1" t="s">
        <v>27</v>
      </c>
      <c r="N5112" s="1" t="s">
        <v>17583</v>
      </c>
      <c r="O5112" s="1" t="s">
        <v>400</v>
      </c>
      <c r="P5112" s="1" t="s">
        <v>401</v>
      </c>
      <c r="Q5112" s="63" t="s">
        <v>17584</v>
      </c>
      <c r="R5112" s="1" t="s">
        <v>100</v>
      </c>
      <c r="S5112" s="13" t="s">
        <v>28</v>
      </c>
      <c r="T5112" s="1"/>
      <c r="U5112" s="1"/>
      <c r="V5112" s="1"/>
      <c r="W5112" s="1"/>
      <c r="X5112" s="1"/>
      <c r="Y5112" s="1"/>
      <c r="Z5112" s="1"/>
      <c r="AA5112" s="1"/>
      <c r="AB5112" s="1"/>
      <c r="AC5112" s="1"/>
      <c r="AD5112" s="1"/>
      <c r="AE5112" s="1"/>
      <c r="AF5112" s="1"/>
      <c r="AG5112" s="1"/>
      <c r="AH5112" s="1"/>
      <c r="AI5112" s="1"/>
      <c r="AJ5112" s="1"/>
      <c r="AK5112" s="1"/>
      <c r="AL5112" s="1"/>
      <c r="AM5112" s="11"/>
      <c r="AN5112" s="11"/>
      <c r="AO5112" s="11"/>
      <c r="AP5112" s="11"/>
      <c r="AQ5112" s="11"/>
      <c r="AR5112" s="11"/>
      <c r="AS5112" s="11"/>
      <c r="AT5112" s="11"/>
      <c r="AU5112" s="1"/>
      <c r="AV5112" s="1"/>
      <c r="AW5112" s="1"/>
      <c r="AX5112" s="1"/>
      <c r="AY5112" s="1"/>
      <c r="AZ5112" s="1"/>
      <c r="BA5112" s="1"/>
      <c r="BB5112" s="1"/>
      <c r="BC5112" s="1"/>
      <c r="BD5112" s="1"/>
      <c r="BE5112" s="1"/>
      <c r="BF5112" s="1"/>
      <c r="BG5112" s="1"/>
      <c r="BH5112" s="1"/>
      <c r="BI5112" s="1"/>
      <c r="BJ5112" s="1"/>
      <c r="BK5112" s="1"/>
    </row>
    <row r="5113" spans="1:63" s="44" customFormat="1" ht="12" customHeight="1" x14ac:dyDescent="0.15">
      <c r="A5113" s="1" t="s">
        <v>17593</v>
      </c>
      <c r="B5113" s="1">
        <v>58</v>
      </c>
      <c r="C5113" s="1" t="s">
        <v>20</v>
      </c>
      <c r="D5113" s="1" t="s">
        <v>37</v>
      </c>
      <c r="E5113" s="1"/>
      <c r="F5113" s="72">
        <v>41345</v>
      </c>
      <c r="G5113" s="1" t="s">
        <v>17594</v>
      </c>
      <c r="H5113" s="1" t="s">
        <v>17595</v>
      </c>
      <c r="I5113" s="1" t="s">
        <v>41</v>
      </c>
      <c r="J5113" s="4" t="s">
        <v>17596</v>
      </c>
      <c r="K5113" s="1" t="s">
        <v>10524</v>
      </c>
      <c r="L5113" s="1" t="s">
        <v>17597</v>
      </c>
      <c r="M5113" s="1" t="s">
        <v>27</v>
      </c>
      <c r="N5113" s="1" t="s">
        <v>17598</v>
      </c>
      <c r="O5113" s="1" t="s">
        <v>550</v>
      </c>
      <c r="P5113" s="1" t="s">
        <v>401</v>
      </c>
      <c r="Q5113" s="63" t="s">
        <v>17599</v>
      </c>
      <c r="R5113" s="1" t="s">
        <v>100</v>
      </c>
      <c r="S5113" s="13" t="s">
        <v>28</v>
      </c>
      <c r="T5113" s="1"/>
      <c r="U5113" s="1"/>
      <c r="V5113" s="1"/>
      <c r="W5113" s="1"/>
      <c r="X5113" s="1"/>
      <c r="Y5113" s="1"/>
      <c r="Z5113" s="1"/>
      <c r="AA5113" s="1"/>
      <c r="AB5113" s="1"/>
      <c r="AC5113" s="1"/>
      <c r="AD5113" s="1"/>
      <c r="AE5113" s="1"/>
      <c r="AF5113" s="1"/>
      <c r="AG5113" s="1"/>
      <c r="AH5113" s="1"/>
      <c r="AI5113" s="1"/>
      <c r="AJ5113" s="1"/>
      <c r="AK5113" s="1"/>
      <c r="AL5113" s="1"/>
      <c r="AM5113" s="11"/>
      <c r="AN5113" s="11"/>
      <c r="AO5113" s="11"/>
      <c r="AP5113" s="11"/>
      <c r="AQ5113" s="11"/>
      <c r="AR5113" s="11"/>
      <c r="AS5113" s="11"/>
      <c r="AT5113" s="11"/>
      <c r="AU5113" s="1"/>
      <c r="AV5113" s="1"/>
      <c r="AW5113" s="1"/>
      <c r="AX5113" s="11"/>
      <c r="AY5113" s="11"/>
      <c r="AZ5113" s="11"/>
      <c r="BA5113" s="1"/>
      <c r="BB5113" s="1"/>
      <c r="BC5113" s="1"/>
      <c r="BD5113" s="1"/>
      <c r="BE5113" s="1"/>
      <c r="BF5113" s="1"/>
      <c r="BG5113" s="1"/>
      <c r="BH5113" s="1"/>
      <c r="BI5113" s="1"/>
      <c r="BJ5113" s="1"/>
      <c r="BK5113" s="1"/>
    </row>
    <row r="5114" spans="1:63" s="44" customFormat="1" ht="12" customHeight="1" x14ac:dyDescent="0.15">
      <c r="A5114" s="1" t="s">
        <v>17585</v>
      </c>
      <c r="B5114" s="1">
        <v>47</v>
      </c>
      <c r="C5114" s="1" t="s">
        <v>20</v>
      </c>
      <c r="D5114" s="1" t="s">
        <v>30</v>
      </c>
      <c r="E5114" s="1"/>
      <c r="F5114" s="72">
        <v>41345</v>
      </c>
      <c r="G5114" s="1" t="s">
        <v>17586</v>
      </c>
      <c r="H5114" s="1" t="s">
        <v>17587</v>
      </c>
      <c r="I5114" s="1" t="s">
        <v>463</v>
      </c>
      <c r="J5114" s="4" t="s">
        <v>17588</v>
      </c>
      <c r="K5114" s="1" t="s">
        <v>17589</v>
      </c>
      <c r="L5114" s="1" t="s">
        <v>17590</v>
      </c>
      <c r="M5114" s="1" t="s">
        <v>27</v>
      </c>
      <c r="N5114" s="1" t="s">
        <v>17591</v>
      </c>
      <c r="O5114" s="1" t="s">
        <v>550</v>
      </c>
      <c r="P5114" s="1" t="s">
        <v>401</v>
      </c>
      <c r="Q5114" s="63" t="s">
        <v>17592</v>
      </c>
      <c r="R5114" s="1" t="s">
        <v>29</v>
      </c>
      <c r="S5114" s="13" t="s">
        <v>28</v>
      </c>
      <c r="T5114" s="1"/>
      <c r="U5114" s="1"/>
      <c r="V5114" s="1"/>
      <c r="W5114" s="1"/>
      <c r="X5114" s="1"/>
      <c r="Y5114" s="1"/>
      <c r="Z5114" s="1"/>
      <c r="AA5114" s="1"/>
      <c r="AB5114" s="1"/>
      <c r="AC5114" s="1"/>
      <c r="AD5114" s="1"/>
      <c r="AE5114" s="1"/>
      <c r="AF5114" s="1"/>
      <c r="AG5114" s="1"/>
      <c r="AH5114" s="1"/>
      <c r="AI5114" s="1"/>
      <c r="AJ5114" s="1"/>
      <c r="AK5114" s="1"/>
      <c r="AL5114" s="1"/>
      <c r="AM5114" s="11"/>
      <c r="AN5114" s="11"/>
      <c r="AO5114" s="11"/>
      <c r="AP5114" s="11"/>
      <c r="AQ5114" s="11"/>
      <c r="AR5114" s="11"/>
      <c r="AS5114" s="11"/>
      <c r="AT5114" s="11"/>
      <c r="AU5114" s="1"/>
      <c r="AV5114" s="1"/>
      <c r="AW5114" s="1"/>
      <c r="AX5114" s="1"/>
      <c r="AY5114" s="1"/>
      <c r="AZ5114" s="1"/>
      <c r="BA5114" s="1"/>
      <c r="BB5114" s="1"/>
      <c r="BC5114" s="1"/>
      <c r="BD5114" s="1"/>
      <c r="BE5114" s="1"/>
      <c r="BF5114" s="1"/>
      <c r="BG5114" s="1"/>
      <c r="BH5114" s="1"/>
      <c r="BI5114" s="1"/>
      <c r="BJ5114" s="1"/>
      <c r="BK5114" s="1"/>
    </row>
    <row r="5115" spans="1:63" s="44" customFormat="1" ht="12" customHeight="1" x14ac:dyDescent="0.15">
      <c r="A5115" s="1" t="s">
        <v>17600</v>
      </c>
      <c r="B5115" s="1" t="s">
        <v>15985</v>
      </c>
      <c r="C5115" s="1" t="s">
        <v>20</v>
      </c>
      <c r="D5115" s="1" t="s">
        <v>85</v>
      </c>
      <c r="E5115" s="1" t="s">
        <v>17601</v>
      </c>
      <c r="F5115" s="72">
        <v>41343</v>
      </c>
      <c r="G5115" s="1" t="s">
        <v>24653</v>
      </c>
      <c r="H5115" s="1" t="s">
        <v>285</v>
      </c>
      <c r="I5115" s="1" t="s">
        <v>73</v>
      </c>
      <c r="J5115" s="4" t="s">
        <v>8921</v>
      </c>
      <c r="K5115" s="1" t="s">
        <v>285</v>
      </c>
      <c r="L5115" s="1" t="s">
        <v>286</v>
      </c>
      <c r="M5115" s="1" t="s">
        <v>27</v>
      </c>
      <c r="N5115" s="1" t="s">
        <v>17602</v>
      </c>
      <c r="O5115" s="1" t="s">
        <v>29</v>
      </c>
      <c r="P5115" s="1" t="s">
        <v>401</v>
      </c>
      <c r="Q5115" s="6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5115" s="11" t="s">
        <v>964</v>
      </c>
      <c r="S5115" s="13" t="s">
        <v>18</v>
      </c>
      <c r="T5115" s="1"/>
      <c r="U5115" s="1"/>
      <c r="V5115" s="1"/>
      <c r="W5115" s="1"/>
      <c r="X5115" s="1"/>
      <c r="Y5115" s="1"/>
      <c r="Z5115" s="1"/>
      <c r="AA5115" s="1"/>
      <c r="AB5115" s="1"/>
      <c r="AC5115" s="1"/>
      <c r="AD5115" s="1"/>
      <c r="AE5115" s="1"/>
      <c r="AF5115" s="1"/>
      <c r="AG5115" s="1"/>
      <c r="AH5115" s="1"/>
      <c r="AI5115" s="1"/>
      <c r="AJ5115" s="1"/>
      <c r="AK5115" s="1"/>
      <c r="AL5115" s="1"/>
      <c r="AM5115" s="11"/>
      <c r="AN5115" s="11"/>
      <c r="AO5115" s="11"/>
      <c r="AP5115" s="11"/>
      <c r="AQ5115" s="11"/>
      <c r="AR5115" s="11"/>
      <c r="AS5115" s="11"/>
      <c r="AT5115" s="11"/>
      <c r="AU5115" s="1"/>
      <c r="AV5115" s="1"/>
      <c r="AW5115" s="1"/>
      <c r="AX5115" s="11"/>
      <c r="AY5115" s="11"/>
      <c r="AZ5115" s="1"/>
      <c r="BA5115" s="1"/>
      <c r="BB5115" s="1"/>
      <c r="BK5115" s="1"/>
    </row>
    <row r="5116" spans="1:63" s="44" customFormat="1" ht="12" customHeight="1" x14ac:dyDescent="0.15">
      <c r="A5116" s="1" t="s">
        <v>17613</v>
      </c>
      <c r="B5116" s="1">
        <v>49</v>
      </c>
      <c r="C5116" s="1" t="s">
        <v>20</v>
      </c>
      <c r="D5116" s="1" t="s">
        <v>85</v>
      </c>
      <c r="E5116" s="1" t="s">
        <v>17614</v>
      </c>
      <c r="F5116" s="72">
        <v>41343</v>
      </c>
      <c r="G5116" s="1" t="s">
        <v>17615</v>
      </c>
      <c r="H5116" s="1" t="s">
        <v>17616</v>
      </c>
      <c r="I5116" s="1" t="s">
        <v>173</v>
      </c>
      <c r="J5116" s="4" t="s">
        <v>17617</v>
      </c>
      <c r="K5116" s="1" t="s">
        <v>723</v>
      </c>
      <c r="L5116" s="1" t="s">
        <v>17618</v>
      </c>
      <c r="M5116" s="1" t="s">
        <v>27</v>
      </c>
      <c r="N5116" s="1" t="s">
        <v>17619</v>
      </c>
      <c r="O5116" s="1" t="s">
        <v>550</v>
      </c>
      <c r="P5116" s="1" t="s">
        <v>401</v>
      </c>
      <c r="Q5116" s="63" t="s">
        <v>17620</v>
      </c>
      <c r="R5116" s="1" t="s">
        <v>100</v>
      </c>
      <c r="S5116" s="13" t="s">
        <v>28</v>
      </c>
      <c r="T5116" s="1"/>
      <c r="U5116" s="1"/>
      <c r="V5116" s="1"/>
      <c r="W5116" s="1"/>
      <c r="X5116" s="1"/>
      <c r="Y5116" s="1"/>
      <c r="Z5116" s="1"/>
      <c r="AA5116" s="1"/>
      <c r="AB5116" s="1"/>
      <c r="AC5116" s="1"/>
      <c r="AD5116" s="1"/>
      <c r="AE5116" s="1"/>
      <c r="AF5116" s="1"/>
      <c r="AG5116" s="1"/>
      <c r="AH5116" s="1"/>
      <c r="AI5116" s="1"/>
      <c r="AJ5116" s="1"/>
      <c r="AK5116" s="1"/>
      <c r="AL5116" s="1"/>
      <c r="AU5116" s="1"/>
      <c r="AV5116" s="1"/>
      <c r="AW5116" s="1"/>
      <c r="AX5116" s="11"/>
      <c r="AY5116" s="11"/>
      <c r="AZ5116" s="1"/>
      <c r="BA5116" s="1"/>
      <c r="BB5116" s="1"/>
      <c r="BK5116" s="1"/>
    </row>
    <row r="5117" spans="1:63" s="44" customFormat="1" ht="12" customHeight="1" x14ac:dyDescent="0.15">
      <c r="A5117" s="1" t="s">
        <v>17609</v>
      </c>
      <c r="B5117" s="1">
        <v>16</v>
      </c>
      <c r="C5117" s="1" t="s">
        <v>20</v>
      </c>
      <c r="D5117" s="1" t="s">
        <v>85</v>
      </c>
      <c r="E5117" s="1"/>
      <c r="F5117" s="72">
        <v>41343</v>
      </c>
      <c r="G5117" s="1" t="s">
        <v>17610</v>
      </c>
      <c r="H5117" s="1" t="s">
        <v>754</v>
      </c>
      <c r="I5117" s="1" t="s">
        <v>423</v>
      </c>
      <c r="J5117" s="4" t="s">
        <v>17611</v>
      </c>
      <c r="K5117" s="1" t="s">
        <v>1712</v>
      </c>
      <c r="L5117" s="1" t="s">
        <v>582</v>
      </c>
      <c r="M5117" s="1" t="s">
        <v>27</v>
      </c>
      <c r="N5117" s="1" t="s">
        <v>17612</v>
      </c>
      <c r="O5117" s="1" t="s">
        <v>1010</v>
      </c>
      <c r="P5117" s="1" t="s">
        <v>401</v>
      </c>
      <c r="Q5117" s="6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5117" s="1" t="s">
        <v>100</v>
      </c>
      <c r="S5117" s="13" t="s">
        <v>28</v>
      </c>
      <c r="T5117" s="1"/>
      <c r="U5117" s="1"/>
      <c r="V5117" s="1"/>
      <c r="W5117" s="1"/>
      <c r="X5117" s="1"/>
      <c r="Y5117" s="1"/>
      <c r="Z5117" s="1"/>
      <c r="AA5117" s="1"/>
      <c r="AB5117" s="1"/>
      <c r="AC5117" s="1"/>
      <c r="AD5117" s="1"/>
      <c r="AE5117" s="1"/>
      <c r="AF5117" s="1"/>
      <c r="AG5117" s="1"/>
      <c r="AH5117" s="1"/>
      <c r="AI5117" s="1"/>
      <c r="AJ5117" s="1"/>
      <c r="AK5117" s="1"/>
      <c r="AL5117" s="1"/>
      <c r="AU5117" s="1"/>
      <c r="AV5117" s="1"/>
      <c r="AW5117" s="1"/>
      <c r="AX5117" s="11"/>
      <c r="AY5117" s="11"/>
      <c r="AZ5117" s="1"/>
      <c r="BA5117" s="1"/>
      <c r="BB5117" s="1"/>
      <c r="BK5117" s="1"/>
    </row>
    <row r="5118" spans="1:63" s="44" customFormat="1" ht="12" customHeight="1" x14ac:dyDescent="0.15">
      <c r="A5118" s="1" t="s">
        <v>17621</v>
      </c>
      <c r="B5118" s="1">
        <v>32</v>
      </c>
      <c r="C5118" s="1" t="s">
        <v>20</v>
      </c>
      <c r="D5118" s="1" t="s">
        <v>48</v>
      </c>
      <c r="E5118" s="1" t="s">
        <v>17622</v>
      </c>
      <c r="F5118" s="72">
        <v>41343</v>
      </c>
      <c r="G5118" s="1" t="s">
        <v>17623</v>
      </c>
      <c r="H5118" s="1" t="s">
        <v>526</v>
      </c>
      <c r="I5118" s="1" t="s">
        <v>81</v>
      </c>
      <c r="J5118" s="4" t="s">
        <v>17624</v>
      </c>
      <c r="K5118" s="1" t="s">
        <v>528</v>
      </c>
      <c r="L5118" s="1" t="s">
        <v>529</v>
      </c>
      <c r="M5118" s="1" t="s">
        <v>27</v>
      </c>
      <c r="N5118" s="1" t="s">
        <v>17625</v>
      </c>
      <c r="O5118" s="1" t="s">
        <v>1010</v>
      </c>
      <c r="P5118" s="1" t="s">
        <v>401</v>
      </c>
      <c r="Q5118" s="63" t="s">
        <v>17626</v>
      </c>
      <c r="R5118" s="1" t="s">
        <v>100</v>
      </c>
      <c r="S5118" s="13" t="s">
        <v>28</v>
      </c>
      <c r="T5118" s="1"/>
      <c r="U5118" s="1"/>
      <c r="V5118" s="1"/>
      <c r="W5118" s="1"/>
      <c r="X5118" s="1"/>
      <c r="Y5118" s="1"/>
      <c r="Z5118" s="1"/>
      <c r="AA5118" s="1"/>
      <c r="AB5118" s="1"/>
      <c r="AC5118" s="1"/>
      <c r="AD5118" s="1"/>
      <c r="AE5118" s="1"/>
      <c r="AF5118" s="1"/>
      <c r="AG5118" s="1"/>
      <c r="AH5118" s="1"/>
      <c r="AI5118" s="1"/>
      <c r="AJ5118" s="1"/>
      <c r="AK5118" s="1"/>
      <c r="AL5118" s="1"/>
      <c r="AU5118" s="1"/>
      <c r="AV5118" s="1"/>
      <c r="AW5118" s="1"/>
      <c r="AX5118" s="1"/>
      <c r="AY5118" s="1"/>
      <c r="AZ5118" s="1"/>
      <c r="BA5118" s="1"/>
      <c r="BB5118" s="1"/>
      <c r="BC5118" s="1"/>
      <c r="BD5118" s="1"/>
      <c r="BE5118" s="1"/>
      <c r="BF5118" s="1"/>
      <c r="BG5118" s="1"/>
      <c r="BH5118" s="1"/>
      <c r="BI5118" s="1"/>
      <c r="BJ5118" s="1"/>
      <c r="BK5118" s="1"/>
    </row>
    <row r="5119" spans="1:63" s="44" customFormat="1" ht="12" customHeight="1" x14ac:dyDescent="0.15">
      <c r="A5119" s="1" t="s">
        <v>17635</v>
      </c>
      <c r="B5119" s="1" t="s">
        <v>17012</v>
      </c>
      <c r="C5119" s="1" t="s">
        <v>20</v>
      </c>
      <c r="D5119" s="1" t="s">
        <v>37</v>
      </c>
      <c r="E5119" s="1" t="s">
        <v>17636</v>
      </c>
      <c r="F5119" s="72">
        <v>41343</v>
      </c>
      <c r="G5119" s="1" t="s">
        <v>17637</v>
      </c>
      <c r="H5119" s="1" t="s">
        <v>17638</v>
      </c>
      <c r="I5119" s="1" t="s">
        <v>69</v>
      </c>
      <c r="J5119" s="4" t="s">
        <v>17639</v>
      </c>
      <c r="K5119" s="1" t="s">
        <v>17640</v>
      </c>
      <c r="L5119" s="1" t="s">
        <v>17641</v>
      </c>
      <c r="M5119" s="1" t="s">
        <v>27</v>
      </c>
      <c r="N5119" s="1" t="s">
        <v>17642</v>
      </c>
      <c r="O5119" s="1" t="s">
        <v>29</v>
      </c>
      <c r="P5119" s="1" t="s">
        <v>401</v>
      </c>
      <c r="Q5119" s="63" t="s">
        <v>17643</v>
      </c>
      <c r="R5119" s="1" t="s">
        <v>100</v>
      </c>
      <c r="S5119" s="13" t="s">
        <v>28</v>
      </c>
      <c r="T5119" s="1"/>
      <c r="U5119" s="1"/>
      <c r="V5119" s="1"/>
      <c r="W5119" s="1"/>
      <c r="X5119" s="1"/>
      <c r="Y5119" s="1"/>
      <c r="Z5119" s="1"/>
      <c r="AA5119" s="1"/>
      <c r="AB5119" s="1"/>
      <c r="AC5119" s="1"/>
      <c r="AD5119" s="1"/>
      <c r="AE5119" s="1"/>
      <c r="AF5119" s="1"/>
      <c r="AG5119" s="1"/>
      <c r="AH5119" s="1"/>
      <c r="AI5119" s="1"/>
      <c r="AJ5119" s="1"/>
      <c r="AK5119" s="1"/>
      <c r="AL5119" s="1"/>
      <c r="AU5119" s="1"/>
      <c r="AV5119" s="1"/>
      <c r="AW5119" s="1"/>
      <c r="AX5119" s="11"/>
      <c r="AY5119" s="11"/>
      <c r="AZ5119" s="11"/>
      <c r="BA5119" s="1"/>
      <c r="BB5119" s="1"/>
      <c r="BC5119" s="1"/>
      <c r="BD5119" s="1"/>
      <c r="BE5119" s="1"/>
      <c r="BF5119" s="1"/>
      <c r="BG5119" s="1"/>
      <c r="BH5119" s="1"/>
      <c r="BI5119" s="1"/>
      <c r="BJ5119" s="1"/>
      <c r="BK5119" s="1"/>
    </row>
    <row r="5120" spans="1:63" s="44" customFormat="1" ht="12" customHeight="1" x14ac:dyDescent="0.15">
      <c r="A5120" s="1" t="s">
        <v>17627</v>
      </c>
      <c r="B5120" s="1">
        <v>28</v>
      </c>
      <c r="C5120" s="1" t="s">
        <v>20</v>
      </c>
      <c r="D5120" s="1" t="s">
        <v>37</v>
      </c>
      <c r="E5120" s="1" t="s">
        <v>17628</v>
      </c>
      <c r="F5120" s="72">
        <v>41343</v>
      </c>
      <c r="G5120" s="1" t="s">
        <v>17629</v>
      </c>
      <c r="H5120" s="1" t="s">
        <v>17630</v>
      </c>
      <c r="I5120" s="1" t="s">
        <v>370</v>
      </c>
      <c r="J5120" s="4" t="s">
        <v>17631</v>
      </c>
      <c r="K5120" s="1" t="s">
        <v>3288</v>
      </c>
      <c r="L5120" s="1" t="s">
        <v>17632</v>
      </c>
      <c r="M5120" s="1" t="s">
        <v>27</v>
      </c>
      <c r="N5120" s="1" t="s">
        <v>17633</v>
      </c>
      <c r="O5120" s="1" t="s">
        <v>29</v>
      </c>
      <c r="P5120" s="1" t="s">
        <v>401</v>
      </c>
      <c r="Q5120" s="63" t="s">
        <v>17634</v>
      </c>
      <c r="R5120" s="1" t="s">
        <v>29</v>
      </c>
      <c r="S5120" s="13" t="s">
        <v>28</v>
      </c>
      <c r="T5120" s="1"/>
      <c r="U5120" s="1"/>
      <c r="V5120" s="1"/>
      <c r="W5120" s="1"/>
      <c r="X5120" s="1"/>
      <c r="Y5120" s="1"/>
      <c r="Z5120" s="1"/>
      <c r="AA5120" s="1"/>
      <c r="AB5120" s="1"/>
      <c r="AC5120" s="1"/>
      <c r="AD5120" s="1"/>
      <c r="AE5120" s="1"/>
      <c r="AF5120" s="1"/>
      <c r="AG5120" s="1"/>
      <c r="AH5120" s="1"/>
      <c r="AI5120" s="1"/>
      <c r="AJ5120" s="1"/>
      <c r="AK5120" s="1"/>
      <c r="AL5120" s="1"/>
      <c r="AM5120" s="11"/>
      <c r="AN5120" s="11"/>
      <c r="AO5120" s="11"/>
      <c r="AP5120" s="11"/>
      <c r="AQ5120" s="11"/>
      <c r="AR5120" s="11"/>
      <c r="AS5120" s="11"/>
      <c r="AT5120" s="11"/>
      <c r="AU5120" s="1"/>
      <c r="AV5120" s="1"/>
      <c r="AW5120" s="1"/>
      <c r="AX5120" s="11"/>
      <c r="AY5120" s="11"/>
      <c r="AZ5120" s="11"/>
      <c r="BA5120" s="1"/>
      <c r="BB5120" s="1"/>
      <c r="BC5120" s="1"/>
      <c r="BD5120" s="1"/>
      <c r="BE5120" s="1"/>
      <c r="BF5120" s="1"/>
      <c r="BG5120" s="1"/>
      <c r="BH5120" s="1"/>
      <c r="BI5120" s="1"/>
      <c r="BJ5120" s="1"/>
      <c r="BK5120" s="1"/>
    </row>
    <row r="5121" spans="1:63" s="44" customFormat="1" ht="12" customHeight="1" x14ac:dyDescent="0.15">
      <c r="A5121" s="1" t="s">
        <v>17603</v>
      </c>
      <c r="B5121" s="1" t="s">
        <v>17604</v>
      </c>
      <c r="C5121" s="1" t="s">
        <v>20</v>
      </c>
      <c r="D5121" s="1" t="s">
        <v>85</v>
      </c>
      <c r="E5121" s="1" t="s">
        <v>17605</v>
      </c>
      <c r="F5121" s="72">
        <v>41343</v>
      </c>
      <c r="G5121" s="1" t="s">
        <v>17606</v>
      </c>
      <c r="H5121" s="1" t="s">
        <v>1192</v>
      </c>
      <c r="I5121" s="1" t="s">
        <v>319</v>
      </c>
      <c r="J5121" s="4">
        <v>38126</v>
      </c>
      <c r="K5121" s="1" t="s">
        <v>1193</v>
      </c>
      <c r="L5121" s="1" t="s">
        <v>1194</v>
      </c>
      <c r="M5121" s="1" t="s">
        <v>27</v>
      </c>
      <c r="N5121" s="1" t="s">
        <v>17607</v>
      </c>
      <c r="O5121" s="1" t="s">
        <v>29</v>
      </c>
      <c r="P5121" s="1" t="s">
        <v>401</v>
      </c>
      <c r="Q5121" s="63" t="s">
        <v>17608</v>
      </c>
      <c r="R5121" s="1" t="s">
        <v>555</v>
      </c>
      <c r="S5121" s="13" t="s">
        <v>28</v>
      </c>
      <c r="T5121" s="1"/>
      <c r="U5121" s="1"/>
      <c r="V5121" s="1"/>
      <c r="W5121" s="1"/>
      <c r="X5121" s="1"/>
      <c r="Y5121" s="1"/>
      <c r="Z5121" s="1"/>
      <c r="AA5121" s="1"/>
      <c r="AB5121" s="1"/>
      <c r="AC5121" s="1"/>
      <c r="AD5121" s="1"/>
      <c r="AE5121" s="1"/>
      <c r="AF5121" s="1"/>
      <c r="AG5121" s="1"/>
      <c r="AH5121" s="1"/>
      <c r="AI5121" s="1"/>
      <c r="AJ5121" s="1"/>
      <c r="AK5121" s="1"/>
      <c r="AL5121" s="1"/>
      <c r="AM5121" s="1"/>
      <c r="AN5121" s="1"/>
      <c r="AO5121" s="1"/>
      <c r="AP5121" s="1"/>
      <c r="AQ5121" s="1"/>
      <c r="AR5121" s="1"/>
      <c r="AS5121" s="1"/>
      <c r="AT5121" s="1"/>
      <c r="AU5121" s="1"/>
      <c r="AV5121" s="1"/>
      <c r="AW5121" s="1"/>
      <c r="AX5121" s="11"/>
      <c r="AY5121" s="11"/>
      <c r="AZ5121" s="1"/>
      <c r="BA5121" s="11"/>
      <c r="BB5121" s="11"/>
      <c r="BK5121" s="1"/>
    </row>
    <row r="5122" spans="1:63" s="44" customFormat="1" ht="12" customHeight="1" x14ac:dyDescent="0.15">
      <c r="A5122" s="1" t="s">
        <v>17644</v>
      </c>
      <c r="B5122" s="1">
        <v>43</v>
      </c>
      <c r="C5122" s="1" t="s">
        <v>20</v>
      </c>
      <c r="D5122" s="1" t="s">
        <v>37</v>
      </c>
      <c r="E5122" s="1" t="s">
        <v>17645</v>
      </c>
      <c r="F5122" s="72">
        <v>41343</v>
      </c>
      <c r="G5122" s="1" t="s">
        <v>17646</v>
      </c>
      <c r="H5122" s="1" t="s">
        <v>17647</v>
      </c>
      <c r="I5122" s="1" t="s">
        <v>62</v>
      </c>
      <c r="J5122" s="4" t="s">
        <v>17648</v>
      </c>
      <c r="K5122" s="1" t="s">
        <v>2309</v>
      </c>
      <c r="L5122" s="1" t="s">
        <v>14047</v>
      </c>
      <c r="M5122" s="1" t="s">
        <v>27</v>
      </c>
      <c r="N5122" s="1" t="s">
        <v>17649</v>
      </c>
      <c r="O5122" s="1" t="s">
        <v>550</v>
      </c>
      <c r="P5122" s="1" t="s">
        <v>401</v>
      </c>
      <c r="Q5122" s="63" t="s">
        <v>17650</v>
      </c>
      <c r="R5122" s="1" t="s">
        <v>555</v>
      </c>
      <c r="S5122" s="13" t="s">
        <v>28</v>
      </c>
      <c r="T5122" s="1"/>
      <c r="U5122" s="1"/>
      <c r="V5122" s="1"/>
      <c r="W5122" s="1"/>
      <c r="X5122" s="1"/>
      <c r="Y5122" s="1"/>
      <c r="Z5122" s="1"/>
      <c r="AA5122" s="1"/>
      <c r="AB5122" s="1"/>
      <c r="AC5122" s="1"/>
      <c r="AD5122" s="1"/>
      <c r="AE5122" s="1"/>
      <c r="AF5122" s="1"/>
      <c r="AG5122" s="1"/>
      <c r="AH5122" s="1"/>
      <c r="AI5122" s="1"/>
      <c r="AJ5122" s="1"/>
      <c r="AK5122" s="1"/>
      <c r="AL5122" s="1"/>
      <c r="AU5122" s="1"/>
      <c r="AV5122" s="1"/>
      <c r="AW5122" s="1"/>
      <c r="AX5122" s="11"/>
      <c r="AY5122" s="11"/>
      <c r="AZ5122" s="11"/>
      <c r="BC5122" s="1"/>
      <c r="BD5122" s="1"/>
      <c r="BE5122" s="1"/>
      <c r="BF5122" s="1"/>
      <c r="BG5122" s="1"/>
      <c r="BH5122" s="1"/>
      <c r="BI5122" s="1"/>
      <c r="BJ5122" s="1"/>
      <c r="BK5122" s="1"/>
    </row>
    <row r="5123" spans="1:63" ht="12" customHeight="1" x14ac:dyDescent="0.15">
      <c r="A5123" s="1" t="s">
        <v>17651</v>
      </c>
      <c r="B5123" s="1">
        <v>19</v>
      </c>
      <c r="C5123" s="1" t="s">
        <v>20</v>
      </c>
      <c r="D5123" s="1" t="s">
        <v>85</v>
      </c>
      <c r="E5123" s="1" t="s">
        <v>17652</v>
      </c>
      <c r="F5123" s="72">
        <v>41342</v>
      </c>
      <c r="G5123" s="1" t="s">
        <v>17653</v>
      </c>
      <c r="H5123" s="1" t="s">
        <v>723</v>
      </c>
      <c r="I5123" s="1" t="s">
        <v>73</v>
      </c>
      <c r="J5123" s="4" t="s">
        <v>17654</v>
      </c>
      <c r="K5123" s="1" t="s">
        <v>558</v>
      </c>
      <c r="L5123" s="1" t="s">
        <v>559</v>
      </c>
      <c r="M5123" s="1" t="s">
        <v>27</v>
      </c>
      <c r="N5123" s="1" t="s">
        <v>17655</v>
      </c>
      <c r="O5123" s="1" t="s">
        <v>550</v>
      </c>
      <c r="P5123" s="1" t="s">
        <v>401</v>
      </c>
      <c r="Q5123" s="63" t="s">
        <v>17656</v>
      </c>
      <c r="R5123" s="1" t="s">
        <v>100</v>
      </c>
      <c r="S5123" s="13" t="s">
        <v>28</v>
      </c>
      <c r="AM5123" s="44"/>
      <c r="AN5123" s="44"/>
      <c r="AO5123" s="44"/>
      <c r="AP5123" s="44"/>
      <c r="AQ5123" s="44"/>
      <c r="AR5123" s="44"/>
      <c r="AS5123" s="44"/>
      <c r="AT5123" s="44"/>
      <c r="AX5123" s="11"/>
      <c r="AY5123" s="11"/>
      <c r="BC5123" s="44"/>
      <c r="BD5123" s="44"/>
      <c r="BE5123" s="44"/>
      <c r="BF5123" s="44"/>
      <c r="BG5123" s="44"/>
      <c r="BH5123" s="44"/>
      <c r="BI5123" s="44"/>
      <c r="BJ5123" s="44"/>
    </row>
    <row r="5124" spans="1:63" ht="12" customHeight="1" x14ac:dyDescent="0.15">
      <c r="A5124" s="1" t="s">
        <v>17662</v>
      </c>
      <c r="B5124" s="1">
        <v>20</v>
      </c>
      <c r="C5124" s="1" t="s">
        <v>20</v>
      </c>
      <c r="D5124" s="1" t="s">
        <v>30</v>
      </c>
      <c r="F5124" s="72">
        <v>41341</v>
      </c>
      <c r="G5124" s="1" t="s">
        <v>17663</v>
      </c>
      <c r="H5124" s="1" t="s">
        <v>10754</v>
      </c>
      <c r="I5124" s="1" t="s">
        <v>62</v>
      </c>
      <c r="J5124" s="4" t="s">
        <v>17664</v>
      </c>
      <c r="K5124" s="1" t="s">
        <v>5318</v>
      </c>
      <c r="L5124" s="1" t="s">
        <v>13572</v>
      </c>
      <c r="M5124" s="1" t="s">
        <v>27</v>
      </c>
      <c r="N5124" s="1" t="s">
        <v>17665</v>
      </c>
      <c r="O5124" s="1" t="s">
        <v>1010</v>
      </c>
      <c r="P5124" s="1" t="s">
        <v>401</v>
      </c>
      <c r="Q5124" s="6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5124" s="11" t="s">
        <v>964</v>
      </c>
      <c r="S5124" s="13" t="s">
        <v>28</v>
      </c>
      <c r="AM5124" s="44"/>
      <c r="AN5124" s="44"/>
      <c r="AO5124" s="44"/>
      <c r="AP5124" s="44"/>
      <c r="AQ5124" s="44"/>
      <c r="AR5124" s="44"/>
      <c r="AS5124" s="44"/>
      <c r="AT5124" s="44"/>
    </row>
    <row r="5125" spans="1:63" ht="12" customHeight="1" x14ac:dyDescent="0.15">
      <c r="A5125" s="1" t="s">
        <v>17676</v>
      </c>
      <c r="B5125" s="1">
        <v>34</v>
      </c>
      <c r="C5125" s="1" t="s">
        <v>20</v>
      </c>
      <c r="D5125" s="1" t="s">
        <v>37</v>
      </c>
      <c r="E5125" s="1" t="s">
        <v>17677</v>
      </c>
      <c r="F5125" s="72">
        <v>41341</v>
      </c>
      <c r="G5125" s="1" t="s">
        <v>17678</v>
      </c>
      <c r="H5125" s="1" t="s">
        <v>1627</v>
      </c>
      <c r="I5125" s="1" t="s">
        <v>463</v>
      </c>
      <c r="J5125" s="4" t="s">
        <v>4625</v>
      </c>
      <c r="K5125" s="1" t="s">
        <v>938</v>
      </c>
      <c r="L5125" s="1" t="s">
        <v>2253</v>
      </c>
      <c r="M5125" s="1" t="s">
        <v>27</v>
      </c>
      <c r="N5125" s="1" t="s">
        <v>17679</v>
      </c>
      <c r="O5125" s="1" t="s">
        <v>550</v>
      </c>
      <c r="P5125" s="1" t="s">
        <v>401</v>
      </c>
      <c r="Q5125" s="63" t="s">
        <v>17680</v>
      </c>
      <c r="R5125" s="11" t="s">
        <v>964</v>
      </c>
      <c r="S5125" s="13" t="s">
        <v>28</v>
      </c>
      <c r="AM5125" s="44"/>
      <c r="AN5125" s="44"/>
      <c r="AO5125" s="44"/>
      <c r="AP5125" s="44"/>
      <c r="AQ5125" s="44"/>
      <c r="AR5125" s="44"/>
      <c r="AS5125" s="44"/>
      <c r="AT5125" s="44"/>
      <c r="AX5125" s="11"/>
      <c r="AY5125" s="11"/>
      <c r="AZ5125" s="11"/>
    </row>
    <row r="5126" spans="1:63" ht="12" customHeight="1" x14ac:dyDescent="0.15">
      <c r="A5126" s="1" t="s">
        <v>17666</v>
      </c>
      <c r="B5126" s="1">
        <v>55</v>
      </c>
      <c r="C5126" s="1" t="s">
        <v>20</v>
      </c>
      <c r="D5126" s="1" t="s">
        <v>30</v>
      </c>
      <c r="F5126" s="72">
        <v>41341</v>
      </c>
      <c r="G5126" s="1" t="s">
        <v>17667</v>
      </c>
      <c r="H5126" s="1" t="s">
        <v>2976</v>
      </c>
      <c r="I5126" s="1" t="s">
        <v>62</v>
      </c>
      <c r="J5126" s="4" t="s">
        <v>2977</v>
      </c>
      <c r="K5126" s="1" t="s">
        <v>2978</v>
      </c>
      <c r="L5126" s="1" t="s">
        <v>2979</v>
      </c>
      <c r="M5126" s="1" t="s">
        <v>27</v>
      </c>
      <c r="N5126" s="1" t="s">
        <v>17668</v>
      </c>
      <c r="O5126" s="1" t="s">
        <v>550</v>
      </c>
      <c r="P5126" s="1" t="s">
        <v>401</v>
      </c>
      <c r="Q5126" s="63" t="s">
        <v>17669</v>
      </c>
      <c r="R5126" s="1" t="s">
        <v>100</v>
      </c>
      <c r="S5126" s="13" t="s">
        <v>28</v>
      </c>
      <c r="AM5126" s="44"/>
      <c r="AN5126" s="44"/>
      <c r="AO5126" s="44"/>
      <c r="AP5126" s="44"/>
      <c r="AQ5126" s="44"/>
      <c r="AR5126" s="44"/>
      <c r="AS5126" s="44"/>
      <c r="AT5126" s="44"/>
    </row>
    <row r="5127" spans="1:63" ht="12" customHeight="1" x14ac:dyDescent="0.15">
      <c r="A5127" s="1" t="s">
        <v>17670</v>
      </c>
      <c r="B5127" s="1" t="s">
        <v>8724</v>
      </c>
      <c r="C5127" s="1" t="s">
        <v>20</v>
      </c>
      <c r="D5127" s="1" t="s">
        <v>37</v>
      </c>
      <c r="E5127" s="1" t="s">
        <v>17671</v>
      </c>
      <c r="F5127" s="72">
        <v>41341</v>
      </c>
      <c r="G5127" s="1" t="s">
        <v>17672</v>
      </c>
      <c r="H5127" s="1" t="s">
        <v>857</v>
      </c>
      <c r="I5127" s="1" t="s">
        <v>73</v>
      </c>
      <c r="J5127" s="4" t="s">
        <v>17673</v>
      </c>
      <c r="K5127" s="1" t="s">
        <v>857</v>
      </c>
      <c r="L5127" s="1" t="s">
        <v>858</v>
      </c>
      <c r="M5127" s="1" t="s">
        <v>27</v>
      </c>
      <c r="N5127" s="1" t="s">
        <v>17674</v>
      </c>
      <c r="O5127" s="1" t="s">
        <v>550</v>
      </c>
      <c r="P5127" s="1" t="s">
        <v>401</v>
      </c>
      <c r="Q5127" s="63" t="s">
        <v>17675</v>
      </c>
      <c r="R5127" s="1" t="s">
        <v>100</v>
      </c>
      <c r="S5127" s="13" t="s">
        <v>28</v>
      </c>
      <c r="AM5127" s="44"/>
      <c r="AN5127" s="44"/>
      <c r="AO5127" s="44"/>
      <c r="AP5127" s="44"/>
      <c r="AQ5127" s="44"/>
      <c r="AR5127" s="44"/>
      <c r="AS5127" s="44"/>
      <c r="AT5127" s="44"/>
      <c r="AX5127" s="11"/>
      <c r="AY5127" s="11"/>
      <c r="AZ5127" s="11"/>
    </row>
    <row r="5128" spans="1:63" ht="12" customHeight="1" x14ac:dyDescent="0.15">
      <c r="A5128" s="1" t="s">
        <v>17681</v>
      </c>
      <c r="B5128" s="1">
        <v>32</v>
      </c>
      <c r="C5128" s="1" t="s">
        <v>20</v>
      </c>
      <c r="D5128" s="1" t="s">
        <v>37</v>
      </c>
      <c r="E5128" s="1" t="s">
        <v>17682</v>
      </c>
      <c r="F5128" s="72">
        <v>41341</v>
      </c>
      <c r="G5128" s="1" t="s">
        <v>17683</v>
      </c>
      <c r="H5128" s="1" t="s">
        <v>17684</v>
      </c>
      <c r="I5128" s="1" t="s">
        <v>25</v>
      </c>
      <c r="J5128" s="4" t="s">
        <v>17685</v>
      </c>
      <c r="K5128" s="1" t="s">
        <v>17686</v>
      </c>
      <c r="L5128" s="1" t="s">
        <v>17687</v>
      </c>
      <c r="M5128" s="1" t="s">
        <v>27</v>
      </c>
      <c r="N5128" s="1" t="s">
        <v>17688</v>
      </c>
      <c r="O5128" s="1" t="s">
        <v>550</v>
      </c>
      <c r="P5128" s="1" t="s">
        <v>401</v>
      </c>
      <c r="Q5128" s="63" t="s">
        <v>17689</v>
      </c>
      <c r="R5128" s="1" t="s">
        <v>29</v>
      </c>
      <c r="S5128" s="13" t="s">
        <v>28</v>
      </c>
      <c r="AM5128" s="44"/>
      <c r="AN5128" s="44"/>
      <c r="AO5128" s="44"/>
      <c r="AP5128" s="44"/>
      <c r="AQ5128" s="44"/>
      <c r="AR5128" s="44"/>
      <c r="AS5128" s="44"/>
      <c r="AT5128" s="44"/>
      <c r="AX5128" s="11"/>
      <c r="AY5128" s="11"/>
      <c r="AZ5128" s="11"/>
    </row>
    <row r="5129" spans="1:63" ht="12" customHeight="1" x14ac:dyDescent="0.15">
      <c r="A5129" s="1" t="s">
        <v>17657</v>
      </c>
      <c r="B5129" s="1">
        <v>44</v>
      </c>
      <c r="C5129" s="1" t="s">
        <v>20</v>
      </c>
      <c r="D5129" s="1" t="s">
        <v>85</v>
      </c>
      <c r="F5129" s="72">
        <v>41341</v>
      </c>
      <c r="G5129" s="1" t="s">
        <v>17658</v>
      </c>
      <c r="H5129" s="1" t="s">
        <v>8564</v>
      </c>
      <c r="I5129" s="1" t="s">
        <v>81</v>
      </c>
      <c r="J5129" s="4" t="s">
        <v>17659</v>
      </c>
      <c r="K5129" s="1" t="s">
        <v>2476</v>
      </c>
      <c r="L5129" s="1" t="s">
        <v>8566</v>
      </c>
      <c r="M5129" s="1" t="s">
        <v>27</v>
      </c>
      <c r="N5129" s="1" t="s">
        <v>17660</v>
      </c>
      <c r="O5129" s="1" t="s">
        <v>1010</v>
      </c>
      <c r="P5129" s="1" t="s">
        <v>401</v>
      </c>
      <c r="Q5129" s="63" t="s">
        <v>17661</v>
      </c>
      <c r="R5129" s="1" t="s">
        <v>555</v>
      </c>
      <c r="S5129" s="13" t="s">
        <v>28</v>
      </c>
      <c r="AM5129" s="44"/>
      <c r="AN5129" s="44"/>
      <c r="AO5129" s="44"/>
      <c r="AP5129" s="44"/>
      <c r="AQ5129" s="44"/>
      <c r="AR5129" s="44"/>
      <c r="AS5129" s="44"/>
      <c r="AT5129" s="44"/>
      <c r="AX5129" s="11"/>
      <c r="AY5129" s="11"/>
      <c r="BA5129" s="11"/>
      <c r="BB5129" s="11"/>
      <c r="BC5129" s="44"/>
      <c r="BD5129" s="44"/>
      <c r="BE5129" s="44"/>
      <c r="BF5129" s="44"/>
      <c r="BG5129" s="44"/>
      <c r="BH5129" s="44"/>
      <c r="BI5129" s="44"/>
      <c r="BJ5129" s="44"/>
    </row>
    <row r="5130" spans="1:63" s="44" customFormat="1" ht="12" customHeight="1" x14ac:dyDescent="0.15">
      <c r="A5130" s="1" t="s">
        <v>17697</v>
      </c>
      <c r="B5130" s="1">
        <v>55</v>
      </c>
      <c r="C5130" s="1" t="s">
        <v>20</v>
      </c>
      <c r="D5130" s="1" t="s">
        <v>30</v>
      </c>
      <c r="E5130" s="1"/>
      <c r="F5130" s="72">
        <v>41340</v>
      </c>
      <c r="G5130" s="1" t="s">
        <v>17698</v>
      </c>
      <c r="H5130" s="1" t="s">
        <v>651</v>
      </c>
      <c r="I5130" s="1" t="s">
        <v>62</v>
      </c>
      <c r="J5130" s="4" t="s">
        <v>13334</v>
      </c>
      <c r="K5130" s="1" t="s">
        <v>652</v>
      </c>
      <c r="L5130" s="11" t="s">
        <v>653</v>
      </c>
      <c r="M5130" s="1" t="s">
        <v>27</v>
      </c>
      <c r="N5130" s="1" t="s">
        <v>17699</v>
      </c>
      <c r="O5130" s="1" t="s">
        <v>1010</v>
      </c>
      <c r="P5130" s="1" t="s">
        <v>401</v>
      </c>
      <c r="Q5130" s="63" t="s">
        <v>17700</v>
      </c>
      <c r="R5130" s="1" t="s">
        <v>100</v>
      </c>
      <c r="S5130" s="13" t="s">
        <v>28</v>
      </c>
      <c r="T5130" s="1"/>
      <c r="U5130" s="1"/>
      <c r="V5130" s="1"/>
      <c r="W5130" s="1"/>
      <c r="X5130" s="1"/>
      <c r="Y5130" s="1"/>
      <c r="Z5130" s="1"/>
      <c r="AA5130" s="1"/>
      <c r="AB5130" s="1"/>
      <c r="AC5130" s="1"/>
      <c r="AD5130" s="1"/>
      <c r="AE5130" s="1"/>
      <c r="AF5130" s="1"/>
      <c r="AG5130" s="1"/>
      <c r="AH5130" s="1"/>
      <c r="AI5130" s="1"/>
      <c r="AJ5130" s="1"/>
      <c r="AK5130" s="1"/>
      <c r="AL5130" s="1"/>
      <c r="AU5130" s="1"/>
      <c r="AV5130" s="1"/>
      <c r="AW5130" s="1"/>
      <c r="AX5130" s="1"/>
      <c r="AY5130" s="1"/>
      <c r="AZ5130" s="1"/>
      <c r="BA5130" s="1"/>
      <c r="BB5130" s="1"/>
      <c r="BC5130" s="1"/>
      <c r="BD5130" s="1"/>
      <c r="BE5130" s="1"/>
      <c r="BF5130" s="1"/>
      <c r="BG5130" s="1"/>
      <c r="BH5130" s="1"/>
      <c r="BI5130" s="1"/>
      <c r="BJ5130" s="1"/>
      <c r="BK5130" s="1"/>
    </row>
    <row r="5131" spans="1:63" ht="12" customHeight="1" x14ac:dyDescent="0.15">
      <c r="A5131" s="1" t="s">
        <v>17701</v>
      </c>
      <c r="B5131" s="1">
        <v>32</v>
      </c>
      <c r="C5131" s="1" t="s">
        <v>20</v>
      </c>
      <c r="D5131" s="1" t="s">
        <v>30</v>
      </c>
      <c r="F5131" s="72">
        <v>41340</v>
      </c>
      <c r="G5131" s="1" t="s">
        <v>24654</v>
      </c>
      <c r="H5131" s="1" t="s">
        <v>1100</v>
      </c>
      <c r="I5131" s="1" t="s">
        <v>404</v>
      </c>
      <c r="J5131" s="4" t="s">
        <v>16571</v>
      </c>
      <c r="K5131" s="1" t="s">
        <v>1100</v>
      </c>
      <c r="L5131" s="1" t="s">
        <v>1101</v>
      </c>
      <c r="M5131" s="1" t="s">
        <v>27</v>
      </c>
      <c r="N5131" s="1" t="s">
        <v>17702</v>
      </c>
      <c r="O5131" s="1" t="s">
        <v>1010</v>
      </c>
      <c r="P5131" s="1" t="s">
        <v>401</v>
      </c>
      <c r="Q5131" s="63" t="s">
        <v>17703</v>
      </c>
      <c r="R5131" s="1" t="s">
        <v>100</v>
      </c>
      <c r="S5131" s="13" t="s">
        <v>28</v>
      </c>
      <c r="AM5131" s="44"/>
      <c r="AN5131" s="44"/>
      <c r="AO5131" s="44"/>
      <c r="AP5131" s="44"/>
      <c r="AQ5131" s="44"/>
      <c r="AR5131" s="44"/>
      <c r="AS5131" s="44"/>
      <c r="AT5131" s="44"/>
    </row>
    <row r="5132" spans="1:63" ht="12" customHeight="1" x14ac:dyDescent="0.15">
      <c r="A5132" s="1" t="s">
        <v>17690</v>
      </c>
      <c r="B5132" s="1">
        <v>27</v>
      </c>
      <c r="C5132" s="1" t="s">
        <v>20</v>
      </c>
      <c r="D5132" s="1" t="s">
        <v>48</v>
      </c>
      <c r="F5132" s="72">
        <v>41340</v>
      </c>
      <c r="G5132" s="1" t="s">
        <v>17691</v>
      </c>
      <c r="H5132" s="1" t="s">
        <v>17692</v>
      </c>
      <c r="I5132" s="1" t="s">
        <v>303</v>
      </c>
      <c r="J5132" s="4" t="s">
        <v>17693</v>
      </c>
      <c r="K5132" s="1" t="s">
        <v>6250</v>
      </c>
      <c r="L5132" s="1" t="s">
        <v>17694</v>
      </c>
      <c r="M5132" s="1" t="s">
        <v>27</v>
      </c>
      <c r="N5132" s="1" t="s">
        <v>17695</v>
      </c>
      <c r="O5132" s="1" t="s">
        <v>550</v>
      </c>
      <c r="P5132" s="1" t="s">
        <v>401</v>
      </c>
      <c r="Q5132" s="63" t="s">
        <v>17696</v>
      </c>
      <c r="R5132" s="1" t="s">
        <v>29</v>
      </c>
      <c r="S5132" s="13" t="s">
        <v>28</v>
      </c>
      <c r="AM5132" s="44"/>
      <c r="AN5132" s="44"/>
      <c r="AO5132" s="44"/>
      <c r="AP5132" s="44"/>
      <c r="AQ5132" s="44"/>
      <c r="AR5132" s="44"/>
      <c r="AS5132" s="44"/>
      <c r="AT5132" s="44"/>
    </row>
    <row r="5133" spans="1:63" ht="12" customHeight="1" x14ac:dyDescent="0.15">
      <c r="A5133" s="1" t="s">
        <v>17704</v>
      </c>
      <c r="B5133" s="1">
        <v>40</v>
      </c>
      <c r="C5133" s="1" t="s">
        <v>20</v>
      </c>
      <c r="D5133" s="1" t="s">
        <v>30</v>
      </c>
      <c r="F5133" s="72">
        <v>41339</v>
      </c>
      <c r="G5133" s="1" t="s">
        <v>17705</v>
      </c>
      <c r="H5133" s="1" t="s">
        <v>17706</v>
      </c>
      <c r="I5133" s="1" t="s">
        <v>319</v>
      </c>
      <c r="J5133" s="4" t="s">
        <v>17707</v>
      </c>
      <c r="K5133" s="1" t="s">
        <v>1778</v>
      </c>
      <c r="L5133" s="1" t="s">
        <v>17708</v>
      </c>
      <c r="M5133" s="1" t="s">
        <v>27</v>
      </c>
      <c r="N5133" s="1" t="s">
        <v>17709</v>
      </c>
      <c r="O5133" s="1" t="s">
        <v>550</v>
      </c>
      <c r="P5133" s="1" t="s">
        <v>401</v>
      </c>
      <c r="Q5133" s="63" t="s">
        <v>17710</v>
      </c>
      <c r="R5133" s="1" t="s">
        <v>100</v>
      </c>
      <c r="S5133" s="13" t="s">
        <v>28</v>
      </c>
      <c r="AM5133" s="44"/>
      <c r="AN5133" s="44"/>
      <c r="AO5133" s="44"/>
      <c r="AP5133" s="44"/>
      <c r="AQ5133" s="44"/>
      <c r="AR5133" s="44"/>
      <c r="AS5133" s="44"/>
      <c r="AT5133" s="44"/>
    </row>
    <row r="5134" spans="1:63" ht="12" customHeight="1" x14ac:dyDescent="0.15">
      <c r="A5134" s="1" t="s">
        <v>17711</v>
      </c>
      <c r="B5134" s="1">
        <v>47</v>
      </c>
      <c r="C5134" s="1" t="s">
        <v>20</v>
      </c>
      <c r="D5134" s="1" t="s">
        <v>37</v>
      </c>
      <c r="E5134" s="1" t="s">
        <v>17712</v>
      </c>
      <c r="F5134" s="72">
        <v>41339</v>
      </c>
      <c r="G5134" s="1" t="s">
        <v>17713</v>
      </c>
      <c r="H5134" s="1" t="s">
        <v>1287</v>
      </c>
      <c r="I5134" s="1" t="s">
        <v>173</v>
      </c>
      <c r="J5134" s="4" t="s">
        <v>17714</v>
      </c>
      <c r="K5134" s="1" t="s">
        <v>10789</v>
      </c>
      <c r="L5134" s="1" t="s">
        <v>19403</v>
      </c>
      <c r="M5134" s="1" t="s">
        <v>27</v>
      </c>
      <c r="N5134" s="1" t="s">
        <v>17715</v>
      </c>
      <c r="O5134" s="1" t="s">
        <v>1010</v>
      </c>
      <c r="P5134" s="1" t="s">
        <v>401</v>
      </c>
      <c r="Q5134" s="63" t="s">
        <v>17716</v>
      </c>
      <c r="R5134" s="1" t="s">
        <v>100</v>
      </c>
      <c r="S5134" s="13" t="s">
        <v>28</v>
      </c>
      <c r="AM5134" s="44"/>
      <c r="AN5134" s="44"/>
      <c r="AO5134" s="44"/>
      <c r="AP5134" s="44"/>
      <c r="AQ5134" s="44"/>
      <c r="AR5134" s="44"/>
      <c r="AS5134" s="44"/>
      <c r="AT5134" s="44"/>
      <c r="AX5134" s="11"/>
      <c r="AY5134" s="11"/>
      <c r="AZ5134" s="11"/>
    </row>
    <row r="5135" spans="1:63" s="11" customFormat="1" ht="12" customHeight="1" x14ac:dyDescent="0.15">
      <c r="A5135" s="1" t="s">
        <v>17720</v>
      </c>
      <c r="B5135" s="1">
        <v>38</v>
      </c>
      <c r="C5135" s="1" t="s">
        <v>20</v>
      </c>
      <c r="D5135" s="1" t="s">
        <v>48</v>
      </c>
      <c r="E5135" s="1"/>
      <c r="F5135" s="72">
        <v>41338</v>
      </c>
      <c r="G5135" s="1" t="s">
        <v>17721</v>
      </c>
      <c r="H5135" s="1" t="s">
        <v>683</v>
      </c>
      <c r="I5135" s="1" t="s">
        <v>363</v>
      </c>
      <c r="J5135" s="4" t="s">
        <v>10600</v>
      </c>
      <c r="K5135" s="1" t="s">
        <v>684</v>
      </c>
      <c r="L5135" s="1" t="s">
        <v>685</v>
      </c>
      <c r="M5135" s="1" t="s">
        <v>379</v>
      </c>
      <c r="N5135" s="1" t="s">
        <v>17722</v>
      </c>
      <c r="O5135" s="1" t="s">
        <v>1010</v>
      </c>
      <c r="P5135" s="1" t="s">
        <v>401</v>
      </c>
      <c r="Q5135" s="63" t="s">
        <v>17723</v>
      </c>
      <c r="R5135" s="1" t="s">
        <v>100</v>
      </c>
      <c r="S5135" s="13" t="s">
        <v>28</v>
      </c>
      <c r="T5135" s="1"/>
      <c r="U5135" s="1"/>
      <c r="V5135" s="1"/>
      <c r="W5135" s="1"/>
      <c r="X5135" s="1"/>
      <c r="Y5135" s="1"/>
      <c r="Z5135" s="1"/>
      <c r="AA5135" s="1"/>
      <c r="AB5135" s="1"/>
      <c r="AC5135" s="1"/>
      <c r="AD5135" s="1"/>
      <c r="AE5135" s="1"/>
      <c r="AF5135" s="1"/>
      <c r="AG5135" s="1"/>
      <c r="AH5135" s="1"/>
      <c r="AI5135" s="1"/>
      <c r="AJ5135" s="1"/>
      <c r="AK5135" s="1"/>
      <c r="AL5135" s="1"/>
      <c r="AM5135" s="44"/>
      <c r="AN5135" s="44"/>
      <c r="AO5135" s="44"/>
      <c r="AP5135" s="44"/>
      <c r="AQ5135" s="44"/>
      <c r="AR5135" s="44"/>
      <c r="AS5135" s="44"/>
      <c r="AT5135" s="44"/>
      <c r="AU5135" s="1"/>
      <c r="AV5135" s="1"/>
      <c r="AW5135" s="1"/>
      <c r="AX5135" s="1"/>
      <c r="AY5135" s="1"/>
      <c r="AZ5135" s="1"/>
      <c r="BA5135" s="1"/>
      <c r="BB5135" s="1"/>
      <c r="BC5135" s="1"/>
      <c r="BD5135" s="1"/>
      <c r="BE5135" s="1"/>
      <c r="BF5135" s="1"/>
      <c r="BG5135" s="1"/>
      <c r="BH5135" s="1"/>
      <c r="BI5135" s="1"/>
      <c r="BJ5135" s="1"/>
      <c r="BK5135" s="1"/>
    </row>
    <row r="5136" spans="1:63" ht="12" customHeight="1" x14ac:dyDescent="0.15">
      <c r="A5136" s="1" t="s">
        <v>17724</v>
      </c>
      <c r="B5136" s="1" t="s">
        <v>16010</v>
      </c>
      <c r="C5136" s="1" t="s">
        <v>20</v>
      </c>
      <c r="D5136" s="1" t="s">
        <v>37</v>
      </c>
      <c r="E5136" s="1" t="s">
        <v>17725</v>
      </c>
      <c r="F5136" s="72">
        <v>41338</v>
      </c>
      <c r="G5136" s="1" t="s">
        <v>17726</v>
      </c>
      <c r="H5136" s="1" t="s">
        <v>922</v>
      </c>
      <c r="I5136" s="1" t="s">
        <v>195</v>
      </c>
      <c r="J5136" s="4" t="s">
        <v>4960</v>
      </c>
      <c r="K5136" s="1" t="s">
        <v>467</v>
      </c>
      <c r="L5136" s="1" t="s">
        <v>4961</v>
      </c>
      <c r="M5136" s="1" t="s">
        <v>27</v>
      </c>
      <c r="N5136" s="1" t="s">
        <v>17727</v>
      </c>
      <c r="O5136" s="1" t="s">
        <v>29</v>
      </c>
      <c r="P5136" s="1" t="s">
        <v>401</v>
      </c>
      <c r="Q5136" s="63" t="s">
        <v>10114</v>
      </c>
      <c r="R5136" s="1" t="s">
        <v>100</v>
      </c>
      <c r="S5136" s="13" t="s">
        <v>28</v>
      </c>
      <c r="AM5136" s="44"/>
      <c r="AN5136" s="44"/>
      <c r="AO5136" s="44"/>
      <c r="AP5136" s="44"/>
      <c r="AQ5136" s="44"/>
      <c r="AR5136" s="44"/>
      <c r="AS5136" s="44"/>
      <c r="AT5136" s="44"/>
      <c r="AX5136" s="11"/>
      <c r="AY5136" s="11"/>
      <c r="AZ5136" s="11"/>
    </row>
    <row r="5137" spans="1:62" ht="12" customHeight="1" x14ac:dyDescent="0.15">
      <c r="A5137" s="1" t="s">
        <v>17728</v>
      </c>
      <c r="B5137" s="1">
        <v>28</v>
      </c>
      <c r="C5137" s="1" t="s">
        <v>20</v>
      </c>
      <c r="D5137" s="1" t="s">
        <v>37</v>
      </c>
      <c r="E5137" s="1" t="s">
        <v>17729</v>
      </c>
      <c r="F5137" s="72">
        <v>41338</v>
      </c>
      <c r="G5137" s="1" t="s">
        <v>17730</v>
      </c>
      <c r="H5137" s="1" t="s">
        <v>17731</v>
      </c>
      <c r="I5137" s="1" t="s">
        <v>423</v>
      </c>
      <c r="J5137" s="4" t="s">
        <v>17732</v>
      </c>
      <c r="K5137" s="1" t="s">
        <v>528</v>
      </c>
      <c r="L5137" s="1" t="s">
        <v>22920</v>
      </c>
      <c r="M5137" s="1" t="s">
        <v>27</v>
      </c>
      <c r="N5137" s="1" t="s">
        <v>17733</v>
      </c>
      <c r="O5137" s="1" t="s">
        <v>550</v>
      </c>
      <c r="P5137" s="1" t="s">
        <v>401</v>
      </c>
      <c r="Q5137" s="63" t="s">
        <v>17734</v>
      </c>
      <c r="R5137" s="1" t="s">
        <v>100</v>
      </c>
      <c r="S5137" s="13" t="s">
        <v>28</v>
      </c>
      <c r="AM5137" s="44"/>
      <c r="AN5137" s="44"/>
      <c r="AO5137" s="44"/>
      <c r="AP5137" s="44"/>
      <c r="AQ5137" s="44"/>
      <c r="AR5137" s="44"/>
      <c r="AS5137" s="44"/>
      <c r="AT5137" s="44"/>
      <c r="AX5137" s="11"/>
      <c r="AY5137" s="11"/>
      <c r="AZ5137" s="11"/>
    </row>
    <row r="5138" spans="1:62" ht="12" customHeight="1" x14ac:dyDescent="0.15">
      <c r="A5138" s="1" t="s">
        <v>17717</v>
      </c>
      <c r="B5138" s="1">
        <v>37</v>
      </c>
      <c r="C5138" s="1" t="s">
        <v>20</v>
      </c>
      <c r="D5138" s="1" t="s">
        <v>85</v>
      </c>
      <c r="F5138" s="72">
        <v>41338</v>
      </c>
      <c r="G5138" s="1" t="s">
        <v>24655</v>
      </c>
      <c r="H5138" s="1" t="s">
        <v>709</v>
      </c>
      <c r="I5138" s="1" t="s">
        <v>431</v>
      </c>
      <c r="J5138" s="4" t="s">
        <v>11622</v>
      </c>
      <c r="K5138" s="1" t="s">
        <v>709</v>
      </c>
      <c r="L5138" s="1" t="s">
        <v>4516</v>
      </c>
      <c r="M5138" s="1" t="s">
        <v>27</v>
      </c>
      <c r="N5138" s="1" t="s">
        <v>17718</v>
      </c>
      <c r="O5138" s="1" t="s">
        <v>1010</v>
      </c>
      <c r="P5138" s="1" t="s">
        <v>401</v>
      </c>
      <c r="Q5138" s="63" t="s">
        <v>17719</v>
      </c>
      <c r="R5138" s="1" t="s">
        <v>29</v>
      </c>
      <c r="S5138" s="13" t="s">
        <v>28</v>
      </c>
      <c r="AM5138" s="44"/>
      <c r="AN5138" s="44"/>
      <c r="AO5138" s="44"/>
      <c r="AP5138" s="44"/>
      <c r="AQ5138" s="44"/>
      <c r="AR5138" s="44"/>
      <c r="AS5138" s="44"/>
      <c r="AT5138" s="44"/>
      <c r="AX5138" s="11"/>
      <c r="AY5138" s="11"/>
      <c r="BC5138" s="44"/>
      <c r="BD5138" s="44"/>
      <c r="BE5138" s="44"/>
      <c r="BF5138" s="44"/>
      <c r="BG5138" s="44"/>
      <c r="BH5138" s="44"/>
      <c r="BI5138" s="44"/>
      <c r="BJ5138" s="44"/>
    </row>
    <row r="5139" spans="1:62" ht="12" customHeight="1" x14ac:dyDescent="0.15">
      <c r="A5139" s="1" t="s">
        <v>17735</v>
      </c>
      <c r="B5139" s="1">
        <v>22</v>
      </c>
      <c r="C5139" s="1" t="s">
        <v>20</v>
      </c>
      <c r="D5139" s="1" t="s">
        <v>85</v>
      </c>
      <c r="E5139" s="1" t="s">
        <v>17736</v>
      </c>
      <c r="F5139" s="72">
        <v>41337</v>
      </c>
      <c r="G5139" s="1" t="s">
        <v>24657</v>
      </c>
      <c r="H5139" s="1" t="s">
        <v>6088</v>
      </c>
      <c r="I5139" s="1" t="s">
        <v>366</v>
      </c>
      <c r="J5139" s="4" t="s">
        <v>17737</v>
      </c>
      <c r="K5139" s="1" t="s">
        <v>17738</v>
      </c>
      <c r="L5139" s="1" t="s">
        <v>5634</v>
      </c>
      <c r="M5139" s="1" t="s">
        <v>27</v>
      </c>
      <c r="N5139" s="1" t="s">
        <v>17739</v>
      </c>
      <c r="O5139" s="1" t="s">
        <v>1010</v>
      </c>
      <c r="P5139" s="1" t="s">
        <v>401</v>
      </c>
      <c r="Q5139" s="63" t="s">
        <v>17740</v>
      </c>
      <c r="R5139" s="1" t="s">
        <v>100</v>
      </c>
      <c r="S5139" s="13" t="s">
        <v>28</v>
      </c>
      <c r="AM5139" s="44"/>
      <c r="AN5139" s="44"/>
      <c r="AO5139" s="44"/>
      <c r="AP5139" s="44"/>
      <c r="AQ5139" s="44"/>
      <c r="AR5139" s="44"/>
      <c r="AS5139" s="44"/>
      <c r="AT5139" s="44"/>
      <c r="AX5139" s="44"/>
      <c r="AY5139" s="44"/>
      <c r="BC5139" s="44"/>
      <c r="BD5139" s="44"/>
      <c r="BE5139" s="44"/>
      <c r="BF5139" s="44"/>
      <c r="BG5139" s="44"/>
      <c r="BH5139" s="44"/>
      <c r="BI5139" s="44"/>
      <c r="BJ5139" s="44"/>
    </row>
    <row r="5140" spans="1:62" ht="12" customHeight="1" x14ac:dyDescent="0.15">
      <c r="A5140" s="1" t="s">
        <v>17746</v>
      </c>
      <c r="B5140" s="1">
        <v>32</v>
      </c>
      <c r="C5140" s="1" t="s">
        <v>20</v>
      </c>
      <c r="D5140" s="1" t="s">
        <v>48</v>
      </c>
      <c r="E5140" s="1" t="s">
        <v>17747</v>
      </c>
      <c r="F5140" s="72">
        <v>41337</v>
      </c>
      <c r="G5140" s="1" t="s">
        <v>17748</v>
      </c>
      <c r="H5140" s="1" t="s">
        <v>1561</v>
      </c>
      <c r="I5140" s="1" t="s">
        <v>117</v>
      </c>
      <c r="J5140" s="4" t="s">
        <v>17749</v>
      </c>
      <c r="K5140" s="1" t="s">
        <v>1563</v>
      </c>
      <c r="L5140" s="1" t="s">
        <v>17750</v>
      </c>
      <c r="M5140" s="1" t="s">
        <v>27</v>
      </c>
      <c r="N5140" s="1" t="s">
        <v>17751</v>
      </c>
      <c r="O5140" s="1" t="s">
        <v>550</v>
      </c>
      <c r="P5140" s="1" t="s">
        <v>401</v>
      </c>
      <c r="Q5140" s="63" t="s">
        <v>17752</v>
      </c>
      <c r="R5140" s="1" t="s">
        <v>29</v>
      </c>
      <c r="S5140" s="13" t="s">
        <v>28</v>
      </c>
      <c r="AM5140" s="44"/>
      <c r="AN5140" s="44"/>
      <c r="AO5140" s="44"/>
      <c r="AP5140" s="44"/>
      <c r="AQ5140" s="44"/>
      <c r="AR5140" s="44"/>
      <c r="AS5140" s="44"/>
      <c r="AT5140" s="44"/>
    </row>
    <row r="5141" spans="1:62" ht="12" customHeight="1" x14ac:dyDescent="0.15">
      <c r="A5141" s="1" t="s">
        <v>17741</v>
      </c>
      <c r="B5141" s="1" t="s">
        <v>10200</v>
      </c>
      <c r="C5141" s="1" t="s">
        <v>20</v>
      </c>
      <c r="D5141" s="1" t="s">
        <v>48</v>
      </c>
      <c r="E5141" s="1" t="s">
        <v>17742</v>
      </c>
      <c r="F5141" s="72">
        <v>41337</v>
      </c>
      <c r="G5141" s="1" t="s">
        <v>24656</v>
      </c>
      <c r="H5141" s="1" t="s">
        <v>575</v>
      </c>
      <c r="I5141" s="1" t="s">
        <v>73</v>
      </c>
      <c r="J5141" s="4" t="s">
        <v>17743</v>
      </c>
      <c r="K5141" s="1" t="s">
        <v>576</v>
      </c>
      <c r="L5141" s="1" t="s">
        <v>577</v>
      </c>
      <c r="M5141" s="1" t="s">
        <v>27</v>
      </c>
      <c r="N5141" s="1" t="s">
        <v>17744</v>
      </c>
      <c r="O5141" s="1" t="s">
        <v>29</v>
      </c>
      <c r="P5141" s="1" t="s">
        <v>401</v>
      </c>
      <c r="Q5141" s="63" t="s">
        <v>17745</v>
      </c>
      <c r="R5141" s="1" t="s">
        <v>555</v>
      </c>
      <c r="S5141" s="13" t="s">
        <v>28</v>
      </c>
      <c r="AM5141" s="44"/>
      <c r="AN5141" s="44"/>
      <c r="AO5141" s="44"/>
      <c r="AP5141" s="44"/>
      <c r="AQ5141" s="44"/>
      <c r="AR5141" s="44"/>
      <c r="AS5141" s="44"/>
      <c r="AT5141" s="44"/>
      <c r="BA5141" s="11"/>
      <c r="BB5141" s="11"/>
    </row>
    <row r="5142" spans="1:62" ht="12" customHeight="1" x14ac:dyDescent="0.15">
      <c r="A5142" s="1" t="s">
        <v>17753</v>
      </c>
      <c r="B5142" s="1">
        <v>43</v>
      </c>
      <c r="C5142" s="1" t="s">
        <v>20</v>
      </c>
      <c r="D5142" s="1" t="s">
        <v>30</v>
      </c>
      <c r="F5142" s="72">
        <v>41336</v>
      </c>
      <c r="G5142" s="1" t="s">
        <v>17754</v>
      </c>
      <c r="H5142" s="1" t="s">
        <v>17755</v>
      </c>
      <c r="I5142" s="1" t="s">
        <v>62</v>
      </c>
      <c r="J5142" s="4" t="s">
        <v>8813</v>
      </c>
      <c r="K5142" s="1" t="s">
        <v>1123</v>
      </c>
      <c r="L5142" s="1" t="s">
        <v>2203</v>
      </c>
      <c r="M5142" s="1" t="s">
        <v>27</v>
      </c>
      <c r="N5142" s="1" t="s">
        <v>17756</v>
      </c>
      <c r="O5142" s="1" t="s">
        <v>1010</v>
      </c>
      <c r="P5142" s="1" t="s">
        <v>401</v>
      </c>
      <c r="Q5142" s="63" t="s">
        <v>17757</v>
      </c>
      <c r="R5142" s="1" t="s">
        <v>100</v>
      </c>
      <c r="S5142" s="13" t="s">
        <v>28</v>
      </c>
      <c r="AM5142" s="44"/>
      <c r="AN5142" s="44"/>
      <c r="AO5142" s="44"/>
      <c r="AP5142" s="44"/>
      <c r="AQ5142" s="44"/>
      <c r="AR5142" s="44"/>
      <c r="AS5142" s="44"/>
      <c r="AT5142" s="44"/>
    </row>
    <row r="5143" spans="1:62" ht="12" customHeight="1" x14ac:dyDescent="0.15">
      <c r="A5143" s="1" t="s">
        <v>17758</v>
      </c>
      <c r="B5143" s="1">
        <v>26</v>
      </c>
      <c r="C5143" s="1" t="s">
        <v>20</v>
      </c>
      <c r="D5143" s="1" t="s">
        <v>37</v>
      </c>
      <c r="E5143" s="1" t="s">
        <v>17759</v>
      </c>
      <c r="F5143" s="72">
        <v>41336</v>
      </c>
      <c r="G5143" s="1" t="s">
        <v>17760</v>
      </c>
      <c r="H5143" s="1" t="s">
        <v>17761</v>
      </c>
      <c r="I5143" s="1" t="s">
        <v>117</v>
      </c>
      <c r="J5143" s="4" t="s">
        <v>17762</v>
      </c>
      <c r="K5143" s="1" t="s">
        <v>938</v>
      </c>
      <c r="L5143" s="1" t="s">
        <v>17763</v>
      </c>
      <c r="M5143" s="1" t="s">
        <v>2291</v>
      </c>
      <c r="N5143" s="1" t="s">
        <v>17764</v>
      </c>
      <c r="O5143" s="1" t="s">
        <v>550</v>
      </c>
      <c r="P5143" s="1" t="s">
        <v>401</v>
      </c>
      <c r="Q5143" s="63" t="s">
        <v>17765</v>
      </c>
      <c r="R5143" s="1" t="s">
        <v>100</v>
      </c>
      <c r="S5143" s="13" t="s">
        <v>28</v>
      </c>
      <c r="AM5143" s="44"/>
      <c r="AN5143" s="44"/>
      <c r="AO5143" s="44"/>
      <c r="AP5143" s="44"/>
      <c r="AQ5143" s="44"/>
      <c r="AR5143" s="44"/>
      <c r="AS5143" s="44"/>
      <c r="AT5143" s="44"/>
    </row>
    <row r="5144" spans="1:62" ht="12" customHeight="1" x14ac:dyDescent="0.15">
      <c r="A5144" s="1" t="s">
        <v>17766</v>
      </c>
      <c r="B5144" s="1" t="s">
        <v>10335</v>
      </c>
      <c r="C5144" s="1" t="s">
        <v>20</v>
      </c>
      <c r="D5144" s="1" t="s">
        <v>37</v>
      </c>
      <c r="E5144" s="1" t="s">
        <v>17767</v>
      </c>
      <c r="F5144" s="72">
        <v>41336</v>
      </c>
      <c r="G5144" s="1" t="s">
        <v>17768</v>
      </c>
      <c r="H5144" s="1" t="s">
        <v>8718</v>
      </c>
      <c r="I5144" s="1" t="s">
        <v>45</v>
      </c>
      <c r="J5144" s="4" t="s">
        <v>15642</v>
      </c>
      <c r="K5144" s="1" t="s">
        <v>602</v>
      </c>
      <c r="L5144" s="1" t="s">
        <v>8720</v>
      </c>
      <c r="M5144" s="1" t="s">
        <v>27</v>
      </c>
      <c r="N5144" s="1" t="s">
        <v>17769</v>
      </c>
      <c r="O5144" s="1" t="s">
        <v>29</v>
      </c>
      <c r="P5144" s="1" t="s">
        <v>401</v>
      </c>
      <c r="Q5144" s="63" t="s">
        <v>17770</v>
      </c>
      <c r="R5144" s="1" t="s">
        <v>100</v>
      </c>
      <c r="S5144" s="13" t="s">
        <v>18</v>
      </c>
      <c r="AM5144" s="44"/>
      <c r="AN5144" s="44"/>
      <c r="AO5144" s="44"/>
      <c r="AP5144" s="44"/>
      <c r="AQ5144" s="44"/>
      <c r="AR5144" s="44"/>
      <c r="AS5144" s="44"/>
      <c r="AT5144" s="44"/>
      <c r="AX5144" s="11"/>
      <c r="AY5144" s="11"/>
      <c r="AZ5144" s="11"/>
    </row>
    <row r="5145" spans="1:62" ht="12" customHeight="1" x14ac:dyDescent="0.15">
      <c r="A5145" s="1" t="s">
        <v>17771</v>
      </c>
      <c r="B5145" s="1" t="s">
        <v>8769</v>
      </c>
      <c r="C5145" s="1" t="s">
        <v>20</v>
      </c>
      <c r="D5145" s="1" t="s">
        <v>85</v>
      </c>
      <c r="E5145" s="1" t="s">
        <v>17772</v>
      </c>
      <c r="F5145" s="72">
        <v>41335</v>
      </c>
      <c r="G5145" s="1" t="s">
        <v>17773</v>
      </c>
      <c r="H5145" s="1" t="s">
        <v>13544</v>
      </c>
      <c r="I5145" s="1" t="s">
        <v>45</v>
      </c>
      <c r="J5145" s="4">
        <v>94587</v>
      </c>
      <c r="K5145" s="1" t="s">
        <v>602</v>
      </c>
      <c r="L5145" s="1" t="s">
        <v>13546</v>
      </c>
      <c r="M5145" s="1" t="s">
        <v>27</v>
      </c>
      <c r="N5145" s="1" t="s">
        <v>17774</v>
      </c>
      <c r="O5145" s="1" t="s">
        <v>29</v>
      </c>
      <c r="P5145" s="1" t="s">
        <v>401</v>
      </c>
      <c r="Q5145" s="63" t="s">
        <v>17775</v>
      </c>
      <c r="R5145" s="1" t="s">
        <v>100</v>
      </c>
      <c r="S5145" s="13" t="s">
        <v>28</v>
      </c>
      <c r="AM5145" s="44"/>
      <c r="AN5145" s="44"/>
      <c r="AO5145" s="44"/>
      <c r="AP5145" s="44"/>
      <c r="AQ5145" s="44"/>
      <c r="AR5145" s="44"/>
      <c r="AS5145" s="44"/>
      <c r="AT5145" s="44"/>
      <c r="AX5145" s="44"/>
      <c r="AY5145" s="44"/>
      <c r="BC5145" s="44"/>
      <c r="BD5145" s="44"/>
      <c r="BE5145" s="44"/>
      <c r="BF5145" s="44"/>
      <c r="BG5145" s="44"/>
      <c r="BH5145" s="44"/>
      <c r="BI5145" s="44"/>
      <c r="BJ5145" s="44"/>
    </row>
    <row r="5146" spans="1:62" ht="12" customHeight="1" x14ac:dyDescent="0.15">
      <c r="A5146" s="1" t="s">
        <v>17776</v>
      </c>
      <c r="B5146" s="1">
        <v>23</v>
      </c>
      <c r="C5146" s="1" t="s">
        <v>20</v>
      </c>
      <c r="D5146" s="1" t="s">
        <v>30</v>
      </c>
      <c r="F5146" s="72">
        <v>41335</v>
      </c>
      <c r="G5146" s="1" t="s">
        <v>17777</v>
      </c>
      <c r="H5146" s="1" t="s">
        <v>945</v>
      </c>
      <c r="I5146" s="1" t="s">
        <v>45</v>
      </c>
      <c r="J5146" s="4" t="s">
        <v>17778</v>
      </c>
      <c r="K5146" s="1" t="s">
        <v>945</v>
      </c>
      <c r="L5146" s="1" t="s">
        <v>17779</v>
      </c>
      <c r="M5146" s="1" t="s">
        <v>27</v>
      </c>
      <c r="N5146" s="1" t="s">
        <v>17780</v>
      </c>
      <c r="O5146" s="1" t="s">
        <v>1010</v>
      </c>
      <c r="P5146" s="1" t="s">
        <v>401</v>
      </c>
      <c r="Q5146" s="63" t="s">
        <v>17781</v>
      </c>
      <c r="R5146" s="1" t="s">
        <v>100</v>
      </c>
      <c r="S5146" s="13" t="s">
        <v>28</v>
      </c>
      <c r="AM5146" s="44"/>
      <c r="AN5146" s="44"/>
      <c r="AO5146" s="44"/>
      <c r="AP5146" s="44"/>
      <c r="AQ5146" s="44"/>
      <c r="AR5146" s="44"/>
      <c r="AS5146" s="44"/>
      <c r="AT5146" s="44"/>
    </row>
    <row r="5147" spans="1:62" ht="12" customHeight="1" x14ac:dyDescent="0.15">
      <c r="A5147" s="1" t="s">
        <v>17782</v>
      </c>
      <c r="B5147" s="1">
        <v>28</v>
      </c>
      <c r="C5147" s="1" t="s">
        <v>20</v>
      </c>
      <c r="D5147" s="1" t="s">
        <v>30</v>
      </c>
      <c r="F5147" s="72">
        <v>41335</v>
      </c>
      <c r="G5147" s="1" t="s">
        <v>17783</v>
      </c>
      <c r="H5147" s="1" t="s">
        <v>606</v>
      </c>
      <c r="I5147" s="1" t="s">
        <v>45</v>
      </c>
      <c r="J5147" s="4" t="s">
        <v>7850</v>
      </c>
      <c r="K5147" s="1" t="s">
        <v>607</v>
      </c>
      <c r="L5147" s="1" t="s">
        <v>727</v>
      </c>
      <c r="M5147" s="1" t="s">
        <v>27</v>
      </c>
      <c r="N5147" s="1" t="s">
        <v>17784</v>
      </c>
      <c r="O5147" s="1" t="s">
        <v>550</v>
      </c>
      <c r="P5147" s="1" t="s">
        <v>401</v>
      </c>
      <c r="Q5147" s="63" t="s">
        <v>17785</v>
      </c>
      <c r="R5147" s="1" t="s">
        <v>100</v>
      </c>
      <c r="S5147" s="13" t="s">
        <v>28</v>
      </c>
      <c r="AM5147" s="44"/>
      <c r="AN5147" s="44"/>
      <c r="AO5147" s="44"/>
      <c r="AP5147" s="44"/>
      <c r="AQ5147" s="44"/>
      <c r="AR5147" s="44"/>
      <c r="AS5147" s="44"/>
      <c r="AT5147" s="44"/>
    </row>
    <row r="5148" spans="1:62" ht="12" customHeight="1" x14ac:dyDescent="0.15">
      <c r="A5148" s="1" t="s">
        <v>17786</v>
      </c>
      <c r="B5148" s="1">
        <v>26</v>
      </c>
      <c r="C5148" s="1" t="s">
        <v>20</v>
      </c>
      <c r="D5148" s="1" t="s">
        <v>37</v>
      </c>
      <c r="F5148" s="72">
        <v>41335</v>
      </c>
      <c r="G5148" s="1" t="s">
        <v>17787</v>
      </c>
      <c r="H5148" s="1" t="s">
        <v>16756</v>
      </c>
      <c r="I5148" s="1" t="s">
        <v>303</v>
      </c>
      <c r="J5148" s="4" t="s">
        <v>16757</v>
      </c>
      <c r="K5148" s="1" t="s">
        <v>1908</v>
      </c>
      <c r="L5148" s="1" t="s">
        <v>17788</v>
      </c>
      <c r="M5148" s="1" t="s">
        <v>27</v>
      </c>
      <c r="N5148" s="1" t="s">
        <v>17789</v>
      </c>
      <c r="O5148" s="1" t="s">
        <v>550</v>
      </c>
      <c r="P5148" s="1" t="s">
        <v>401</v>
      </c>
      <c r="Q5148" s="63" t="s">
        <v>17790</v>
      </c>
      <c r="R5148" s="1" t="s">
        <v>100</v>
      </c>
      <c r="S5148" s="13" t="s">
        <v>28</v>
      </c>
      <c r="AM5148" s="44"/>
      <c r="AN5148" s="44"/>
      <c r="AO5148" s="44"/>
      <c r="AP5148" s="44"/>
      <c r="AQ5148" s="44"/>
      <c r="AR5148" s="44"/>
      <c r="AS5148" s="44"/>
      <c r="AT5148" s="44"/>
      <c r="AX5148" s="11"/>
      <c r="AY5148" s="11"/>
      <c r="AZ5148" s="11"/>
    </row>
    <row r="5149" spans="1:62" ht="12" customHeight="1" x14ac:dyDescent="0.15">
      <c r="A5149" s="1" t="s">
        <v>17796</v>
      </c>
      <c r="B5149" s="1">
        <v>70</v>
      </c>
      <c r="C5149" s="1" t="s">
        <v>20</v>
      </c>
      <c r="D5149" s="1" t="s">
        <v>37</v>
      </c>
      <c r="E5149" s="1" t="s">
        <v>17797</v>
      </c>
      <c r="F5149" s="72">
        <v>41334</v>
      </c>
      <c r="G5149" s="1" t="s">
        <v>24658</v>
      </c>
      <c r="H5149" s="1" t="s">
        <v>1313</v>
      </c>
      <c r="I5149" s="1" t="s">
        <v>73</v>
      </c>
      <c r="J5149" s="4" t="s">
        <v>17798</v>
      </c>
      <c r="K5149" s="1" t="s">
        <v>1314</v>
      </c>
      <c r="L5149" s="1" t="s">
        <v>1315</v>
      </c>
      <c r="M5149" s="1" t="s">
        <v>27</v>
      </c>
      <c r="N5149" s="1" t="s">
        <v>17799</v>
      </c>
      <c r="O5149" s="1" t="s">
        <v>550</v>
      </c>
      <c r="P5149" s="1" t="s">
        <v>401</v>
      </c>
      <c r="Q5149" s="63" t="s">
        <v>17800</v>
      </c>
      <c r="R5149" s="1" t="s">
        <v>100</v>
      </c>
      <c r="S5149" s="13" t="s">
        <v>28</v>
      </c>
      <c r="AM5149" s="44"/>
      <c r="AN5149" s="44"/>
      <c r="AO5149" s="44"/>
      <c r="AP5149" s="44"/>
      <c r="AQ5149" s="44"/>
      <c r="AR5149" s="44"/>
      <c r="AS5149" s="44"/>
      <c r="AT5149" s="44"/>
      <c r="AX5149" s="11"/>
      <c r="AY5149" s="11"/>
      <c r="AZ5149" s="11"/>
    </row>
    <row r="5150" spans="1:62" ht="12" customHeight="1" x14ac:dyDescent="0.15">
      <c r="A5150" s="1" t="s">
        <v>17801</v>
      </c>
      <c r="B5150" s="1">
        <v>47</v>
      </c>
      <c r="C5150" s="1" t="s">
        <v>20</v>
      </c>
      <c r="D5150" s="1" t="s">
        <v>37</v>
      </c>
      <c r="E5150" s="1" t="s">
        <v>17802</v>
      </c>
      <c r="F5150" s="72">
        <v>41334</v>
      </c>
      <c r="G5150" s="1" t="s">
        <v>17803</v>
      </c>
      <c r="H5150" s="1" t="s">
        <v>857</v>
      </c>
      <c r="I5150" s="1" t="s">
        <v>73</v>
      </c>
      <c r="J5150" s="4" t="s">
        <v>17804</v>
      </c>
      <c r="K5150" s="1" t="s">
        <v>857</v>
      </c>
      <c r="L5150" s="1" t="s">
        <v>858</v>
      </c>
      <c r="M5150" s="1" t="s">
        <v>27</v>
      </c>
      <c r="N5150" s="1" t="s">
        <v>17805</v>
      </c>
      <c r="O5150" s="1" t="s">
        <v>1010</v>
      </c>
      <c r="P5150" s="1" t="s">
        <v>401</v>
      </c>
      <c r="Q5150" s="63" t="s">
        <v>17806</v>
      </c>
      <c r="R5150" s="1" t="s">
        <v>100</v>
      </c>
      <c r="S5150" s="13" t="s">
        <v>28</v>
      </c>
      <c r="AM5150" s="44"/>
      <c r="AN5150" s="44"/>
      <c r="AO5150" s="44"/>
      <c r="AP5150" s="44"/>
      <c r="AQ5150" s="44"/>
      <c r="AR5150" s="44"/>
      <c r="AS5150" s="44"/>
      <c r="AT5150" s="44"/>
      <c r="AX5150" s="11"/>
      <c r="AY5150" s="11"/>
      <c r="AZ5150" s="11"/>
    </row>
    <row r="5151" spans="1:62" ht="12" customHeight="1" x14ac:dyDescent="0.15">
      <c r="A5151" s="1" t="s">
        <v>17791</v>
      </c>
      <c r="B5151" s="1">
        <v>35</v>
      </c>
      <c r="C5151" s="1" t="s">
        <v>20</v>
      </c>
      <c r="D5151" s="1" t="s">
        <v>85</v>
      </c>
      <c r="F5151" s="72">
        <v>41334</v>
      </c>
      <c r="G5151" s="1" t="s">
        <v>17792</v>
      </c>
      <c r="H5151" s="1" t="s">
        <v>1094</v>
      </c>
      <c r="I5151" s="1" t="s">
        <v>395</v>
      </c>
      <c r="J5151" s="4" t="s">
        <v>17793</v>
      </c>
      <c r="K5151" s="1" t="s">
        <v>1095</v>
      </c>
      <c r="L5151" s="1" t="s">
        <v>1096</v>
      </c>
      <c r="M5151" s="1" t="s">
        <v>27</v>
      </c>
      <c r="N5151" s="1" t="s">
        <v>17794</v>
      </c>
      <c r="O5151" s="1" t="s">
        <v>4684</v>
      </c>
      <c r="P5151" s="1" t="s">
        <v>401</v>
      </c>
      <c r="Q5151" s="63" t="s">
        <v>17795</v>
      </c>
      <c r="R5151" s="1" t="s">
        <v>100</v>
      </c>
      <c r="S5151" s="13" t="s">
        <v>379</v>
      </c>
      <c r="AM5151" s="44"/>
      <c r="AN5151" s="44"/>
      <c r="AO5151" s="44"/>
      <c r="AP5151" s="44"/>
      <c r="AQ5151" s="44"/>
      <c r="AR5151" s="44"/>
      <c r="AS5151" s="44"/>
      <c r="AT5151" s="44"/>
      <c r="AX5151" s="44"/>
      <c r="AY5151" s="44"/>
      <c r="BC5151" s="44"/>
      <c r="BD5151" s="44"/>
      <c r="BE5151" s="44"/>
      <c r="BF5151" s="44"/>
      <c r="BG5151" s="44"/>
      <c r="BH5151" s="44"/>
      <c r="BI5151" s="44"/>
      <c r="BJ5151" s="44"/>
    </row>
    <row r="5152" spans="1:62" ht="12" customHeight="1" x14ac:dyDescent="0.15">
      <c r="A5152" s="1" t="s">
        <v>3252</v>
      </c>
      <c r="B5152" s="1">
        <v>46</v>
      </c>
      <c r="C5152" s="1" t="s">
        <v>20</v>
      </c>
      <c r="D5152" s="1" t="s">
        <v>85</v>
      </c>
      <c r="F5152" s="72">
        <v>41333</v>
      </c>
      <c r="G5152" s="1" t="s">
        <v>17807</v>
      </c>
      <c r="H5152" s="1" t="s">
        <v>723</v>
      </c>
      <c r="I5152" s="1" t="s">
        <v>73</v>
      </c>
      <c r="J5152" s="4" t="s">
        <v>17808</v>
      </c>
      <c r="K5152" s="1" t="s">
        <v>558</v>
      </c>
      <c r="L5152" s="1" t="s">
        <v>724</v>
      </c>
      <c r="M5152" s="1" t="s">
        <v>27</v>
      </c>
      <c r="N5152" s="1" t="s">
        <v>17809</v>
      </c>
      <c r="O5152" s="1" t="s">
        <v>29</v>
      </c>
      <c r="P5152" s="1" t="s">
        <v>401</v>
      </c>
      <c r="Q5152" s="63" t="str">
        <f>HYPERLINK("http://www.myfoxhouston.com/story/21431932/suspected-purse-snatcher-shot-by-houston-police-officer","http://www.myfoxhouston.com/story/21431932/suspected-purse-snatcher-shot-by-houston-police-officer")</f>
        <v>http://www.myfoxhouston.com/story/21431932/suspected-purse-snatcher-shot-by-houston-police-officer</v>
      </c>
      <c r="R5152" s="1" t="s">
        <v>100</v>
      </c>
      <c r="S5152" s="13" t="s">
        <v>28</v>
      </c>
      <c r="AM5152" s="44"/>
      <c r="AN5152" s="44"/>
      <c r="AO5152" s="44"/>
      <c r="AP5152" s="44"/>
      <c r="AQ5152" s="44"/>
      <c r="AR5152" s="44"/>
      <c r="AS5152" s="44"/>
      <c r="AT5152" s="44"/>
      <c r="AX5152" s="44"/>
      <c r="AY5152" s="44"/>
      <c r="BC5152" s="44"/>
      <c r="BD5152" s="44"/>
      <c r="BE5152" s="44"/>
      <c r="BF5152" s="44"/>
      <c r="BG5152" s="44"/>
      <c r="BH5152" s="44"/>
      <c r="BI5152" s="44"/>
      <c r="BJ5152" s="44"/>
    </row>
    <row r="5153" spans="1:62" ht="12" customHeight="1" x14ac:dyDescent="0.15">
      <c r="A5153" s="1" t="s">
        <v>17810</v>
      </c>
      <c r="B5153" s="1">
        <v>37</v>
      </c>
      <c r="C5153" s="1" t="s">
        <v>20</v>
      </c>
      <c r="D5153" s="1" t="s">
        <v>30</v>
      </c>
      <c r="F5153" s="72">
        <v>41333</v>
      </c>
      <c r="G5153" s="1" t="s">
        <v>17811</v>
      </c>
      <c r="H5153" s="1" t="s">
        <v>12967</v>
      </c>
      <c r="I5153" s="1" t="s">
        <v>45</v>
      </c>
      <c r="J5153" s="4" t="s">
        <v>12968</v>
      </c>
      <c r="K5153" s="1" t="s">
        <v>2669</v>
      </c>
      <c r="L5153" s="1" t="s">
        <v>2670</v>
      </c>
      <c r="M5153" s="1" t="s">
        <v>27</v>
      </c>
      <c r="N5153" s="1" t="s">
        <v>17812</v>
      </c>
      <c r="O5153" s="1" t="s">
        <v>550</v>
      </c>
      <c r="P5153" s="1" t="s">
        <v>401</v>
      </c>
      <c r="Q5153" s="63" t="s">
        <v>17813</v>
      </c>
      <c r="R5153" s="1" t="s">
        <v>100</v>
      </c>
      <c r="S5153" s="13" t="s">
        <v>28</v>
      </c>
      <c r="AM5153" s="44"/>
      <c r="AN5153" s="44"/>
      <c r="AO5153" s="44"/>
      <c r="AP5153" s="44"/>
      <c r="AQ5153" s="44"/>
      <c r="AR5153" s="44"/>
      <c r="AS5153" s="44"/>
      <c r="AT5153" s="44"/>
    </row>
    <row r="5154" spans="1:62" ht="12" customHeight="1" x14ac:dyDescent="0.15">
      <c r="A5154" s="1" t="s">
        <v>17819</v>
      </c>
      <c r="B5154" s="1">
        <v>24</v>
      </c>
      <c r="C5154" s="1" t="s">
        <v>20</v>
      </c>
      <c r="D5154" s="1" t="s">
        <v>30</v>
      </c>
      <c r="F5154" s="72">
        <v>41331</v>
      </c>
      <c r="G5154" s="1" t="s">
        <v>17820</v>
      </c>
      <c r="H5154" s="1" t="s">
        <v>51</v>
      </c>
      <c r="I5154" s="1" t="s">
        <v>32</v>
      </c>
      <c r="J5154" s="4" t="s">
        <v>17821</v>
      </c>
      <c r="K5154" s="1" t="s">
        <v>2589</v>
      </c>
      <c r="L5154" s="1" t="s">
        <v>17822</v>
      </c>
      <c r="M5154" s="1" t="s">
        <v>27</v>
      </c>
      <c r="N5154" s="1" t="s">
        <v>17823</v>
      </c>
      <c r="O5154" s="1" t="s">
        <v>1010</v>
      </c>
      <c r="P5154" s="1" t="s">
        <v>401</v>
      </c>
      <c r="Q5154" s="63" t="s">
        <v>17824</v>
      </c>
      <c r="R5154" s="1" t="s">
        <v>100</v>
      </c>
      <c r="S5154" s="13" t="s">
        <v>28</v>
      </c>
      <c r="AM5154" s="44"/>
      <c r="AN5154" s="44"/>
      <c r="AO5154" s="44"/>
      <c r="AP5154" s="44"/>
      <c r="AQ5154" s="44"/>
      <c r="AR5154" s="44"/>
      <c r="AS5154" s="44"/>
      <c r="AT5154" s="44"/>
    </row>
    <row r="5155" spans="1:62" ht="12" customHeight="1" x14ac:dyDescent="0.15">
      <c r="A5155" s="1" t="s">
        <v>17825</v>
      </c>
      <c r="B5155" s="1" t="s">
        <v>13386</v>
      </c>
      <c r="C5155" s="1" t="s">
        <v>20</v>
      </c>
      <c r="D5155" s="1" t="s">
        <v>37</v>
      </c>
      <c r="E5155" s="1" t="s">
        <v>17826</v>
      </c>
      <c r="F5155" s="72">
        <v>41331</v>
      </c>
      <c r="G5155" s="1" t="s">
        <v>24659</v>
      </c>
      <c r="H5155" s="1" t="s">
        <v>1359</v>
      </c>
      <c r="I5155" s="1" t="s">
        <v>45</v>
      </c>
      <c r="J5155" s="4" t="s">
        <v>17827</v>
      </c>
      <c r="K5155" s="1" t="s">
        <v>1359</v>
      </c>
      <c r="L5155" s="1" t="s">
        <v>17828</v>
      </c>
      <c r="M5155" s="1" t="s">
        <v>27</v>
      </c>
      <c r="N5155" s="1" t="s">
        <v>17829</v>
      </c>
      <c r="O5155" s="1" t="s">
        <v>550</v>
      </c>
      <c r="P5155" s="1" t="s">
        <v>401</v>
      </c>
      <c r="Q5155" s="63" t="s">
        <v>17830</v>
      </c>
      <c r="R5155" s="1" t="s">
        <v>100</v>
      </c>
      <c r="S5155" s="13" t="s">
        <v>28</v>
      </c>
      <c r="AM5155" s="44"/>
      <c r="AN5155" s="44"/>
      <c r="AO5155" s="44"/>
      <c r="AP5155" s="44"/>
      <c r="AQ5155" s="44"/>
      <c r="AR5155" s="44"/>
      <c r="AS5155" s="44"/>
      <c r="AT5155" s="44"/>
      <c r="AX5155" s="11"/>
      <c r="AY5155" s="11"/>
      <c r="AZ5155" s="11"/>
    </row>
    <row r="5156" spans="1:62" ht="12" customHeight="1" x14ac:dyDescent="0.15">
      <c r="A5156" s="1" t="s">
        <v>17814</v>
      </c>
      <c r="B5156" s="1">
        <v>21</v>
      </c>
      <c r="C5156" s="1" t="s">
        <v>20</v>
      </c>
      <c r="D5156" s="1" t="s">
        <v>139</v>
      </c>
      <c r="E5156" s="1" t="s">
        <v>17815</v>
      </c>
      <c r="F5156" s="72">
        <v>41331</v>
      </c>
      <c r="G5156" s="1" t="s">
        <v>24660</v>
      </c>
      <c r="H5156" s="1" t="s">
        <v>1208</v>
      </c>
      <c r="I5156" s="1" t="s">
        <v>303</v>
      </c>
      <c r="J5156" s="4" t="s">
        <v>17816</v>
      </c>
      <c r="K5156" s="1" t="s">
        <v>1209</v>
      </c>
      <c r="L5156" s="1" t="s">
        <v>1210</v>
      </c>
      <c r="M5156" s="1" t="s">
        <v>27</v>
      </c>
      <c r="N5156" s="1" t="s">
        <v>17817</v>
      </c>
      <c r="O5156" s="1" t="s">
        <v>29</v>
      </c>
      <c r="P5156" s="1" t="s">
        <v>401</v>
      </c>
      <c r="Q5156" s="63" t="s">
        <v>17818</v>
      </c>
      <c r="R5156" s="1" t="s">
        <v>555</v>
      </c>
      <c r="S5156" s="13" t="s">
        <v>28</v>
      </c>
      <c r="AM5156" s="44"/>
      <c r="AN5156" s="44"/>
      <c r="AO5156" s="44"/>
      <c r="AP5156" s="44"/>
      <c r="AQ5156" s="44"/>
      <c r="AR5156" s="44"/>
      <c r="AS5156" s="44"/>
      <c r="AT5156" s="44"/>
      <c r="BA5156" s="11"/>
      <c r="BB5156" s="11"/>
    </row>
    <row r="5157" spans="1:62" ht="12" customHeight="1" x14ac:dyDescent="0.15">
      <c r="A5157" s="1" t="s">
        <v>17831</v>
      </c>
      <c r="B5157" s="1" t="s">
        <v>15834</v>
      </c>
      <c r="C5157" s="1" t="s">
        <v>20</v>
      </c>
      <c r="D5157" s="1" t="s">
        <v>48</v>
      </c>
      <c r="F5157" s="72">
        <v>41330</v>
      </c>
      <c r="G5157" s="1" t="s">
        <v>17832</v>
      </c>
      <c r="H5157" s="1" t="s">
        <v>783</v>
      </c>
      <c r="I5157" s="1" t="s">
        <v>45</v>
      </c>
      <c r="J5157" s="4" t="s">
        <v>12288</v>
      </c>
      <c r="K5157" s="1" t="s">
        <v>783</v>
      </c>
      <c r="L5157" s="1" t="s">
        <v>5936</v>
      </c>
      <c r="M5157" s="1" t="s">
        <v>27</v>
      </c>
      <c r="N5157" s="1" t="s">
        <v>17833</v>
      </c>
      <c r="O5157" s="1" t="s">
        <v>29</v>
      </c>
      <c r="P5157" s="1" t="s">
        <v>401</v>
      </c>
      <c r="Q5157" s="63" t="s">
        <v>17834</v>
      </c>
      <c r="R5157" s="1" t="s">
        <v>100</v>
      </c>
      <c r="S5157" s="13" t="s">
        <v>28</v>
      </c>
      <c r="AM5157" s="44"/>
      <c r="AN5157" s="44"/>
      <c r="AO5157" s="44"/>
      <c r="AP5157" s="44"/>
      <c r="AQ5157" s="44"/>
      <c r="AR5157" s="44"/>
      <c r="AS5157" s="44"/>
      <c r="AT5157" s="44"/>
    </row>
    <row r="5158" spans="1:62" ht="12" customHeight="1" x14ac:dyDescent="0.15">
      <c r="A5158" s="1" t="s">
        <v>17835</v>
      </c>
      <c r="B5158" s="1">
        <v>78</v>
      </c>
      <c r="C5158" s="1" t="s">
        <v>20</v>
      </c>
      <c r="D5158" s="1" t="s">
        <v>37</v>
      </c>
      <c r="E5158" s="1" t="s">
        <v>17836</v>
      </c>
      <c r="F5158" s="72">
        <v>41330</v>
      </c>
      <c r="G5158" s="1" t="s">
        <v>17837</v>
      </c>
      <c r="H5158" s="1" t="s">
        <v>17838</v>
      </c>
      <c r="I5158" s="1" t="s">
        <v>117</v>
      </c>
      <c r="J5158" s="4" t="s">
        <v>4665</v>
      </c>
      <c r="K5158" s="1" t="s">
        <v>420</v>
      </c>
      <c r="L5158" s="1" t="s">
        <v>17839</v>
      </c>
      <c r="M5158" s="1" t="s">
        <v>27</v>
      </c>
      <c r="N5158" s="1" t="s">
        <v>17840</v>
      </c>
      <c r="O5158" s="1" t="s">
        <v>550</v>
      </c>
      <c r="P5158" s="1" t="s">
        <v>401</v>
      </c>
      <c r="Q5158" s="63" t="s">
        <v>17841</v>
      </c>
      <c r="R5158" s="1" t="s">
        <v>100</v>
      </c>
      <c r="S5158" s="13" t="s">
        <v>28</v>
      </c>
      <c r="AM5158" s="44"/>
      <c r="AN5158" s="44"/>
      <c r="AO5158" s="44"/>
      <c r="AP5158" s="44"/>
      <c r="AQ5158" s="44"/>
      <c r="AR5158" s="44"/>
      <c r="AS5158" s="44"/>
      <c r="AT5158" s="44"/>
      <c r="AX5158" s="11"/>
      <c r="AY5158" s="11"/>
      <c r="AZ5158" s="11"/>
    </row>
    <row r="5159" spans="1:62" ht="12" customHeight="1" x14ac:dyDescent="0.15">
      <c r="A5159" s="1" t="s">
        <v>17842</v>
      </c>
      <c r="B5159" s="1">
        <v>33</v>
      </c>
      <c r="C5159" s="1" t="s">
        <v>20</v>
      </c>
      <c r="D5159" s="1" t="s">
        <v>37</v>
      </c>
      <c r="E5159" s="1" t="s">
        <v>17843</v>
      </c>
      <c r="F5159" s="72">
        <v>41330</v>
      </c>
      <c r="G5159" s="1" t="s">
        <v>7522</v>
      </c>
      <c r="H5159" s="1" t="s">
        <v>17844</v>
      </c>
      <c r="I5159" s="1" t="s">
        <v>240</v>
      </c>
      <c r="J5159" s="4" t="s">
        <v>17845</v>
      </c>
      <c r="K5159" s="1" t="s">
        <v>5002</v>
      </c>
      <c r="L5159" s="1" t="s">
        <v>17846</v>
      </c>
      <c r="M5159" s="1" t="s">
        <v>27</v>
      </c>
      <c r="N5159" s="1" t="s">
        <v>17847</v>
      </c>
      <c r="O5159" s="1" t="s">
        <v>550</v>
      </c>
      <c r="P5159" s="1" t="s">
        <v>401</v>
      </c>
      <c r="Q5159" s="63" t="s">
        <v>5260</v>
      </c>
      <c r="R5159" s="1" t="s">
        <v>100</v>
      </c>
      <c r="S5159" s="13" t="s">
        <v>28</v>
      </c>
      <c r="AM5159" s="44"/>
      <c r="AN5159" s="44"/>
      <c r="AO5159" s="44"/>
      <c r="AP5159" s="44"/>
      <c r="AQ5159" s="44"/>
      <c r="AR5159" s="44"/>
      <c r="AS5159" s="44"/>
      <c r="AT5159" s="44"/>
      <c r="AX5159" s="11"/>
      <c r="AY5159" s="11"/>
      <c r="AZ5159" s="11"/>
    </row>
    <row r="5160" spans="1:62" ht="12" customHeight="1" x14ac:dyDescent="0.15">
      <c r="A5160" s="1" t="s">
        <v>17848</v>
      </c>
      <c r="B5160" s="1">
        <v>25</v>
      </c>
      <c r="C5160" s="1" t="s">
        <v>20</v>
      </c>
      <c r="D5160" s="1" t="s">
        <v>48</v>
      </c>
      <c r="F5160" s="72">
        <v>41329</v>
      </c>
      <c r="G5160" s="1" t="s">
        <v>17849</v>
      </c>
      <c r="H5160" s="1" t="s">
        <v>98</v>
      </c>
      <c r="I5160" s="1" t="s">
        <v>45</v>
      </c>
      <c r="J5160" s="4" t="s">
        <v>17850</v>
      </c>
      <c r="K5160" s="1" t="s">
        <v>98</v>
      </c>
      <c r="L5160" s="1" t="s">
        <v>99</v>
      </c>
      <c r="M5160" s="1" t="s">
        <v>27</v>
      </c>
      <c r="N5160" s="1" t="s">
        <v>17851</v>
      </c>
      <c r="O5160" s="1" t="s">
        <v>1010</v>
      </c>
      <c r="P5160" s="1" t="s">
        <v>401</v>
      </c>
      <c r="Q5160" s="63" t="s">
        <v>17852</v>
      </c>
      <c r="R5160" s="1" t="s">
        <v>555</v>
      </c>
      <c r="S5160" s="13" t="s">
        <v>28</v>
      </c>
      <c r="AM5160" s="44"/>
      <c r="AN5160" s="44"/>
      <c r="AO5160" s="44"/>
      <c r="AP5160" s="44"/>
      <c r="AQ5160" s="44"/>
      <c r="AR5160" s="44"/>
      <c r="AS5160" s="44"/>
      <c r="AT5160" s="44"/>
    </row>
    <row r="5161" spans="1:62" ht="12" customHeight="1" x14ac:dyDescent="0.15">
      <c r="A5161" s="1" t="s">
        <v>17853</v>
      </c>
      <c r="B5161" s="1" t="s">
        <v>17299</v>
      </c>
      <c r="C5161" s="1" t="s">
        <v>20</v>
      </c>
      <c r="D5161" s="1" t="s">
        <v>37</v>
      </c>
      <c r="E5161" s="1" t="s">
        <v>17854</v>
      </c>
      <c r="F5161" s="72">
        <v>41329</v>
      </c>
      <c r="G5161" s="1" t="s">
        <v>17855</v>
      </c>
      <c r="H5161" s="1" t="s">
        <v>17856</v>
      </c>
      <c r="I5161" s="1" t="s">
        <v>41</v>
      </c>
      <c r="J5161" s="4" t="s">
        <v>17857</v>
      </c>
      <c r="K5161" s="1" t="s">
        <v>6851</v>
      </c>
      <c r="L5161" s="1" t="s">
        <v>17858</v>
      </c>
      <c r="M5161" s="1" t="s">
        <v>27</v>
      </c>
      <c r="N5161" s="1" t="s">
        <v>17859</v>
      </c>
      <c r="O5161" s="1" t="s">
        <v>550</v>
      </c>
      <c r="P5161" s="1" t="s">
        <v>401</v>
      </c>
      <c r="Q5161" s="63" t="s">
        <v>17860</v>
      </c>
      <c r="R5161" s="1" t="s">
        <v>555</v>
      </c>
      <c r="S5161" s="13" t="s">
        <v>28</v>
      </c>
      <c r="AM5161" s="44"/>
      <c r="AN5161" s="44"/>
      <c r="AO5161" s="44"/>
      <c r="AP5161" s="44"/>
      <c r="AQ5161" s="44"/>
      <c r="AR5161" s="44"/>
      <c r="AS5161" s="44"/>
      <c r="AT5161" s="44"/>
      <c r="AX5161" s="11"/>
      <c r="AY5161" s="11"/>
      <c r="AZ5161" s="11"/>
      <c r="BA5161" s="44"/>
      <c r="BB5161" s="44"/>
    </row>
    <row r="5162" spans="1:62" ht="12" customHeight="1" x14ac:dyDescent="0.15">
      <c r="A5162" s="1" t="s">
        <v>11480</v>
      </c>
      <c r="B5162" s="1">
        <v>33</v>
      </c>
      <c r="C5162" s="1" t="s">
        <v>20</v>
      </c>
      <c r="D5162" s="1" t="s">
        <v>37</v>
      </c>
      <c r="E5162" s="1" t="s">
        <v>11481</v>
      </c>
      <c r="F5162" s="72">
        <v>41328</v>
      </c>
      <c r="G5162" s="1" t="s">
        <v>11482</v>
      </c>
      <c r="H5162" s="1" t="s">
        <v>838</v>
      </c>
      <c r="I5162" s="1" t="s">
        <v>303</v>
      </c>
      <c r="J5162" s="4" t="s">
        <v>11483</v>
      </c>
      <c r="K5162" s="1" t="s">
        <v>838</v>
      </c>
      <c r="L5162" s="1" t="s">
        <v>11484</v>
      </c>
      <c r="M5162" s="1" t="s">
        <v>391</v>
      </c>
      <c r="N5162" s="1" t="s">
        <v>11485</v>
      </c>
      <c r="O5162" s="1" t="s">
        <v>550</v>
      </c>
      <c r="P5162" s="1" t="s">
        <v>401</v>
      </c>
      <c r="Q5162" s="63" t="s">
        <v>11486</v>
      </c>
      <c r="R5162" s="11" t="s">
        <v>964</v>
      </c>
      <c r="S5162" s="13" t="s">
        <v>28</v>
      </c>
      <c r="AM5162" s="44"/>
      <c r="AN5162" s="44"/>
      <c r="AO5162" s="44"/>
      <c r="AP5162" s="44"/>
      <c r="AQ5162" s="44"/>
      <c r="AR5162" s="44"/>
      <c r="AS5162" s="44"/>
      <c r="AT5162" s="44"/>
      <c r="AU5162" s="11"/>
      <c r="AV5162" s="11"/>
      <c r="AW5162" s="11"/>
    </row>
    <row r="5163" spans="1:62" ht="12" customHeight="1" x14ac:dyDescent="0.15">
      <c r="A5163" s="1" t="s">
        <v>17873</v>
      </c>
      <c r="B5163" s="1">
        <v>33</v>
      </c>
      <c r="C5163" s="1" t="s">
        <v>20</v>
      </c>
      <c r="D5163" s="1" t="s">
        <v>37</v>
      </c>
      <c r="E5163" s="1" t="s">
        <v>17874</v>
      </c>
      <c r="F5163" s="72">
        <v>41328</v>
      </c>
      <c r="G5163" s="1" t="s">
        <v>24661</v>
      </c>
      <c r="H5163" s="1" t="s">
        <v>1760</v>
      </c>
      <c r="I5163" s="1" t="s">
        <v>45</v>
      </c>
      <c r="J5163" s="4" t="s">
        <v>17875</v>
      </c>
      <c r="K5163" s="1" t="s">
        <v>1762</v>
      </c>
      <c r="L5163" s="1" t="s">
        <v>17876</v>
      </c>
      <c r="M5163" s="1" t="s">
        <v>27</v>
      </c>
      <c r="N5163" s="1" t="s">
        <v>17877</v>
      </c>
      <c r="O5163" s="1" t="s">
        <v>400</v>
      </c>
      <c r="P5163" s="1" t="s">
        <v>401</v>
      </c>
      <c r="Q5163" s="63" t="s">
        <v>17878</v>
      </c>
      <c r="R5163" s="1" t="s">
        <v>100</v>
      </c>
      <c r="S5163" s="13" t="s">
        <v>28</v>
      </c>
      <c r="AM5163" s="44"/>
      <c r="AN5163" s="44"/>
      <c r="AO5163" s="44"/>
      <c r="AP5163" s="44"/>
      <c r="AQ5163" s="44"/>
      <c r="AR5163" s="44"/>
      <c r="AS5163" s="44"/>
      <c r="AT5163" s="44"/>
      <c r="AX5163" s="11"/>
      <c r="AY5163" s="11"/>
      <c r="AZ5163" s="11"/>
    </row>
    <row r="5164" spans="1:62" ht="12" customHeight="1" x14ac:dyDescent="0.15">
      <c r="A5164" s="1" t="s">
        <v>17861</v>
      </c>
      <c r="B5164" s="1">
        <v>51</v>
      </c>
      <c r="C5164" s="1" t="s">
        <v>20</v>
      </c>
      <c r="D5164" s="1" t="s">
        <v>30</v>
      </c>
      <c r="F5164" s="72">
        <v>41328</v>
      </c>
      <c r="G5164" s="1" t="s">
        <v>17862</v>
      </c>
      <c r="H5164" s="1" t="s">
        <v>17863</v>
      </c>
      <c r="I5164" s="1" t="s">
        <v>81</v>
      </c>
      <c r="J5164" s="4" t="s">
        <v>17864</v>
      </c>
      <c r="K5164" s="1" t="s">
        <v>42</v>
      </c>
      <c r="L5164" s="1" t="s">
        <v>17865</v>
      </c>
      <c r="M5164" s="1" t="s">
        <v>27</v>
      </c>
      <c r="N5164" s="1" t="s">
        <v>17866</v>
      </c>
      <c r="O5164" s="1" t="s">
        <v>1010</v>
      </c>
      <c r="P5164" s="1" t="s">
        <v>401</v>
      </c>
      <c r="Q5164" s="63" t="s">
        <v>17867</v>
      </c>
      <c r="R5164" s="1" t="s">
        <v>29</v>
      </c>
      <c r="S5164" s="13" t="s">
        <v>28</v>
      </c>
      <c r="T5164" s="44"/>
      <c r="U5164" s="44"/>
      <c r="V5164" s="44"/>
      <c r="W5164" s="44"/>
      <c r="X5164" s="44"/>
      <c r="Y5164" s="44"/>
      <c r="Z5164" s="44"/>
      <c r="AA5164" s="44"/>
      <c r="AB5164" s="44"/>
      <c r="AC5164" s="44"/>
      <c r="AD5164" s="44"/>
      <c r="AE5164" s="44"/>
      <c r="AF5164" s="44"/>
      <c r="AG5164" s="44"/>
      <c r="AH5164" s="44"/>
      <c r="AM5164" s="44"/>
      <c r="AN5164" s="44"/>
      <c r="AO5164" s="44"/>
      <c r="AP5164" s="44"/>
      <c r="AQ5164" s="44"/>
      <c r="AR5164" s="44"/>
      <c r="AS5164" s="44"/>
      <c r="AT5164" s="44"/>
    </row>
    <row r="5165" spans="1:62" ht="12" customHeight="1" x14ac:dyDescent="0.15">
      <c r="A5165" s="1" t="s">
        <v>17868</v>
      </c>
      <c r="B5165" s="1" t="s">
        <v>13878</v>
      </c>
      <c r="C5165" s="1" t="s">
        <v>20</v>
      </c>
      <c r="D5165" s="1" t="s">
        <v>37</v>
      </c>
      <c r="F5165" s="72">
        <v>41328</v>
      </c>
      <c r="G5165" s="1" t="s">
        <v>17869</v>
      </c>
      <c r="H5165" s="1" t="s">
        <v>13743</v>
      </c>
      <c r="I5165" s="1" t="s">
        <v>269</v>
      </c>
      <c r="J5165" s="4" t="s">
        <v>17870</v>
      </c>
      <c r="K5165" s="1" t="s">
        <v>6245</v>
      </c>
      <c r="L5165" s="1" t="s">
        <v>7469</v>
      </c>
      <c r="M5165" s="1" t="s">
        <v>27</v>
      </c>
      <c r="N5165" s="1" t="s">
        <v>17871</v>
      </c>
      <c r="O5165" s="1" t="s">
        <v>550</v>
      </c>
      <c r="P5165" s="1" t="s">
        <v>401</v>
      </c>
      <c r="Q5165" s="63" t="s">
        <v>17872</v>
      </c>
      <c r="R5165" s="1" t="s">
        <v>555</v>
      </c>
      <c r="S5165" s="13" t="s">
        <v>28</v>
      </c>
      <c r="AM5165" s="44"/>
      <c r="AN5165" s="44"/>
      <c r="AO5165" s="44"/>
      <c r="AP5165" s="44"/>
      <c r="AQ5165" s="44"/>
      <c r="AR5165" s="44"/>
      <c r="AS5165" s="44"/>
      <c r="AT5165" s="44"/>
      <c r="AX5165" s="11"/>
      <c r="AY5165" s="11"/>
      <c r="AZ5165" s="11"/>
    </row>
    <row r="5166" spans="1:62" ht="12" customHeight="1" x14ac:dyDescent="0.15">
      <c r="A5166" s="1" t="s">
        <v>17879</v>
      </c>
      <c r="B5166" s="1" t="s">
        <v>15985</v>
      </c>
      <c r="C5166" s="1" t="s">
        <v>20</v>
      </c>
      <c r="D5166" s="1" t="s">
        <v>48</v>
      </c>
      <c r="E5166" s="1" t="s">
        <v>17880</v>
      </c>
      <c r="F5166" s="72">
        <v>41327</v>
      </c>
      <c r="G5166" s="1" t="s">
        <v>24662</v>
      </c>
      <c r="H5166" s="1" t="s">
        <v>575</v>
      </c>
      <c r="I5166" s="1" t="s">
        <v>73</v>
      </c>
      <c r="J5166" s="4" t="s">
        <v>1827</v>
      </c>
      <c r="K5166" s="1" t="s">
        <v>576</v>
      </c>
      <c r="L5166" s="1" t="s">
        <v>577</v>
      </c>
      <c r="M5166" s="1" t="s">
        <v>27</v>
      </c>
      <c r="N5166" s="1" t="s">
        <v>17881</v>
      </c>
      <c r="O5166" s="1" t="s">
        <v>550</v>
      </c>
      <c r="P5166" s="1" t="s">
        <v>401</v>
      </c>
      <c r="Q5166" s="63" t="s">
        <v>17882</v>
      </c>
      <c r="R5166" s="1" t="s">
        <v>100</v>
      </c>
      <c r="S5166" s="13" t="s">
        <v>28</v>
      </c>
      <c r="AM5166" s="44"/>
      <c r="AN5166" s="44"/>
      <c r="AO5166" s="44"/>
      <c r="AP5166" s="44"/>
      <c r="AQ5166" s="44"/>
      <c r="AR5166" s="44"/>
      <c r="AS5166" s="44"/>
      <c r="AT5166" s="44"/>
    </row>
    <row r="5167" spans="1:62" ht="12" customHeight="1" x14ac:dyDescent="0.15">
      <c r="A5167" s="1" t="s">
        <v>17883</v>
      </c>
      <c r="B5167" s="1">
        <v>29</v>
      </c>
      <c r="C5167" s="1" t="s">
        <v>20</v>
      </c>
      <c r="D5167" s="1" t="s">
        <v>37</v>
      </c>
      <c r="E5167" s="1" t="s">
        <v>17884</v>
      </c>
      <c r="F5167" s="72">
        <v>41327</v>
      </c>
      <c r="G5167" s="1" t="s">
        <v>17885</v>
      </c>
      <c r="H5167" s="1" t="s">
        <v>4182</v>
      </c>
      <c r="I5167" s="1" t="s">
        <v>431</v>
      </c>
      <c r="J5167" s="4" t="s">
        <v>17886</v>
      </c>
      <c r="K5167" s="1" t="s">
        <v>4946</v>
      </c>
      <c r="L5167" s="1" t="s">
        <v>4185</v>
      </c>
      <c r="M5167" s="1" t="s">
        <v>27</v>
      </c>
      <c r="N5167" s="1" t="s">
        <v>17887</v>
      </c>
      <c r="O5167" s="1" t="s">
        <v>550</v>
      </c>
      <c r="P5167" s="1" t="s">
        <v>401</v>
      </c>
      <c r="Q5167" s="63" t="s">
        <v>17888</v>
      </c>
      <c r="R5167" s="1" t="s">
        <v>29</v>
      </c>
      <c r="S5167" s="13" t="s">
        <v>28</v>
      </c>
      <c r="AM5167" s="44"/>
      <c r="AN5167" s="44"/>
      <c r="AO5167" s="44"/>
      <c r="AP5167" s="44"/>
      <c r="AQ5167" s="44"/>
      <c r="AR5167" s="44"/>
      <c r="AS5167" s="44"/>
      <c r="AT5167" s="44"/>
    </row>
    <row r="5168" spans="1:62" ht="12" customHeight="1" x14ac:dyDescent="0.2">
      <c r="A5168" s="1" t="s">
        <v>17889</v>
      </c>
      <c r="B5168" s="1">
        <v>24</v>
      </c>
      <c r="C5168" s="1" t="s">
        <v>20</v>
      </c>
      <c r="D5168" s="1" t="s">
        <v>21</v>
      </c>
      <c r="E5168" s="1" t="s">
        <v>17890</v>
      </c>
      <c r="F5168" s="72">
        <v>41326</v>
      </c>
      <c r="G5168" s="1" t="s">
        <v>17891</v>
      </c>
      <c r="H5168" s="1" t="s">
        <v>17892</v>
      </c>
      <c r="I5168" s="1" t="s">
        <v>423</v>
      </c>
      <c r="J5168" s="4" t="s">
        <v>17893</v>
      </c>
      <c r="K5168" s="1" t="s">
        <v>2675</v>
      </c>
      <c r="L5168" s="1" t="s">
        <v>582</v>
      </c>
      <c r="M5168" s="1" t="s">
        <v>379</v>
      </c>
      <c r="N5168" s="1" t="s">
        <v>17894</v>
      </c>
      <c r="O5168" s="1" t="s">
        <v>1010</v>
      </c>
      <c r="P5168" s="1" t="s">
        <v>401</v>
      </c>
      <c r="Q5168" s="63" t="s">
        <v>17895</v>
      </c>
      <c r="R5168" s="1" t="s">
        <v>100</v>
      </c>
      <c r="S5168" s="13" t="s">
        <v>28</v>
      </c>
      <c r="AM5168" s="44"/>
      <c r="AN5168" s="44"/>
      <c r="AO5168" s="44"/>
      <c r="AP5168" s="44"/>
      <c r="AQ5168" s="44"/>
      <c r="AR5168" s="44"/>
      <c r="AS5168" s="44"/>
      <c r="AT5168" s="44"/>
      <c r="AX5168" s="70"/>
      <c r="AY5168" s="70"/>
      <c r="BC5168" s="70"/>
      <c r="BD5168" s="70"/>
      <c r="BE5168" s="70"/>
      <c r="BF5168" s="70"/>
      <c r="BG5168" s="70"/>
      <c r="BH5168" s="70"/>
      <c r="BI5168" s="70"/>
      <c r="BJ5168" s="70"/>
    </row>
    <row r="5169" spans="1:62" ht="12" customHeight="1" x14ac:dyDescent="0.15">
      <c r="A5169" s="1" t="s">
        <v>17896</v>
      </c>
      <c r="B5169" s="1">
        <v>19</v>
      </c>
      <c r="C5169" s="1" t="s">
        <v>20</v>
      </c>
      <c r="D5169" s="1" t="s">
        <v>85</v>
      </c>
      <c r="F5169" s="72">
        <v>41326</v>
      </c>
      <c r="G5169" s="1" t="s">
        <v>24663</v>
      </c>
      <c r="H5169" s="1" t="s">
        <v>489</v>
      </c>
      <c r="I5169" s="1" t="s">
        <v>45</v>
      </c>
      <c r="J5169" s="4" t="s">
        <v>17897</v>
      </c>
      <c r="K5169" s="1" t="s">
        <v>98</v>
      </c>
      <c r="L5169" s="1" t="s">
        <v>490</v>
      </c>
      <c r="M5169" s="1" t="s">
        <v>27</v>
      </c>
      <c r="N5169" s="1" t="s">
        <v>17898</v>
      </c>
      <c r="O5169" s="1" t="s">
        <v>1010</v>
      </c>
      <c r="P5169" s="1" t="s">
        <v>401</v>
      </c>
      <c r="Q5169" s="63" t="s">
        <v>17899</v>
      </c>
      <c r="R5169" s="1" t="s">
        <v>100</v>
      </c>
      <c r="S5169" s="13" t="s">
        <v>28</v>
      </c>
      <c r="AM5169" s="44"/>
      <c r="AN5169" s="44"/>
      <c r="AO5169" s="44"/>
      <c r="AP5169" s="44"/>
      <c r="AQ5169" s="44"/>
      <c r="AR5169" s="44"/>
      <c r="AS5169" s="44"/>
      <c r="AT5169" s="44"/>
      <c r="AX5169" s="44"/>
      <c r="AY5169" s="44"/>
      <c r="BC5169" s="44"/>
      <c r="BD5169" s="44"/>
      <c r="BE5169" s="44"/>
      <c r="BF5169" s="44"/>
      <c r="BG5169" s="44"/>
      <c r="BH5169" s="44"/>
      <c r="BI5169" s="44"/>
      <c r="BJ5169" s="44"/>
    </row>
    <row r="5170" spans="1:62" ht="12" customHeight="1" x14ac:dyDescent="0.2">
      <c r="A5170" s="1" t="s">
        <v>17900</v>
      </c>
      <c r="B5170" s="1">
        <v>44</v>
      </c>
      <c r="C5170" s="1" t="s">
        <v>20</v>
      </c>
      <c r="D5170" s="1" t="s">
        <v>48</v>
      </c>
      <c r="F5170" s="72">
        <v>41326</v>
      </c>
      <c r="G5170" s="1" t="s">
        <v>17901</v>
      </c>
      <c r="H5170" s="1" t="s">
        <v>4085</v>
      </c>
      <c r="I5170" s="1" t="s">
        <v>404</v>
      </c>
      <c r="J5170" s="4" t="s">
        <v>17902</v>
      </c>
      <c r="K5170" s="1" t="s">
        <v>4087</v>
      </c>
      <c r="L5170" s="1" t="s">
        <v>17903</v>
      </c>
      <c r="M5170" s="1" t="s">
        <v>5411</v>
      </c>
      <c r="N5170" s="1" t="s">
        <v>17904</v>
      </c>
      <c r="O5170" s="1" t="s">
        <v>550</v>
      </c>
      <c r="P5170" s="1" t="s">
        <v>401</v>
      </c>
      <c r="Q5170" s="63" t="s">
        <v>17905</v>
      </c>
      <c r="R5170" s="1" t="s">
        <v>555</v>
      </c>
      <c r="S5170" s="13" t="s">
        <v>28</v>
      </c>
      <c r="AM5170" s="44"/>
      <c r="AN5170" s="44"/>
      <c r="AO5170" s="44"/>
      <c r="AP5170" s="44"/>
      <c r="AQ5170" s="44"/>
      <c r="AR5170" s="44"/>
      <c r="AS5170" s="44"/>
      <c r="AT5170" s="44"/>
      <c r="AW5170" s="70"/>
      <c r="BA5170" s="11"/>
      <c r="BB5170" s="11"/>
    </row>
    <row r="5171" spans="1:62" ht="12" customHeight="1" x14ac:dyDescent="0.15">
      <c r="A5171" s="1" t="s">
        <v>17906</v>
      </c>
      <c r="B5171" s="1">
        <v>72</v>
      </c>
      <c r="C5171" s="1" t="s">
        <v>20</v>
      </c>
      <c r="D5171" s="1" t="s">
        <v>30</v>
      </c>
      <c r="F5171" s="72">
        <v>41326</v>
      </c>
      <c r="G5171" s="1" t="s">
        <v>17907</v>
      </c>
      <c r="H5171" s="1" t="s">
        <v>17908</v>
      </c>
      <c r="I5171" s="1" t="s">
        <v>404</v>
      </c>
      <c r="J5171" s="4">
        <v>17345</v>
      </c>
      <c r="K5171" s="1" t="s">
        <v>1604</v>
      </c>
      <c r="L5171" s="1" t="s">
        <v>17909</v>
      </c>
      <c r="M5171" s="1" t="s">
        <v>27</v>
      </c>
      <c r="N5171" s="1" t="s">
        <v>17910</v>
      </c>
      <c r="O5171" s="1" t="s">
        <v>550</v>
      </c>
      <c r="P5171" s="1" t="s">
        <v>401</v>
      </c>
      <c r="Q5171" s="63" t="s">
        <v>17911</v>
      </c>
      <c r="R5171" s="1" t="s">
        <v>555</v>
      </c>
      <c r="S5171" s="13" t="s">
        <v>28</v>
      </c>
      <c r="AM5171" s="44"/>
      <c r="AN5171" s="44"/>
      <c r="AO5171" s="44"/>
      <c r="AP5171" s="44"/>
      <c r="AQ5171" s="44"/>
      <c r="AR5171" s="44"/>
      <c r="AS5171" s="44"/>
      <c r="AT5171" s="44"/>
      <c r="BA5171" s="11"/>
      <c r="BB5171" s="11"/>
    </row>
    <row r="5172" spans="1:62" ht="12" customHeight="1" x14ac:dyDescent="0.15">
      <c r="A5172" s="1" t="s">
        <v>17912</v>
      </c>
      <c r="B5172" s="1">
        <v>72</v>
      </c>
      <c r="C5172" s="1" t="s">
        <v>20</v>
      </c>
      <c r="D5172" s="1" t="s">
        <v>37</v>
      </c>
      <c r="E5172" s="1" t="s">
        <v>17913</v>
      </c>
      <c r="F5172" s="72">
        <v>41326</v>
      </c>
      <c r="G5172" s="1" t="s">
        <v>24664</v>
      </c>
      <c r="H5172" s="1" t="s">
        <v>6179</v>
      </c>
      <c r="I5172" s="1" t="s">
        <v>404</v>
      </c>
      <c r="J5172" s="4" t="s">
        <v>17914</v>
      </c>
      <c r="K5172" s="1" t="s">
        <v>1604</v>
      </c>
      <c r="L5172" s="1" t="s">
        <v>17915</v>
      </c>
      <c r="M5172" s="1" t="s">
        <v>27</v>
      </c>
      <c r="N5172" s="1" t="s">
        <v>17916</v>
      </c>
      <c r="O5172" s="1" t="s">
        <v>550</v>
      </c>
      <c r="P5172" s="1" t="s">
        <v>401</v>
      </c>
      <c r="Q5172" s="63" t="s">
        <v>17917</v>
      </c>
      <c r="R5172" s="1" t="s">
        <v>555</v>
      </c>
      <c r="S5172" s="13" t="s">
        <v>28</v>
      </c>
      <c r="AM5172" s="44"/>
      <c r="AN5172" s="44"/>
      <c r="AO5172" s="44"/>
      <c r="AP5172" s="44"/>
      <c r="AQ5172" s="44"/>
      <c r="AR5172" s="44"/>
      <c r="AS5172" s="44"/>
      <c r="AT5172" s="44"/>
      <c r="AX5172" s="44"/>
      <c r="AY5172" s="44"/>
      <c r="AZ5172" s="44"/>
    </row>
    <row r="5173" spans="1:62" ht="12" customHeight="1" x14ac:dyDescent="0.15">
      <c r="A5173" s="1" t="s">
        <v>17918</v>
      </c>
      <c r="B5173" s="1" t="s">
        <v>15841</v>
      </c>
      <c r="C5173" s="1" t="s">
        <v>20</v>
      </c>
      <c r="D5173" s="1" t="s">
        <v>85</v>
      </c>
      <c r="E5173" s="1" t="s">
        <v>17919</v>
      </c>
      <c r="F5173" s="72">
        <v>41325</v>
      </c>
      <c r="G5173" s="1" t="s">
        <v>24665</v>
      </c>
      <c r="H5173" s="1" t="s">
        <v>1801</v>
      </c>
      <c r="I5173" s="1" t="s">
        <v>217</v>
      </c>
      <c r="J5173" s="4" t="s">
        <v>17920</v>
      </c>
      <c r="K5173" s="1" t="s">
        <v>1803</v>
      </c>
      <c r="L5173" s="1" t="s">
        <v>1804</v>
      </c>
      <c r="M5173" s="1" t="s">
        <v>27</v>
      </c>
      <c r="N5173" s="1" t="s">
        <v>17921</v>
      </c>
      <c r="O5173" s="1" t="s">
        <v>550</v>
      </c>
      <c r="P5173" s="1" t="s">
        <v>401</v>
      </c>
      <c r="Q5173" s="63" t="s">
        <v>17922</v>
      </c>
      <c r="R5173" s="1" t="s">
        <v>100</v>
      </c>
      <c r="S5173" s="13" t="s">
        <v>28</v>
      </c>
      <c r="AM5173" s="44"/>
      <c r="AN5173" s="44"/>
      <c r="AO5173" s="44"/>
      <c r="AP5173" s="44"/>
      <c r="AQ5173" s="44"/>
      <c r="AR5173" s="44"/>
      <c r="AS5173" s="44"/>
      <c r="AT5173" s="44"/>
      <c r="AX5173" s="44"/>
      <c r="AY5173" s="44"/>
      <c r="BC5173" s="44"/>
      <c r="BD5173" s="44"/>
      <c r="BE5173" s="44"/>
      <c r="BF5173" s="44"/>
      <c r="BG5173" s="44"/>
      <c r="BH5173" s="44"/>
      <c r="BI5173" s="44"/>
      <c r="BJ5173" s="44"/>
    </row>
    <row r="5174" spans="1:62" ht="12" customHeight="1" x14ac:dyDescent="0.15">
      <c r="A5174" s="1" t="s">
        <v>17923</v>
      </c>
      <c r="B5174" s="1">
        <v>27</v>
      </c>
      <c r="C5174" s="1" t="s">
        <v>20</v>
      </c>
      <c r="D5174" s="1" t="s">
        <v>30</v>
      </c>
      <c r="F5174" s="72">
        <v>41325</v>
      </c>
      <c r="G5174" s="1" t="s">
        <v>17924</v>
      </c>
      <c r="H5174" s="1" t="s">
        <v>9830</v>
      </c>
      <c r="I5174" s="1" t="s">
        <v>62</v>
      </c>
      <c r="J5174" s="4" t="s">
        <v>13394</v>
      </c>
      <c r="K5174" s="1" t="s">
        <v>2309</v>
      </c>
      <c r="L5174" s="1" t="s">
        <v>13395</v>
      </c>
      <c r="M5174" s="1" t="s">
        <v>379</v>
      </c>
      <c r="N5174" s="1" t="s">
        <v>17925</v>
      </c>
      <c r="O5174" s="1" t="s">
        <v>1010</v>
      </c>
      <c r="P5174" s="1" t="s">
        <v>401</v>
      </c>
      <c r="Q5174" s="63" t="s">
        <v>17926</v>
      </c>
      <c r="R5174" s="1" t="s">
        <v>100</v>
      </c>
      <c r="S5174" s="13" t="s">
        <v>379</v>
      </c>
      <c r="AM5174" s="44"/>
      <c r="AN5174" s="44"/>
      <c r="AO5174" s="44"/>
      <c r="AP5174" s="44"/>
      <c r="AQ5174" s="44"/>
      <c r="AR5174" s="44"/>
      <c r="AS5174" s="44"/>
      <c r="AT5174" s="44"/>
    </row>
    <row r="5175" spans="1:62" ht="12" customHeight="1" x14ac:dyDescent="0.15">
      <c r="A5175" s="1" t="s">
        <v>17927</v>
      </c>
      <c r="B5175" s="1">
        <v>23</v>
      </c>
      <c r="C5175" s="1" t="s">
        <v>20</v>
      </c>
      <c r="D5175" s="1" t="s">
        <v>85</v>
      </c>
      <c r="E5175" s="1" t="s">
        <v>17928</v>
      </c>
      <c r="F5175" s="72">
        <v>41324</v>
      </c>
      <c r="G5175" s="1" t="s">
        <v>17929</v>
      </c>
      <c r="H5175" s="1" t="s">
        <v>651</v>
      </c>
      <c r="I5175" s="1" t="s">
        <v>62</v>
      </c>
      <c r="J5175" s="4" t="s">
        <v>17930</v>
      </c>
      <c r="K5175" s="1" t="s">
        <v>652</v>
      </c>
      <c r="L5175" s="11" t="s">
        <v>653</v>
      </c>
      <c r="M5175" s="1" t="s">
        <v>27</v>
      </c>
      <c r="N5175" s="1" t="s">
        <v>17931</v>
      </c>
      <c r="O5175" s="1" t="s">
        <v>1010</v>
      </c>
      <c r="P5175" s="1" t="s">
        <v>401</v>
      </c>
      <c r="Q5175" s="63" t="s">
        <v>17932</v>
      </c>
      <c r="R5175" s="1" t="s">
        <v>100</v>
      </c>
      <c r="S5175" s="13" t="s">
        <v>28</v>
      </c>
      <c r="AM5175" s="44"/>
      <c r="AN5175" s="44"/>
      <c r="AO5175" s="44"/>
      <c r="AP5175" s="44"/>
      <c r="AQ5175" s="44"/>
      <c r="AR5175" s="44"/>
      <c r="AS5175" s="44"/>
      <c r="AT5175" s="44"/>
      <c r="AX5175" s="44"/>
      <c r="AY5175" s="44"/>
      <c r="BC5175" s="44"/>
      <c r="BD5175" s="44"/>
      <c r="BE5175" s="44"/>
      <c r="BF5175" s="44"/>
      <c r="BG5175" s="44"/>
      <c r="BH5175" s="44"/>
      <c r="BI5175" s="44"/>
      <c r="BJ5175" s="44"/>
    </row>
    <row r="5176" spans="1:62" ht="12" customHeight="1" x14ac:dyDescent="0.15">
      <c r="A5176" s="1" t="s">
        <v>17933</v>
      </c>
      <c r="B5176" s="1">
        <v>32</v>
      </c>
      <c r="C5176" s="1" t="s">
        <v>20</v>
      </c>
      <c r="D5176" s="1" t="s">
        <v>48</v>
      </c>
      <c r="F5176" s="72">
        <v>41324</v>
      </c>
      <c r="G5176" s="1" t="s">
        <v>24666</v>
      </c>
      <c r="H5176" s="1" t="s">
        <v>655</v>
      </c>
      <c r="I5176" s="1" t="s">
        <v>269</v>
      </c>
      <c r="J5176" s="4" t="s">
        <v>17934</v>
      </c>
      <c r="K5176" s="1" t="s">
        <v>570</v>
      </c>
      <c r="L5176" s="1" t="s">
        <v>405</v>
      </c>
      <c r="M5176" s="1" t="s">
        <v>27</v>
      </c>
      <c r="N5176" s="1" t="s">
        <v>17935</v>
      </c>
      <c r="O5176" s="1" t="s">
        <v>550</v>
      </c>
      <c r="P5176" s="1" t="s">
        <v>401</v>
      </c>
      <c r="Q5176" s="63" t="s">
        <v>17936</v>
      </c>
      <c r="R5176" s="1" t="s">
        <v>100</v>
      </c>
      <c r="S5176" s="13" t="s">
        <v>28</v>
      </c>
      <c r="AM5176" s="44"/>
      <c r="AN5176" s="44"/>
      <c r="AO5176" s="44"/>
      <c r="AP5176" s="44"/>
      <c r="AQ5176" s="44"/>
      <c r="AR5176" s="44"/>
      <c r="AS5176" s="44"/>
      <c r="AT5176" s="44"/>
    </row>
    <row r="5177" spans="1:62" ht="12" customHeight="1" x14ac:dyDescent="0.15">
      <c r="A5177" s="1" t="s">
        <v>17943</v>
      </c>
      <c r="B5177" s="1">
        <v>89</v>
      </c>
      <c r="C5177" s="1" t="s">
        <v>114</v>
      </c>
      <c r="D5177" s="1" t="s">
        <v>37</v>
      </c>
      <c r="F5177" s="72">
        <v>41324</v>
      </c>
      <c r="G5177" s="1" t="s">
        <v>17944</v>
      </c>
      <c r="H5177" s="1" t="s">
        <v>17945</v>
      </c>
      <c r="I5177" s="1" t="s">
        <v>404</v>
      </c>
      <c r="J5177" s="4" t="s">
        <v>17946</v>
      </c>
      <c r="K5177" s="1" t="s">
        <v>17248</v>
      </c>
      <c r="L5177" s="1" t="s">
        <v>17947</v>
      </c>
      <c r="M5177" s="1" t="s">
        <v>27</v>
      </c>
      <c r="N5177" s="1" t="s">
        <v>17948</v>
      </c>
      <c r="O5177" s="1" t="s">
        <v>550</v>
      </c>
      <c r="P5177" s="1" t="s">
        <v>401</v>
      </c>
      <c r="Q5177" s="6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5177" s="1" t="s">
        <v>100</v>
      </c>
      <c r="S5177" s="13" t="s">
        <v>28</v>
      </c>
      <c r="AM5177" s="44"/>
      <c r="AN5177" s="44"/>
      <c r="AO5177" s="44"/>
      <c r="AP5177" s="44"/>
      <c r="AQ5177" s="44"/>
      <c r="AR5177" s="44"/>
      <c r="AS5177" s="44"/>
      <c r="AT5177" s="44"/>
      <c r="AX5177" s="44"/>
      <c r="AY5177" s="44"/>
      <c r="AZ5177" s="44"/>
    </row>
    <row r="5178" spans="1:62" ht="12" customHeight="1" x14ac:dyDescent="0.15">
      <c r="A5178" s="1" t="s">
        <v>17937</v>
      </c>
      <c r="B5178" s="1">
        <v>25</v>
      </c>
      <c r="C5178" s="1" t="s">
        <v>20</v>
      </c>
      <c r="D5178" s="1" t="s">
        <v>37</v>
      </c>
      <c r="E5178" s="1" t="s">
        <v>17938</v>
      </c>
      <c r="F5178" s="72">
        <v>41324</v>
      </c>
      <c r="G5178" s="1" t="s">
        <v>17939</v>
      </c>
      <c r="H5178" s="1" t="s">
        <v>4417</v>
      </c>
      <c r="I5178" s="1" t="s">
        <v>330</v>
      </c>
      <c r="J5178" s="4" t="s">
        <v>17940</v>
      </c>
      <c r="K5178" s="1" t="s">
        <v>4417</v>
      </c>
      <c r="L5178" s="1" t="s">
        <v>4419</v>
      </c>
      <c r="M5178" s="1" t="s">
        <v>27</v>
      </c>
      <c r="N5178" s="1" t="s">
        <v>17941</v>
      </c>
      <c r="O5178" s="1" t="s">
        <v>550</v>
      </c>
      <c r="P5178" s="1" t="s">
        <v>401</v>
      </c>
      <c r="Q5178" s="63" t="s">
        <v>17942</v>
      </c>
      <c r="R5178" s="1" t="s">
        <v>29</v>
      </c>
      <c r="S5178" s="13" t="s">
        <v>28</v>
      </c>
      <c r="AM5178" s="44"/>
      <c r="AN5178" s="44"/>
      <c r="AO5178" s="44"/>
      <c r="AP5178" s="44"/>
      <c r="AQ5178" s="44"/>
      <c r="AR5178" s="44"/>
      <c r="AS5178" s="44"/>
      <c r="AT5178" s="44"/>
      <c r="AX5178" s="44"/>
      <c r="AY5178" s="44"/>
      <c r="AZ5178" s="44"/>
    </row>
    <row r="5179" spans="1:62" ht="12" customHeight="1" x14ac:dyDescent="0.15">
      <c r="A5179" s="1" t="s">
        <v>17949</v>
      </c>
      <c r="B5179" s="1">
        <v>30</v>
      </c>
      <c r="C5179" s="1" t="s">
        <v>20</v>
      </c>
      <c r="D5179" s="1" t="s">
        <v>85</v>
      </c>
      <c r="E5179" s="1" t="s">
        <v>17950</v>
      </c>
      <c r="F5179" s="72">
        <v>41323</v>
      </c>
      <c r="G5179" s="1" t="s">
        <v>24667</v>
      </c>
      <c r="H5179" s="1" t="s">
        <v>339</v>
      </c>
      <c r="I5179" s="1" t="s">
        <v>244</v>
      </c>
      <c r="J5179" s="4" t="s">
        <v>17951</v>
      </c>
      <c r="K5179" s="1" t="s">
        <v>16562</v>
      </c>
      <c r="L5179" s="1" t="s">
        <v>17952</v>
      </c>
      <c r="M5179" s="1" t="s">
        <v>27</v>
      </c>
      <c r="N5179" s="1" t="s">
        <v>17953</v>
      </c>
      <c r="O5179" s="1" t="s">
        <v>550</v>
      </c>
      <c r="P5179" s="1" t="s">
        <v>401</v>
      </c>
      <c r="Q5179" s="63" t="s">
        <v>17954</v>
      </c>
      <c r="R5179" s="1" t="s">
        <v>100</v>
      </c>
      <c r="S5179" s="13" t="s">
        <v>28</v>
      </c>
      <c r="AM5179" s="44"/>
      <c r="AN5179" s="44"/>
      <c r="AO5179" s="44"/>
      <c r="AP5179" s="44"/>
      <c r="AQ5179" s="44"/>
      <c r="AR5179" s="44"/>
      <c r="AS5179" s="44"/>
      <c r="AT5179" s="44"/>
      <c r="AX5179" s="44"/>
      <c r="AY5179" s="44"/>
      <c r="BC5179" s="44"/>
      <c r="BD5179" s="44"/>
      <c r="BE5179" s="44"/>
      <c r="BF5179" s="44"/>
      <c r="BG5179" s="44"/>
      <c r="BH5179" s="44"/>
      <c r="BI5179" s="44"/>
      <c r="BJ5179" s="44"/>
    </row>
    <row r="5180" spans="1:62" ht="12" customHeight="1" x14ac:dyDescent="0.15">
      <c r="A5180" s="1" t="s">
        <v>17955</v>
      </c>
      <c r="B5180" s="1">
        <v>31</v>
      </c>
      <c r="C5180" s="1" t="s">
        <v>20</v>
      </c>
      <c r="D5180" s="1" t="s">
        <v>37</v>
      </c>
      <c r="E5180" s="1" t="s">
        <v>17956</v>
      </c>
      <c r="F5180" s="72">
        <v>41323</v>
      </c>
      <c r="G5180" s="1" t="s">
        <v>24668</v>
      </c>
      <c r="H5180" s="1" t="s">
        <v>16422</v>
      </c>
      <c r="I5180" s="1" t="s">
        <v>57</v>
      </c>
      <c r="J5180" s="4" t="s">
        <v>17957</v>
      </c>
      <c r="K5180" s="1" t="s">
        <v>4078</v>
      </c>
      <c r="L5180" s="1" t="s">
        <v>17958</v>
      </c>
      <c r="M5180" s="1" t="s">
        <v>27</v>
      </c>
      <c r="N5180" s="1" t="s">
        <v>17959</v>
      </c>
      <c r="O5180" s="1" t="s">
        <v>550</v>
      </c>
      <c r="P5180" s="1" t="s">
        <v>401</v>
      </c>
      <c r="Q5180" s="63" t="s">
        <v>17960</v>
      </c>
      <c r="R5180" s="1" t="s">
        <v>29</v>
      </c>
      <c r="S5180" s="13" t="s">
        <v>28</v>
      </c>
      <c r="AM5180" s="44"/>
      <c r="AN5180" s="44"/>
      <c r="AO5180" s="44"/>
      <c r="AP5180" s="44"/>
      <c r="AQ5180" s="44"/>
      <c r="AR5180" s="44"/>
      <c r="AS5180" s="44"/>
      <c r="AT5180" s="44"/>
      <c r="AX5180" s="44"/>
      <c r="AY5180" s="44"/>
      <c r="AZ5180" s="44"/>
    </row>
    <row r="5181" spans="1:62" ht="12" customHeight="1" x14ac:dyDescent="0.15">
      <c r="A5181" s="1" t="s">
        <v>17961</v>
      </c>
      <c r="B5181" s="1">
        <v>35</v>
      </c>
      <c r="C5181" s="1" t="s">
        <v>20</v>
      </c>
      <c r="D5181" s="1" t="s">
        <v>37</v>
      </c>
      <c r="E5181" s="1" t="s">
        <v>17962</v>
      </c>
      <c r="F5181" s="72">
        <v>41323</v>
      </c>
      <c r="G5181" s="1" t="s">
        <v>24669</v>
      </c>
      <c r="H5181" s="1" t="s">
        <v>1642</v>
      </c>
      <c r="I5181" s="1" t="s">
        <v>45</v>
      </c>
      <c r="J5181" s="4" t="s">
        <v>17963</v>
      </c>
      <c r="K5181" s="1" t="s">
        <v>1642</v>
      </c>
      <c r="L5181" s="1" t="s">
        <v>17964</v>
      </c>
      <c r="M5181" s="1" t="s">
        <v>27</v>
      </c>
      <c r="N5181" s="1" t="s">
        <v>17965</v>
      </c>
      <c r="O5181" s="1" t="s">
        <v>1010</v>
      </c>
      <c r="P5181" s="1" t="s">
        <v>401</v>
      </c>
      <c r="Q5181" s="63" t="s">
        <v>17966</v>
      </c>
      <c r="R5181" s="1" t="s">
        <v>555</v>
      </c>
      <c r="S5181" s="13" t="s">
        <v>28</v>
      </c>
      <c r="AM5181" s="44"/>
      <c r="AN5181" s="44"/>
      <c r="AO5181" s="44"/>
      <c r="AP5181" s="44"/>
      <c r="AQ5181" s="44"/>
      <c r="AR5181" s="44"/>
      <c r="AS5181" s="44"/>
      <c r="AT5181" s="44"/>
      <c r="AX5181" s="44"/>
      <c r="AY5181" s="44"/>
      <c r="AZ5181" s="44"/>
    </row>
    <row r="5182" spans="1:62" ht="12" customHeight="1" x14ac:dyDescent="0.15">
      <c r="A5182" s="1" t="s">
        <v>17967</v>
      </c>
      <c r="B5182" s="1">
        <v>50</v>
      </c>
      <c r="C5182" s="1" t="s">
        <v>20</v>
      </c>
      <c r="D5182" s="1" t="s">
        <v>37</v>
      </c>
      <c r="E5182" s="1" t="s">
        <v>17968</v>
      </c>
      <c r="F5182" s="72">
        <v>41322</v>
      </c>
      <c r="G5182" s="1" t="s">
        <v>17969</v>
      </c>
      <c r="H5182" s="1" t="s">
        <v>1561</v>
      </c>
      <c r="I5182" s="1" t="s">
        <v>117</v>
      </c>
      <c r="J5182" s="4" t="s">
        <v>17970</v>
      </c>
      <c r="K5182" s="1" t="s">
        <v>1563</v>
      </c>
      <c r="L5182" s="1" t="s">
        <v>17750</v>
      </c>
      <c r="M5182" s="1" t="s">
        <v>27</v>
      </c>
      <c r="N5182" s="1" t="s">
        <v>17971</v>
      </c>
      <c r="O5182" s="1" t="s">
        <v>13616</v>
      </c>
      <c r="P5182" s="1" t="s">
        <v>401</v>
      </c>
      <c r="Q5182" s="63" t="s">
        <v>17972</v>
      </c>
      <c r="R5182" s="1" t="s">
        <v>29</v>
      </c>
      <c r="S5182" s="13" t="s">
        <v>28</v>
      </c>
      <c r="AM5182" s="44"/>
      <c r="AN5182" s="44"/>
      <c r="AO5182" s="44"/>
      <c r="AP5182" s="44"/>
      <c r="AQ5182" s="44"/>
      <c r="AR5182" s="44"/>
      <c r="AS5182" s="44"/>
      <c r="AT5182" s="44"/>
      <c r="AX5182" s="44"/>
      <c r="AY5182" s="44"/>
      <c r="AZ5182" s="44"/>
    </row>
    <row r="5183" spans="1:62" ht="12" customHeight="1" x14ac:dyDescent="0.15">
      <c r="A5183" s="1" t="s">
        <v>17982</v>
      </c>
      <c r="B5183" s="1">
        <v>42</v>
      </c>
      <c r="C5183" s="1" t="s">
        <v>20</v>
      </c>
      <c r="D5183" s="1" t="s">
        <v>48</v>
      </c>
      <c r="E5183" s="1" t="s">
        <v>17983</v>
      </c>
      <c r="F5183" s="72">
        <v>41321</v>
      </c>
      <c r="G5183" s="1" t="s">
        <v>24670</v>
      </c>
      <c r="H5183" s="1" t="s">
        <v>10392</v>
      </c>
      <c r="I5183" s="1" t="s">
        <v>73</v>
      </c>
      <c r="J5183" s="4" t="s">
        <v>10393</v>
      </c>
      <c r="K5183" s="1" t="s">
        <v>74</v>
      </c>
      <c r="L5183" s="1" t="s">
        <v>4164</v>
      </c>
      <c r="M5183" s="1" t="s">
        <v>27</v>
      </c>
      <c r="N5183" s="1" t="s">
        <v>17984</v>
      </c>
      <c r="O5183" s="1" t="s">
        <v>550</v>
      </c>
      <c r="P5183" s="1" t="s">
        <v>401</v>
      </c>
      <c r="Q5183" s="63" t="s">
        <v>17985</v>
      </c>
      <c r="R5183" s="1" t="s">
        <v>100</v>
      </c>
      <c r="S5183" s="13" t="s">
        <v>28</v>
      </c>
      <c r="AM5183" s="44"/>
      <c r="AN5183" s="44"/>
      <c r="AO5183" s="44"/>
      <c r="AP5183" s="44"/>
      <c r="AQ5183" s="44"/>
      <c r="AR5183" s="44"/>
      <c r="AS5183" s="44"/>
      <c r="AT5183" s="44"/>
    </row>
    <row r="5184" spans="1:62" ht="12" customHeight="1" x14ac:dyDescent="0.15">
      <c r="A5184" s="1" t="s">
        <v>17992</v>
      </c>
      <c r="B5184" s="1">
        <v>63</v>
      </c>
      <c r="C5184" s="1" t="s">
        <v>20</v>
      </c>
      <c r="D5184" s="1" t="s">
        <v>30</v>
      </c>
      <c r="F5184" s="72">
        <v>41321</v>
      </c>
      <c r="G5184" s="1" t="s">
        <v>17993</v>
      </c>
      <c r="H5184" s="1" t="s">
        <v>2196</v>
      </c>
      <c r="I5184" s="1" t="s">
        <v>62</v>
      </c>
      <c r="J5184" s="4" t="s">
        <v>17994</v>
      </c>
      <c r="K5184" s="1" t="s">
        <v>1123</v>
      </c>
      <c r="L5184" s="1" t="s">
        <v>17995</v>
      </c>
      <c r="M5184" s="1" t="s">
        <v>379</v>
      </c>
      <c r="N5184" s="1" t="s">
        <v>17996</v>
      </c>
      <c r="O5184" s="1" t="s">
        <v>1010</v>
      </c>
      <c r="P5184" s="1" t="s">
        <v>401</v>
      </c>
      <c r="Q5184" s="63" t="s">
        <v>17997</v>
      </c>
      <c r="R5184" s="1" t="s">
        <v>100</v>
      </c>
      <c r="S5184" s="13" t="s">
        <v>28</v>
      </c>
      <c r="AM5184" s="44"/>
      <c r="AN5184" s="44"/>
      <c r="AO5184" s="44"/>
      <c r="AP5184" s="44"/>
      <c r="AQ5184" s="44"/>
      <c r="AR5184" s="44"/>
      <c r="AS5184" s="44"/>
      <c r="AT5184" s="44"/>
    </row>
    <row r="5185" spans="1:62" ht="12" customHeight="1" x14ac:dyDescent="0.15">
      <c r="A5185" s="1" t="s">
        <v>17973</v>
      </c>
      <c r="B5185" s="1">
        <v>30</v>
      </c>
      <c r="C5185" s="1" t="s">
        <v>20</v>
      </c>
      <c r="D5185" s="1" t="s">
        <v>85</v>
      </c>
      <c r="E5185" s="1" t="s">
        <v>17974</v>
      </c>
      <c r="F5185" s="72">
        <v>41321</v>
      </c>
      <c r="G5185" s="1" t="s">
        <v>17975</v>
      </c>
      <c r="H5185" s="1" t="s">
        <v>17976</v>
      </c>
      <c r="I5185" s="1" t="s">
        <v>423</v>
      </c>
      <c r="J5185" s="4" t="s">
        <v>17977</v>
      </c>
      <c r="K5185" s="1" t="s">
        <v>17978</v>
      </c>
      <c r="L5185" s="1" t="s">
        <v>17979</v>
      </c>
      <c r="M5185" s="1" t="s">
        <v>391</v>
      </c>
      <c r="N5185" s="1" t="s">
        <v>17980</v>
      </c>
      <c r="O5185" s="1" t="s">
        <v>1010</v>
      </c>
      <c r="P5185" s="1" t="s">
        <v>401</v>
      </c>
      <c r="Q5185" s="63" t="s">
        <v>17981</v>
      </c>
      <c r="R5185" s="1" t="s">
        <v>100</v>
      </c>
      <c r="S5185" s="13" t="s">
        <v>18</v>
      </c>
      <c r="AM5185" s="44"/>
      <c r="AN5185" s="44"/>
      <c r="AO5185" s="44"/>
      <c r="AP5185" s="44"/>
      <c r="AQ5185" s="44"/>
      <c r="AR5185" s="44"/>
      <c r="AS5185" s="44"/>
      <c r="AT5185" s="44"/>
      <c r="AU5185" s="11"/>
      <c r="AV5185" s="11"/>
      <c r="AW5185" s="11"/>
      <c r="AX5185" s="44"/>
      <c r="AY5185" s="44"/>
      <c r="BC5185" s="44"/>
      <c r="BD5185" s="44"/>
      <c r="BE5185" s="44"/>
      <c r="BF5185" s="44"/>
      <c r="BG5185" s="44"/>
      <c r="BH5185" s="44"/>
      <c r="BI5185" s="44"/>
      <c r="BJ5185" s="44"/>
    </row>
    <row r="5186" spans="1:62" ht="12" customHeight="1" x14ac:dyDescent="0.15">
      <c r="A5186" s="1" t="s">
        <v>17986</v>
      </c>
      <c r="B5186" s="1">
        <v>29</v>
      </c>
      <c r="C5186" s="1" t="s">
        <v>20</v>
      </c>
      <c r="D5186" s="1" t="s">
        <v>48</v>
      </c>
      <c r="E5186" s="1" t="s">
        <v>17987</v>
      </c>
      <c r="F5186" s="72">
        <v>41321</v>
      </c>
      <c r="G5186" s="1" t="s">
        <v>17988</v>
      </c>
      <c r="H5186" s="1" t="s">
        <v>2487</v>
      </c>
      <c r="I5186" s="1" t="s">
        <v>395</v>
      </c>
      <c r="J5186" s="4" t="s">
        <v>17989</v>
      </c>
      <c r="K5186" s="1" t="s">
        <v>2487</v>
      </c>
      <c r="L5186" s="1" t="s">
        <v>3379</v>
      </c>
      <c r="M5186" s="1" t="s">
        <v>27</v>
      </c>
      <c r="N5186" s="1" t="s">
        <v>17990</v>
      </c>
      <c r="O5186" s="1" t="s">
        <v>550</v>
      </c>
      <c r="P5186" s="1" t="s">
        <v>401</v>
      </c>
      <c r="Q5186" s="63" t="s">
        <v>17991</v>
      </c>
      <c r="R5186" s="1" t="s">
        <v>555</v>
      </c>
      <c r="S5186" s="13" t="s">
        <v>18</v>
      </c>
      <c r="AM5186" s="44"/>
      <c r="AN5186" s="44"/>
      <c r="AO5186" s="44"/>
      <c r="AP5186" s="44"/>
      <c r="AQ5186" s="44"/>
      <c r="AR5186" s="44"/>
      <c r="AS5186" s="44"/>
      <c r="AT5186" s="44"/>
      <c r="BA5186" s="11"/>
      <c r="BB5186" s="11"/>
    </row>
    <row r="5187" spans="1:62" ht="12" customHeight="1" x14ac:dyDescent="0.15">
      <c r="A5187" s="1" t="s">
        <v>17998</v>
      </c>
      <c r="B5187" s="1">
        <v>25</v>
      </c>
      <c r="C5187" s="1" t="s">
        <v>20</v>
      </c>
      <c r="D5187" s="1" t="s">
        <v>30</v>
      </c>
      <c r="F5187" s="72">
        <v>41320</v>
      </c>
      <c r="G5187" s="1" t="s">
        <v>24671</v>
      </c>
      <c r="H5187" s="1" t="s">
        <v>17999</v>
      </c>
      <c r="I5187" s="1" t="s">
        <v>45</v>
      </c>
      <c r="J5187" s="4" t="s">
        <v>18000</v>
      </c>
      <c r="K5187" s="1" t="s">
        <v>98</v>
      </c>
      <c r="L5187" s="1" t="s">
        <v>18001</v>
      </c>
      <c r="M5187" s="1" t="s">
        <v>27</v>
      </c>
      <c r="N5187" s="1" t="s">
        <v>18002</v>
      </c>
      <c r="O5187" s="1" t="s">
        <v>1010</v>
      </c>
      <c r="P5187" s="1" t="s">
        <v>401</v>
      </c>
      <c r="Q5187" s="63" t="s">
        <v>18003</v>
      </c>
      <c r="R5187" s="1" t="s">
        <v>100</v>
      </c>
      <c r="S5187" s="13" t="s">
        <v>28</v>
      </c>
      <c r="AM5187" s="44"/>
      <c r="AN5187" s="44"/>
      <c r="AO5187" s="44"/>
      <c r="AP5187" s="44"/>
      <c r="AQ5187" s="44"/>
      <c r="AR5187" s="44"/>
      <c r="AS5187" s="44"/>
      <c r="AT5187" s="44"/>
    </row>
    <row r="5188" spans="1:62" ht="12" customHeight="1" x14ac:dyDescent="0.15">
      <c r="A5188" s="1" t="s">
        <v>18004</v>
      </c>
      <c r="B5188" s="1">
        <v>23</v>
      </c>
      <c r="C5188" s="1" t="s">
        <v>20</v>
      </c>
      <c r="D5188" s="1" t="s">
        <v>48</v>
      </c>
      <c r="E5188" s="1" t="s">
        <v>18005</v>
      </c>
      <c r="F5188" s="72">
        <v>41319</v>
      </c>
      <c r="G5188" s="1" t="s">
        <v>18006</v>
      </c>
      <c r="H5188" s="1" t="s">
        <v>6305</v>
      </c>
      <c r="I5188" s="1" t="s">
        <v>45</v>
      </c>
      <c r="J5188" s="4" t="s">
        <v>6306</v>
      </c>
      <c r="K5188" s="1" t="s">
        <v>783</v>
      </c>
      <c r="L5188" s="1" t="s">
        <v>6307</v>
      </c>
      <c r="M5188" s="1" t="s">
        <v>27</v>
      </c>
      <c r="N5188" s="1" t="s">
        <v>18007</v>
      </c>
      <c r="O5188" s="1" t="s">
        <v>550</v>
      </c>
      <c r="P5188" s="1" t="s">
        <v>401</v>
      </c>
      <c r="Q5188" s="63" t="s">
        <v>18008</v>
      </c>
      <c r="R5188" s="1" t="s">
        <v>100</v>
      </c>
      <c r="S5188" s="13" t="s">
        <v>28</v>
      </c>
      <c r="AM5188" s="44"/>
      <c r="AN5188" s="44"/>
      <c r="AO5188" s="44"/>
      <c r="AP5188" s="44"/>
      <c r="AQ5188" s="44"/>
      <c r="AR5188" s="44"/>
      <c r="AS5188" s="44"/>
      <c r="AT5188" s="44"/>
    </row>
    <row r="5189" spans="1:62" ht="12" customHeight="1" x14ac:dyDescent="0.15">
      <c r="A5189" s="1" t="s">
        <v>3252</v>
      </c>
      <c r="B5189" s="1">
        <v>34</v>
      </c>
      <c r="C5189" s="1" t="s">
        <v>20</v>
      </c>
      <c r="D5189" s="1" t="s">
        <v>85</v>
      </c>
      <c r="F5189" s="72">
        <v>41318</v>
      </c>
      <c r="G5189" s="1" t="s">
        <v>18015</v>
      </c>
      <c r="H5189" s="1" t="s">
        <v>723</v>
      </c>
      <c r="I5189" s="1" t="s">
        <v>73</v>
      </c>
      <c r="J5189" s="4" t="s">
        <v>18016</v>
      </c>
      <c r="K5189" s="1" t="s">
        <v>558</v>
      </c>
      <c r="L5189" s="1" t="s">
        <v>724</v>
      </c>
      <c r="M5189" s="1" t="s">
        <v>27</v>
      </c>
      <c r="N5189" s="1" t="s">
        <v>18017</v>
      </c>
      <c r="O5189" s="1" t="s">
        <v>29</v>
      </c>
      <c r="P5189" s="1" t="s">
        <v>401</v>
      </c>
      <c r="Q5189" s="6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5189" s="1" t="s">
        <v>100</v>
      </c>
      <c r="S5189" s="13" t="s">
        <v>28</v>
      </c>
      <c r="AM5189" s="44"/>
      <c r="AN5189" s="44"/>
      <c r="AO5189" s="44"/>
      <c r="AP5189" s="44"/>
      <c r="AQ5189" s="44"/>
      <c r="AR5189" s="44"/>
      <c r="AS5189" s="44"/>
      <c r="AT5189" s="44"/>
      <c r="AX5189" s="44"/>
      <c r="AY5189" s="44"/>
      <c r="BC5189" s="44"/>
      <c r="BD5189" s="44"/>
      <c r="BE5189" s="44"/>
      <c r="BF5189" s="44"/>
      <c r="BG5189" s="44"/>
      <c r="BH5189" s="44"/>
      <c r="BI5189" s="44"/>
      <c r="BJ5189" s="44"/>
    </row>
    <row r="5190" spans="1:62" ht="12" customHeight="1" x14ac:dyDescent="0.2">
      <c r="A5190" s="1" t="s">
        <v>18009</v>
      </c>
      <c r="B5190" s="1">
        <v>41</v>
      </c>
      <c r="C5190" s="1" t="s">
        <v>114</v>
      </c>
      <c r="D5190" s="1" t="s">
        <v>85</v>
      </c>
      <c r="E5190" s="1" t="s">
        <v>18010</v>
      </c>
      <c r="F5190" s="72">
        <v>41318</v>
      </c>
      <c r="G5190" s="1" t="s">
        <v>18011</v>
      </c>
      <c r="H5190" s="1" t="s">
        <v>5329</v>
      </c>
      <c r="I5190" s="1" t="s">
        <v>45</v>
      </c>
      <c r="J5190" s="4" t="s">
        <v>18012</v>
      </c>
      <c r="K5190" s="1" t="s">
        <v>602</v>
      </c>
      <c r="L5190" s="1" t="s">
        <v>5330</v>
      </c>
      <c r="M5190" s="1" t="s">
        <v>12821</v>
      </c>
      <c r="N5190" s="1" t="s">
        <v>18013</v>
      </c>
      <c r="O5190" s="1" t="s">
        <v>3381</v>
      </c>
      <c r="P5190" s="1" t="s">
        <v>401</v>
      </c>
      <c r="Q5190" s="63" t="s">
        <v>18014</v>
      </c>
      <c r="R5190" s="1" t="s">
        <v>555</v>
      </c>
      <c r="S5190" s="13" t="s">
        <v>18</v>
      </c>
      <c r="AM5190" s="44"/>
      <c r="AN5190" s="44"/>
      <c r="AO5190" s="44"/>
      <c r="AP5190" s="44"/>
      <c r="AQ5190" s="44"/>
      <c r="AR5190" s="44"/>
      <c r="AS5190" s="44"/>
      <c r="AT5190" s="44"/>
      <c r="AU5190" s="70"/>
      <c r="AV5190" s="70"/>
      <c r="AW5190" s="70"/>
      <c r="AX5190" s="44"/>
      <c r="AY5190" s="44"/>
      <c r="BA5190" s="11"/>
      <c r="BB5190" s="11"/>
      <c r="BC5190" s="44"/>
      <c r="BD5190" s="44"/>
      <c r="BE5190" s="44"/>
      <c r="BF5190" s="44"/>
      <c r="BG5190" s="44"/>
      <c r="BH5190" s="44"/>
      <c r="BI5190" s="44"/>
      <c r="BJ5190" s="44"/>
    </row>
    <row r="5191" spans="1:62" ht="12" customHeight="1" x14ac:dyDescent="0.15">
      <c r="A5191" s="1" t="s">
        <v>18018</v>
      </c>
      <c r="B5191" s="1">
        <v>18</v>
      </c>
      <c r="C5191" s="1" t="s">
        <v>20</v>
      </c>
      <c r="D5191" s="1" t="s">
        <v>85</v>
      </c>
      <c r="E5191" s="1" t="s">
        <v>18019</v>
      </c>
      <c r="F5191" s="72">
        <v>41317</v>
      </c>
      <c r="G5191" s="1" t="s">
        <v>18020</v>
      </c>
      <c r="H5191" s="1" t="s">
        <v>18021</v>
      </c>
      <c r="I5191" s="1" t="s">
        <v>57</v>
      </c>
      <c r="J5191" s="4" t="s">
        <v>18022</v>
      </c>
      <c r="K5191" s="1" t="s">
        <v>1128</v>
      </c>
      <c r="L5191" s="1" t="s">
        <v>27614</v>
      </c>
      <c r="M5191" s="1" t="s">
        <v>27</v>
      </c>
      <c r="N5191" s="1" t="s">
        <v>18023</v>
      </c>
      <c r="O5191" s="1" t="s">
        <v>1010</v>
      </c>
      <c r="P5191" s="1" t="s">
        <v>401</v>
      </c>
      <c r="Q5191" s="63" t="s">
        <v>18024</v>
      </c>
      <c r="R5191" s="1" t="s">
        <v>100</v>
      </c>
      <c r="S5191" s="13" t="s">
        <v>28</v>
      </c>
      <c r="AM5191" s="44"/>
      <c r="AN5191" s="44"/>
      <c r="AO5191" s="44"/>
      <c r="AP5191" s="44"/>
      <c r="AQ5191" s="44"/>
      <c r="AR5191" s="44"/>
      <c r="AS5191" s="44"/>
      <c r="AT5191" s="44"/>
      <c r="AX5191" s="44"/>
      <c r="AY5191" s="44"/>
      <c r="BC5191" s="44"/>
      <c r="BD5191" s="44"/>
      <c r="BE5191" s="44"/>
      <c r="BF5191" s="44"/>
      <c r="BG5191" s="44"/>
      <c r="BH5191" s="44"/>
      <c r="BI5191" s="44"/>
      <c r="BJ5191" s="44"/>
    </row>
    <row r="5192" spans="1:62" ht="12" customHeight="1" x14ac:dyDescent="0.15">
      <c r="A5192" s="1" t="s">
        <v>18025</v>
      </c>
      <c r="B5192" s="1">
        <v>32</v>
      </c>
      <c r="C5192" s="1" t="s">
        <v>20</v>
      </c>
      <c r="D5192" s="1" t="s">
        <v>85</v>
      </c>
      <c r="F5192" s="72">
        <v>41317</v>
      </c>
      <c r="G5192" s="1" t="s">
        <v>18026</v>
      </c>
      <c r="H5192" s="1" t="s">
        <v>3592</v>
      </c>
      <c r="I5192" s="1" t="s">
        <v>133</v>
      </c>
      <c r="J5192" s="4" t="s">
        <v>18027</v>
      </c>
      <c r="K5192" s="1" t="s">
        <v>3594</v>
      </c>
      <c r="L5192" s="1" t="s">
        <v>4914</v>
      </c>
      <c r="M5192" s="1" t="s">
        <v>27</v>
      </c>
      <c r="N5192" s="1" t="s">
        <v>18028</v>
      </c>
      <c r="O5192" s="1" t="s">
        <v>550</v>
      </c>
      <c r="P5192" s="1" t="s">
        <v>401</v>
      </c>
      <c r="Q5192" s="63" t="s">
        <v>18029</v>
      </c>
      <c r="R5192" s="1" t="s">
        <v>100</v>
      </c>
      <c r="S5192" s="13" t="s">
        <v>28</v>
      </c>
      <c r="AM5192" s="44"/>
      <c r="AN5192" s="44"/>
      <c r="AO5192" s="44"/>
      <c r="AP5192" s="44"/>
      <c r="AQ5192" s="44"/>
      <c r="AR5192" s="44"/>
      <c r="AS5192" s="44"/>
      <c r="AT5192" s="44"/>
      <c r="AX5192" s="44"/>
      <c r="AY5192" s="44"/>
      <c r="BC5192" s="44"/>
      <c r="BD5192" s="44"/>
      <c r="BE5192" s="44"/>
      <c r="BF5192" s="44"/>
      <c r="BG5192" s="44"/>
      <c r="BH5192" s="44"/>
      <c r="BI5192" s="44"/>
      <c r="BJ5192" s="44"/>
    </row>
    <row r="5193" spans="1:62" ht="12" customHeight="1" x14ac:dyDescent="0.15">
      <c r="A5193" s="1" t="s">
        <v>18035</v>
      </c>
      <c r="B5193" s="1">
        <v>29</v>
      </c>
      <c r="C5193" s="1" t="s">
        <v>20</v>
      </c>
      <c r="D5193" s="1" t="s">
        <v>37</v>
      </c>
      <c r="E5193" s="1" t="s">
        <v>18036</v>
      </c>
      <c r="F5193" s="72">
        <v>41316</v>
      </c>
      <c r="G5193" s="1" t="s">
        <v>24672</v>
      </c>
      <c r="H5193" s="1" t="s">
        <v>18037</v>
      </c>
      <c r="I5193" s="1" t="s">
        <v>45</v>
      </c>
      <c r="J5193" s="4" t="s">
        <v>18038</v>
      </c>
      <c r="K5193" s="1" t="s">
        <v>783</v>
      </c>
      <c r="L5193" s="1" t="s">
        <v>18039</v>
      </c>
      <c r="M5193" s="1" t="s">
        <v>27</v>
      </c>
      <c r="N5193" s="1" t="s">
        <v>18040</v>
      </c>
      <c r="O5193" s="1" t="s">
        <v>550</v>
      </c>
      <c r="P5193" s="1" t="s">
        <v>401</v>
      </c>
      <c r="Q5193" s="63" t="s">
        <v>18041</v>
      </c>
      <c r="R5193" s="1" t="s">
        <v>100</v>
      </c>
      <c r="S5193" s="13" t="s">
        <v>28</v>
      </c>
      <c r="AM5193" s="44"/>
      <c r="AN5193" s="44"/>
      <c r="AO5193" s="44"/>
      <c r="AP5193" s="44"/>
      <c r="AQ5193" s="44"/>
      <c r="AR5193" s="44"/>
      <c r="AS5193" s="44"/>
      <c r="AT5193" s="44"/>
      <c r="AX5193" s="44"/>
      <c r="AY5193" s="44"/>
      <c r="AZ5193" s="44"/>
    </row>
    <row r="5194" spans="1:62" ht="12" customHeight="1" x14ac:dyDescent="0.15">
      <c r="A5194" s="1" t="s">
        <v>18030</v>
      </c>
      <c r="B5194" s="1">
        <v>32</v>
      </c>
      <c r="C5194" s="1" t="s">
        <v>20</v>
      </c>
      <c r="D5194" s="1" t="s">
        <v>37</v>
      </c>
      <c r="E5194" s="1" t="s">
        <v>18031</v>
      </c>
      <c r="F5194" s="72">
        <v>41316</v>
      </c>
      <c r="G5194" s="1" t="s">
        <v>18032</v>
      </c>
      <c r="H5194" s="1" t="s">
        <v>4573</v>
      </c>
      <c r="I5194" s="1" t="s">
        <v>854</v>
      </c>
      <c r="J5194" s="4" t="s">
        <v>4574</v>
      </c>
      <c r="K5194" s="1" t="s">
        <v>4575</v>
      </c>
      <c r="L5194" s="1" t="s">
        <v>10448</v>
      </c>
      <c r="M5194" s="1" t="s">
        <v>27</v>
      </c>
      <c r="N5194" s="1" t="s">
        <v>18033</v>
      </c>
      <c r="O5194" s="1" t="s">
        <v>550</v>
      </c>
      <c r="P5194" s="1" t="s">
        <v>401</v>
      </c>
      <c r="Q5194" s="63" t="s">
        <v>18034</v>
      </c>
      <c r="R5194" s="1" t="s">
        <v>100</v>
      </c>
      <c r="S5194" s="13" t="s">
        <v>18</v>
      </c>
      <c r="AM5194" s="44"/>
      <c r="AN5194" s="44"/>
      <c r="AO5194" s="44"/>
      <c r="AP5194" s="44"/>
      <c r="AQ5194" s="44"/>
      <c r="AR5194" s="44"/>
      <c r="AS5194" s="44"/>
      <c r="AT5194" s="44"/>
      <c r="AX5194" s="44"/>
      <c r="AY5194" s="44"/>
      <c r="AZ5194" s="44"/>
    </row>
    <row r="5195" spans="1:62" ht="12" customHeight="1" x14ac:dyDescent="0.2">
      <c r="A5195" s="66" t="s">
        <v>30730</v>
      </c>
      <c r="B5195" s="66">
        <v>35</v>
      </c>
      <c r="C5195" s="66" t="s">
        <v>20</v>
      </c>
      <c r="D5195" s="66" t="s">
        <v>37</v>
      </c>
      <c r="E5195" s="66" t="s">
        <v>30731</v>
      </c>
      <c r="F5195" s="69">
        <v>41316</v>
      </c>
      <c r="G5195" s="66" t="s">
        <v>30732</v>
      </c>
      <c r="H5195" s="66" t="s">
        <v>30733</v>
      </c>
      <c r="I5195" s="66" t="s">
        <v>32</v>
      </c>
      <c r="J5195" s="66" t="s">
        <v>30734</v>
      </c>
      <c r="K5195" s="66" t="s">
        <v>252</v>
      </c>
      <c r="L5195" s="66" t="s">
        <v>30735</v>
      </c>
      <c r="M5195" s="66" t="s">
        <v>27</v>
      </c>
      <c r="N5195" s="66" t="s">
        <v>30736</v>
      </c>
      <c r="O5195" s="66" t="s">
        <v>550</v>
      </c>
      <c r="P5195" s="66" t="s">
        <v>30375</v>
      </c>
      <c r="Q5195" s="76" t="s">
        <v>30737</v>
      </c>
      <c r="R5195" s="66" t="s">
        <v>555</v>
      </c>
      <c r="S5195" s="66" t="s">
        <v>28</v>
      </c>
      <c r="T5195" s="77"/>
      <c r="U5195" s="77"/>
      <c r="V5195" s="77"/>
      <c r="W5195" s="77"/>
      <c r="X5195" s="77"/>
      <c r="Y5195" s="66"/>
      <c r="Z5195" s="66"/>
      <c r="AA5195" s="66"/>
      <c r="AB5195" s="66"/>
      <c r="AC5195" s="66"/>
      <c r="AD5195" s="66"/>
      <c r="AE5195" s="66"/>
      <c r="AF5195" s="66"/>
      <c r="AG5195" s="66"/>
      <c r="AH5195" s="66"/>
      <c r="AI5195" s="66"/>
      <c r="AJ5195" s="66"/>
      <c r="AK5195" s="66"/>
      <c r="AL5195" s="66"/>
      <c r="AM5195" s="66"/>
      <c r="AN5195" s="66"/>
      <c r="AO5195" s="66"/>
      <c r="AP5195" s="66"/>
      <c r="AQ5195" s="66"/>
      <c r="AR5195" s="66"/>
      <c r="AS5195" s="66"/>
      <c r="AT5195" s="66"/>
      <c r="AU5195" s="66"/>
      <c r="AV5195" s="78"/>
      <c r="AW5195" s="78"/>
      <c r="AX5195" s="78"/>
      <c r="AY5195" s="78"/>
      <c r="AZ5195" s="78"/>
      <c r="BA5195" s="78"/>
      <c r="BB5195" s="78"/>
      <c r="BC5195" s="78"/>
      <c r="BD5195" s="78"/>
      <c r="BE5195" s="78"/>
      <c r="BF5195" s="78"/>
      <c r="BG5195" s="78"/>
      <c r="BH5195" s="78"/>
      <c r="BI5195" s="78"/>
      <c r="BJ5195" s="78"/>
    </row>
    <row r="5196" spans="1:62" ht="12" customHeight="1" x14ac:dyDescent="0.15">
      <c r="A5196" s="1" t="s">
        <v>18042</v>
      </c>
      <c r="B5196" s="1">
        <v>34</v>
      </c>
      <c r="C5196" s="1" t="s">
        <v>20</v>
      </c>
      <c r="D5196" s="1" t="s">
        <v>37</v>
      </c>
      <c r="E5196" s="1" t="s">
        <v>18043</v>
      </c>
      <c r="F5196" s="72">
        <v>41315</v>
      </c>
      <c r="G5196" s="1" t="s">
        <v>18044</v>
      </c>
      <c r="H5196" s="1" t="s">
        <v>1055</v>
      </c>
      <c r="I5196" s="1" t="s">
        <v>69</v>
      </c>
      <c r="J5196" s="4" t="s">
        <v>18045</v>
      </c>
      <c r="K5196" s="1" t="s">
        <v>1056</v>
      </c>
      <c r="L5196" s="1" t="s">
        <v>6011</v>
      </c>
      <c r="M5196" s="1" t="s">
        <v>27</v>
      </c>
      <c r="N5196" s="1" t="s">
        <v>18046</v>
      </c>
      <c r="O5196" s="1" t="s">
        <v>550</v>
      </c>
      <c r="P5196" s="1" t="s">
        <v>401</v>
      </c>
      <c r="Q5196" s="63" t="s">
        <v>18047</v>
      </c>
      <c r="R5196" s="1" t="s">
        <v>555</v>
      </c>
      <c r="S5196" s="13" t="s">
        <v>28</v>
      </c>
      <c r="AM5196" s="44"/>
      <c r="AN5196" s="44"/>
      <c r="AO5196" s="44"/>
      <c r="AP5196" s="44"/>
      <c r="AQ5196" s="44"/>
      <c r="AR5196" s="44"/>
      <c r="AS5196" s="44"/>
      <c r="AT5196" s="44"/>
      <c r="AX5196" s="44"/>
      <c r="AY5196" s="44"/>
      <c r="AZ5196" s="44"/>
    </row>
    <row r="5197" spans="1:62" ht="12" customHeight="1" x14ac:dyDescent="0.15">
      <c r="A5197" s="1" t="s">
        <v>18048</v>
      </c>
      <c r="B5197" s="1">
        <v>32</v>
      </c>
      <c r="C5197" s="1" t="s">
        <v>20</v>
      </c>
      <c r="D5197" s="1" t="s">
        <v>85</v>
      </c>
      <c r="E5197" s="1" t="s">
        <v>18049</v>
      </c>
      <c r="F5197" s="72">
        <v>41314</v>
      </c>
      <c r="G5197" s="1" t="s">
        <v>18050</v>
      </c>
      <c r="H5197" s="1" t="s">
        <v>709</v>
      </c>
      <c r="I5197" s="1" t="s">
        <v>431</v>
      </c>
      <c r="J5197" s="4" t="s">
        <v>18051</v>
      </c>
      <c r="K5197" s="1" t="s">
        <v>709</v>
      </c>
      <c r="L5197" s="1" t="s">
        <v>4516</v>
      </c>
      <c r="M5197" s="1" t="s">
        <v>27</v>
      </c>
      <c r="N5197" s="1" t="s">
        <v>18052</v>
      </c>
      <c r="O5197" s="1" t="s">
        <v>1010</v>
      </c>
      <c r="P5197" s="1" t="s">
        <v>401</v>
      </c>
      <c r="Q5197" s="63" t="s">
        <v>18053</v>
      </c>
      <c r="R5197" s="1" t="s">
        <v>100</v>
      </c>
      <c r="S5197" s="13" t="s">
        <v>28</v>
      </c>
      <c r="AM5197" s="44"/>
      <c r="AN5197" s="44"/>
      <c r="AO5197" s="44"/>
      <c r="AP5197" s="44"/>
      <c r="AQ5197" s="44"/>
      <c r="AR5197" s="44"/>
      <c r="AS5197" s="44"/>
      <c r="AT5197" s="44"/>
      <c r="AX5197" s="44"/>
      <c r="AY5197" s="44"/>
      <c r="BC5197" s="44"/>
      <c r="BD5197" s="44"/>
      <c r="BE5197" s="44"/>
      <c r="BF5197" s="44"/>
      <c r="BG5197" s="44"/>
      <c r="BH5197" s="44"/>
      <c r="BI5197" s="44"/>
      <c r="BJ5197" s="44"/>
    </row>
    <row r="5198" spans="1:62" ht="12" customHeight="1" x14ac:dyDescent="0.15">
      <c r="A5198" s="1" t="s">
        <v>18054</v>
      </c>
      <c r="B5198" s="1">
        <v>41</v>
      </c>
      <c r="C5198" s="1" t="s">
        <v>20</v>
      </c>
      <c r="D5198" s="1" t="s">
        <v>37</v>
      </c>
      <c r="E5198" s="1" t="s">
        <v>18055</v>
      </c>
      <c r="F5198" s="72">
        <v>41314</v>
      </c>
      <c r="G5198" s="1" t="s">
        <v>18056</v>
      </c>
      <c r="H5198" s="1" t="s">
        <v>18057</v>
      </c>
      <c r="I5198" s="1" t="s">
        <v>57</v>
      </c>
      <c r="J5198" s="4" t="s">
        <v>18058</v>
      </c>
      <c r="K5198" s="1" t="s">
        <v>9265</v>
      </c>
      <c r="L5198" s="1" t="s">
        <v>18059</v>
      </c>
      <c r="M5198" s="1" t="s">
        <v>27</v>
      </c>
      <c r="N5198" s="1" t="s">
        <v>18060</v>
      </c>
      <c r="O5198" s="1" t="s">
        <v>550</v>
      </c>
      <c r="P5198" s="1" t="s">
        <v>401</v>
      </c>
      <c r="Q5198" s="63" t="s">
        <v>18061</v>
      </c>
      <c r="R5198" s="1" t="s">
        <v>29</v>
      </c>
      <c r="S5198" s="13" t="s">
        <v>28</v>
      </c>
      <c r="AM5198" s="44"/>
      <c r="AN5198" s="44"/>
      <c r="AO5198" s="44"/>
      <c r="AP5198" s="44"/>
      <c r="AQ5198" s="44"/>
      <c r="AR5198" s="44"/>
      <c r="AS5198" s="44"/>
      <c r="AT5198" s="44"/>
      <c r="AX5198" s="44"/>
      <c r="AY5198" s="44"/>
      <c r="AZ5198" s="44"/>
    </row>
    <row r="5199" spans="1:62" ht="12" customHeight="1" x14ac:dyDescent="0.15">
      <c r="A5199" s="1" t="s">
        <v>18062</v>
      </c>
      <c r="B5199" s="1">
        <v>40</v>
      </c>
      <c r="C5199" s="1" t="s">
        <v>20</v>
      </c>
      <c r="D5199" s="1" t="s">
        <v>37</v>
      </c>
      <c r="E5199" s="1" t="s">
        <v>18063</v>
      </c>
      <c r="F5199" s="72">
        <v>41314</v>
      </c>
      <c r="G5199" s="1" t="s">
        <v>18064</v>
      </c>
      <c r="H5199" s="1" t="s">
        <v>285</v>
      </c>
      <c r="I5199" s="1" t="s">
        <v>73</v>
      </c>
      <c r="J5199" s="4" t="s">
        <v>18065</v>
      </c>
      <c r="K5199" s="1" t="s">
        <v>285</v>
      </c>
      <c r="L5199" s="1" t="s">
        <v>286</v>
      </c>
      <c r="M5199" s="1" t="s">
        <v>27</v>
      </c>
      <c r="N5199" s="1" t="s">
        <v>18066</v>
      </c>
      <c r="O5199" s="1" t="s">
        <v>550</v>
      </c>
      <c r="P5199" s="1" t="s">
        <v>401</v>
      </c>
      <c r="Q5199" s="63" t="s">
        <v>18067</v>
      </c>
      <c r="R5199" s="1" t="s">
        <v>29</v>
      </c>
      <c r="S5199" s="13" t="s">
        <v>28</v>
      </c>
      <c r="AM5199" s="44"/>
      <c r="AN5199" s="44"/>
      <c r="AO5199" s="44"/>
      <c r="AP5199" s="44"/>
      <c r="AQ5199" s="44"/>
      <c r="AR5199" s="44"/>
      <c r="AS5199" s="44"/>
      <c r="AT5199" s="44"/>
      <c r="AX5199" s="44"/>
      <c r="AY5199" s="44"/>
      <c r="AZ5199" s="44"/>
    </row>
    <row r="5200" spans="1:62" ht="12" customHeight="1" x14ac:dyDescent="0.15">
      <c r="A5200" s="1" t="s">
        <v>18072</v>
      </c>
      <c r="B5200" s="1">
        <v>22</v>
      </c>
      <c r="C5200" s="1" t="s">
        <v>20</v>
      </c>
      <c r="D5200" s="1" t="s">
        <v>48</v>
      </c>
      <c r="E5200" s="1" t="s">
        <v>18073</v>
      </c>
      <c r="F5200" s="72">
        <v>41313</v>
      </c>
      <c r="G5200" s="1" t="s">
        <v>18074</v>
      </c>
      <c r="H5200" s="1" t="s">
        <v>1747</v>
      </c>
      <c r="I5200" s="1" t="s">
        <v>45</v>
      </c>
      <c r="J5200" s="4" t="s">
        <v>18075</v>
      </c>
      <c r="K5200" s="1" t="s">
        <v>1163</v>
      </c>
      <c r="L5200" s="1" t="s">
        <v>1749</v>
      </c>
      <c r="M5200" s="1" t="s">
        <v>27</v>
      </c>
      <c r="N5200" s="1" t="s">
        <v>18076</v>
      </c>
      <c r="O5200" s="1" t="s">
        <v>550</v>
      </c>
      <c r="P5200" s="1" t="s">
        <v>401</v>
      </c>
      <c r="Q5200" s="63" t="s">
        <v>18077</v>
      </c>
      <c r="R5200" s="1" t="s">
        <v>100</v>
      </c>
      <c r="S5200" s="13" t="s">
        <v>28</v>
      </c>
      <c r="T5200" s="44"/>
      <c r="U5200" s="44"/>
      <c r="V5200" s="44"/>
      <c r="W5200" s="44"/>
      <c r="X5200" s="44"/>
      <c r="Y5200" s="44"/>
      <c r="Z5200" s="44"/>
      <c r="AA5200" s="44"/>
      <c r="AB5200" s="44"/>
      <c r="AC5200" s="44"/>
      <c r="AD5200" s="44"/>
      <c r="AE5200" s="44"/>
      <c r="AF5200" s="44"/>
      <c r="AG5200" s="44"/>
      <c r="AH5200" s="44"/>
      <c r="AM5200" s="44"/>
      <c r="AN5200" s="44"/>
      <c r="AO5200" s="44"/>
      <c r="AP5200" s="44"/>
      <c r="AQ5200" s="44"/>
      <c r="AR5200" s="44"/>
      <c r="AS5200" s="44"/>
      <c r="AT5200" s="44"/>
    </row>
    <row r="5201" spans="1:62" ht="12" customHeight="1" x14ac:dyDescent="0.15">
      <c r="A5201" s="1" t="s">
        <v>18068</v>
      </c>
      <c r="B5201" s="1">
        <v>33</v>
      </c>
      <c r="C5201" s="1" t="s">
        <v>20</v>
      </c>
      <c r="D5201" s="1" t="s">
        <v>48</v>
      </c>
      <c r="F5201" s="72">
        <v>41313</v>
      </c>
      <c r="G5201" s="1" t="s">
        <v>18069</v>
      </c>
      <c r="H5201" s="1" t="s">
        <v>655</v>
      </c>
      <c r="I5201" s="1" t="s">
        <v>269</v>
      </c>
      <c r="J5201" s="4" t="s">
        <v>6318</v>
      </c>
      <c r="K5201" s="1" t="s">
        <v>570</v>
      </c>
      <c r="L5201" s="1" t="s">
        <v>571</v>
      </c>
      <c r="M5201" s="1" t="s">
        <v>27</v>
      </c>
      <c r="N5201" s="1" t="s">
        <v>18070</v>
      </c>
      <c r="O5201" s="1" t="s">
        <v>550</v>
      </c>
      <c r="P5201" s="1" t="s">
        <v>401</v>
      </c>
      <c r="Q5201" s="63" t="s">
        <v>18071</v>
      </c>
      <c r="R5201" s="1" t="s">
        <v>100</v>
      </c>
      <c r="S5201" s="13" t="s">
        <v>28</v>
      </c>
      <c r="Y5201" s="44"/>
      <c r="Z5201" s="44"/>
      <c r="AA5201" s="44"/>
      <c r="AB5201" s="44"/>
      <c r="AC5201" s="44"/>
      <c r="AD5201" s="44"/>
      <c r="AE5201" s="44"/>
      <c r="AM5201" s="44"/>
      <c r="AN5201" s="44"/>
      <c r="AO5201" s="44"/>
      <c r="AP5201" s="44"/>
      <c r="AQ5201" s="44"/>
      <c r="AR5201" s="44"/>
      <c r="AS5201" s="44"/>
      <c r="AT5201" s="44"/>
    </row>
    <row r="5202" spans="1:62" ht="12" customHeight="1" x14ac:dyDescent="0.15">
      <c r="A5202" s="1" t="s">
        <v>18085</v>
      </c>
      <c r="B5202" s="1">
        <v>32</v>
      </c>
      <c r="C5202" s="1" t="s">
        <v>20</v>
      </c>
      <c r="D5202" s="1" t="s">
        <v>37</v>
      </c>
      <c r="E5202" s="1" t="s">
        <v>18086</v>
      </c>
      <c r="F5202" s="72">
        <v>41312</v>
      </c>
      <c r="G5202" s="1" t="s">
        <v>18087</v>
      </c>
      <c r="H5202" s="1" t="s">
        <v>709</v>
      </c>
      <c r="I5202" s="1" t="s">
        <v>431</v>
      </c>
      <c r="J5202" s="4" t="s">
        <v>18088</v>
      </c>
      <c r="K5202" s="1" t="s">
        <v>709</v>
      </c>
      <c r="L5202" s="1" t="s">
        <v>4516</v>
      </c>
      <c r="M5202" s="1" t="s">
        <v>27</v>
      </c>
      <c r="N5202" s="1" t="s">
        <v>18089</v>
      </c>
      <c r="O5202" s="1" t="s">
        <v>550</v>
      </c>
      <c r="P5202" s="1" t="s">
        <v>401</v>
      </c>
      <c r="Q5202" s="63" t="s">
        <v>18090</v>
      </c>
      <c r="R5202" s="1" t="s">
        <v>100</v>
      </c>
      <c r="S5202" s="13" t="s">
        <v>28</v>
      </c>
      <c r="AM5202" s="44"/>
      <c r="AN5202" s="44"/>
      <c r="AO5202" s="44"/>
      <c r="AP5202" s="44"/>
      <c r="AQ5202" s="44"/>
      <c r="AR5202" s="44"/>
      <c r="AS5202" s="44"/>
      <c r="AT5202" s="44"/>
      <c r="AX5202" s="44"/>
      <c r="AY5202" s="44"/>
      <c r="AZ5202" s="44"/>
    </row>
    <row r="5203" spans="1:62" ht="12" customHeight="1" x14ac:dyDescent="0.15">
      <c r="A5203" s="1" t="s">
        <v>18078</v>
      </c>
      <c r="B5203" s="1">
        <v>27</v>
      </c>
      <c r="C5203" s="1" t="s">
        <v>20</v>
      </c>
      <c r="D5203" s="1" t="s">
        <v>37</v>
      </c>
      <c r="E5203" s="1" t="s">
        <v>18079</v>
      </c>
      <c r="F5203" s="72">
        <v>41312</v>
      </c>
      <c r="H5203" s="1" t="s">
        <v>18080</v>
      </c>
      <c r="I5203" s="1" t="s">
        <v>978</v>
      </c>
      <c r="J5203" s="4" t="s">
        <v>18081</v>
      </c>
      <c r="K5203" s="1" t="s">
        <v>16013</v>
      </c>
      <c r="L5203" s="1" t="s">
        <v>18082</v>
      </c>
      <c r="M5203" s="1" t="s">
        <v>27</v>
      </c>
      <c r="N5203" s="1" t="s">
        <v>18083</v>
      </c>
      <c r="O5203" s="1" t="s">
        <v>550</v>
      </c>
      <c r="P5203" s="1" t="s">
        <v>401</v>
      </c>
      <c r="Q5203" s="63" t="s">
        <v>18084</v>
      </c>
      <c r="R5203" s="1" t="s">
        <v>29</v>
      </c>
      <c r="S5203" s="13" t="s">
        <v>28</v>
      </c>
      <c r="T5203" s="44"/>
      <c r="U5203" s="44"/>
      <c r="V5203" s="44"/>
      <c r="W5203" s="44"/>
      <c r="X5203" s="44"/>
      <c r="Y5203" s="44"/>
      <c r="Z5203" s="44"/>
      <c r="AA5203" s="44"/>
      <c r="AB5203" s="44"/>
      <c r="AC5203" s="44"/>
      <c r="AD5203" s="44"/>
      <c r="AE5203" s="44"/>
      <c r="AF5203" s="44"/>
      <c r="AG5203" s="44"/>
      <c r="AH5203" s="44"/>
      <c r="AM5203" s="44"/>
      <c r="AN5203" s="44"/>
      <c r="AO5203" s="44"/>
      <c r="AP5203" s="44"/>
      <c r="AQ5203" s="44"/>
      <c r="AR5203" s="44"/>
      <c r="AS5203" s="44"/>
      <c r="AT5203" s="44"/>
      <c r="AX5203" s="44"/>
      <c r="AY5203" s="44"/>
      <c r="AZ5203" s="44"/>
    </row>
    <row r="5204" spans="1:62" ht="12" customHeight="1" x14ac:dyDescent="0.15">
      <c r="A5204" s="1" t="s">
        <v>18091</v>
      </c>
      <c r="B5204" s="1" t="s">
        <v>17299</v>
      </c>
      <c r="C5204" s="1" t="s">
        <v>20</v>
      </c>
      <c r="D5204" s="1" t="s">
        <v>37</v>
      </c>
      <c r="E5204" s="1" t="s">
        <v>18092</v>
      </c>
      <c r="F5204" s="72">
        <v>41310</v>
      </c>
      <c r="G5204" s="1" t="s">
        <v>18093</v>
      </c>
      <c r="H5204" s="1" t="s">
        <v>838</v>
      </c>
      <c r="I5204" s="1" t="s">
        <v>303</v>
      </c>
      <c r="J5204" s="4" t="s">
        <v>18094</v>
      </c>
      <c r="K5204" s="1" t="s">
        <v>838</v>
      </c>
      <c r="L5204" s="1" t="s">
        <v>839</v>
      </c>
      <c r="M5204" s="1" t="s">
        <v>27</v>
      </c>
      <c r="N5204" s="1" t="s">
        <v>18095</v>
      </c>
      <c r="O5204" s="1" t="s">
        <v>550</v>
      </c>
      <c r="P5204" s="1" t="s">
        <v>401</v>
      </c>
      <c r="Q5204" s="63" t="s">
        <v>18096</v>
      </c>
      <c r="R5204" s="1" t="s">
        <v>100</v>
      </c>
      <c r="S5204" s="13" t="s">
        <v>28</v>
      </c>
      <c r="AM5204" s="44"/>
      <c r="AN5204" s="44"/>
      <c r="AO5204" s="44"/>
      <c r="AP5204" s="44"/>
      <c r="AQ5204" s="44"/>
      <c r="AR5204" s="44"/>
      <c r="AS5204" s="44"/>
      <c r="AT5204" s="44"/>
      <c r="AX5204" s="44"/>
      <c r="AY5204" s="44"/>
      <c r="AZ5204" s="44"/>
    </row>
    <row r="5205" spans="1:62" ht="12" customHeight="1" x14ac:dyDescent="0.15">
      <c r="A5205" s="1" t="s">
        <v>18097</v>
      </c>
      <c r="B5205" s="1">
        <v>65</v>
      </c>
      <c r="C5205" s="1" t="s">
        <v>20</v>
      </c>
      <c r="D5205" s="1" t="s">
        <v>37</v>
      </c>
      <c r="E5205" s="1" t="s">
        <v>18098</v>
      </c>
      <c r="F5205" s="72">
        <v>41309</v>
      </c>
      <c r="H5205" s="1" t="s">
        <v>18099</v>
      </c>
      <c r="I5205" s="1" t="s">
        <v>94</v>
      </c>
      <c r="J5205" s="4" t="s">
        <v>18100</v>
      </c>
      <c r="K5205" s="1" t="s">
        <v>13677</v>
      </c>
      <c r="L5205" s="1" t="s">
        <v>405</v>
      </c>
      <c r="M5205" s="1" t="s">
        <v>27</v>
      </c>
      <c r="N5205" s="1" t="s">
        <v>18101</v>
      </c>
      <c r="O5205" s="1" t="s">
        <v>29</v>
      </c>
      <c r="P5205" s="1" t="s">
        <v>401</v>
      </c>
      <c r="Q5205" s="63" t="s">
        <v>18102</v>
      </c>
      <c r="R5205" s="1" t="s">
        <v>555</v>
      </c>
      <c r="S5205" s="13" t="s">
        <v>28</v>
      </c>
      <c r="AM5205" s="44"/>
      <c r="AN5205" s="44"/>
      <c r="AO5205" s="44"/>
      <c r="AP5205" s="44"/>
      <c r="AQ5205" s="44"/>
      <c r="AR5205" s="44"/>
      <c r="AS5205" s="44"/>
      <c r="AT5205" s="44"/>
      <c r="AX5205" s="44"/>
      <c r="AY5205" s="44"/>
      <c r="AZ5205" s="44"/>
    </row>
    <row r="5206" spans="1:62" ht="12" customHeight="1" x14ac:dyDescent="0.15">
      <c r="A5206" s="1" t="s">
        <v>18103</v>
      </c>
      <c r="B5206" s="1">
        <v>87</v>
      </c>
      <c r="C5206" s="1" t="s">
        <v>20</v>
      </c>
      <c r="D5206" s="1" t="s">
        <v>30</v>
      </c>
      <c r="F5206" s="72">
        <v>41308</v>
      </c>
      <c r="G5206" s="1" t="s">
        <v>24673</v>
      </c>
      <c r="H5206" s="1" t="s">
        <v>18104</v>
      </c>
      <c r="I5206" s="1" t="s">
        <v>73</v>
      </c>
      <c r="J5206" s="4" t="s">
        <v>18105</v>
      </c>
      <c r="K5206" s="1" t="s">
        <v>1199</v>
      </c>
      <c r="L5206" s="1" t="s">
        <v>18106</v>
      </c>
      <c r="M5206" s="1" t="s">
        <v>27</v>
      </c>
      <c r="N5206" s="1" t="s">
        <v>18107</v>
      </c>
      <c r="O5206" s="1" t="s">
        <v>1010</v>
      </c>
      <c r="P5206" s="1" t="s">
        <v>401</v>
      </c>
      <c r="Q5206" s="63" t="s">
        <v>18108</v>
      </c>
      <c r="R5206" s="1" t="s">
        <v>100</v>
      </c>
      <c r="S5206" s="13" t="s">
        <v>28</v>
      </c>
      <c r="AM5206" s="44"/>
      <c r="AN5206" s="44"/>
      <c r="AO5206" s="44"/>
      <c r="AP5206" s="44"/>
      <c r="AQ5206" s="44"/>
      <c r="AR5206" s="44"/>
      <c r="AS5206" s="44"/>
      <c r="AT5206" s="44"/>
    </row>
    <row r="5207" spans="1:62" ht="12" customHeight="1" x14ac:dyDescent="0.15">
      <c r="A5207" s="1" t="s">
        <v>18109</v>
      </c>
      <c r="B5207" s="1">
        <v>24</v>
      </c>
      <c r="C5207" s="1" t="s">
        <v>20</v>
      </c>
      <c r="D5207" s="1" t="s">
        <v>37</v>
      </c>
      <c r="E5207" s="1" t="s">
        <v>18110</v>
      </c>
      <c r="F5207" s="72">
        <v>41307</v>
      </c>
      <c r="G5207" s="1" t="s">
        <v>24674</v>
      </c>
      <c r="H5207" s="1" t="s">
        <v>18111</v>
      </c>
      <c r="I5207" s="1" t="s">
        <v>73</v>
      </c>
      <c r="J5207" s="4" t="s">
        <v>18112</v>
      </c>
      <c r="K5207" s="1" t="s">
        <v>18113</v>
      </c>
      <c r="L5207" s="1" t="s">
        <v>18114</v>
      </c>
      <c r="M5207" s="1" t="s">
        <v>27</v>
      </c>
      <c r="N5207" s="1" t="s">
        <v>18115</v>
      </c>
      <c r="O5207" s="1" t="s">
        <v>3381</v>
      </c>
      <c r="P5207" s="1" t="s">
        <v>401</v>
      </c>
      <c r="Q5207" s="63" t="s">
        <v>18116</v>
      </c>
      <c r="R5207" s="1" t="s">
        <v>555</v>
      </c>
      <c r="S5207" s="13" t="s">
        <v>28</v>
      </c>
      <c r="AF5207" s="44"/>
      <c r="AG5207" s="44"/>
      <c r="AH5207" s="44"/>
      <c r="AM5207" s="44"/>
      <c r="AN5207" s="44"/>
      <c r="AO5207" s="44"/>
      <c r="AP5207" s="44"/>
      <c r="AQ5207" s="44"/>
      <c r="AR5207" s="44"/>
      <c r="AS5207" s="44"/>
      <c r="AT5207" s="44"/>
      <c r="AX5207" s="44"/>
      <c r="AY5207" s="44"/>
      <c r="AZ5207" s="44"/>
    </row>
    <row r="5208" spans="1:62" ht="12" customHeight="1" x14ac:dyDescent="0.15">
      <c r="A5208" s="1" t="s">
        <v>18117</v>
      </c>
      <c r="B5208" s="1">
        <v>21</v>
      </c>
      <c r="C5208" s="1" t="s">
        <v>20</v>
      </c>
      <c r="D5208" s="1" t="s">
        <v>85</v>
      </c>
      <c r="E5208" s="1" t="s">
        <v>18118</v>
      </c>
      <c r="F5208" s="72">
        <v>41306</v>
      </c>
      <c r="G5208" s="1" t="s">
        <v>18119</v>
      </c>
      <c r="H5208" s="1" t="s">
        <v>1647</v>
      </c>
      <c r="I5208" s="1" t="s">
        <v>173</v>
      </c>
      <c r="J5208" s="4" t="s">
        <v>18120</v>
      </c>
      <c r="K5208" s="1" t="s">
        <v>874</v>
      </c>
      <c r="L5208" s="1" t="s">
        <v>1649</v>
      </c>
      <c r="M5208" s="1" t="s">
        <v>27</v>
      </c>
      <c r="N5208" s="1" t="s">
        <v>18121</v>
      </c>
      <c r="O5208" s="1" t="s">
        <v>550</v>
      </c>
      <c r="P5208" s="1" t="s">
        <v>401</v>
      </c>
      <c r="Q5208" s="6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5208" s="1" t="s">
        <v>29</v>
      </c>
      <c r="S5208" s="13" t="s">
        <v>28</v>
      </c>
      <c r="AM5208" s="44"/>
      <c r="AN5208" s="44"/>
      <c r="AO5208" s="44"/>
      <c r="AP5208" s="44"/>
      <c r="AQ5208" s="44"/>
      <c r="AR5208" s="44"/>
      <c r="AS5208" s="44"/>
      <c r="AT5208" s="44"/>
      <c r="AX5208" s="44"/>
      <c r="AY5208" s="44"/>
      <c r="BC5208" s="44"/>
      <c r="BD5208" s="44"/>
      <c r="BE5208" s="44"/>
      <c r="BF5208" s="44"/>
      <c r="BG5208" s="44"/>
      <c r="BH5208" s="44"/>
      <c r="BI5208" s="44"/>
      <c r="BJ5208" s="44"/>
    </row>
    <row r="5209" spans="1:62" ht="12" customHeight="1" x14ac:dyDescent="0.15">
      <c r="A5209" s="1" t="s">
        <v>18127</v>
      </c>
      <c r="B5209" s="1">
        <v>33</v>
      </c>
      <c r="C5209" s="1" t="s">
        <v>20</v>
      </c>
      <c r="D5209" s="1" t="s">
        <v>48</v>
      </c>
      <c r="E5209" s="1" t="s">
        <v>18128</v>
      </c>
      <c r="F5209" s="72">
        <v>41304</v>
      </c>
      <c r="G5209" s="1" t="s">
        <v>24675</v>
      </c>
      <c r="H5209" s="1" t="s">
        <v>18129</v>
      </c>
      <c r="I5209" s="1" t="s">
        <v>45</v>
      </c>
      <c r="J5209" s="4" t="s">
        <v>18130</v>
      </c>
      <c r="K5209" s="1" t="s">
        <v>3235</v>
      </c>
      <c r="L5209" s="1" t="s">
        <v>14275</v>
      </c>
      <c r="M5209" s="1" t="s">
        <v>27</v>
      </c>
      <c r="N5209" s="1" t="s">
        <v>18131</v>
      </c>
      <c r="O5209" s="1" t="s">
        <v>550</v>
      </c>
      <c r="P5209" s="1" t="s">
        <v>401</v>
      </c>
      <c r="Q5209" s="63" t="s">
        <v>18132</v>
      </c>
      <c r="R5209" s="1" t="s">
        <v>100</v>
      </c>
      <c r="S5209" s="13" t="s">
        <v>28</v>
      </c>
      <c r="AM5209" s="44"/>
      <c r="AN5209" s="44"/>
      <c r="AO5209" s="44"/>
      <c r="AP5209" s="44"/>
      <c r="AQ5209" s="44"/>
      <c r="AR5209" s="44"/>
      <c r="AS5209" s="44"/>
      <c r="AT5209" s="44"/>
    </row>
    <row r="5210" spans="1:62" ht="12" customHeight="1" x14ac:dyDescent="0.15">
      <c r="A5210" s="1" t="s">
        <v>18122</v>
      </c>
      <c r="B5210" s="1">
        <v>30</v>
      </c>
      <c r="C5210" s="1" t="s">
        <v>114</v>
      </c>
      <c r="D5210" s="1" t="s">
        <v>48</v>
      </c>
      <c r="E5210" s="1" t="s">
        <v>18123</v>
      </c>
      <c r="F5210" s="72">
        <v>41304</v>
      </c>
      <c r="G5210" s="1" t="s">
        <v>18124</v>
      </c>
      <c r="H5210" s="1" t="s">
        <v>1298</v>
      </c>
      <c r="I5210" s="1" t="s">
        <v>209</v>
      </c>
      <c r="J5210" s="4" t="s">
        <v>14829</v>
      </c>
      <c r="K5210" s="1" t="s">
        <v>1298</v>
      </c>
      <c r="L5210" s="1" t="s">
        <v>19117</v>
      </c>
      <c r="M5210" s="1" t="s">
        <v>27</v>
      </c>
      <c r="N5210" s="1" t="s">
        <v>18125</v>
      </c>
      <c r="O5210" s="1" t="s">
        <v>550</v>
      </c>
      <c r="P5210" s="1" t="s">
        <v>401</v>
      </c>
      <c r="Q5210" s="63" t="s">
        <v>18126</v>
      </c>
      <c r="R5210" s="1" t="s">
        <v>100</v>
      </c>
      <c r="S5210" s="13" t="s">
        <v>28</v>
      </c>
      <c r="AM5210" s="44"/>
      <c r="AN5210" s="44"/>
      <c r="AO5210" s="44"/>
      <c r="AP5210" s="44"/>
      <c r="AQ5210" s="44"/>
      <c r="AR5210" s="44"/>
      <c r="AS5210" s="44"/>
      <c r="AT5210" s="44"/>
    </row>
    <row r="5211" spans="1:62" ht="12" customHeight="1" x14ac:dyDescent="0.15">
      <c r="A5211" s="1" t="s">
        <v>18147</v>
      </c>
      <c r="B5211" s="1">
        <v>31</v>
      </c>
      <c r="C5211" s="1" t="s">
        <v>20</v>
      </c>
      <c r="D5211" s="1" t="s">
        <v>37</v>
      </c>
      <c r="E5211" s="1" t="s">
        <v>18148</v>
      </c>
      <c r="F5211" s="72">
        <v>41303</v>
      </c>
      <c r="G5211" s="1" t="s">
        <v>18149</v>
      </c>
      <c r="H5211" s="1" t="s">
        <v>18150</v>
      </c>
      <c r="I5211" s="1" t="s">
        <v>73</v>
      </c>
      <c r="J5211" s="4">
        <v>76117</v>
      </c>
      <c r="K5211" s="1" t="s">
        <v>74</v>
      </c>
      <c r="L5211" s="1" t="s">
        <v>18151</v>
      </c>
      <c r="M5211" s="1" t="s">
        <v>27</v>
      </c>
      <c r="N5211" s="1" t="s">
        <v>18152</v>
      </c>
      <c r="O5211" s="1" t="s">
        <v>29</v>
      </c>
      <c r="P5211" s="1" t="s">
        <v>401</v>
      </c>
      <c r="Q5211" s="63" t="s">
        <v>18153</v>
      </c>
      <c r="R5211" s="1" t="s">
        <v>100</v>
      </c>
      <c r="S5211" s="13" t="s">
        <v>28</v>
      </c>
      <c r="U5211" s="44"/>
      <c r="V5211" s="44"/>
      <c r="W5211" s="44"/>
      <c r="X5211" s="44"/>
      <c r="AM5211" s="44"/>
      <c r="AN5211" s="44"/>
      <c r="AO5211" s="44"/>
      <c r="AP5211" s="44"/>
      <c r="AQ5211" s="44"/>
      <c r="AR5211" s="44"/>
      <c r="AS5211" s="44"/>
      <c r="AT5211" s="44"/>
      <c r="AX5211" s="44"/>
      <c r="AY5211" s="44"/>
      <c r="AZ5211" s="44"/>
    </row>
    <row r="5212" spans="1:62" ht="12" customHeight="1" x14ac:dyDescent="0.15">
      <c r="A5212" s="1" t="s">
        <v>18133</v>
      </c>
      <c r="B5212" s="1">
        <v>31</v>
      </c>
      <c r="C5212" s="1" t="s">
        <v>20</v>
      </c>
      <c r="D5212" s="1" t="s">
        <v>30</v>
      </c>
      <c r="F5212" s="72">
        <v>41303</v>
      </c>
      <c r="G5212" s="1" t="s">
        <v>18134</v>
      </c>
      <c r="H5212" s="1" t="s">
        <v>18135</v>
      </c>
      <c r="I5212" s="1" t="s">
        <v>94</v>
      </c>
      <c r="J5212" s="4" t="s">
        <v>18136</v>
      </c>
      <c r="K5212" s="1" t="s">
        <v>433</v>
      </c>
      <c r="L5212" s="1" t="s">
        <v>18137</v>
      </c>
      <c r="M5212" s="1" t="s">
        <v>27</v>
      </c>
      <c r="N5212" s="1" t="s">
        <v>18138</v>
      </c>
      <c r="O5212" s="1" t="s">
        <v>550</v>
      </c>
      <c r="P5212" s="1" t="s">
        <v>401</v>
      </c>
      <c r="Q5212" s="63" t="s">
        <v>18139</v>
      </c>
      <c r="R5212" s="1" t="s">
        <v>29</v>
      </c>
      <c r="S5212" s="13" t="s">
        <v>28</v>
      </c>
      <c r="T5212" s="44"/>
      <c r="U5212" s="44"/>
      <c r="V5212" s="44"/>
      <c r="W5212" s="44"/>
      <c r="X5212" s="44"/>
      <c r="Y5212" s="44"/>
      <c r="Z5212" s="44"/>
      <c r="AA5212" s="44"/>
      <c r="AB5212" s="44"/>
      <c r="AC5212" s="44"/>
      <c r="AD5212" s="44"/>
      <c r="AE5212" s="44"/>
      <c r="AM5212" s="44"/>
      <c r="AN5212" s="44"/>
      <c r="AO5212" s="44"/>
      <c r="AP5212" s="44"/>
      <c r="AQ5212" s="44"/>
      <c r="AR5212" s="44"/>
      <c r="AS5212" s="44"/>
      <c r="AT5212" s="44"/>
    </row>
    <row r="5213" spans="1:62" ht="12" customHeight="1" x14ac:dyDescent="0.15">
      <c r="A5213" s="1" t="s">
        <v>18154</v>
      </c>
      <c r="B5213" s="1" t="s">
        <v>13399</v>
      </c>
      <c r="C5213" s="1" t="s">
        <v>20</v>
      </c>
      <c r="D5213" s="1" t="s">
        <v>37</v>
      </c>
      <c r="E5213" s="1" t="s">
        <v>18155</v>
      </c>
      <c r="F5213" s="72">
        <v>41303</v>
      </c>
      <c r="G5213" s="1" t="s">
        <v>18156</v>
      </c>
      <c r="H5213" s="1" t="s">
        <v>18157</v>
      </c>
      <c r="I5213" s="1" t="s">
        <v>395</v>
      </c>
      <c r="J5213" s="4" t="s">
        <v>18158</v>
      </c>
      <c r="K5213" s="1" t="s">
        <v>12278</v>
      </c>
      <c r="L5213" s="1" t="s">
        <v>18159</v>
      </c>
      <c r="M5213" s="1" t="s">
        <v>27</v>
      </c>
      <c r="N5213" s="1" t="s">
        <v>18160</v>
      </c>
      <c r="O5213" s="1" t="s">
        <v>550</v>
      </c>
      <c r="P5213" s="1" t="s">
        <v>401</v>
      </c>
      <c r="Q5213" s="63" t="s">
        <v>18161</v>
      </c>
      <c r="R5213" s="1" t="s">
        <v>29</v>
      </c>
      <c r="S5213" s="13" t="s">
        <v>28</v>
      </c>
      <c r="T5213" s="44"/>
      <c r="U5213" s="44"/>
      <c r="V5213" s="44"/>
      <c r="W5213" s="44"/>
      <c r="X5213" s="44"/>
      <c r="Y5213" s="44"/>
      <c r="Z5213" s="44"/>
      <c r="AA5213" s="44"/>
      <c r="AB5213" s="44"/>
      <c r="AC5213" s="44"/>
      <c r="AD5213" s="44"/>
      <c r="AE5213" s="44"/>
      <c r="AF5213" s="44"/>
      <c r="AG5213" s="44"/>
      <c r="AH5213" s="44"/>
      <c r="AM5213" s="44"/>
      <c r="AN5213" s="44"/>
      <c r="AO5213" s="44"/>
      <c r="AP5213" s="44"/>
      <c r="AQ5213" s="44"/>
      <c r="AR5213" s="44"/>
      <c r="AS5213" s="44"/>
      <c r="AT5213" s="44"/>
      <c r="AX5213" s="44"/>
      <c r="AY5213" s="44"/>
      <c r="AZ5213" s="44"/>
    </row>
    <row r="5214" spans="1:62" ht="12" customHeight="1" x14ac:dyDescent="0.15">
      <c r="A5214" s="1" t="s">
        <v>18140</v>
      </c>
      <c r="B5214" s="1">
        <v>32</v>
      </c>
      <c r="C5214" s="1" t="s">
        <v>114</v>
      </c>
      <c r="D5214" s="1" t="s">
        <v>37</v>
      </c>
      <c r="E5214" s="1" t="s">
        <v>18141</v>
      </c>
      <c r="F5214" s="72">
        <v>41303</v>
      </c>
      <c r="G5214" s="1" t="s">
        <v>18142</v>
      </c>
      <c r="H5214" s="1" t="s">
        <v>9439</v>
      </c>
      <c r="I5214" s="1" t="s">
        <v>366</v>
      </c>
      <c r="J5214" s="4" t="s">
        <v>18143</v>
      </c>
      <c r="K5214" s="1" t="s">
        <v>9441</v>
      </c>
      <c r="L5214" s="1" t="s">
        <v>18144</v>
      </c>
      <c r="M5214" s="1" t="s">
        <v>27</v>
      </c>
      <c r="N5214" s="1" t="s">
        <v>18145</v>
      </c>
      <c r="O5214" s="1" t="s">
        <v>550</v>
      </c>
      <c r="P5214" s="1" t="s">
        <v>401</v>
      </c>
      <c r="Q5214" s="63" t="s">
        <v>18146</v>
      </c>
      <c r="R5214" s="1" t="s">
        <v>555</v>
      </c>
      <c r="S5214" s="13" t="s">
        <v>28</v>
      </c>
      <c r="AM5214" s="44"/>
      <c r="AN5214" s="44"/>
      <c r="AO5214" s="44"/>
      <c r="AP5214" s="44"/>
      <c r="AQ5214" s="44"/>
      <c r="AR5214" s="44"/>
      <c r="AS5214" s="44"/>
      <c r="AT5214" s="44"/>
      <c r="AX5214" s="44"/>
      <c r="AY5214" s="44"/>
      <c r="AZ5214" s="44"/>
    </row>
    <row r="5215" spans="1:62" ht="12" customHeight="1" x14ac:dyDescent="0.15">
      <c r="A5215" s="1" t="s">
        <v>18162</v>
      </c>
      <c r="B5215" s="1">
        <v>29</v>
      </c>
      <c r="C5215" s="1" t="s">
        <v>20</v>
      </c>
      <c r="D5215" s="1" t="s">
        <v>85</v>
      </c>
      <c r="E5215" s="1" t="s">
        <v>18163</v>
      </c>
      <c r="F5215" s="72">
        <v>41302</v>
      </c>
      <c r="G5215" s="1" t="s">
        <v>24677</v>
      </c>
      <c r="H5215" s="1" t="s">
        <v>12304</v>
      </c>
      <c r="I5215" s="1" t="s">
        <v>404</v>
      </c>
      <c r="J5215" s="4" t="s">
        <v>18164</v>
      </c>
      <c r="K5215" s="1" t="s">
        <v>4537</v>
      </c>
      <c r="L5215" s="1" t="s">
        <v>18165</v>
      </c>
      <c r="M5215" s="1" t="s">
        <v>27</v>
      </c>
      <c r="N5215" s="1" t="s">
        <v>18166</v>
      </c>
      <c r="O5215" s="1" t="s">
        <v>550</v>
      </c>
      <c r="P5215" s="1" t="s">
        <v>401</v>
      </c>
      <c r="Q5215" s="63" t="s">
        <v>18167</v>
      </c>
      <c r="R5215" s="11" t="s">
        <v>964</v>
      </c>
      <c r="S5215" s="13" t="s">
        <v>28</v>
      </c>
      <c r="T5215" s="44"/>
      <c r="U5215" s="44"/>
      <c r="V5215" s="44"/>
      <c r="W5215" s="44"/>
      <c r="X5215" s="44"/>
      <c r="Y5215" s="44"/>
      <c r="Z5215" s="44"/>
      <c r="AA5215" s="44"/>
      <c r="AB5215" s="44"/>
      <c r="AC5215" s="44"/>
      <c r="AD5215" s="44"/>
      <c r="AE5215" s="44"/>
      <c r="AF5215" s="44"/>
      <c r="AG5215" s="44"/>
      <c r="AH5215" s="44"/>
      <c r="AM5215" s="44"/>
      <c r="AN5215" s="44"/>
      <c r="AO5215" s="44"/>
      <c r="AP5215" s="44"/>
      <c r="AQ5215" s="44"/>
      <c r="AR5215" s="44"/>
      <c r="AS5215" s="44"/>
      <c r="AT5215" s="44"/>
      <c r="AX5215" s="44"/>
      <c r="AY5215" s="44"/>
      <c r="BC5215" s="44"/>
      <c r="BD5215" s="44"/>
      <c r="BE5215" s="44"/>
      <c r="BF5215" s="44"/>
      <c r="BG5215" s="44"/>
      <c r="BH5215" s="44"/>
      <c r="BI5215" s="44"/>
      <c r="BJ5215" s="44"/>
    </row>
    <row r="5216" spans="1:62" ht="12" customHeight="1" x14ac:dyDescent="0.15">
      <c r="A5216" s="1" t="s">
        <v>18183</v>
      </c>
      <c r="B5216" s="1">
        <v>50</v>
      </c>
      <c r="C5216" s="1" t="s">
        <v>20</v>
      </c>
      <c r="D5216" s="1" t="s">
        <v>37</v>
      </c>
      <c r="E5216" s="1" t="s">
        <v>18184</v>
      </c>
      <c r="F5216" s="72">
        <v>41302</v>
      </c>
      <c r="G5216" s="1" t="s">
        <v>18185</v>
      </c>
      <c r="H5216" s="1" t="s">
        <v>3778</v>
      </c>
      <c r="I5216" s="1" t="s">
        <v>431</v>
      </c>
      <c r="J5216" s="4" t="s">
        <v>18186</v>
      </c>
      <c r="K5216" s="1" t="s">
        <v>18187</v>
      </c>
      <c r="L5216" s="1" t="s">
        <v>9915</v>
      </c>
      <c r="M5216" s="1" t="s">
        <v>27</v>
      </c>
      <c r="N5216" s="1" t="s">
        <v>18188</v>
      </c>
      <c r="O5216" s="1" t="s">
        <v>550</v>
      </c>
      <c r="P5216" s="1" t="s">
        <v>401</v>
      </c>
      <c r="Q5216" s="63" t="s">
        <v>18189</v>
      </c>
      <c r="R5216" s="11" t="s">
        <v>964</v>
      </c>
      <c r="S5216" s="13" t="s">
        <v>28</v>
      </c>
      <c r="T5216" s="44"/>
      <c r="U5216" s="44"/>
      <c r="V5216" s="44"/>
      <c r="W5216" s="44"/>
      <c r="X5216" s="44"/>
      <c r="Y5216" s="44"/>
      <c r="Z5216" s="44"/>
      <c r="AA5216" s="44"/>
      <c r="AB5216" s="44"/>
      <c r="AC5216" s="44"/>
      <c r="AD5216" s="44"/>
      <c r="AE5216" s="44"/>
      <c r="AF5216" s="44"/>
      <c r="AG5216" s="44"/>
      <c r="AH5216" s="44"/>
      <c r="AM5216" s="44"/>
      <c r="AN5216" s="44"/>
      <c r="AO5216" s="44"/>
      <c r="AP5216" s="44"/>
      <c r="AQ5216" s="44"/>
      <c r="AR5216" s="44"/>
      <c r="AS5216" s="44"/>
      <c r="AT5216" s="44"/>
      <c r="AX5216" s="44"/>
      <c r="AY5216" s="44"/>
      <c r="AZ5216" s="44"/>
    </row>
    <row r="5217" spans="1:62" ht="12" customHeight="1" x14ac:dyDescent="0.15">
      <c r="A5217" s="1" t="s">
        <v>18174</v>
      </c>
      <c r="B5217" s="1">
        <v>38</v>
      </c>
      <c r="C5217" s="1" t="s">
        <v>20</v>
      </c>
      <c r="D5217" s="1" t="s">
        <v>85</v>
      </c>
      <c r="E5217" s="1" t="s">
        <v>18175</v>
      </c>
      <c r="F5217" s="72">
        <v>41302</v>
      </c>
      <c r="G5217" s="1" t="s">
        <v>18176</v>
      </c>
      <c r="H5217" s="1" t="s">
        <v>651</v>
      </c>
      <c r="I5217" s="1" t="s">
        <v>62</v>
      </c>
      <c r="J5217" s="4" t="s">
        <v>18177</v>
      </c>
      <c r="K5217" s="1" t="s">
        <v>652</v>
      </c>
      <c r="L5217" s="11" t="s">
        <v>653</v>
      </c>
      <c r="M5217" s="1" t="s">
        <v>27</v>
      </c>
      <c r="N5217" s="1" t="s">
        <v>18178</v>
      </c>
      <c r="O5217" s="1" t="s">
        <v>1010</v>
      </c>
      <c r="P5217" s="1" t="s">
        <v>401</v>
      </c>
      <c r="Q5217" s="6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5217" s="1" t="s">
        <v>100</v>
      </c>
      <c r="S5217" s="13" t="s">
        <v>18</v>
      </c>
      <c r="T5217" s="44"/>
      <c r="U5217" s="44"/>
      <c r="V5217" s="44"/>
      <c r="W5217" s="44"/>
      <c r="X5217" s="44"/>
      <c r="Y5217" s="44"/>
      <c r="Z5217" s="44"/>
      <c r="AA5217" s="44"/>
      <c r="AB5217" s="44"/>
      <c r="AC5217" s="44"/>
      <c r="AD5217" s="44"/>
      <c r="AE5217" s="44"/>
      <c r="AF5217" s="44"/>
      <c r="AG5217" s="44"/>
      <c r="AH5217" s="44"/>
      <c r="AM5217" s="44"/>
      <c r="AN5217" s="44"/>
      <c r="AO5217" s="44"/>
      <c r="AP5217" s="44"/>
      <c r="AQ5217" s="44"/>
      <c r="AR5217" s="44"/>
      <c r="AS5217" s="44"/>
      <c r="AT5217" s="44"/>
      <c r="AX5217" s="44"/>
      <c r="AY5217" s="44"/>
      <c r="BC5217" s="44"/>
      <c r="BD5217" s="44"/>
      <c r="BE5217" s="44"/>
      <c r="BF5217" s="44"/>
      <c r="BG5217" s="44"/>
      <c r="BH5217" s="44"/>
      <c r="BI5217" s="44"/>
      <c r="BJ5217" s="44"/>
    </row>
    <row r="5218" spans="1:62" ht="12" customHeight="1" x14ac:dyDescent="0.15">
      <c r="A5218" s="1" t="s">
        <v>18168</v>
      </c>
      <c r="B5218" s="1">
        <v>24</v>
      </c>
      <c r="C5218" s="1" t="s">
        <v>20</v>
      </c>
      <c r="D5218" s="1" t="s">
        <v>85</v>
      </c>
      <c r="E5218" s="1" t="s">
        <v>18169</v>
      </c>
      <c r="F5218" s="72">
        <v>41302</v>
      </c>
      <c r="G5218" s="1" t="s">
        <v>18170</v>
      </c>
      <c r="H5218" s="1" t="s">
        <v>6428</v>
      </c>
      <c r="I5218" s="1" t="s">
        <v>62</v>
      </c>
      <c r="J5218" s="4" t="s">
        <v>18171</v>
      </c>
      <c r="K5218" s="1" t="s">
        <v>1123</v>
      </c>
      <c r="L5218" s="1" t="s">
        <v>6430</v>
      </c>
      <c r="M5218" s="1" t="s">
        <v>379</v>
      </c>
      <c r="N5218" s="1" t="s">
        <v>18172</v>
      </c>
      <c r="O5218" s="1" t="s">
        <v>1010</v>
      </c>
      <c r="P5218" s="1" t="s">
        <v>401</v>
      </c>
      <c r="Q5218" s="63" t="s">
        <v>18173</v>
      </c>
      <c r="R5218" s="1" t="s">
        <v>100</v>
      </c>
      <c r="S5218" s="13" t="s">
        <v>379</v>
      </c>
      <c r="T5218" s="11"/>
      <c r="U5218" s="11"/>
      <c r="V5218" s="11"/>
      <c r="W5218" s="11"/>
      <c r="X5218" s="11"/>
      <c r="Y5218" s="11"/>
      <c r="Z5218" s="11"/>
      <c r="AA5218" s="11"/>
      <c r="AB5218" s="11"/>
      <c r="AC5218" s="11"/>
      <c r="AD5218" s="11"/>
      <c r="AE5218" s="11"/>
      <c r="AF5218" s="44"/>
      <c r="AG5218" s="44"/>
      <c r="AH5218" s="44"/>
      <c r="AM5218" s="44"/>
      <c r="AN5218" s="44"/>
      <c r="AO5218" s="44"/>
      <c r="AP5218" s="44"/>
      <c r="AQ5218" s="44"/>
      <c r="AR5218" s="44"/>
      <c r="AS5218" s="44"/>
      <c r="AT5218" s="44"/>
      <c r="BC5218" s="44"/>
      <c r="BD5218" s="44"/>
      <c r="BE5218" s="44"/>
      <c r="BF5218" s="44"/>
      <c r="BG5218" s="44"/>
      <c r="BH5218" s="44"/>
      <c r="BI5218" s="44"/>
      <c r="BJ5218" s="44"/>
    </row>
    <row r="5219" spans="1:62" ht="12" customHeight="1" x14ac:dyDescent="0.15">
      <c r="A5219" s="1" t="s">
        <v>18179</v>
      </c>
      <c r="B5219" s="1">
        <v>51</v>
      </c>
      <c r="C5219" s="1" t="s">
        <v>20</v>
      </c>
      <c r="D5219" s="1" t="s">
        <v>37</v>
      </c>
      <c r="E5219" s="1" t="s">
        <v>18180</v>
      </c>
      <c r="F5219" s="72">
        <v>41302</v>
      </c>
      <c r="G5219" s="1" t="s">
        <v>24676</v>
      </c>
      <c r="H5219" s="1" t="s">
        <v>200</v>
      </c>
      <c r="I5219" s="1" t="s">
        <v>45</v>
      </c>
      <c r="J5219" s="4" t="s">
        <v>13166</v>
      </c>
      <c r="K5219" s="1" t="s">
        <v>200</v>
      </c>
      <c r="L5219" s="1" t="s">
        <v>1598</v>
      </c>
      <c r="M5219" s="1" t="s">
        <v>27</v>
      </c>
      <c r="N5219" s="1" t="s">
        <v>18181</v>
      </c>
      <c r="O5219" s="1" t="s">
        <v>1010</v>
      </c>
      <c r="P5219" s="1" t="s">
        <v>401</v>
      </c>
      <c r="Q5219" s="63" t="s">
        <v>18182</v>
      </c>
      <c r="R5219" s="1" t="s">
        <v>555</v>
      </c>
      <c r="S5219" s="13" t="s">
        <v>28</v>
      </c>
      <c r="T5219" s="44"/>
      <c r="U5219" s="44"/>
      <c r="V5219" s="44"/>
      <c r="W5219" s="44"/>
      <c r="X5219" s="44"/>
      <c r="Y5219" s="44"/>
      <c r="Z5219" s="44"/>
      <c r="AA5219" s="44"/>
      <c r="AB5219" s="44"/>
      <c r="AC5219" s="44"/>
      <c r="AD5219" s="44"/>
      <c r="AE5219" s="44"/>
      <c r="AF5219" s="44"/>
      <c r="AG5219" s="44"/>
      <c r="AH5219" s="44"/>
      <c r="AM5219" s="44"/>
      <c r="AN5219" s="44"/>
      <c r="AO5219" s="44"/>
      <c r="AP5219" s="44"/>
      <c r="AQ5219" s="44"/>
      <c r="AR5219" s="44"/>
      <c r="AS5219" s="44"/>
      <c r="AT5219" s="44"/>
      <c r="AX5219" s="44"/>
      <c r="AY5219" s="44"/>
      <c r="AZ5219" s="44"/>
      <c r="BA5219" s="44"/>
      <c r="BB5219" s="44"/>
    </row>
    <row r="5220" spans="1:62" ht="12" customHeight="1" x14ac:dyDescent="0.15">
      <c r="A5220" s="1" t="s">
        <v>18191</v>
      </c>
      <c r="B5220" s="1">
        <v>30</v>
      </c>
      <c r="C5220" s="1" t="s">
        <v>20</v>
      </c>
      <c r="D5220" s="1" t="s">
        <v>30</v>
      </c>
      <c r="F5220" s="72">
        <v>41301</v>
      </c>
      <c r="G5220" s="1" t="s">
        <v>24678</v>
      </c>
      <c r="H5220" s="1" t="s">
        <v>18192</v>
      </c>
      <c r="I5220" s="1" t="s">
        <v>44</v>
      </c>
      <c r="J5220" s="4" t="s">
        <v>18193</v>
      </c>
      <c r="K5220" s="1" t="s">
        <v>88</v>
      </c>
      <c r="L5220" s="1" t="s">
        <v>4146</v>
      </c>
      <c r="M5220" s="1" t="s">
        <v>27</v>
      </c>
      <c r="N5220" s="1" t="s">
        <v>18194</v>
      </c>
      <c r="O5220" s="1" t="s">
        <v>1010</v>
      </c>
      <c r="P5220" s="1" t="s">
        <v>401</v>
      </c>
      <c r="Q5220" s="63" t="s">
        <v>18195</v>
      </c>
      <c r="R5220" s="1" t="s">
        <v>100</v>
      </c>
      <c r="S5220" s="13" t="s">
        <v>28</v>
      </c>
      <c r="T5220" s="44"/>
      <c r="U5220" s="44"/>
      <c r="V5220" s="44"/>
      <c r="W5220" s="44"/>
      <c r="X5220" s="44"/>
      <c r="Y5220" s="44"/>
      <c r="Z5220" s="44"/>
      <c r="AA5220" s="44"/>
      <c r="AB5220" s="44"/>
      <c r="AC5220" s="44"/>
      <c r="AD5220" s="44"/>
      <c r="AE5220" s="44"/>
      <c r="AF5220" s="44"/>
      <c r="AG5220" s="44"/>
      <c r="AH5220" s="44"/>
      <c r="AM5220" s="44"/>
      <c r="AN5220" s="44"/>
      <c r="AO5220" s="44"/>
      <c r="AP5220" s="44"/>
      <c r="AQ5220" s="44"/>
      <c r="AR5220" s="44"/>
      <c r="AS5220" s="44"/>
      <c r="AT5220" s="44"/>
    </row>
    <row r="5221" spans="1:62" ht="12" customHeight="1" x14ac:dyDescent="0.15">
      <c r="A5221" s="1" t="s">
        <v>18196</v>
      </c>
      <c r="B5221" s="1">
        <v>32</v>
      </c>
      <c r="C5221" s="1" t="s">
        <v>20</v>
      </c>
      <c r="D5221" s="1" t="s">
        <v>30</v>
      </c>
      <c r="F5221" s="72">
        <v>41301</v>
      </c>
      <c r="G5221" s="1" t="s">
        <v>18197</v>
      </c>
      <c r="H5221" s="1" t="s">
        <v>1208</v>
      </c>
      <c r="I5221" s="1" t="s">
        <v>303</v>
      </c>
      <c r="J5221" s="4" t="s">
        <v>18198</v>
      </c>
      <c r="K5221" s="1" t="s">
        <v>1209</v>
      </c>
      <c r="L5221" s="1" t="s">
        <v>1210</v>
      </c>
      <c r="M5221" s="1" t="s">
        <v>27</v>
      </c>
      <c r="N5221" s="1" t="s">
        <v>18199</v>
      </c>
      <c r="O5221" s="1" t="s">
        <v>1010</v>
      </c>
      <c r="P5221" s="1" t="s">
        <v>401</v>
      </c>
      <c r="Q5221" s="63" t="s">
        <v>18200</v>
      </c>
      <c r="R5221" s="1" t="s">
        <v>100</v>
      </c>
      <c r="S5221" s="13" t="s">
        <v>28</v>
      </c>
      <c r="T5221" s="44"/>
      <c r="U5221" s="44"/>
      <c r="V5221" s="44"/>
      <c r="W5221" s="44"/>
      <c r="X5221" s="44"/>
      <c r="Y5221" s="44"/>
      <c r="Z5221" s="44"/>
      <c r="AA5221" s="44"/>
      <c r="AB5221" s="44"/>
      <c r="AC5221" s="44"/>
      <c r="AD5221" s="44"/>
      <c r="AE5221" s="44"/>
      <c r="AF5221" s="44"/>
      <c r="AG5221" s="44"/>
      <c r="AH5221" s="44"/>
      <c r="AM5221" s="44"/>
      <c r="AN5221" s="44"/>
      <c r="AO5221" s="44"/>
      <c r="AP5221" s="44"/>
      <c r="AQ5221" s="44"/>
      <c r="AR5221" s="44"/>
      <c r="AS5221" s="44"/>
      <c r="AT5221" s="44"/>
    </row>
    <row r="5222" spans="1:62" ht="12" customHeight="1" x14ac:dyDescent="0.15">
      <c r="A5222" s="1" t="s">
        <v>18205</v>
      </c>
      <c r="B5222" s="1" t="s">
        <v>15955</v>
      </c>
      <c r="C5222" s="1" t="s">
        <v>20</v>
      </c>
      <c r="D5222" s="1" t="s">
        <v>85</v>
      </c>
      <c r="E5222" s="1" t="s">
        <v>18206</v>
      </c>
      <c r="F5222" s="72">
        <v>41299</v>
      </c>
      <c r="G5222" s="1" t="s">
        <v>18207</v>
      </c>
      <c r="H5222" s="1" t="s">
        <v>561</v>
      </c>
      <c r="I5222" s="1" t="s">
        <v>123</v>
      </c>
      <c r="J5222" s="4">
        <v>85716</v>
      </c>
      <c r="K5222" s="1" t="s">
        <v>562</v>
      </c>
      <c r="L5222" s="1" t="s">
        <v>563</v>
      </c>
      <c r="M5222" s="1" t="s">
        <v>27</v>
      </c>
      <c r="N5222" s="1" t="s">
        <v>18208</v>
      </c>
      <c r="O5222" s="1" t="s">
        <v>29</v>
      </c>
      <c r="P5222" s="1" t="s">
        <v>401</v>
      </c>
      <c r="Q5222" s="63" t="s">
        <v>18209</v>
      </c>
      <c r="R5222" s="1" t="s">
        <v>100</v>
      </c>
      <c r="S5222" s="13" t="s">
        <v>28</v>
      </c>
      <c r="T5222" s="44"/>
      <c r="U5222" s="44"/>
      <c r="V5222" s="44"/>
      <c r="W5222" s="44"/>
      <c r="X5222" s="44"/>
      <c r="Y5222" s="44"/>
      <c r="Z5222" s="44"/>
      <c r="AA5222" s="44"/>
      <c r="AB5222" s="44"/>
      <c r="AC5222" s="44"/>
      <c r="AD5222" s="44"/>
      <c r="AE5222" s="44"/>
      <c r="AF5222" s="44"/>
      <c r="AG5222" s="44"/>
      <c r="AH5222" s="44"/>
      <c r="AM5222" s="44"/>
      <c r="AN5222" s="44"/>
      <c r="AO5222" s="44"/>
      <c r="AP5222" s="44"/>
      <c r="AQ5222" s="44"/>
      <c r="AR5222" s="44"/>
      <c r="AS5222" s="44"/>
      <c r="AT5222" s="44"/>
      <c r="AX5222" s="44"/>
      <c r="AY5222" s="44"/>
      <c r="BC5222" s="44"/>
      <c r="BD5222" s="44"/>
      <c r="BE5222" s="44"/>
      <c r="BF5222" s="44"/>
      <c r="BG5222" s="44"/>
      <c r="BH5222" s="44"/>
      <c r="BI5222" s="44"/>
      <c r="BJ5222" s="44"/>
    </row>
    <row r="5223" spans="1:62" ht="12" customHeight="1" x14ac:dyDescent="0.15">
      <c r="A5223" s="1" t="s">
        <v>18201</v>
      </c>
      <c r="B5223" s="1">
        <v>41</v>
      </c>
      <c r="C5223" s="1" t="s">
        <v>20</v>
      </c>
      <c r="D5223" s="1" t="s">
        <v>85</v>
      </c>
      <c r="F5223" s="72">
        <v>41299</v>
      </c>
      <c r="G5223" s="1" t="s">
        <v>24679</v>
      </c>
      <c r="H5223" s="1" t="s">
        <v>1592</v>
      </c>
      <c r="I5223" s="1" t="s">
        <v>52</v>
      </c>
      <c r="J5223" s="4" t="s">
        <v>18202</v>
      </c>
      <c r="K5223" s="1" t="s">
        <v>4697</v>
      </c>
      <c r="L5223" s="1" t="s">
        <v>2770</v>
      </c>
      <c r="M5223" s="1" t="s">
        <v>27</v>
      </c>
      <c r="N5223" s="1" t="s">
        <v>18203</v>
      </c>
      <c r="O5223" s="1" t="s">
        <v>1010</v>
      </c>
      <c r="P5223" s="1" t="s">
        <v>401</v>
      </c>
      <c r="Q5223" s="63" t="s">
        <v>18204</v>
      </c>
      <c r="R5223" s="1" t="s">
        <v>100</v>
      </c>
      <c r="S5223" s="13" t="s">
        <v>28</v>
      </c>
      <c r="T5223" s="44"/>
      <c r="U5223" s="44"/>
      <c r="V5223" s="44"/>
      <c r="W5223" s="44"/>
      <c r="X5223" s="44"/>
      <c r="Y5223" s="44"/>
      <c r="Z5223" s="44"/>
      <c r="AA5223" s="44"/>
      <c r="AB5223" s="44"/>
      <c r="AC5223" s="44"/>
      <c r="AD5223" s="44"/>
      <c r="AE5223" s="44"/>
      <c r="AF5223" s="44"/>
      <c r="AG5223" s="44"/>
      <c r="AH5223" s="44"/>
      <c r="AM5223" s="44"/>
      <c r="AN5223" s="44"/>
      <c r="AO5223" s="44"/>
      <c r="AP5223" s="44"/>
      <c r="AQ5223" s="44"/>
      <c r="AR5223" s="44"/>
      <c r="AS5223" s="44"/>
      <c r="AT5223" s="44"/>
      <c r="AX5223" s="44"/>
      <c r="AY5223" s="44"/>
      <c r="BC5223" s="44"/>
      <c r="BD5223" s="44"/>
      <c r="BE5223" s="44"/>
      <c r="BF5223" s="44"/>
      <c r="BG5223" s="44"/>
      <c r="BH5223" s="44"/>
      <c r="BI5223" s="44"/>
      <c r="BJ5223" s="44"/>
    </row>
    <row r="5224" spans="1:62" ht="12" customHeight="1" x14ac:dyDescent="0.15">
      <c r="A5224" s="1" t="s">
        <v>18210</v>
      </c>
      <c r="B5224" s="1">
        <v>16</v>
      </c>
      <c r="C5224" s="1" t="s">
        <v>20</v>
      </c>
      <c r="D5224" s="1" t="s">
        <v>37</v>
      </c>
      <c r="E5224" s="1" t="s">
        <v>18211</v>
      </c>
      <c r="F5224" s="72">
        <v>41299</v>
      </c>
      <c r="G5224" s="1" t="s">
        <v>18212</v>
      </c>
      <c r="H5224" s="1" t="s">
        <v>3346</v>
      </c>
      <c r="I5224" s="1" t="s">
        <v>303</v>
      </c>
      <c r="J5224" s="4" t="s">
        <v>18213</v>
      </c>
      <c r="K5224" s="1" t="s">
        <v>570</v>
      </c>
      <c r="L5224" s="1" t="s">
        <v>5634</v>
      </c>
      <c r="M5224" s="1" t="s">
        <v>27</v>
      </c>
      <c r="N5224" s="1" t="s">
        <v>18214</v>
      </c>
      <c r="O5224" s="1" t="s">
        <v>550</v>
      </c>
      <c r="P5224" s="1" t="s">
        <v>401</v>
      </c>
      <c r="Q5224" s="63" t="s">
        <v>18215</v>
      </c>
      <c r="R5224" s="1" t="s">
        <v>100</v>
      </c>
      <c r="S5224" s="13" t="s">
        <v>28</v>
      </c>
      <c r="T5224" s="44"/>
      <c r="U5224" s="44"/>
      <c r="V5224" s="44"/>
      <c r="W5224" s="44"/>
      <c r="X5224" s="44"/>
      <c r="Y5224" s="44"/>
      <c r="Z5224" s="44"/>
      <c r="AA5224" s="44"/>
      <c r="AB5224" s="44"/>
      <c r="AC5224" s="44"/>
      <c r="AD5224" s="44"/>
      <c r="AE5224" s="44"/>
      <c r="AF5224" s="44"/>
      <c r="AG5224" s="44"/>
      <c r="AH5224" s="44"/>
      <c r="AM5224" s="44"/>
      <c r="AN5224" s="44"/>
      <c r="AO5224" s="44"/>
      <c r="AP5224" s="44"/>
      <c r="AQ5224" s="44"/>
      <c r="AR5224" s="44"/>
      <c r="AS5224" s="44"/>
      <c r="AT5224" s="44"/>
      <c r="AX5224" s="44"/>
      <c r="AY5224" s="44"/>
      <c r="AZ5224" s="44"/>
    </row>
    <row r="5225" spans="1:62" ht="12" customHeight="1" x14ac:dyDescent="0.15">
      <c r="A5225" s="1" t="s">
        <v>18222</v>
      </c>
      <c r="B5225" s="1">
        <v>60</v>
      </c>
      <c r="C5225" s="1" t="s">
        <v>114</v>
      </c>
      <c r="D5225" s="1" t="s">
        <v>85</v>
      </c>
      <c r="E5225" s="1" t="s">
        <v>18223</v>
      </c>
      <c r="F5225" s="72">
        <v>41298</v>
      </c>
      <c r="G5225" s="1" t="s">
        <v>24680</v>
      </c>
      <c r="H5225" s="1" t="s">
        <v>7030</v>
      </c>
      <c r="I5225" s="1" t="s">
        <v>25</v>
      </c>
      <c r="J5225" s="4" t="s">
        <v>7031</v>
      </c>
      <c r="K5225" s="1" t="s">
        <v>7032</v>
      </c>
      <c r="L5225" s="1" t="s">
        <v>18224</v>
      </c>
      <c r="M5225" s="1" t="s">
        <v>27</v>
      </c>
      <c r="N5225" s="1" t="s">
        <v>18225</v>
      </c>
      <c r="O5225" s="1" t="s">
        <v>18226</v>
      </c>
      <c r="P5225" s="1" t="s">
        <v>401</v>
      </c>
      <c r="Q5225" s="63" t="s">
        <v>18227</v>
      </c>
      <c r="R5225" s="1" t="s">
        <v>100</v>
      </c>
      <c r="S5225" s="13" t="s">
        <v>28</v>
      </c>
      <c r="T5225" s="44"/>
      <c r="U5225" s="44"/>
      <c r="V5225" s="44"/>
      <c r="W5225" s="44"/>
      <c r="X5225" s="44"/>
      <c r="Y5225" s="44"/>
      <c r="Z5225" s="44"/>
      <c r="AA5225" s="44"/>
      <c r="AB5225" s="44"/>
      <c r="AC5225" s="44"/>
      <c r="AD5225" s="44"/>
      <c r="AE5225" s="44"/>
      <c r="AF5225" s="44"/>
      <c r="AG5225" s="44"/>
      <c r="AH5225" s="44"/>
      <c r="AX5225" s="44"/>
      <c r="AY5225" s="44"/>
      <c r="BC5225" s="44"/>
      <c r="BD5225" s="44"/>
      <c r="BE5225" s="44"/>
      <c r="BF5225" s="44"/>
      <c r="BG5225" s="44"/>
      <c r="BH5225" s="44"/>
      <c r="BI5225" s="44"/>
      <c r="BJ5225" s="44"/>
    </row>
    <row r="5226" spans="1:62" ht="12" customHeight="1" x14ac:dyDescent="0.15">
      <c r="A5226" s="1" t="s">
        <v>18216</v>
      </c>
      <c r="B5226" s="1">
        <v>22</v>
      </c>
      <c r="C5226" s="1" t="s">
        <v>20</v>
      </c>
      <c r="D5226" s="1" t="s">
        <v>85</v>
      </c>
      <c r="E5226" s="1" t="s">
        <v>18217</v>
      </c>
      <c r="F5226" s="72">
        <v>41298</v>
      </c>
      <c r="G5226" s="1" t="s">
        <v>18218</v>
      </c>
      <c r="H5226" s="1" t="s">
        <v>5949</v>
      </c>
      <c r="I5226" s="1" t="s">
        <v>366</v>
      </c>
      <c r="J5226" s="4" t="s">
        <v>18219</v>
      </c>
      <c r="K5226" s="1" t="s">
        <v>3152</v>
      </c>
      <c r="L5226" s="1" t="s">
        <v>5951</v>
      </c>
      <c r="M5226" s="1" t="s">
        <v>27</v>
      </c>
      <c r="N5226" s="1" t="s">
        <v>18220</v>
      </c>
      <c r="O5226" s="1" t="s">
        <v>550</v>
      </c>
      <c r="P5226" s="1" t="s">
        <v>401</v>
      </c>
      <c r="Q5226" s="63" t="s">
        <v>18221</v>
      </c>
      <c r="R5226" s="1" t="s">
        <v>100</v>
      </c>
      <c r="S5226" s="13" t="s">
        <v>28</v>
      </c>
      <c r="T5226" s="44"/>
      <c r="U5226" s="44"/>
      <c r="V5226" s="44"/>
      <c r="W5226" s="44"/>
      <c r="X5226" s="44"/>
      <c r="Y5226" s="44"/>
      <c r="Z5226" s="44"/>
      <c r="AA5226" s="44"/>
      <c r="AB5226" s="44"/>
      <c r="AC5226" s="44"/>
      <c r="AD5226" s="44"/>
      <c r="AE5226" s="44"/>
      <c r="AF5226" s="44"/>
      <c r="AG5226" s="44"/>
      <c r="AH5226" s="44"/>
      <c r="AM5226" s="44"/>
      <c r="AN5226" s="44"/>
      <c r="AO5226" s="44"/>
      <c r="AP5226" s="44"/>
      <c r="AQ5226" s="44"/>
      <c r="AR5226" s="44"/>
      <c r="AS5226" s="44"/>
      <c r="AT5226" s="44"/>
      <c r="AX5226" s="44"/>
      <c r="AY5226" s="44"/>
      <c r="BC5226" s="44"/>
      <c r="BD5226" s="44"/>
      <c r="BE5226" s="44"/>
      <c r="BF5226" s="44"/>
      <c r="BG5226" s="44"/>
      <c r="BH5226" s="44"/>
      <c r="BI5226" s="44"/>
      <c r="BJ5226" s="44"/>
    </row>
    <row r="5227" spans="1:62" ht="12" customHeight="1" x14ac:dyDescent="0.15">
      <c r="A5227" s="1" t="s">
        <v>18228</v>
      </c>
      <c r="B5227" s="1">
        <v>22</v>
      </c>
      <c r="C5227" s="1" t="s">
        <v>20</v>
      </c>
      <c r="D5227" s="1" t="s">
        <v>30</v>
      </c>
      <c r="F5227" s="72">
        <v>41298</v>
      </c>
      <c r="G5227" s="1" t="s">
        <v>18229</v>
      </c>
      <c r="H5227" s="1" t="s">
        <v>12401</v>
      </c>
      <c r="I5227" s="1" t="s">
        <v>73</v>
      </c>
      <c r="J5227" s="4" t="s">
        <v>18230</v>
      </c>
      <c r="K5227" s="1" t="s">
        <v>74</v>
      </c>
      <c r="L5227" s="1" t="s">
        <v>12403</v>
      </c>
      <c r="M5227" s="1" t="s">
        <v>27</v>
      </c>
      <c r="N5227" s="1" t="s">
        <v>18231</v>
      </c>
      <c r="O5227" s="1" t="s">
        <v>1010</v>
      </c>
      <c r="P5227" s="1" t="s">
        <v>401</v>
      </c>
      <c r="Q5227" s="63" t="s">
        <v>18232</v>
      </c>
      <c r="R5227" s="1" t="s">
        <v>100</v>
      </c>
      <c r="S5227" s="13" t="s">
        <v>28</v>
      </c>
      <c r="T5227" s="44"/>
      <c r="U5227" s="44"/>
      <c r="V5227" s="44"/>
      <c r="W5227" s="44"/>
      <c r="X5227" s="44"/>
      <c r="Y5227" s="44"/>
      <c r="Z5227" s="44"/>
      <c r="AA5227" s="44"/>
      <c r="AB5227" s="44"/>
      <c r="AC5227" s="44"/>
      <c r="AD5227" s="44"/>
      <c r="AE5227" s="44"/>
      <c r="AF5227" s="44"/>
      <c r="AG5227" s="44"/>
      <c r="AH5227" s="44"/>
    </row>
    <row r="5228" spans="1:62" ht="12" customHeight="1" x14ac:dyDescent="0.15">
      <c r="A5228" s="1" t="s">
        <v>18233</v>
      </c>
      <c r="B5228" s="1">
        <v>34</v>
      </c>
      <c r="C5228" s="1" t="s">
        <v>20</v>
      </c>
      <c r="D5228" s="1" t="s">
        <v>37</v>
      </c>
      <c r="E5228" s="1" t="s">
        <v>18234</v>
      </c>
      <c r="F5228" s="72">
        <v>41298</v>
      </c>
      <c r="G5228" s="1" t="s">
        <v>18235</v>
      </c>
      <c r="H5228" s="1" t="s">
        <v>2342</v>
      </c>
      <c r="I5228" s="1" t="s">
        <v>57</v>
      </c>
      <c r="J5228" s="4" t="s">
        <v>18236</v>
      </c>
      <c r="K5228" s="1" t="s">
        <v>2342</v>
      </c>
      <c r="L5228" s="1" t="s">
        <v>18237</v>
      </c>
      <c r="M5228" s="1" t="s">
        <v>27</v>
      </c>
      <c r="N5228" s="1" t="s">
        <v>18238</v>
      </c>
      <c r="O5228" s="1" t="s">
        <v>550</v>
      </c>
      <c r="P5228" s="1" t="s">
        <v>401</v>
      </c>
      <c r="Q5228" s="63" t="s">
        <v>18239</v>
      </c>
      <c r="R5228" s="1" t="s">
        <v>100</v>
      </c>
      <c r="S5228" s="13" t="s">
        <v>28</v>
      </c>
      <c r="T5228" s="44"/>
      <c r="U5228" s="44"/>
      <c r="V5228" s="44"/>
      <c r="W5228" s="44"/>
      <c r="X5228" s="44"/>
      <c r="Y5228" s="44"/>
      <c r="Z5228" s="44"/>
      <c r="AA5228" s="44"/>
      <c r="AB5228" s="44"/>
      <c r="AC5228" s="44"/>
      <c r="AD5228" s="44"/>
      <c r="AE5228" s="44"/>
      <c r="AF5228" s="44"/>
      <c r="AG5228" s="44"/>
      <c r="AH5228" s="44"/>
      <c r="AX5228" s="44"/>
      <c r="AY5228" s="44"/>
      <c r="AZ5228" s="44"/>
    </row>
    <row r="5229" spans="1:62" ht="12" customHeight="1" x14ac:dyDescent="0.15">
      <c r="A5229" s="1" t="s">
        <v>18240</v>
      </c>
      <c r="B5229" s="1" t="s">
        <v>15934</v>
      </c>
      <c r="C5229" s="1" t="s">
        <v>20</v>
      </c>
      <c r="D5229" s="1" t="s">
        <v>85</v>
      </c>
      <c r="E5229" s="1" t="s">
        <v>18241</v>
      </c>
      <c r="F5229" s="72">
        <v>41297</v>
      </c>
      <c r="G5229" s="1" t="s">
        <v>18242</v>
      </c>
      <c r="H5229" s="1" t="s">
        <v>18243</v>
      </c>
      <c r="I5229" s="1" t="s">
        <v>73</v>
      </c>
      <c r="J5229" s="4" t="s">
        <v>18244</v>
      </c>
      <c r="K5229" s="1" t="s">
        <v>1575</v>
      </c>
      <c r="L5229" s="1" t="s">
        <v>18245</v>
      </c>
      <c r="M5229" s="1" t="s">
        <v>27</v>
      </c>
      <c r="N5229" s="1" t="s">
        <v>18246</v>
      </c>
      <c r="O5229" s="1" t="s">
        <v>550</v>
      </c>
      <c r="P5229" s="1" t="s">
        <v>401</v>
      </c>
      <c r="Q5229" s="63" t="s">
        <v>18247</v>
      </c>
      <c r="R5229" s="1" t="s">
        <v>555</v>
      </c>
      <c r="S5229" s="13" t="s">
        <v>28</v>
      </c>
      <c r="T5229" s="44"/>
      <c r="U5229" s="44"/>
      <c r="V5229" s="44"/>
      <c r="W5229" s="44"/>
      <c r="X5229" s="44"/>
      <c r="Y5229" s="44"/>
      <c r="Z5229" s="44"/>
      <c r="AA5229" s="44"/>
      <c r="AB5229" s="44"/>
      <c r="AC5229" s="44"/>
      <c r="AD5229" s="44"/>
      <c r="AE5229" s="44"/>
      <c r="AF5229" s="44"/>
      <c r="AG5229" s="44"/>
      <c r="AH5229" s="44"/>
      <c r="AX5229" s="44"/>
      <c r="AY5229" s="44"/>
      <c r="BC5229" s="44"/>
      <c r="BD5229" s="44"/>
      <c r="BE5229" s="44"/>
      <c r="BF5229" s="44"/>
      <c r="BG5229" s="44"/>
      <c r="BH5229" s="44"/>
      <c r="BI5229" s="44"/>
      <c r="BJ5229" s="44"/>
    </row>
    <row r="5230" spans="1:62" ht="12" customHeight="1" x14ac:dyDescent="0.15">
      <c r="A5230" s="1" t="s">
        <v>18253</v>
      </c>
      <c r="B5230" s="1">
        <v>20</v>
      </c>
      <c r="C5230" s="1" t="s">
        <v>20</v>
      </c>
      <c r="D5230" s="1" t="s">
        <v>30</v>
      </c>
      <c r="F5230" s="72">
        <v>41296</v>
      </c>
      <c r="G5230" s="1" t="s">
        <v>18254</v>
      </c>
      <c r="H5230" s="1" t="s">
        <v>18255</v>
      </c>
      <c r="I5230" s="1" t="s">
        <v>209</v>
      </c>
      <c r="J5230" s="4" t="s">
        <v>18256</v>
      </c>
      <c r="K5230" s="1" t="s">
        <v>18257</v>
      </c>
      <c r="L5230" s="1" t="s">
        <v>18258</v>
      </c>
      <c r="M5230" s="1" t="s">
        <v>27</v>
      </c>
      <c r="N5230" s="1" t="s">
        <v>18259</v>
      </c>
      <c r="O5230" s="1" t="s">
        <v>550</v>
      </c>
      <c r="P5230" s="1" t="s">
        <v>401</v>
      </c>
      <c r="Q5230" s="63" t="s">
        <v>18260</v>
      </c>
      <c r="R5230" s="1" t="s">
        <v>100</v>
      </c>
      <c r="S5230" s="13" t="s">
        <v>28</v>
      </c>
      <c r="T5230" s="44"/>
      <c r="U5230" s="44"/>
      <c r="V5230" s="44"/>
      <c r="W5230" s="44"/>
      <c r="X5230" s="44"/>
      <c r="Y5230" s="44"/>
      <c r="Z5230" s="44"/>
      <c r="AA5230" s="44"/>
      <c r="AB5230" s="44"/>
      <c r="AC5230" s="44"/>
      <c r="AD5230" s="44"/>
      <c r="AE5230" s="44"/>
      <c r="AF5230" s="44"/>
      <c r="AG5230" s="44"/>
      <c r="AH5230" s="44"/>
      <c r="AM5230" s="44"/>
      <c r="AN5230" s="44"/>
      <c r="AO5230" s="44"/>
      <c r="AP5230" s="44"/>
      <c r="AQ5230" s="44"/>
      <c r="AR5230" s="44"/>
      <c r="AS5230" s="44"/>
      <c r="AT5230" s="44"/>
    </row>
    <row r="5231" spans="1:62" ht="12" customHeight="1" x14ac:dyDescent="0.15">
      <c r="A5231" s="1" t="s">
        <v>18248</v>
      </c>
      <c r="B5231" s="1">
        <v>33</v>
      </c>
      <c r="C5231" s="1" t="s">
        <v>20</v>
      </c>
      <c r="D5231" s="1" t="s">
        <v>30</v>
      </c>
      <c r="F5231" s="72">
        <v>41296</v>
      </c>
      <c r="G5231" s="1" t="s">
        <v>18249</v>
      </c>
      <c r="H5231" s="1" t="s">
        <v>12547</v>
      </c>
      <c r="I5231" s="1" t="s">
        <v>195</v>
      </c>
      <c r="J5231" s="4" t="s">
        <v>18250</v>
      </c>
      <c r="K5231" s="1" t="s">
        <v>5736</v>
      </c>
      <c r="L5231" s="1" t="s">
        <v>12549</v>
      </c>
      <c r="M5231" s="1" t="s">
        <v>27</v>
      </c>
      <c r="N5231" s="1" t="s">
        <v>18251</v>
      </c>
      <c r="O5231" s="1" t="s">
        <v>1010</v>
      </c>
      <c r="P5231" s="1" t="s">
        <v>401</v>
      </c>
      <c r="Q5231" s="63" t="s">
        <v>18252</v>
      </c>
      <c r="R5231" s="1" t="s">
        <v>100</v>
      </c>
      <c r="S5231" s="13" t="s">
        <v>28</v>
      </c>
      <c r="T5231" s="44"/>
      <c r="U5231" s="44"/>
      <c r="V5231" s="44"/>
      <c r="W5231" s="44"/>
      <c r="X5231" s="44"/>
      <c r="Y5231" s="44"/>
      <c r="Z5231" s="44"/>
      <c r="AA5231" s="44"/>
      <c r="AB5231" s="44"/>
      <c r="AC5231" s="44"/>
      <c r="AD5231" s="44"/>
      <c r="AE5231" s="44"/>
      <c r="AF5231" s="44"/>
      <c r="AG5231" s="44"/>
      <c r="AH5231" s="44"/>
    </row>
    <row r="5232" spans="1:62" ht="12" customHeight="1" x14ac:dyDescent="0.15">
      <c r="A5232" s="1" t="s">
        <v>18264</v>
      </c>
      <c r="B5232" s="1">
        <v>46</v>
      </c>
      <c r="C5232" s="1" t="s">
        <v>114</v>
      </c>
      <c r="D5232" s="1" t="s">
        <v>37</v>
      </c>
      <c r="E5232" s="1" t="s">
        <v>18265</v>
      </c>
      <c r="F5232" s="72">
        <v>41296</v>
      </c>
      <c r="G5232" s="1" t="s">
        <v>24681</v>
      </c>
      <c r="H5232" s="1" t="s">
        <v>3210</v>
      </c>
      <c r="I5232" s="1" t="s">
        <v>269</v>
      </c>
      <c r="J5232" s="4" t="s">
        <v>3211</v>
      </c>
      <c r="K5232" s="1" t="s">
        <v>570</v>
      </c>
      <c r="L5232" s="1" t="s">
        <v>571</v>
      </c>
      <c r="M5232" s="1" t="s">
        <v>27</v>
      </c>
      <c r="N5232" s="1" t="s">
        <v>18266</v>
      </c>
      <c r="O5232" s="1" t="s">
        <v>613</v>
      </c>
      <c r="P5232" s="1" t="s">
        <v>401</v>
      </c>
      <c r="Q5232" s="63" t="s">
        <v>18263</v>
      </c>
      <c r="R5232" s="1" t="s">
        <v>100</v>
      </c>
      <c r="S5232" s="13" t="s">
        <v>18</v>
      </c>
      <c r="T5232" s="44"/>
      <c r="U5232" s="44"/>
      <c r="V5232" s="44"/>
      <c r="W5232" s="44"/>
      <c r="X5232" s="44"/>
      <c r="Y5232" s="44"/>
      <c r="Z5232" s="44"/>
      <c r="AA5232" s="44"/>
      <c r="AB5232" s="44"/>
      <c r="AC5232" s="44"/>
      <c r="AD5232" s="44"/>
      <c r="AE5232" s="44"/>
      <c r="AF5232" s="44"/>
      <c r="AG5232" s="44"/>
      <c r="AH5232" s="44"/>
      <c r="AX5232" s="44"/>
      <c r="AY5232" s="44"/>
      <c r="AZ5232" s="44"/>
    </row>
    <row r="5233" spans="1:63" ht="12" customHeight="1" x14ac:dyDescent="0.15">
      <c r="A5233" s="1" t="s">
        <v>18261</v>
      </c>
      <c r="B5233" s="1">
        <v>5</v>
      </c>
      <c r="C5233" s="1" t="s">
        <v>20</v>
      </c>
      <c r="D5233" s="1" t="s">
        <v>37</v>
      </c>
      <c r="F5233" s="72">
        <v>41296</v>
      </c>
      <c r="G5233" s="1" t="s">
        <v>24681</v>
      </c>
      <c r="H5233" s="1" t="s">
        <v>3210</v>
      </c>
      <c r="I5233" s="1" t="s">
        <v>269</v>
      </c>
      <c r="J5233" s="4" t="s">
        <v>3211</v>
      </c>
      <c r="K5233" s="1" t="s">
        <v>570</v>
      </c>
      <c r="L5233" s="1" t="s">
        <v>571</v>
      </c>
      <c r="M5233" s="1" t="s">
        <v>27</v>
      </c>
      <c r="N5233" s="1" t="s">
        <v>18262</v>
      </c>
      <c r="O5233" s="1" t="s">
        <v>613</v>
      </c>
      <c r="P5233" s="1" t="s">
        <v>401</v>
      </c>
      <c r="Q5233" s="63" t="s">
        <v>18263</v>
      </c>
      <c r="R5233" s="1" t="s">
        <v>100</v>
      </c>
      <c r="S5233" s="13" t="s">
        <v>18</v>
      </c>
      <c r="T5233" s="44"/>
      <c r="U5233" s="44"/>
      <c r="V5233" s="44"/>
      <c r="W5233" s="44"/>
      <c r="X5233" s="44"/>
      <c r="Y5233" s="44"/>
      <c r="Z5233" s="44"/>
      <c r="AA5233" s="44"/>
      <c r="AB5233" s="44"/>
      <c r="AC5233" s="44"/>
      <c r="AD5233" s="44"/>
      <c r="AE5233" s="44"/>
      <c r="AF5233" s="44"/>
      <c r="AG5233" s="44"/>
      <c r="AH5233" s="44"/>
      <c r="AX5233" s="44"/>
      <c r="AY5233" s="44"/>
      <c r="AZ5233" s="44"/>
    </row>
    <row r="5234" spans="1:63" ht="12" customHeight="1" x14ac:dyDescent="0.15">
      <c r="A5234" s="1" t="s">
        <v>18267</v>
      </c>
      <c r="B5234" s="1">
        <v>50</v>
      </c>
      <c r="C5234" s="1" t="s">
        <v>20</v>
      </c>
      <c r="D5234" s="1" t="s">
        <v>85</v>
      </c>
      <c r="E5234" s="1" t="s">
        <v>18268</v>
      </c>
      <c r="F5234" s="72">
        <v>41295</v>
      </c>
      <c r="G5234" s="1" t="s">
        <v>18269</v>
      </c>
      <c r="H5234" s="1" t="s">
        <v>18270</v>
      </c>
      <c r="I5234" s="1" t="s">
        <v>25</v>
      </c>
      <c r="J5234" s="4" t="s">
        <v>18271</v>
      </c>
      <c r="K5234" s="1" t="s">
        <v>18272</v>
      </c>
      <c r="L5234" s="1" t="s">
        <v>18273</v>
      </c>
      <c r="M5234" s="1" t="s">
        <v>27</v>
      </c>
      <c r="N5234" s="1" t="s">
        <v>18274</v>
      </c>
      <c r="O5234" s="1" t="s">
        <v>29</v>
      </c>
      <c r="P5234" s="1" t="s">
        <v>401</v>
      </c>
      <c r="Q5234" s="63" t="s">
        <v>18275</v>
      </c>
      <c r="R5234" s="1" t="s">
        <v>100</v>
      </c>
      <c r="S5234" s="13" t="s">
        <v>28</v>
      </c>
      <c r="T5234" s="44"/>
      <c r="U5234" s="44"/>
      <c r="V5234" s="44"/>
      <c r="W5234" s="44"/>
      <c r="X5234" s="44"/>
      <c r="Y5234" s="44"/>
      <c r="Z5234" s="44"/>
      <c r="AA5234" s="44"/>
      <c r="AB5234" s="44"/>
      <c r="AC5234" s="44"/>
      <c r="AD5234" s="44"/>
      <c r="AE5234" s="44"/>
      <c r="AF5234" s="44"/>
      <c r="AG5234" s="44"/>
      <c r="AH5234" s="44"/>
      <c r="AX5234" s="44"/>
      <c r="AY5234" s="44"/>
      <c r="BC5234" s="44"/>
      <c r="BD5234" s="44"/>
      <c r="BE5234" s="44"/>
      <c r="BF5234" s="44"/>
      <c r="BG5234" s="44"/>
      <c r="BH5234" s="44"/>
      <c r="BI5234" s="44"/>
      <c r="BJ5234" s="44"/>
    </row>
    <row r="5235" spans="1:63" ht="12" customHeight="1" x14ac:dyDescent="0.15">
      <c r="A5235" s="1" t="s">
        <v>18276</v>
      </c>
      <c r="B5235" s="1">
        <v>18</v>
      </c>
      <c r="C5235" s="1" t="s">
        <v>20</v>
      </c>
      <c r="D5235" s="1" t="s">
        <v>48</v>
      </c>
      <c r="E5235" s="1" t="s">
        <v>18277</v>
      </c>
      <c r="F5235" s="72">
        <v>41295</v>
      </c>
      <c r="G5235" s="1" t="s">
        <v>18278</v>
      </c>
      <c r="H5235" s="1" t="s">
        <v>16030</v>
      </c>
      <c r="I5235" s="1" t="s">
        <v>438</v>
      </c>
      <c r="J5235" s="4" t="s">
        <v>16031</v>
      </c>
      <c r="K5235" s="1" t="s">
        <v>16032</v>
      </c>
      <c r="L5235" s="1" t="s">
        <v>16033</v>
      </c>
      <c r="M5235" s="1" t="s">
        <v>27</v>
      </c>
      <c r="N5235" s="1" t="s">
        <v>18279</v>
      </c>
      <c r="O5235" s="1" t="s">
        <v>550</v>
      </c>
      <c r="P5235" s="1" t="s">
        <v>401</v>
      </c>
      <c r="Q5235" s="63" t="s">
        <v>18280</v>
      </c>
      <c r="R5235" s="1" t="s">
        <v>100</v>
      </c>
      <c r="S5235" s="13" t="s">
        <v>28</v>
      </c>
      <c r="T5235" s="44"/>
      <c r="U5235" s="44"/>
      <c r="V5235" s="44"/>
      <c r="W5235" s="44"/>
      <c r="X5235" s="44"/>
      <c r="Y5235" s="44"/>
      <c r="Z5235" s="44"/>
      <c r="AA5235" s="44"/>
      <c r="AB5235" s="44"/>
      <c r="AC5235" s="44"/>
      <c r="AD5235" s="44"/>
      <c r="AE5235" s="44"/>
      <c r="AF5235" s="44"/>
      <c r="AG5235" s="44"/>
      <c r="AH5235" s="44"/>
    </row>
    <row r="5236" spans="1:63" ht="12" customHeight="1" x14ac:dyDescent="0.15">
      <c r="A5236" s="1" t="s">
        <v>18281</v>
      </c>
      <c r="B5236" s="1">
        <v>22</v>
      </c>
      <c r="C5236" s="1" t="s">
        <v>20</v>
      </c>
      <c r="D5236" s="1" t="s">
        <v>85</v>
      </c>
      <c r="F5236" s="72">
        <v>41293</v>
      </c>
      <c r="G5236" s="1" t="s">
        <v>18282</v>
      </c>
      <c r="H5236" s="1" t="s">
        <v>709</v>
      </c>
      <c r="I5236" s="1" t="s">
        <v>431</v>
      </c>
      <c r="J5236" s="4" t="s">
        <v>11622</v>
      </c>
      <c r="K5236" s="1" t="s">
        <v>18283</v>
      </c>
      <c r="L5236" s="1" t="s">
        <v>4516</v>
      </c>
      <c r="M5236" s="1" t="s">
        <v>27</v>
      </c>
      <c r="N5236" s="1" t="s">
        <v>18284</v>
      </c>
      <c r="O5236" s="1" t="s">
        <v>550</v>
      </c>
      <c r="P5236" s="1" t="s">
        <v>401</v>
      </c>
      <c r="Q5236" s="63" t="s">
        <v>18285</v>
      </c>
      <c r="R5236" s="1" t="s">
        <v>100</v>
      </c>
      <c r="S5236" s="13" t="s">
        <v>18</v>
      </c>
      <c r="T5236" s="44"/>
      <c r="U5236" s="44"/>
      <c r="V5236" s="44"/>
      <c r="W5236" s="44"/>
      <c r="X5236" s="44"/>
      <c r="Y5236" s="44"/>
      <c r="Z5236" s="44"/>
      <c r="AA5236" s="44"/>
      <c r="AB5236" s="44"/>
      <c r="AC5236" s="44"/>
      <c r="AD5236" s="44"/>
      <c r="AE5236" s="44"/>
      <c r="AF5236" s="44"/>
      <c r="AG5236" s="44"/>
      <c r="AH5236" s="44"/>
      <c r="AX5236" s="44"/>
      <c r="AY5236" s="44"/>
      <c r="BC5236" s="44"/>
      <c r="BD5236" s="44"/>
      <c r="BE5236" s="44"/>
      <c r="BF5236" s="44"/>
      <c r="BG5236" s="44"/>
      <c r="BH5236" s="44"/>
      <c r="BI5236" s="44"/>
      <c r="BJ5236" s="44"/>
    </row>
    <row r="5237" spans="1:63" ht="12" customHeight="1" x14ac:dyDescent="0.15">
      <c r="A5237" s="1" t="s">
        <v>18286</v>
      </c>
      <c r="B5237" s="1">
        <v>20</v>
      </c>
      <c r="C5237" s="1" t="s">
        <v>20</v>
      </c>
      <c r="D5237" s="1" t="s">
        <v>85</v>
      </c>
      <c r="F5237" s="72">
        <v>41292</v>
      </c>
      <c r="G5237" s="1" t="s">
        <v>18287</v>
      </c>
      <c r="H5237" s="1" t="s">
        <v>18288</v>
      </c>
      <c r="I5237" s="1" t="s">
        <v>173</v>
      </c>
      <c r="J5237" s="4" t="s">
        <v>18289</v>
      </c>
      <c r="K5237" s="1" t="s">
        <v>1304</v>
      </c>
      <c r="L5237" s="1" t="s">
        <v>18290</v>
      </c>
      <c r="M5237" s="1" t="s">
        <v>27</v>
      </c>
      <c r="N5237" s="1" t="s">
        <v>18291</v>
      </c>
      <c r="O5237" s="1" t="s">
        <v>400</v>
      </c>
      <c r="P5237" s="1" t="s">
        <v>401</v>
      </c>
      <c r="Q5237" s="63" t="s">
        <v>18292</v>
      </c>
      <c r="R5237" s="1" t="s">
        <v>100</v>
      </c>
      <c r="S5237" s="13" t="s">
        <v>28</v>
      </c>
      <c r="T5237" s="44"/>
      <c r="U5237" s="44"/>
      <c r="V5237" s="44"/>
      <c r="W5237" s="44"/>
      <c r="X5237" s="44"/>
      <c r="Y5237" s="44"/>
      <c r="Z5237" s="44"/>
      <c r="AA5237" s="44"/>
      <c r="AB5237" s="44"/>
      <c r="AC5237" s="44"/>
      <c r="AD5237" s="44"/>
      <c r="AE5237" s="44"/>
      <c r="AF5237" s="44"/>
      <c r="AG5237" s="44"/>
      <c r="AH5237" s="44"/>
      <c r="AX5237" s="44"/>
      <c r="AY5237" s="44"/>
      <c r="BC5237" s="44"/>
      <c r="BD5237" s="44"/>
      <c r="BE5237" s="44"/>
      <c r="BF5237" s="44"/>
      <c r="BG5237" s="44"/>
      <c r="BH5237" s="44"/>
      <c r="BI5237" s="44"/>
      <c r="BJ5237" s="44"/>
    </row>
    <row r="5238" spans="1:63" ht="12" customHeight="1" x14ac:dyDescent="0.15">
      <c r="A5238" s="1" t="s">
        <v>18293</v>
      </c>
      <c r="B5238" s="1">
        <v>38</v>
      </c>
      <c r="C5238" s="1" t="s">
        <v>20</v>
      </c>
      <c r="D5238" s="1" t="s">
        <v>85</v>
      </c>
      <c r="E5238" s="1" t="s">
        <v>18294</v>
      </c>
      <c r="F5238" s="72">
        <v>41292</v>
      </c>
      <c r="G5238" s="1" t="s">
        <v>18295</v>
      </c>
      <c r="H5238" s="1" t="s">
        <v>18296</v>
      </c>
      <c r="I5238" s="1" t="s">
        <v>366</v>
      </c>
      <c r="J5238" s="4" t="s">
        <v>18297</v>
      </c>
      <c r="K5238" s="1" t="s">
        <v>2404</v>
      </c>
      <c r="L5238" s="1" t="s">
        <v>18298</v>
      </c>
      <c r="M5238" s="1" t="s">
        <v>27</v>
      </c>
      <c r="N5238" s="1" t="s">
        <v>18299</v>
      </c>
      <c r="O5238" s="1" t="s">
        <v>1010</v>
      </c>
      <c r="P5238" s="1" t="s">
        <v>401</v>
      </c>
      <c r="Q5238" s="63" t="s">
        <v>18300</v>
      </c>
      <c r="R5238" s="1" t="s">
        <v>100</v>
      </c>
      <c r="S5238" s="13" t="s">
        <v>28</v>
      </c>
      <c r="T5238" s="44"/>
      <c r="U5238" s="44"/>
      <c r="V5238" s="44"/>
      <c r="W5238" s="44"/>
      <c r="X5238" s="44"/>
      <c r="Y5238" s="44"/>
      <c r="Z5238" s="44"/>
      <c r="AA5238" s="44"/>
      <c r="AB5238" s="44"/>
      <c r="AC5238" s="44"/>
      <c r="AD5238" s="44"/>
      <c r="AE5238" s="44"/>
      <c r="AF5238" s="44"/>
      <c r="AG5238" s="44"/>
      <c r="AH5238" s="44"/>
      <c r="AX5238" s="44"/>
      <c r="AY5238" s="44"/>
      <c r="BC5238" s="44"/>
      <c r="BD5238" s="44"/>
      <c r="BE5238" s="44"/>
      <c r="BF5238" s="44"/>
      <c r="BG5238" s="44"/>
      <c r="BH5238" s="44"/>
      <c r="BI5238" s="44"/>
      <c r="BJ5238" s="44"/>
    </row>
    <row r="5239" spans="1:63" ht="12" customHeight="1" x14ac:dyDescent="0.15">
      <c r="A5239" s="1" t="s">
        <v>18301</v>
      </c>
      <c r="B5239" s="1">
        <v>50</v>
      </c>
      <c r="C5239" s="1" t="s">
        <v>20</v>
      </c>
      <c r="D5239" s="1" t="s">
        <v>37</v>
      </c>
      <c r="E5239" s="1" t="s">
        <v>18302</v>
      </c>
      <c r="F5239" s="72">
        <v>41292</v>
      </c>
      <c r="G5239" s="1" t="s">
        <v>18303</v>
      </c>
      <c r="H5239" s="1" t="s">
        <v>7820</v>
      </c>
      <c r="I5239" s="1" t="s">
        <v>94</v>
      </c>
      <c r="J5239" s="4" t="s">
        <v>18304</v>
      </c>
      <c r="K5239" s="1" t="s">
        <v>6104</v>
      </c>
      <c r="L5239" s="1" t="s">
        <v>18305</v>
      </c>
      <c r="M5239" s="1" t="s">
        <v>27</v>
      </c>
      <c r="N5239" s="1" t="s">
        <v>18306</v>
      </c>
      <c r="O5239" s="1" t="s">
        <v>29</v>
      </c>
      <c r="P5239" s="1" t="s">
        <v>401</v>
      </c>
      <c r="Q5239" s="63" t="s">
        <v>18307</v>
      </c>
      <c r="R5239" s="1" t="s">
        <v>100</v>
      </c>
      <c r="S5239" s="13" t="s">
        <v>28</v>
      </c>
      <c r="T5239" s="44"/>
      <c r="U5239" s="44"/>
      <c r="V5239" s="44"/>
      <c r="W5239" s="44"/>
      <c r="X5239" s="44"/>
      <c r="Y5239" s="44"/>
      <c r="Z5239" s="44"/>
      <c r="AA5239" s="44"/>
      <c r="AB5239" s="44"/>
      <c r="AC5239" s="44"/>
      <c r="AD5239" s="44"/>
      <c r="AE5239" s="44"/>
      <c r="AF5239" s="44"/>
      <c r="AG5239" s="44"/>
      <c r="AH5239" s="44"/>
      <c r="AM5239" s="11"/>
      <c r="AN5239" s="11"/>
      <c r="AO5239" s="11"/>
      <c r="AP5239" s="11"/>
      <c r="AQ5239" s="11"/>
      <c r="AR5239" s="11"/>
      <c r="AS5239" s="11"/>
      <c r="AT5239" s="11"/>
      <c r="AX5239" s="44"/>
      <c r="AY5239" s="44"/>
      <c r="AZ5239" s="44"/>
    </row>
    <row r="5240" spans="1:63" ht="12" customHeight="1" x14ac:dyDescent="0.15">
      <c r="A5240" s="1" t="s">
        <v>18308</v>
      </c>
      <c r="B5240" s="1">
        <v>41</v>
      </c>
      <c r="C5240" s="1" t="s">
        <v>20</v>
      </c>
      <c r="D5240" s="1" t="s">
        <v>37</v>
      </c>
      <c r="E5240" s="1" t="s">
        <v>18309</v>
      </c>
      <c r="F5240" s="72">
        <v>41292</v>
      </c>
      <c r="G5240" s="1" t="s">
        <v>18310</v>
      </c>
      <c r="H5240" s="1" t="s">
        <v>18311</v>
      </c>
      <c r="I5240" s="1" t="s">
        <v>45</v>
      </c>
      <c r="J5240" s="4" t="s">
        <v>18312</v>
      </c>
      <c r="K5240" s="1" t="s">
        <v>18313</v>
      </c>
      <c r="L5240" s="1" t="s">
        <v>18314</v>
      </c>
      <c r="M5240" s="1" t="s">
        <v>27</v>
      </c>
      <c r="N5240" s="1" t="s">
        <v>18315</v>
      </c>
      <c r="O5240" s="1" t="s">
        <v>550</v>
      </c>
      <c r="P5240" s="1" t="s">
        <v>401</v>
      </c>
      <c r="Q5240" s="63" t="s">
        <v>18316</v>
      </c>
      <c r="R5240" s="1" t="s">
        <v>100</v>
      </c>
      <c r="S5240" s="13" t="s">
        <v>28</v>
      </c>
      <c r="T5240" s="44"/>
      <c r="U5240" s="44"/>
      <c r="V5240" s="44"/>
      <c r="W5240" s="44"/>
      <c r="X5240" s="44"/>
      <c r="Y5240" s="44"/>
      <c r="Z5240" s="44"/>
      <c r="AA5240" s="44"/>
      <c r="AB5240" s="44"/>
      <c r="AC5240" s="44"/>
      <c r="AD5240" s="44"/>
      <c r="AE5240" s="44"/>
      <c r="AF5240" s="44"/>
      <c r="AG5240" s="44"/>
      <c r="AH5240" s="44"/>
      <c r="AX5240" s="44"/>
      <c r="AY5240" s="44"/>
      <c r="AZ5240" s="44"/>
    </row>
    <row r="5241" spans="1:63" ht="12" customHeight="1" x14ac:dyDescent="0.15">
      <c r="A5241" s="1" t="s">
        <v>18325</v>
      </c>
      <c r="B5241" s="1">
        <v>29</v>
      </c>
      <c r="C5241" s="1" t="s">
        <v>20</v>
      </c>
      <c r="D5241" s="1" t="s">
        <v>37</v>
      </c>
      <c r="E5241" s="1" t="s">
        <v>18326</v>
      </c>
      <c r="F5241" s="72">
        <v>41292</v>
      </c>
      <c r="G5241" s="1" t="s">
        <v>18327</v>
      </c>
      <c r="H5241" s="1" t="s">
        <v>3346</v>
      </c>
      <c r="I5241" s="1" t="s">
        <v>303</v>
      </c>
      <c r="J5241" s="4" t="s">
        <v>18328</v>
      </c>
      <c r="K5241" s="1" t="s">
        <v>570</v>
      </c>
      <c r="L5241" s="1" t="s">
        <v>5634</v>
      </c>
      <c r="M5241" s="1" t="s">
        <v>27</v>
      </c>
      <c r="N5241" s="1" t="s">
        <v>18329</v>
      </c>
      <c r="O5241" s="1" t="s">
        <v>1010</v>
      </c>
      <c r="P5241" s="1" t="s">
        <v>401</v>
      </c>
      <c r="Q5241" s="63" t="s">
        <v>18330</v>
      </c>
      <c r="R5241" s="1" t="s">
        <v>100</v>
      </c>
      <c r="S5241" s="13" t="s">
        <v>28</v>
      </c>
      <c r="T5241" s="44"/>
      <c r="U5241" s="44"/>
      <c r="V5241" s="44"/>
      <c r="W5241" s="44"/>
      <c r="X5241" s="44"/>
      <c r="Y5241" s="44"/>
      <c r="Z5241" s="44"/>
      <c r="AA5241" s="44"/>
      <c r="AB5241" s="44"/>
      <c r="AC5241" s="44"/>
      <c r="AD5241" s="44"/>
      <c r="AE5241" s="44"/>
      <c r="AF5241" s="44"/>
      <c r="AG5241" s="44"/>
      <c r="AH5241" s="44"/>
      <c r="AX5241" s="44"/>
      <c r="AY5241" s="44"/>
      <c r="AZ5241" s="44"/>
    </row>
    <row r="5242" spans="1:63" ht="12" customHeight="1" x14ac:dyDescent="0.15">
      <c r="A5242" s="1" t="s">
        <v>18317</v>
      </c>
      <c r="B5242" s="1">
        <v>21</v>
      </c>
      <c r="C5242" s="1" t="s">
        <v>20</v>
      </c>
      <c r="D5242" s="1" t="s">
        <v>37</v>
      </c>
      <c r="E5242" s="1" t="s">
        <v>18318</v>
      </c>
      <c r="F5242" s="72">
        <v>41292</v>
      </c>
      <c r="G5242" s="1" t="s">
        <v>18319</v>
      </c>
      <c r="H5242" s="1" t="s">
        <v>18320</v>
      </c>
      <c r="I5242" s="1" t="s">
        <v>363</v>
      </c>
      <c r="J5242" s="4" t="s">
        <v>18321</v>
      </c>
      <c r="K5242" s="1" t="s">
        <v>3288</v>
      </c>
      <c r="L5242" s="1" t="s">
        <v>18322</v>
      </c>
      <c r="M5242" s="1" t="s">
        <v>27</v>
      </c>
      <c r="N5242" s="1" t="s">
        <v>18323</v>
      </c>
      <c r="O5242" s="1" t="s">
        <v>550</v>
      </c>
      <c r="P5242" s="1" t="s">
        <v>401</v>
      </c>
      <c r="Q5242" s="63" t="s">
        <v>18324</v>
      </c>
      <c r="R5242" s="1" t="s">
        <v>29</v>
      </c>
      <c r="S5242" s="13" t="s">
        <v>28</v>
      </c>
      <c r="T5242" s="44"/>
      <c r="U5242" s="44"/>
      <c r="V5242" s="44"/>
      <c r="W5242" s="44"/>
      <c r="X5242" s="44"/>
      <c r="Y5242" s="44"/>
      <c r="Z5242" s="44"/>
      <c r="AA5242" s="44"/>
      <c r="AB5242" s="44"/>
      <c r="AC5242" s="44"/>
      <c r="AD5242" s="44"/>
      <c r="AE5242" s="44"/>
      <c r="AF5242" s="44"/>
      <c r="AG5242" s="44"/>
      <c r="AH5242" s="44"/>
      <c r="AX5242" s="44"/>
      <c r="AY5242" s="44"/>
      <c r="AZ5242" s="44"/>
    </row>
    <row r="5243" spans="1:63" ht="12" customHeight="1" x14ac:dyDescent="0.15">
      <c r="A5243" s="1" t="s">
        <v>18335</v>
      </c>
      <c r="B5243" s="1">
        <v>27</v>
      </c>
      <c r="C5243" s="1" t="s">
        <v>20</v>
      </c>
      <c r="D5243" s="1" t="s">
        <v>48</v>
      </c>
      <c r="E5243" s="1" t="s">
        <v>18336</v>
      </c>
      <c r="F5243" s="72">
        <v>41291</v>
      </c>
      <c r="G5243" s="1" t="s">
        <v>24682</v>
      </c>
      <c r="H5243" s="1" t="s">
        <v>156</v>
      </c>
      <c r="I5243" s="1" t="s">
        <v>45</v>
      </c>
      <c r="J5243" s="4" t="s">
        <v>18337</v>
      </c>
      <c r="K5243" s="1" t="s">
        <v>156</v>
      </c>
      <c r="L5243" s="1" t="s">
        <v>157</v>
      </c>
      <c r="M5243" s="1" t="s">
        <v>27</v>
      </c>
      <c r="N5243" s="1" t="s">
        <v>18338</v>
      </c>
      <c r="O5243" s="1" t="s">
        <v>400</v>
      </c>
      <c r="P5243" s="1" t="s">
        <v>401</v>
      </c>
      <c r="Q5243" s="63" t="s">
        <v>18339</v>
      </c>
      <c r="R5243" s="1" t="s">
        <v>100</v>
      </c>
      <c r="S5243" s="13" t="s">
        <v>28</v>
      </c>
      <c r="T5243" s="44"/>
      <c r="U5243" s="44"/>
      <c r="V5243" s="44"/>
      <c r="W5243" s="44"/>
      <c r="X5243" s="44"/>
      <c r="Y5243" s="44"/>
      <c r="Z5243" s="44"/>
      <c r="AA5243" s="44"/>
      <c r="AB5243" s="44"/>
      <c r="AC5243" s="44"/>
      <c r="AD5243" s="44"/>
      <c r="AE5243" s="44"/>
      <c r="AF5243" s="44"/>
      <c r="AG5243" s="44"/>
      <c r="AH5243" s="44"/>
    </row>
    <row r="5244" spans="1:63" ht="12" customHeight="1" x14ac:dyDescent="0.15">
      <c r="A5244" s="1" t="s">
        <v>18347</v>
      </c>
      <c r="B5244" s="1">
        <v>30</v>
      </c>
      <c r="C5244" s="1" t="s">
        <v>20</v>
      </c>
      <c r="D5244" s="1" t="s">
        <v>30</v>
      </c>
      <c r="F5244" s="72">
        <v>41291</v>
      </c>
      <c r="G5244" s="1" t="s">
        <v>18348</v>
      </c>
      <c r="H5244" s="1" t="s">
        <v>18349</v>
      </c>
      <c r="I5244" s="1" t="s">
        <v>57</v>
      </c>
      <c r="J5244" s="4" t="s">
        <v>18350</v>
      </c>
      <c r="K5244" s="1" t="s">
        <v>11295</v>
      </c>
      <c r="L5244" s="1" t="s">
        <v>18351</v>
      </c>
      <c r="M5244" s="1" t="s">
        <v>27</v>
      </c>
      <c r="N5244" s="1" t="s">
        <v>18352</v>
      </c>
      <c r="O5244" s="1" t="s">
        <v>550</v>
      </c>
      <c r="P5244" s="1" t="s">
        <v>401</v>
      </c>
      <c r="Q5244" s="63" t="s">
        <v>18353</v>
      </c>
      <c r="R5244" s="1" t="s">
        <v>100</v>
      </c>
      <c r="S5244" s="13" t="s">
        <v>28</v>
      </c>
      <c r="T5244" s="44"/>
      <c r="U5244" s="44"/>
      <c r="V5244" s="44"/>
      <c r="W5244" s="44"/>
      <c r="X5244" s="44"/>
      <c r="Y5244" s="44"/>
      <c r="Z5244" s="44"/>
      <c r="AA5244" s="44"/>
      <c r="AB5244" s="44"/>
      <c r="AC5244" s="44"/>
      <c r="AD5244" s="44"/>
      <c r="AE5244" s="44"/>
      <c r="AF5244" s="44"/>
      <c r="AG5244" s="44"/>
      <c r="AH5244" s="44"/>
    </row>
    <row r="5245" spans="1:63" ht="12" customHeight="1" x14ac:dyDescent="0.15">
      <c r="A5245" s="1" t="s">
        <v>18331</v>
      </c>
      <c r="B5245" s="1" t="s">
        <v>10011</v>
      </c>
      <c r="C5245" s="1" t="s">
        <v>20</v>
      </c>
      <c r="D5245" s="1" t="s">
        <v>85</v>
      </c>
      <c r="E5245" s="1" t="s">
        <v>18332</v>
      </c>
      <c r="F5245" s="72">
        <v>41291</v>
      </c>
      <c r="G5245" s="1" t="s">
        <v>18333</v>
      </c>
      <c r="H5245" s="1" t="s">
        <v>1192</v>
      </c>
      <c r="I5245" s="1" t="s">
        <v>319</v>
      </c>
      <c r="J5245" s="4">
        <v>38118</v>
      </c>
      <c r="K5245" s="1" t="s">
        <v>1193</v>
      </c>
      <c r="L5245" s="1" t="s">
        <v>1194</v>
      </c>
      <c r="M5245" s="1" t="s">
        <v>27</v>
      </c>
      <c r="N5245" s="1" t="s">
        <v>18334</v>
      </c>
      <c r="O5245" s="1" t="s">
        <v>550</v>
      </c>
      <c r="P5245" s="1" t="s">
        <v>401</v>
      </c>
      <c r="Q5245" s="63" t="str">
        <f>HYPERLINK("http://wreg.com/2013/01/18/man-shot-killed-by-memphis-police/","http://wreg.com/2013/01/18/man-shot-killed-by-memphis-police/")</f>
        <v>http://wreg.com/2013/01/18/man-shot-killed-by-memphis-police/</v>
      </c>
      <c r="R5245" s="1" t="s">
        <v>100</v>
      </c>
      <c r="S5245" s="13" t="s">
        <v>35</v>
      </c>
      <c r="T5245" s="44"/>
      <c r="U5245" s="44"/>
      <c r="V5245" s="44"/>
      <c r="W5245" s="44"/>
      <c r="X5245" s="44"/>
      <c r="Y5245" s="44"/>
      <c r="Z5245" s="44"/>
      <c r="AA5245" s="44"/>
      <c r="AB5245" s="44"/>
      <c r="AC5245" s="44"/>
      <c r="AD5245" s="44"/>
      <c r="AE5245" s="44"/>
      <c r="AF5245" s="44"/>
      <c r="AG5245" s="44"/>
      <c r="AH5245" s="44"/>
      <c r="BC5245" s="44"/>
      <c r="BD5245" s="44"/>
      <c r="BE5245" s="44"/>
      <c r="BF5245" s="44"/>
      <c r="BG5245" s="44"/>
      <c r="BH5245" s="44"/>
      <c r="BI5245" s="44"/>
      <c r="BJ5245" s="44"/>
      <c r="BK5245" s="11"/>
    </row>
    <row r="5246" spans="1:63" ht="12" customHeight="1" x14ac:dyDescent="0.15">
      <c r="A5246" s="1" t="s">
        <v>18340</v>
      </c>
      <c r="B5246" s="1">
        <v>44</v>
      </c>
      <c r="C5246" s="1" t="s">
        <v>20</v>
      </c>
      <c r="D5246" s="1" t="s">
        <v>48</v>
      </c>
      <c r="E5246" s="1" t="s">
        <v>18341</v>
      </c>
      <c r="F5246" s="72">
        <v>41291</v>
      </c>
      <c r="G5246" s="1" t="s">
        <v>24683</v>
      </c>
      <c r="H5246" s="1" t="s">
        <v>1163</v>
      </c>
      <c r="I5246" s="1" t="s">
        <v>45</v>
      </c>
      <c r="J5246" s="4" t="s">
        <v>18342</v>
      </c>
      <c r="K5246" s="1" t="s">
        <v>1163</v>
      </c>
      <c r="L5246" s="1" t="s">
        <v>18343</v>
      </c>
      <c r="M5246" s="1" t="s">
        <v>27</v>
      </c>
      <c r="N5246" s="1" t="s">
        <v>18344</v>
      </c>
      <c r="O5246" s="1" t="s">
        <v>550</v>
      </c>
      <c r="P5246" s="1" t="s">
        <v>401</v>
      </c>
      <c r="Q5246" s="63" t="s">
        <v>18345</v>
      </c>
      <c r="R5246" s="1" t="s">
        <v>29</v>
      </c>
      <c r="S5246" s="13" t="s">
        <v>28</v>
      </c>
      <c r="T5246" s="44"/>
      <c r="U5246" s="44"/>
      <c r="V5246" s="44"/>
      <c r="W5246" s="44"/>
      <c r="X5246" s="44"/>
      <c r="Y5246" s="44"/>
      <c r="Z5246" s="44"/>
      <c r="AA5246" s="44"/>
      <c r="AB5246" s="44"/>
      <c r="AC5246" s="44"/>
      <c r="AD5246" s="44"/>
      <c r="AE5246" s="44"/>
      <c r="AF5246" s="44"/>
      <c r="AG5246" s="44"/>
      <c r="AH5246" s="44"/>
    </row>
    <row r="5247" spans="1:63" ht="12" customHeight="1" x14ac:dyDescent="0.15">
      <c r="A5247" s="1" t="s">
        <v>18354</v>
      </c>
      <c r="B5247" s="1">
        <v>83</v>
      </c>
      <c r="C5247" s="1" t="s">
        <v>20</v>
      </c>
      <c r="D5247" s="1" t="s">
        <v>37</v>
      </c>
      <c r="E5247" s="1" t="s">
        <v>18355</v>
      </c>
      <c r="F5247" s="72">
        <v>41291</v>
      </c>
      <c r="G5247" s="1" t="s">
        <v>18356</v>
      </c>
      <c r="H5247" s="1" t="s">
        <v>18357</v>
      </c>
      <c r="I5247" s="1" t="s">
        <v>133</v>
      </c>
      <c r="J5247" s="4" t="s">
        <v>18358</v>
      </c>
      <c r="K5247" s="1" t="s">
        <v>18359</v>
      </c>
      <c r="L5247" s="1" t="s">
        <v>18360</v>
      </c>
      <c r="M5247" s="1" t="s">
        <v>27</v>
      </c>
      <c r="N5247" s="1" t="s">
        <v>18361</v>
      </c>
      <c r="O5247" s="1" t="s">
        <v>550</v>
      </c>
      <c r="P5247" s="1" t="s">
        <v>401</v>
      </c>
      <c r="Q5247" s="63" t="s">
        <v>18362</v>
      </c>
      <c r="R5247" s="1" t="s">
        <v>555</v>
      </c>
      <c r="S5247" s="13" t="s">
        <v>28</v>
      </c>
      <c r="T5247" s="44"/>
      <c r="U5247" s="44"/>
      <c r="V5247" s="44"/>
      <c r="W5247" s="44"/>
      <c r="X5247" s="44"/>
      <c r="Y5247" s="44"/>
      <c r="Z5247" s="44"/>
      <c r="AA5247" s="44"/>
      <c r="AB5247" s="44"/>
      <c r="AC5247" s="44"/>
      <c r="AD5247" s="44"/>
      <c r="AE5247" s="44"/>
      <c r="AF5247" s="44"/>
      <c r="AG5247" s="44"/>
      <c r="AH5247" s="44"/>
      <c r="AX5247" s="44"/>
      <c r="AY5247" s="44"/>
      <c r="AZ5247" s="44"/>
    </row>
    <row r="5248" spans="1:63" ht="12" customHeight="1" x14ac:dyDescent="0.15">
      <c r="A5248" s="1" t="s">
        <v>18363</v>
      </c>
      <c r="B5248" s="1">
        <v>19</v>
      </c>
      <c r="C5248" s="1" t="s">
        <v>20</v>
      </c>
      <c r="D5248" s="1" t="s">
        <v>85</v>
      </c>
      <c r="E5248" s="1" t="s">
        <v>18364</v>
      </c>
      <c r="F5248" s="72">
        <v>41290</v>
      </c>
      <c r="G5248" s="1" t="s">
        <v>18365</v>
      </c>
      <c r="H5248" s="1" t="s">
        <v>1060</v>
      </c>
      <c r="I5248" s="1" t="s">
        <v>62</v>
      </c>
      <c r="J5248" s="4" t="s">
        <v>7501</v>
      </c>
      <c r="K5248" s="1" t="s">
        <v>1061</v>
      </c>
      <c r="L5248" s="1" t="s">
        <v>1062</v>
      </c>
      <c r="M5248" s="1" t="s">
        <v>27</v>
      </c>
      <c r="N5248" s="1" t="s">
        <v>18366</v>
      </c>
      <c r="O5248" s="1" t="s">
        <v>1010</v>
      </c>
      <c r="P5248" s="1" t="s">
        <v>401</v>
      </c>
      <c r="Q5248" s="63" t="s">
        <v>18367</v>
      </c>
      <c r="R5248" s="1" t="s">
        <v>100</v>
      </c>
      <c r="S5248" s="13" t="s">
        <v>28</v>
      </c>
      <c r="T5248" s="44"/>
      <c r="U5248" s="44"/>
      <c r="V5248" s="44"/>
      <c r="W5248" s="44"/>
      <c r="X5248" s="44"/>
      <c r="Y5248" s="44"/>
      <c r="Z5248" s="44"/>
      <c r="AA5248" s="44"/>
      <c r="AB5248" s="44"/>
      <c r="AC5248" s="44"/>
      <c r="AD5248" s="44"/>
      <c r="AE5248" s="44"/>
      <c r="AF5248" s="44"/>
      <c r="AG5248" s="44"/>
      <c r="AH5248" s="44"/>
      <c r="BC5248" s="44"/>
      <c r="BD5248" s="44"/>
      <c r="BE5248" s="44"/>
      <c r="BF5248" s="44"/>
      <c r="BG5248" s="44"/>
      <c r="BH5248" s="44"/>
      <c r="BI5248" s="44"/>
      <c r="BJ5248" s="44"/>
    </row>
    <row r="5249" spans="1:62" ht="12" customHeight="1" x14ac:dyDescent="0.15">
      <c r="A5249" s="1" t="s">
        <v>18368</v>
      </c>
      <c r="B5249" s="1" t="s">
        <v>11070</v>
      </c>
      <c r="C5249" s="1" t="s">
        <v>20</v>
      </c>
      <c r="D5249" s="1" t="s">
        <v>30</v>
      </c>
      <c r="F5249" s="72">
        <v>41290</v>
      </c>
      <c r="G5249" s="1" t="s">
        <v>18369</v>
      </c>
      <c r="H5249" s="1" t="s">
        <v>1298</v>
      </c>
      <c r="I5249" s="1" t="s">
        <v>209</v>
      </c>
      <c r="J5249" s="4" t="s">
        <v>8808</v>
      </c>
      <c r="K5249" s="1" t="s">
        <v>1298</v>
      </c>
      <c r="L5249" s="1" t="s">
        <v>1299</v>
      </c>
      <c r="M5249" s="1" t="s">
        <v>27</v>
      </c>
      <c r="N5249" s="1" t="s">
        <v>18370</v>
      </c>
      <c r="O5249" s="1" t="s">
        <v>550</v>
      </c>
      <c r="P5249" s="1" t="s">
        <v>401</v>
      </c>
      <c r="Q5249" s="63" t="s">
        <v>18371</v>
      </c>
      <c r="R5249" s="1" t="s">
        <v>100</v>
      </c>
      <c r="S5249" s="13" t="s">
        <v>28</v>
      </c>
      <c r="T5249" s="44"/>
      <c r="U5249" s="44"/>
      <c r="V5249" s="44"/>
      <c r="W5249" s="44"/>
      <c r="X5249" s="44"/>
      <c r="Y5249" s="44"/>
      <c r="Z5249" s="44"/>
      <c r="AA5249" s="44"/>
      <c r="AB5249" s="44"/>
      <c r="AC5249" s="44"/>
      <c r="AD5249" s="44"/>
      <c r="AE5249" s="44"/>
      <c r="AF5249" s="44"/>
      <c r="AG5249" s="44"/>
      <c r="AH5249" s="44"/>
    </row>
    <row r="5250" spans="1:62" ht="12" customHeight="1" x14ac:dyDescent="0.15">
      <c r="A5250" s="1" t="s">
        <v>18379</v>
      </c>
      <c r="B5250" s="1">
        <v>21</v>
      </c>
      <c r="C5250" s="1" t="s">
        <v>20</v>
      </c>
      <c r="D5250" s="1" t="s">
        <v>37</v>
      </c>
      <c r="E5250" s="1" t="s">
        <v>18380</v>
      </c>
      <c r="F5250" s="72">
        <v>41290</v>
      </c>
      <c r="G5250" s="1" t="s">
        <v>18381</v>
      </c>
      <c r="H5250" s="1" t="s">
        <v>18382</v>
      </c>
      <c r="I5250" s="1" t="s">
        <v>123</v>
      </c>
      <c r="J5250" s="4">
        <v>85326</v>
      </c>
      <c r="K5250" s="1" t="s">
        <v>633</v>
      </c>
      <c r="L5250" s="1" t="s">
        <v>18383</v>
      </c>
      <c r="M5250" s="1" t="s">
        <v>27</v>
      </c>
      <c r="N5250" s="1" t="s">
        <v>18384</v>
      </c>
      <c r="O5250" s="1" t="s">
        <v>29</v>
      </c>
      <c r="P5250" s="1" t="s">
        <v>401</v>
      </c>
      <c r="Q5250" s="63" t="s">
        <v>18385</v>
      </c>
      <c r="R5250" s="1" t="s">
        <v>100</v>
      </c>
      <c r="S5250" s="13" t="s">
        <v>28</v>
      </c>
      <c r="T5250" s="44"/>
      <c r="U5250" s="44"/>
      <c r="V5250" s="44"/>
      <c r="W5250" s="44"/>
      <c r="X5250" s="44"/>
      <c r="Y5250" s="44"/>
      <c r="Z5250" s="44"/>
      <c r="AA5250" s="44"/>
      <c r="AB5250" s="44"/>
      <c r="AC5250" s="44"/>
      <c r="AD5250" s="44"/>
      <c r="AE5250" s="44"/>
      <c r="AF5250" s="44"/>
      <c r="AG5250" s="44"/>
      <c r="AH5250" s="44"/>
      <c r="AX5250" s="44"/>
      <c r="AY5250" s="44"/>
      <c r="AZ5250" s="44"/>
    </row>
    <row r="5251" spans="1:62" ht="12" customHeight="1" x14ac:dyDescent="0.15">
      <c r="A5251" s="1" t="s">
        <v>18386</v>
      </c>
      <c r="B5251" s="1">
        <v>27</v>
      </c>
      <c r="C5251" s="1" t="s">
        <v>20</v>
      </c>
      <c r="D5251" s="1" t="s">
        <v>37</v>
      </c>
      <c r="E5251" s="1" t="s">
        <v>18387</v>
      </c>
      <c r="F5251" s="72">
        <v>41290</v>
      </c>
      <c r="G5251" s="1" t="s">
        <v>18388</v>
      </c>
      <c r="H5251" s="1" t="s">
        <v>632</v>
      </c>
      <c r="I5251" s="1" t="s">
        <v>123</v>
      </c>
      <c r="J5251" s="4" t="s">
        <v>18389</v>
      </c>
      <c r="K5251" s="1" t="s">
        <v>633</v>
      </c>
      <c r="L5251" s="1" t="s">
        <v>634</v>
      </c>
      <c r="M5251" s="1" t="s">
        <v>27</v>
      </c>
      <c r="N5251" s="1" t="s">
        <v>18390</v>
      </c>
      <c r="O5251" s="1" t="s">
        <v>550</v>
      </c>
      <c r="P5251" s="1" t="s">
        <v>401</v>
      </c>
      <c r="Q5251" s="63" t="s">
        <v>18391</v>
      </c>
      <c r="R5251" s="1" t="s">
        <v>100</v>
      </c>
      <c r="S5251" s="13" t="s">
        <v>28</v>
      </c>
      <c r="T5251" s="44"/>
      <c r="U5251" s="44"/>
      <c r="V5251" s="44"/>
      <c r="W5251" s="44"/>
      <c r="X5251" s="44"/>
      <c r="Y5251" s="44"/>
      <c r="Z5251" s="44"/>
      <c r="AA5251" s="44"/>
      <c r="AB5251" s="44"/>
      <c r="AC5251" s="44"/>
      <c r="AD5251" s="44"/>
      <c r="AE5251" s="44"/>
      <c r="AF5251" s="44"/>
      <c r="AG5251" s="44"/>
      <c r="AH5251" s="44"/>
      <c r="AX5251" s="44"/>
      <c r="AY5251" s="44"/>
      <c r="AZ5251" s="44"/>
    </row>
    <row r="5252" spans="1:62" ht="12" customHeight="1" x14ac:dyDescent="0.15">
      <c r="A5252" s="1" t="s">
        <v>18372</v>
      </c>
      <c r="B5252" s="1">
        <v>48</v>
      </c>
      <c r="C5252" s="1" t="s">
        <v>20</v>
      </c>
      <c r="D5252" s="1" t="s">
        <v>30</v>
      </c>
      <c r="F5252" s="72">
        <v>41290</v>
      </c>
      <c r="G5252" s="1" t="s">
        <v>18373</v>
      </c>
      <c r="H5252" s="1" t="s">
        <v>6104</v>
      </c>
      <c r="I5252" s="1" t="s">
        <v>173</v>
      </c>
      <c r="J5252" s="4" t="s">
        <v>18374</v>
      </c>
      <c r="K5252" s="1" t="s">
        <v>18375</v>
      </c>
      <c r="L5252" s="1" t="s">
        <v>18376</v>
      </c>
      <c r="M5252" s="1" t="s">
        <v>27</v>
      </c>
      <c r="N5252" s="1" t="s">
        <v>18377</v>
      </c>
      <c r="O5252" s="1" t="s">
        <v>550</v>
      </c>
      <c r="P5252" s="1" t="s">
        <v>401</v>
      </c>
      <c r="Q5252" s="63" t="s">
        <v>18378</v>
      </c>
      <c r="R5252" s="1" t="s">
        <v>555</v>
      </c>
      <c r="S5252" s="13" t="s">
        <v>28</v>
      </c>
      <c r="T5252" s="44"/>
      <c r="U5252" s="44"/>
      <c r="V5252" s="44"/>
      <c r="W5252" s="44"/>
      <c r="X5252" s="44"/>
      <c r="Y5252" s="44"/>
      <c r="Z5252" s="44"/>
      <c r="AA5252" s="44"/>
      <c r="AB5252" s="44"/>
      <c r="AC5252" s="44"/>
      <c r="AD5252" s="44"/>
      <c r="AE5252" s="44"/>
      <c r="AF5252" s="44"/>
      <c r="AG5252" s="44"/>
      <c r="AH5252" s="44"/>
      <c r="BA5252" s="11"/>
      <c r="BB5252" s="11"/>
    </row>
    <row r="5253" spans="1:62" ht="12" customHeight="1" x14ac:dyDescent="0.15">
      <c r="A5253" s="1" t="s">
        <v>18392</v>
      </c>
      <c r="B5253" s="1" t="s">
        <v>13386</v>
      </c>
      <c r="C5253" s="1" t="s">
        <v>20</v>
      </c>
      <c r="D5253" s="1" t="s">
        <v>30</v>
      </c>
      <c r="F5253" s="72">
        <v>41289</v>
      </c>
      <c r="G5253" s="1" t="s">
        <v>18393</v>
      </c>
      <c r="H5253" s="1" t="s">
        <v>200</v>
      </c>
      <c r="I5253" s="1" t="s">
        <v>45</v>
      </c>
      <c r="J5253" s="4">
        <v>93728</v>
      </c>
      <c r="K5253" s="1" t="s">
        <v>200</v>
      </c>
      <c r="L5253" s="1" t="s">
        <v>201</v>
      </c>
      <c r="M5253" s="1" t="s">
        <v>27</v>
      </c>
      <c r="N5253" s="1" t="s">
        <v>18394</v>
      </c>
      <c r="O5253" s="1" t="s">
        <v>29</v>
      </c>
      <c r="P5253" s="1" t="s">
        <v>401</v>
      </c>
      <c r="Q5253" s="63" t="s">
        <v>18395</v>
      </c>
      <c r="R5253" s="11" t="s">
        <v>964</v>
      </c>
      <c r="S5253" s="13" t="s">
        <v>28</v>
      </c>
      <c r="T5253" s="44"/>
      <c r="U5253" s="44"/>
      <c r="V5253" s="44"/>
      <c r="W5253" s="44"/>
      <c r="X5253" s="44"/>
      <c r="Y5253" s="44"/>
      <c r="Z5253" s="44"/>
      <c r="AA5253" s="44"/>
      <c r="AB5253" s="44"/>
      <c r="AC5253" s="44"/>
      <c r="AD5253" s="44"/>
      <c r="AE5253" s="44"/>
      <c r="AF5253" s="44"/>
      <c r="AG5253" s="44"/>
      <c r="AH5253" s="44"/>
    </row>
    <row r="5254" spans="1:62" ht="12" customHeight="1" x14ac:dyDescent="0.15">
      <c r="A5254" s="1" t="s">
        <v>18396</v>
      </c>
      <c r="B5254" s="1">
        <v>22</v>
      </c>
      <c r="C5254" s="1" t="s">
        <v>20</v>
      </c>
      <c r="D5254" s="1" t="s">
        <v>37</v>
      </c>
      <c r="E5254" s="1" t="s">
        <v>18397</v>
      </c>
      <c r="F5254" s="72">
        <v>41289</v>
      </c>
      <c r="G5254" s="1" t="s">
        <v>18398</v>
      </c>
      <c r="H5254" s="1" t="s">
        <v>2362</v>
      </c>
      <c r="I5254" s="1" t="s">
        <v>870</v>
      </c>
      <c r="J5254" s="4" t="s">
        <v>8261</v>
      </c>
      <c r="K5254" s="1" t="s">
        <v>2362</v>
      </c>
      <c r="L5254" s="1" t="s">
        <v>3582</v>
      </c>
      <c r="M5254" s="1" t="s">
        <v>27</v>
      </c>
      <c r="N5254" s="1" t="s">
        <v>18399</v>
      </c>
      <c r="O5254" s="1" t="s">
        <v>1010</v>
      </c>
      <c r="P5254" s="1" t="s">
        <v>401</v>
      </c>
      <c r="Q5254" s="63" t="s">
        <v>18400</v>
      </c>
      <c r="R5254" s="1" t="s">
        <v>100</v>
      </c>
      <c r="S5254" s="13" t="s">
        <v>28</v>
      </c>
      <c r="T5254" s="44"/>
      <c r="U5254" s="44"/>
      <c r="V5254" s="44"/>
      <c r="W5254" s="44"/>
      <c r="X5254" s="44"/>
      <c r="Y5254" s="44"/>
      <c r="Z5254" s="44"/>
      <c r="AA5254" s="44"/>
      <c r="AB5254" s="44"/>
      <c r="AC5254" s="44"/>
      <c r="AD5254" s="44"/>
      <c r="AE5254" s="44"/>
      <c r="AF5254" s="44"/>
      <c r="AG5254" s="44"/>
      <c r="AH5254" s="44"/>
      <c r="AX5254" s="44"/>
      <c r="AY5254" s="44"/>
      <c r="AZ5254" s="44"/>
    </row>
    <row r="5255" spans="1:62" ht="12" customHeight="1" x14ac:dyDescent="0.15">
      <c r="A5255" s="1" t="s">
        <v>18401</v>
      </c>
      <c r="B5255" s="1">
        <v>38</v>
      </c>
      <c r="C5255" s="1" t="s">
        <v>20</v>
      </c>
      <c r="D5255" s="1" t="s">
        <v>37</v>
      </c>
      <c r="E5255" s="1" t="s">
        <v>18402</v>
      </c>
      <c r="F5255" s="72">
        <v>41289</v>
      </c>
      <c r="G5255" s="1" t="s">
        <v>18403</v>
      </c>
      <c r="H5255" s="1" t="s">
        <v>430</v>
      </c>
      <c r="I5255" s="1" t="s">
        <v>431</v>
      </c>
      <c r="J5255" s="4" t="s">
        <v>18404</v>
      </c>
      <c r="K5255" s="1" t="s">
        <v>433</v>
      </c>
      <c r="L5255" s="1" t="s">
        <v>434</v>
      </c>
      <c r="M5255" s="1" t="s">
        <v>27</v>
      </c>
      <c r="N5255" s="1" t="s">
        <v>18405</v>
      </c>
      <c r="O5255" s="1" t="s">
        <v>1010</v>
      </c>
      <c r="P5255" s="1" t="s">
        <v>401</v>
      </c>
      <c r="Q5255" s="63" t="s">
        <v>18406</v>
      </c>
      <c r="R5255" s="1" t="s">
        <v>100</v>
      </c>
      <c r="S5255" s="13" t="s">
        <v>28</v>
      </c>
      <c r="T5255" s="44"/>
      <c r="U5255" s="44"/>
      <c r="V5255" s="44"/>
      <c r="W5255" s="44"/>
      <c r="X5255" s="44"/>
      <c r="Y5255" s="44"/>
      <c r="Z5255" s="44"/>
      <c r="AA5255" s="44"/>
      <c r="AB5255" s="44"/>
      <c r="AC5255" s="44"/>
      <c r="AD5255" s="44"/>
      <c r="AE5255" s="44"/>
      <c r="AF5255" s="44"/>
      <c r="AG5255" s="44"/>
      <c r="AH5255" s="44"/>
      <c r="AX5255" s="44"/>
      <c r="AY5255" s="44"/>
      <c r="AZ5255" s="44"/>
    </row>
    <row r="5256" spans="1:62" ht="12" customHeight="1" x14ac:dyDescent="0.15">
      <c r="A5256" s="1" t="s">
        <v>18407</v>
      </c>
      <c r="B5256" s="1">
        <v>30</v>
      </c>
      <c r="C5256" s="1" t="s">
        <v>20</v>
      </c>
      <c r="D5256" s="1" t="s">
        <v>37</v>
      </c>
      <c r="E5256" s="1" t="s">
        <v>18408</v>
      </c>
      <c r="F5256" s="72">
        <v>41289</v>
      </c>
      <c r="G5256" s="1" t="s">
        <v>18409</v>
      </c>
      <c r="H5256" s="1" t="s">
        <v>561</v>
      </c>
      <c r="I5256" s="1" t="s">
        <v>123</v>
      </c>
      <c r="J5256" s="4" t="s">
        <v>18410</v>
      </c>
      <c r="K5256" s="1" t="s">
        <v>562</v>
      </c>
      <c r="L5256" s="1" t="s">
        <v>563</v>
      </c>
      <c r="M5256" s="1" t="s">
        <v>27</v>
      </c>
      <c r="N5256" s="1" t="s">
        <v>18411</v>
      </c>
      <c r="O5256" s="1" t="s">
        <v>1010</v>
      </c>
      <c r="P5256" s="1" t="s">
        <v>401</v>
      </c>
      <c r="Q5256" s="63" t="s">
        <v>18412</v>
      </c>
      <c r="R5256" s="1" t="s">
        <v>555</v>
      </c>
      <c r="S5256" s="13" t="s">
        <v>28</v>
      </c>
      <c r="T5256" s="44"/>
      <c r="U5256" s="44"/>
      <c r="V5256" s="44"/>
      <c r="W5256" s="44"/>
      <c r="X5256" s="44"/>
      <c r="Y5256" s="44"/>
      <c r="Z5256" s="44"/>
      <c r="AA5256" s="44"/>
      <c r="AB5256" s="44"/>
      <c r="AC5256" s="44"/>
      <c r="AD5256" s="44"/>
      <c r="AE5256" s="44"/>
      <c r="AF5256" s="44"/>
      <c r="AG5256" s="44"/>
      <c r="AH5256" s="44"/>
      <c r="AX5256" s="44"/>
      <c r="AY5256" s="44"/>
      <c r="AZ5256" s="44"/>
    </row>
    <row r="5257" spans="1:62" ht="12" customHeight="1" x14ac:dyDescent="0.15">
      <c r="A5257" s="1" t="s">
        <v>18413</v>
      </c>
      <c r="B5257" s="1">
        <v>45</v>
      </c>
      <c r="C5257" s="1" t="s">
        <v>20</v>
      </c>
      <c r="D5257" s="1" t="s">
        <v>30</v>
      </c>
      <c r="F5257" s="72">
        <v>41288</v>
      </c>
      <c r="G5257" s="1" t="s">
        <v>18414</v>
      </c>
      <c r="H5257" s="1" t="s">
        <v>12215</v>
      </c>
      <c r="I5257" s="1" t="s">
        <v>209</v>
      </c>
      <c r="J5257" s="4" t="s">
        <v>18415</v>
      </c>
      <c r="K5257" s="1" t="s">
        <v>1924</v>
      </c>
      <c r="L5257" s="1" t="s">
        <v>18416</v>
      </c>
      <c r="M5257" s="1" t="s">
        <v>27</v>
      </c>
      <c r="N5257" s="1" t="s">
        <v>18417</v>
      </c>
      <c r="O5257" s="1" t="s">
        <v>550</v>
      </c>
      <c r="P5257" s="1" t="s">
        <v>401</v>
      </c>
      <c r="Q5257" s="63" t="s">
        <v>18418</v>
      </c>
      <c r="R5257" s="11" t="s">
        <v>964</v>
      </c>
      <c r="S5257" s="13" t="s">
        <v>28</v>
      </c>
      <c r="T5257" s="44"/>
      <c r="U5257" s="44"/>
      <c r="V5257" s="44"/>
      <c r="W5257" s="44"/>
      <c r="X5257" s="44"/>
      <c r="Y5257" s="44"/>
      <c r="Z5257" s="44"/>
      <c r="AA5257" s="44"/>
      <c r="AB5257" s="44"/>
      <c r="AC5257" s="44"/>
      <c r="AD5257" s="44"/>
      <c r="AE5257" s="44"/>
      <c r="AF5257" s="44"/>
      <c r="AG5257" s="44"/>
      <c r="AH5257" s="44"/>
    </row>
    <row r="5258" spans="1:62" ht="12" customHeight="1" x14ac:dyDescent="0.15">
      <c r="A5258" s="1" t="s">
        <v>18419</v>
      </c>
      <c r="B5258" s="1">
        <v>32</v>
      </c>
      <c r="C5258" s="1" t="s">
        <v>20</v>
      </c>
      <c r="D5258" s="1" t="s">
        <v>30</v>
      </c>
      <c r="F5258" s="72">
        <v>41288</v>
      </c>
      <c r="G5258" s="1" t="s">
        <v>24684</v>
      </c>
      <c r="H5258" s="1" t="s">
        <v>18420</v>
      </c>
      <c r="I5258" s="1" t="s">
        <v>81</v>
      </c>
      <c r="J5258" s="4" t="s">
        <v>13105</v>
      </c>
      <c r="K5258" s="1" t="s">
        <v>528</v>
      </c>
      <c r="L5258" s="1" t="s">
        <v>18421</v>
      </c>
      <c r="M5258" s="1" t="s">
        <v>27</v>
      </c>
      <c r="N5258" s="1" t="s">
        <v>18422</v>
      </c>
      <c r="O5258" s="1" t="s">
        <v>1010</v>
      </c>
      <c r="P5258" s="1" t="s">
        <v>401</v>
      </c>
      <c r="Q5258" s="63" t="s">
        <v>18423</v>
      </c>
      <c r="R5258" s="1" t="s">
        <v>100</v>
      </c>
      <c r="S5258" s="13" t="s">
        <v>28</v>
      </c>
      <c r="T5258" s="44"/>
      <c r="U5258" s="44"/>
      <c r="V5258" s="44"/>
      <c r="W5258" s="44"/>
      <c r="X5258" s="44"/>
      <c r="Y5258" s="44"/>
      <c r="Z5258" s="44"/>
      <c r="AA5258" s="44"/>
      <c r="AB5258" s="44"/>
      <c r="AC5258" s="44"/>
      <c r="AD5258" s="44"/>
      <c r="AE5258" s="44"/>
      <c r="AF5258" s="44"/>
      <c r="AG5258" s="44"/>
      <c r="AH5258" s="44"/>
    </row>
    <row r="5259" spans="1:62" ht="12" customHeight="1" x14ac:dyDescent="0.15">
      <c r="A5259" s="1" t="s">
        <v>18424</v>
      </c>
      <c r="B5259" s="1">
        <v>31</v>
      </c>
      <c r="C5259" s="1" t="s">
        <v>20</v>
      </c>
      <c r="D5259" s="1" t="s">
        <v>30</v>
      </c>
      <c r="F5259" s="72">
        <v>41288</v>
      </c>
      <c r="G5259" s="1" t="s">
        <v>18425</v>
      </c>
      <c r="H5259" s="1" t="s">
        <v>33</v>
      </c>
      <c r="I5259" s="1" t="s">
        <v>32</v>
      </c>
      <c r="J5259" s="4" t="s">
        <v>18426</v>
      </c>
      <c r="K5259" s="1" t="s">
        <v>33</v>
      </c>
      <c r="L5259" s="1" t="s">
        <v>34</v>
      </c>
      <c r="M5259" s="1" t="s">
        <v>27</v>
      </c>
      <c r="N5259" s="1" t="s">
        <v>18427</v>
      </c>
      <c r="O5259" s="1" t="s">
        <v>550</v>
      </c>
      <c r="P5259" s="1" t="s">
        <v>401</v>
      </c>
      <c r="Q5259" s="63" t="s">
        <v>18428</v>
      </c>
      <c r="R5259" s="1" t="s">
        <v>100</v>
      </c>
      <c r="S5259" s="13" t="s">
        <v>28</v>
      </c>
      <c r="T5259" s="44"/>
      <c r="U5259" s="44"/>
      <c r="V5259" s="44"/>
      <c r="W5259" s="44"/>
      <c r="X5259" s="44"/>
      <c r="Y5259" s="44"/>
      <c r="Z5259" s="44"/>
      <c r="AA5259" s="44"/>
      <c r="AB5259" s="44"/>
      <c r="AC5259" s="44"/>
      <c r="AD5259" s="44"/>
      <c r="AE5259" s="44"/>
      <c r="AF5259" s="44"/>
      <c r="AG5259" s="44"/>
      <c r="AH5259" s="44"/>
    </row>
    <row r="5260" spans="1:62" ht="12" customHeight="1" x14ac:dyDescent="0.15">
      <c r="A5260" s="1" t="s">
        <v>18435</v>
      </c>
      <c r="B5260" s="1" t="s">
        <v>13741</v>
      </c>
      <c r="C5260" s="1" t="s">
        <v>20</v>
      </c>
      <c r="D5260" s="1" t="s">
        <v>85</v>
      </c>
      <c r="E5260" s="1" t="s">
        <v>18436</v>
      </c>
      <c r="F5260" s="72">
        <v>41287</v>
      </c>
      <c r="G5260" s="1" t="s">
        <v>18437</v>
      </c>
      <c r="H5260" s="1" t="s">
        <v>18438</v>
      </c>
      <c r="I5260" s="1" t="s">
        <v>244</v>
      </c>
      <c r="J5260" s="4" t="s">
        <v>18439</v>
      </c>
      <c r="K5260" s="1" t="s">
        <v>11885</v>
      </c>
      <c r="L5260" s="1" t="s">
        <v>18440</v>
      </c>
      <c r="M5260" s="1" t="s">
        <v>27</v>
      </c>
      <c r="N5260" s="1" t="s">
        <v>18441</v>
      </c>
      <c r="O5260" s="1" t="s">
        <v>550</v>
      </c>
      <c r="P5260" s="1" t="s">
        <v>401</v>
      </c>
      <c r="Q5260" s="63" t="s">
        <v>18442</v>
      </c>
      <c r="R5260" s="1" t="s">
        <v>100</v>
      </c>
      <c r="S5260" s="13" t="s">
        <v>28</v>
      </c>
      <c r="T5260" s="44"/>
      <c r="U5260" s="44"/>
      <c r="V5260" s="44"/>
      <c r="W5260" s="44"/>
      <c r="X5260" s="44"/>
      <c r="Y5260" s="44"/>
      <c r="Z5260" s="44"/>
      <c r="AA5260" s="44"/>
      <c r="AB5260" s="44"/>
      <c r="AC5260" s="44"/>
      <c r="AD5260" s="44"/>
      <c r="AE5260" s="44"/>
      <c r="AF5260" s="44"/>
      <c r="AG5260" s="44"/>
      <c r="AH5260" s="44"/>
      <c r="BC5260" s="44"/>
      <c r="BD5260" s="44"/>
      <c r="BE5260" s="44"/>
      <c r="BF5260" s="44"/>
      <c r="BG5260" s="44"/>
      <c r="BH5260" s="44"/>
      <c r="BI5260" s="44"/>
      <c r="BJ5260" s="44"/>
    </row>
    <row r="5261" spans="1:62" ht="12" customHeight="1" x14ac:dyDescent="0.15">
      <c r="A5261" s="1" t="s">
        <v>18429</v>
      </c>
      <c r="B5261" s="1">
        <v>43</v>
      </c>
      <c r="C5261" s="1" t="s">
        <v>20</v>
      </c>
      <c r="D5261" s="1" t="s">
        <v>85</v>
      </c>
      <c r="F5261" s="72">
        <v>41287</v>
      </c>
      <c r="G5261" s="1" t="s">
        <v>18430</v>
      </c>
      <c r="H5261" s="1" t="s">
        <v>632</v>
      </c>
      <c r="I5261" s="1" t="s">
        <v>123</v>
      </c>
      <c r="J5261" s="4" t="s">
        <v>18431</v>
      </c>
      <c r="K5261" s="1" t="s">
        <v>633</v>
      </c>
      <c r="L5261" s="1" t="s">
        <v>18432</v>
      </c>
      <c r="M5261" s="1" t="s">
        <v>27</v>
      </c>
      <c r="N5261" s="1" t="s">
        <v>18433</v>
      </c>
      <c r="O5261" s="1" t="s">
        <v>550</v>
      </c>
      <c r="P5261" s="1" t="s">
        <v>401</v>
      </c>
      <c r="Q5261" s="63" t="s">
        <v>18434</v>
      </c>
      <c r="R5261" s="1" t="s">
        <v>100</v>
      </c>
      <c r="S5261" s="13" t="s">
        <v>18</v>
      </c>
      <c r="T5261" s="44"/>
      <c r="U5261" s="44"/>
      <c r="V5261" s="44"/>
      <c r="W5261" s="44"/>
      <c r="X5261" s="44"/>
      <c r="Y5261" s="44"/>
      <c r="Z5261" s="44"/>
      <c r="AA5261" s="44"/>
      <c r="AB5261" s="44"/>
      <c r="AC5261" s="44"/>
      <c r="AD5261" s="44"/>
      <c r="AE5261" s="44"/>
      <c r="AF5261" s="44"/>
      <c r="AG5261" s="44"/>
      <c r="AH5261" s="44"/>
      <c r="BC5261" s="44"/>
      <c r="BD5261" s="44"/>
      <c r="BE5261" s="44"/>
      <c r="BF5261" s="44"/>
      <c r="BG5261" s="44"/>
      <c r="BH5261" s="44"/>
      <c r="BI5261" s="44"/>
      <c r="BJ5261" s="44"/>
    </row>
    <row r="5262" spans="1:62" ht="12" customHeight="1" x14ac:dyDescent="0.15">
      <c r="A5262" s="1" t="s">
        <v>18443</v>
      </c>
      <c r="B5262" s="1">
        <v>50</v>
      </c>
      <c r="C5262" s="1" t="s">
        <v>20</v>
      </c>
      <c r="D5262" s="1" t="s">
        <v>48</v>
      </c>
      <c r="E5262" s="1" t="s">
        <v>18444</v>
      </c>
      <c r="F5262" s="72">
        <v>41287</v>
      </c>
      <c r="G5262" s="1" t="s">
        <v>24685</v>
      </c>
      <c r="H5262" s="1" t="s">
        <v>1951</v>
      </c>
      <c r="I5262" s="1" t="s">
        <v>45</v>
      </c>
      <c r="J5262" s="4" t="s">
        <v>18445</v>
      </c>
      <c r="K5262" s="1" t="s">
        <v>1953</v>
      </c>
      <c r="L5262" s="1" t="s">
        <v>1954</v>
      </c>
      <c r="M5262" s="1" t="s">
        <v>27</v>
      </c>
      <c r="N5262" s="1" t="s">
        <v>18446</v>
      </c>
      <c r="O5262" s="1" t="s">
        <v>550</v>
      </c>
      <c r="P5262" s="1" t="s">
        <v>401</v>
      </c>
      <c r="Q5262" s="63" t="s">
        <v>18447</v>
      </c>
      <c r="R5262" s="1" t="s">
        <v>29</v>
      </c>
      <c r="S5262" s="13" t="s">
        <v>28</v>
      </c>
      <c r="T5262" s="44"/>
      <c r="U5262" s="44"/>
      <c r="V5262" s="44"/>
      <c r="W5262" s="44"/>
      <c r="X5262" s="44"/>
      <c r="Y5262" s="44"/>
      <c r="Z5262" s="44"/>
      <c r="AA5262" s="44"/>
      <c r="AB5262" s="44"/>
      <c r="AC5262" s="44"/>
      <c r="AD5262" s="44"/>
      <c r="AE5262" s="44"/>
      <c r="AF5262" s="44"/>
      <c r="AG5262" s="44"/>
      <c r="AH5262" s="44"/>
    </row>
    <row r="5263" spans="1:62" ht="12" customHeight="1" x14ac:dyDescent="0.15">
      <c r="A5263" s="1" t="s">
        <v>18448</v>
      </c>
      <c r="B5263" s="1">
        <v>40</v>
      </c>
      <c r="C5263" s="1" t="s">
        <v>20</v>
      </c>
      <c r="D5263" s="1" t="s">
        <v>30</v>
      </c>
      <c r="F5263" s="72">
        <v>41287</v>
      </c>
      <c r="G5263" s="1" t="s">
        <v>18449</v>
      </c>
      <c r="H5263" s="1" t="s">
        <v>18450</v>
      </c>
      <c r="I5263" s="1" t="s">
        <v>62</v>
      </c>
      <c r="J5263" s="4" t="s">
        <v>18451</v>
      </c>
      <c r="K5263" s="1" t="s">
        <v>1769</v>
      </c>
      <c r="L5263" s="1" t="s">
        <v>3765</v>
      </c>
      <c r="M5263" s="1" t="s">
        <v>27</v>
      </c>
      <c r="N5263" s="1" t="s">
        <v>18452</v>
      </c>
      <c r="O5263" s="1" t="s">
        <v>550</v>
      </c>
      <c r="P5263" s="1" t="s">
        <v>401</v>
      </c>
      <c r="Q5263" s="63" t="s">
        <v>18453</v>
      </c>
      <c r="R5263" s="1" t="s">
        <v>29</v>
      </c>
      <c r="S5263" s="13" t="s">
        <v>28</v>
      </c>
      <c r="T5263" s="44"/>
      <c r="U5263" s="44"/>
      <c r="V5263" s="44"/>
      <c r="W5263" s="44"/>
      <c r="X5263" s="44"/>
      <c r="Y5263" s="44"/>
      <c r="Z5263" s="44"/>
      <c r="AA5263" s="44"/>
      <c r="AB5263" s="44"/>
      <c r="AC5263" s="44"/>
      <c r="AD5263" s="44"/>
      <c r="AE5263" s="44"/>
      <c r="AF5263" s="44"/>
      <c r="AG5263" s="44"/>
      <c r="AH5263" s="44"/>
    </row>
    <row r="5264" spans="1:62" ht="12" customHeight="1" x14ac:dyDescent="0.15">
      <c r="A5264" s="1" t="s">
        <v>18454</v>
      </c>
      <c r="C5264" s="1" t="s">
        <v>20</v>
      </c>
      <c r="D5264" s="1" t="s">
        <v>30</v>
      </c>
      <c r="F5264" s="72">
        <v>41287</v>
      </c>
      <c r="G5264" s="1" t="s">
        <v>18455</v>
      </c>
      <c r="H5264" s="1" t="s">
        <v>18456</v>
      </c>
      <c r="I5264" s="1" t="s">
        <v>431</v>
      </c>
      <c r="J5264" s="4" t="s">
        <v>18457</v>
      </c>
      <c r="K5264" s="1" t="s">
        <v>5928</v>
      </c>
      <c r="L5264" s="1" t="s">
        <v>18458</v>
      </c>
      <c r="M5264" s="1" t="s">
        <v>27</v>
      </c>
      <c r="N5264" s="1" t="s">
        <v>18459</v>
      </c>
      <c r="O5264" s="1" t="s">
        <v>1010</v>
      </c>
      <c r="P5264" s="1" t="s">
        <v>401</v>
      </c>
      <c r="Q5264" s="63" t="s">
        <v>18460</v>
      </c>
      <c r="R5264" s="1" t="s">
        <v>29</v>
      </c>
      <c r="S5264" s="13" t="s">
        <v>28</v>
      </c>
      <c r="T5264" s="44"/>
      <c r="U5264" s="44"/>
      <c r="V5264" s="44"/>
      <c r="W5264" s="44"/>
      <c r="X5264" s="44"/>
      <c r="Y5264" s="44"/>
      <c r="Z5264" s="44"/>
      <c r="AA5264" s="44"/>
      <c r="AB5264" s="44"/>
      <c r="AC5264" s="44"/>
      <c r="AD5264" s="44"/>
      <c r="AE5264" s="44"/>
      <c r="AF5264" s="44"/>
      <c r="AG5264" s="44"/>
      <c r="AH5264" s="44"/>
    </row>
    <row r="5265" spans="1:63" ht="12" customHeight="1" x14ac:dyDescent="0.2">
      <c r="A5265" s="1" t="s">
        <v>18476</v>
      </c>
      <c r="B5265" s="1" t="s">
        <v>8769</v>
      </c>
      <c r="C5265" s="1" t="s">
        <v>20</v>
      </c>
      <c r="D5265" s="1" t="s">
        <v>37</v>
      </c>
      <c r="E5265" s="1" t="s">
        <v>18477</v>
      </c>
      <c r="F5265" s="72">
        <v>41286</v>
      </c>
      <c r="G5265" s="1" t="s">
        <v>18478</v>
      </c>
      <c r="H5265" s="1" t="s">
        <v>3103</v>
      </c>
      <c r="I5265" s="1" t="s">
        <v>52</v>
      </c>
      <c r="J5265" s="4" t="s">
        <v>18479</v>
      </c>
      <c r="K5265" s="1" t="s">
        <v>3103</v>
      </c>
      <c r="L5265" s="1" t="s">
        <v>3104</v>
      </c>
      <c r="M5265" s="1" t="s">
        <v>12821</v>
      </c>
      <c r="N5265" s="1" t="s">
        <v>18480</v>
      </c>
      <c r="O5265" s="1" t="s">
        <v>550</v>
      </c>
      <c r="P5265" s="1" t="s">
        <v>401</v>
      </c>
      <c r="Q5265" s="63" t="s">
        <v>18481</v>
      </c>
      <c r="R5265" s="1" t="s">
        <v>100</v>
      </c>
      <c r="S5265" s="13" t="s">
        <v>28</v>
      </c>
      <c r="T5265" s="44"/>
      <c r="U5265" s="44"/>
      <c r="V5265" s="44"/>
      <c r="W5265" s="44"/>
      <c r="X5265" s="44"/>
      <c r="Y5265" s="44"/>
      <c r="Z5265" s="44"/>
      <c r="AA5265" s="44"/>
      <c r="AB5265" s="44"/>
      <c r="AC5265" s="44"/>
      <c r="AD5265" s="44"/>
      <c r="AE5265" s="44"/>
      <c r="AF5265" s="44"/>
      <c r="AG5265" s="44"/>
      <c r="AH5265" s="44"/>
      <c r="AU5265" s="70"/>
      <c r="AV5265" s="70"/>
      <c r="AW5265" s="70"/>
      <c r="AX5265" s="44"/>
      <c r="AY5265" s="44"/>
      <c r="AZ5265" s="44"/>
      <c r="BK5265" s="78"/>
    </row>
    <row r="5266" spans="1:63" ht="12" customHeight="1" x14ac:dyDescent="0.15">
      <c r="A5266" s="1" t="s">
        <v>18461</v>
      </c>
      <c r="B5266" s="1">
        <v>21</v>
      </c>
      <c r="C5266" s="1" t="s">
        <v>20</v>
      </c>
      <c r="D5266" s="1" t="s">
        <v>48</v>
      </c>
      <c r="F5266" s="72">
        <v>41286</v>
      </c>
      <c r="G5266" s="1" t="s">
        <v>24687</v>
      </c>
      <c r="H5266" s="1" t="s">
        <v>156</v>
      </c>
      <c r="I5266" s="1" t="s">
        <v>45</v>
      </c>
      <c r="J5266" s="4" t="s">
        <v>16508</v>
      </c>
      <c r="K5266" s="1" t="s">
        <v>156</v>
      </c>
      <c r="L5266" s="1" t="s">
        <v>157</v>
      </c>
      <c r="M5266" s="1" t="s">
        <v>27</v>
      </c>
      <c r="N5266" s="1" t="s">
        <v>18462</v>
      </c>
      <c r="O5266" s="1" t="s">
        <v>550</v>
      </c>
      <c r="P5266" s="1" t="s">
        <v>401</v>
      </c>
      <c r="Q5266" s="63" t="s">
        <v>18463</v>
      </c>
      <c r="R5266" s="1" t="s">
        <v>100</v>
      </c>
      <c r="S5266" s="13" t="s">
        <v>379</v>
      </c>
      <c r="T5266" s="44"/>
      <c r="U5266" s="44"/>
      <c r="V5266" s="44"/>
      <c r="W5266" s="44"/>
      <c r="X5266" s="44"/>
      <c r="Y5266" s="44"/>
      <c r="Z5266" s="44"/>
      <c r="AA5266" s="44"/>
      <c r="AB5266" s="44"/>
      <c r="AC5266" s="44"/>
      <c r="AD5266" s="44"/>
      <c r="AE5266" s="44"/>
      <c r="AF5266" s="44"/>
      <c r="AG5266" s="44"/>
      <c r="AH5266" s="44"/>
    </row>
    <row r="5267" spans="1:63" ht="12" customHeight="1" x14ac:dyDescent="0.15">
      <c r="A5267" s="1" t="s">
        <v>18464</v>
      </c>
      <c r="B5267" s="1">
        <v>49</v>
      </c>
      <c r="C5267" s="1" t="s">
        <v>20</v>
      </c>
      <c r="D5267" s="1" t="s">
        <v>30</v>
      </c>
      <c r="F5267" s="72">
        <v>41286</v>
      </c>
      <c r="G5267" s="1" t="s">
        <v>18465</v>
      </c>
      <c r="H5267" s="1" t="s">
        <v>18466</v>
      </c>
      <c r="I5267" s="1" t="s">
        <v>150</v>
      </c>
      <c r="J5267" s="4" t="s">
        <v>18467</v>
      </c>
      <c r="K5267" s="1" t="s">
        <v>915</v>
      </c>
      <c r="L5267" s="1" t="s">
        <v>18468</v>
      </c>
      <c r="M5267" s="1" t="s">
        <v>27</v>
      </c>
      <c r="N5267" s="1" t="s">
        <v>18469</v>
      </c>
      <c r="O5267" s="1" t="s">
        <v>550</v>
      </c>
      <c r="P5267" s="1" t="s">
        <v>401</v>
      </c>
      <c r="Q5267" s="63" t="s">
        <v>18470</v>
      </c>
      <c r="R5267" s="1" t="s">
        <v>29</v>
      </c>
      <c r="S5267" s="13" t="s">
        <v>28</v>
      </c>
      <c r="T5267" s="44"/>
      <c r="U5267" s="44"/>
      <c r="V5267" s="44"/>
      <c r="W5267" s="44"/>
      <c r="X5267" s="44"/>
      <c r="Y5267" s="44"/>
      <c r="Z5267" s="44"/>
      <c r="AA5267" s="44"/>
      <c r="AB5267" s="44"/>
      <c r="AC5267" s="44"/>
      <c r="AD5267" s="44"/>
      <c r="AE5267" s="44"/>
      <c r="AF5267" s="44"/>
      <c r="AG5267" s="44"/>
      <c r="AH5267" s="44"/>
    </row>
    <row r="5268" spans="1:63" ht="12" customHeight="1" x14ac:dyDescent="0.15">
      <c r="A5268" s="1" t="s">
        <v>18482</v>
      </c>
      <c r="B5268" s="1">
        <v>31</v>
      </c>
      <c r="C5268" s="1" t="s">
        <v>20</v>
      </c>
      <c r="D5268" s="1" t="s">
        <v>37</v>
      </c>
      <c r="E5268" s="1" t="s">
        <v>18483</v>
      </c>
      <c r="F5268" s="72">
        <v>41286</v>
      </c>
      <c r="G5268" s="1" t="s">
        <v>18484</v>
      </c>
      <c r="H5268" s="1" t="s">
        <v>543</v>
      </c>
      <c r="I5268" s="1" t="s">
        <v>150</v>
      </c>
      <c r="J5268" s="4" t="s">
        <v>544</v>
      </c>
      <c r="K5268" s="1" t="s">
        <v>2902</v>
      </c>
      <c r="L5268" s="1" t="s">
        <v>18485</v>
      </c>
      <c r="M5268" s="1" t="s">
        <v>27</v>
      </c>
      <c r="N5268" s="1" t="s">
        <v>18486</v>
      </c>
      <c r="O5268" s="1" t="s">
        <v>1010</v>
      </c>
      <c r="P5268" s="1" t="s">
        <v>401</v>
      </c>
      <c r="Q5268" s="63" t="s">
        <v>18487</v>
      </c>
      <c r="R5268" s="1" t="s">
        <v>29</v>
      </c>
      <c r="S5268" s="13" t="s">
        <v>28</v>
      </c>
      <c r="T5268" s="44"/>
      <c r="U5268" s="44"/>
      <c r="V5268" s="44"/>
      <c r="W5268" s="44"/>
      <c r="X5268" s="44"/>
      <c r="Y5268" s="44"/>
      <c r="Z5268" s="44"/>
      <c r="AA5268" s="44"/>
      <c r="AB5268" s="44"/>
      <c r="AC5268" s="44"/>
      <c r="AD5268" s="44"/>
      <c r="AE5268" s="44"/>
      <c r="AF5268" s="44"/>
      <c r="AG5268" s="44"/>
      <c r="AH5268" s="44"/>
      <c r="AX5268" s="44"/>
      <c r="AY5268" s="44"/>
      <c r="AZ5268" s="44"/>
    </row>
    <row r="5269" spans="1:63" ht="12" customHeight="1" x14ac:dyDescent="0.15">
      <c r="A5269" s="1" t="s">
        <v>18471</v>
      </c>
      <c r="B5269" s="1">
        <v>33</v>
      </c>
      <c r="C5269" s="1" t="s">
        <v>20</v>
      </c>
      <c r="D5269" s="1" t="s">
        <v>30</v>
      </c>
      <c r="F5269" s="72">
        <v>41286</v>
      </c>
      <c r="G5269" s="1" t="s">
        <v>24686</v>
      </c>
      <c r="H5269" s="1" t="s">
        <v>18472</v>
      </c>
      <c r="I5269" s="1" t="s">
        <v>94</v>
      </c>
      <c r="J5269" s="4" t="s">
        <v>18473</v>
      </c>
      <c r="K5269" s="1" t="s">
        <v>5538</v>
      </c>
      <c r="L5269" s="1" t="s">
        <v>7724</v>
      </c>
      <c r="M5269" s="1" t="s">
        <v>27</v>
      </c>
      <c r="N5269" s="1" t="s">
        <v>18474</v>
      </c>
      <c r="O5269" s="1" t="s">
        <v>1010</v>
      </c>
      <c r="P5269" s="1" t="s">
        <v>401</v>
      </c>
      <c r="Q5269" s="63" t="s">
        <v>18475</v>
      </c>
      <c r="R5269" s="1" t="s">
        <v>29</v>
      </c>
      <c r="S5269" s="13" t="s">
        <v>379</v>
      </c>
      <c r="T5269" s="44"/>
      <c r="U5269" s="44"/>
      <c r="V5269" s="44"/>
      <c r="W5269" s="44"/>
      <c r="X5269" s="44"/>
      <c r="Y5269" s="44"/>
      <c r="Z5269" s="44"/>
      <c r="AA5269" s="44"/>
      <c r="AB5269" s="44"/>
      <c r="AC5269" s="44"/>
      <c r="AD5269" s="44"/>
      <c r="AE5269" s="44"/>
      <c r="AF5269" s="44"/>
      <c r="AG5269" s="44"/>
      <c r="AH5269" s="44"/>
    </row>
    <row r="5270" spans="1:63" ht="12" customHeight="1" x14ac:dyDescent="0.2">
      <c r="A5270" s="1" t="s">
        <v>18488</v>
      </c>
      <c r="B5270" s="1">
        <v>39</v>
      </c>
      <c r="C5270" s="1" t="s">
        <v>20</v>
      </c>
      <c r="D5270" s="1" t="s">
        <v>21</v>
      </c>
      <c r="E5270" s="1" t="s">
        <v>18489</v>
      </c>
      <c r="F5270" s="72">
        <v>41285</v>
      </c>
      <c r="G5270" s="1" t="s">
        <v>24688</v>
      </c>
      <c r="H5270" s="1" t="s">
        <v>3690</v>
      </c>
      <c r="I5270" s="1" t="s">
        <v>45</v>
      </c>
      <c r="J5270" s="4" t="s">
        <v>4004</v>
      </c>
      <c r="K5270" s="1" t="s">
        <v>1061</v>
      </c>
      <c r="L5270" s="1" t="s">
        <v>3692</v>
      </c>
      <c r="M5270" s="1" t="s">
        <v>27</v>
      </c>
      <c r="N5270" s="1" t="s">
        <v>18490</v>
      </c>
      <c r="O5270" s="1" t="s">
        <v>550</v>
      </c>
      <c r="P5270" s="1" t="s">
        <v>401</v>
      </c>
      <c r="Q5270" s="63" t="s">
        <v>18491</v>
      </c>
      <c r="R5270" s="1" t="s">
        <v>100</v>
      </c>
      <c r="S5270" s="13" t="s">
        <v>28</v>
      </c>
      <c r="T5270" s="44"/>
      <c r="U5270" s="44"/>
      <c r="V5270" s="44"/>
      <c r="W5270" s="44"/>
      <c r="X5270" s="44"/>
      <c r="Y5270" s="44"/>
      <c r="Z5270" s="44"/>
      <c r="AA5270" s="44"/>
      <c r="AB5270" s="44"/>
      <c r="AC5270" s="44"/>
      <c r="AD5270" s="44"/>
      <c r="AE5270" s="44"/>
      <c r="AF5270" s="44"/>
      <c r="AG5270" s="44"/>
      <c r="AH5270" s="44"/>
      <c r="AX5270" s="70"/>
      <c r="AY5270" s="70"/>
      <c r="BC5270" s="70"/>
      <c r="BD5270" s="70"/>
      <c r="BE5270" s="70"/>
      <c r="BF5270" s="70"/>
      <c r="BG5270" s="70"/>
      <c r="BH5270" s="70"/>
      <c r="BI5270" s="70"/>
      <c r="BJ5270" s="70"/>
    </row>
    <row r="5271" spans="1:63" ht="12" customHeight="1" x14ac:dyDescent="0.15">
      <c r="A5271" s="1" t="s">
        <v>18492</v>
      </c>
      <c r="B5271" s="1">
        <v>25</v>
      </c>
      <c r="C5271" s="1" t="s">
        <v>20</v>
      </c>
      <c r="D5271" s="1" t="s">
        <v>85</v>
      </c>
      <c r="E5271" s="1" t="s">
        <v>18493</v>
      </c>
      <c r="F5271" s="72">
        <v>41285</v>
      </c>
      <c r="G5271" s="1" t="s">
        <v>18494</v>
      </c>
      <c r="H5271" s="1" t="s">
        <v>9752</v>
      </c>
      <c r="I5271" s="1" t="s">
        <v>330</v>
      </c>
      <c r="J5271" s="4" t="s">
        <v>15344</v>
      </c>
      <c r="K5271" s="1" t="s">
        <v>2495</v>
      </c>
      <c r="L5271" s="1" t="s">
        <v>9754</v>
      </c>
      <c r="M5271" s="1" t="s">
        <v>27</v>
      </c>
      <c r="N5271" s="1" t="s">
        <v>18495</v>
      </c>
      <c r="O5271" s="1" t="s">
        <v>1010</v>
      </c>
      <c r="P5271" s="1" t="s">
        <v>401</v>
      </c>
      <c r="Q5271" s="63" t="s">
        <v>18496</v>
      </c>
      <c r="R5271" s="1" t="s">
        <v>100</v>
      </c>
      <c r="S5271" s="13" t="s">
        <v>28</v>
      </c>
      <c r="T5271" s="44"/>
      <c r="U5271" s="44"/>
      <c r="V5271" s="44"/>
      <c r="W5271" s="44"/>
      <c r="X5271" s="44"/>
      <c r="Y5271" s="44"/>
      <c r="Z5271" s="44"/>
      <c r="AA5271" s="44"/>
      <c r="AB5271" s="44"/>
      <c r="AC5271" s="44"/>
      <c r="AD5271" s="44"/>
      <c r="AE5271" s="44"/>
      <c r="AF5271" s="44"/>
      <c r="AG5271" s="44"/>
      <c r="AH5271" s="44"/>
    </row>
    <row r="5272" spans="1:63" ht="12" customHeight="1" x14ac:dyDescent="0.15">
      <c r="A5272" s="1" t="s">
        <v>18497</v>
      </c>
      <c r="B5272" s="1">
        <v>34</v>
      </c>
      <c r="C5272" s="1" t="s">
        <v>20</v>
      </c>
      <c r="D5272" s="1" t="s">
        <v>37</v>
      </c>
      <c r="E5272" s="1" t="s">
        <v>18498</v>
      </c>
      <c r="F5272" s="72">
        <v>41285</v>
      </c>
      <c r="G5272" s="1" t="s">
        <v>18499</v>
      </c>
      <c r="H5272" s="1" t="s">
        <v>5158</v>
      </c>
      <c r="I5272" s="1" t="s">
        <v>173</v>
      </c>
      <c r="J5272" s="4">
        <v>31326</v>
      </c>
      <c r="K5272" s="1" t="s">
        <v>18500</v>
      </c>
      <c r="L5272" s="1" t="s">
        <v>18501</v>
      </c>
      <c r="M5272" s="1" t="s">
        <v>27</v>
      </c>
      <c r="N5272" s="1" t="s">
        <v>18502</v>
      </c>
      <c r="O5272" s="1" t="s">
        <v>550</v>
      </c>
      <c r="P5272" s="1" t="s">
        <v>401</v>
      </c>
      <c r="Q5272" s="63" t="s">
        <v>18503</v>
      </c>
      <c r="R5272" s="1" t="s">
        <v>100</v>
      </c>
      <c r="S5272" s="13" t="s">
        <v>28</v>
      </c>
      <c r="T5272" s="44"/>
      <c r="U5272" s="44"/>
      <c r="V5272" s="44"/>
      <c r="W5272" s="44"/>
      <c r="X5272" s="44"/>
      <c r="Y5272" s="44"/>
      <c r="Z5272" s="44"/>
      <c r="AA5272" s="44"/>
      <c r="AB5272" s="44"/>
      <c r="AC5272" s="44"/>
      <c r="AD5272" s="44"/>
      <c r="AE5272" s="44"/>
      <c r="AF5272" s="44"/>
      <c r="AG5272" s="44"/>
      <c r="AH5272" s="44"/>
      <c r="AX5272" s="44"/>
      <c r="AY5272" s="44"/>
      <c r="AZ5272" s="44"/>
    </row>
    <row r="5273" spans="1:63" ht="12" customHeight="1" x14ac:dyDescent="0.15">
      <c r="A5273" s="1" t="s">
        <v>18504</v>
      </c>
      <c r="B5273" s="1" t="s">
        <v>18346</v>
      </c>
      <c r="C5273" s="1" t="s">
        <v>20</v>
      </c>
      <c r="D5273" s="1" t="s">
        <v>37</v>
      </c>
      <c r="E5273" s="1" t="s">
        <v>18505</v>
      </c>
      <c r="F5273" s="72">
        <v>41285</v>
      </c>
      <c r="G5273" s="1" t="s">
        <v>18506</v>
      </c>
      <c r="H5273" s="1" t="s">
        <v>1192</v>
      </c>
      <c r="I5273" s="1" t="s">
        <v>319</v>
      </c>
      <c r="J5273" s="4">
        <v>38126</v>
      </c>
      <c r="K5273" s="1" t="s">
        <v>1193</v>
      </c>
      <c r="L5273" s="1" t="s">
        <v>1194</v>
      </c>
      <c r="M5273" s="1" t="s">
        <v>27</v>
      </c>
      <c r="N5273" s="1" t="s">
        <v>18507</v>
      </c>
      <c r="O5273" s="1" t="s">
        <v>29</v>
      </c>
      <c r="P5273" s="1" t="s">
        <v>401</v>
      </c>
      <c r="Q5273" s="63" t="s">
        <v>18508</v>
      </c>
      <c r="R5273" s="1" t="s">
        <v>555</v>
      </c>
      <c r="S5273" s="13" t="s">
        <v>28</v>
      </c>
      <c r="T5273" s="44"/>
      <c r="U5273" s="44"/>
      <c r="V5273" s="44"/>
      <c r="W5273" s="44"/>
      <c r="X5273" s="44"/>
      <c r="Y5273" s="44"/>
      <c r="Z5273" s="44"/>
      <c r="AA5273" s="44"/>
      <c r="AB5273" s="44"/>
      <c r="AC5273" s="44"/>
      <c r="AD5273" s="44"/>
      <c r="AE5273" s="44"/>
      <c r="AF5273" s="44"/>
      <c r="AG5273" s="44"/>
      <c r="AH5273" s="44"/>
      <c r="AX5273" s="44"/>
      <c r="AY5273" s="44"/>
      <c r="AZ5273" s="44"/>
    </row>
    <row r="5274" spans="1:63" ht="12" customHeight="1" x14ac:dyDescent="0.15">
      <c r="A5274" s="1" t="s">
        <v>18515</v>
      </c>
      <c r="B5274" s="1">
        <v>19</v>
      </c>
      <c r="C5274" s="1" t="s">
        <v>20</v>
      </c>
      <c r="D5274" s="1" t="s">
        <v>37</v>
      </c>
      <c r="E5274" s="1" t="s">
        <v>18516</v>
      </c>
      <c r="F5274" s="72">
        <v>41284</v>
      </c>
      <c r="G5274" s="1" t="s">
        <v>24689</v>
      </c>
      <c r="H5274" s="1" t="s">
        <v>18517</v>
      </c>
      <c r="I5274" s="1" t="s">
        <v>52</v>
      </c>
      <c r="J5274" s="4" t="s">
        <v>18518</v>
      </c>
      <c r="K5274" s="1" t="s">
        <v>3103</v>
      </c>
      <c r="L5274" s="1" t="s">
        <v>3104</v>
      </c>
      <c r="M5274" s="1" t="s">
        <v>27</v>
      </c>
      <c r="N5274" s="1" t="s">
        <v>18519</v>
      </c>
      <c r="O5274" s="1" t="s">
        <v>550</v>
      </c>
      <c r="P5274" s="1" t="s">
        <v>401</v>
      </c>
      <c r="Q5274" s="63" t="s">
        <v>18520</v>
      </c>
      <c r="R5274" s="1" t="s">
        <v>100</v>
      </c>
      <c r="S5274" s="13" t="s">
        <v>28</v>
      </c>
      <c r="T5274" s="44"/>
      <c r="U5274" s="44"/>
      <c r="V5274" s="44"/>
      <c r="W5274" s="44"/>
      <c r="X5274" s="44"/>
      <c r="Y5274" s="44"/>
      <c r="Z5274" s="44"/>
      <c r="AA5274" s="44"/>
      <c r="AB5274" s="44"/>
      <c r="AC5274" s="44"/>
      <c r="AD5274" s="44"/>
      <c r="AE5274" s="44"/>
      <c r="AF5274" s="44"/>
      <c r="AG5274" s="44"/>
      <c r="AH5274" s="44"/>
      <c r="AX5274" s="44"/>
      <c r="AY5274" s="44"/>
      <c r="AZ5274" s="44"/>
    </row>
    <row r="5275" spans="1:63" ht="12" customHeight="1" x14ac:dyDescent="0.15">
      <c r="A5275" s="1" t="s">
        <v>18509</v>
      </c>
      <c r="B5275" s="1">
        <v>18</v>
      </c>
      <c r="C5275" s="1" t="s">
        <v>20</v>
      </c>
      <c r="D5275" s="1" t="s">
        <v>37</v>
      </c>
      <c r="E5275" s="1" t="s">
        <v>18510</v>
      </c>
      <c r="F5275" s="72">
        <v>41284</v>
      </c>
      <c r="G5275" s="1" t="s">
        <v>18511</v>
      </c>
      <c r="H5275" s="1" t="s">
        <v>565</v>
      </c>
      <c r="I5275" s="1" t="s">
        <v>395</v>
      </c>
      <c r="J5275" s="4" t="s">
        <v>18512</v>
      </c>
      <c r="K5275" s="1" t="s">
        <v>566</v>
      </c>
      <c r="L5275" s="1" t="s">
        <v>567</v>
      </c>
      <c r="M5275" s="1" t="s">
        <v>27</v>
      </c>
      <c r="N5275" s="1" t="s">
        <v>18513</v>
      </c>
      <c r="O5275" s="1" t="s">
        <v>550</v>
      </c>
      <c r="P5275" s="1" t="s">
        <v>401</v>
      </c>
      <c r="Q5275" s="63" t="s">
        <v>18514</v>
      </c>
      <c r="R5275" s="1" t="s">
        <v>29</v>
      </c>
      <c r="S5275" s="13" t="s">
        <v>28</v>
      </c>
      <c r="T5275" s="44"/>
      <c r="U5275" s="44"/>
      <c r="V5275" s="44"/>
      <c r="W5275" s="44"/>
      <c r="X5275" s="44"/>
      <c r="Y5275" s="44"/>
      <c r="Z5275" s="44"/>
      <c r="AA5275" s="44"/>
      <c r="AB5275" s="44"/>
      <c r="AC5275" s="44"/>
      <c r="AD5275" s="44"/>
      <c r="AE5275" s="44"/>
      <c r="AF5275" s="44"/>
      <c r="AG5275" s="44"/>
      <c r="AH5275" s="44"/>
      <c r="AX5275" s="44"/>
      <c r="AY5275" s="44"/>
      <c r="AZ5275" s="44"/>
    </row>
    <row r="5276" spans="1:63" ht="12" customHeight="1" x14ac:dyDescent="0.15">
      <c r="A5276" s="1" t="s">
        <v>18521</v>
      </c>
      <c r="B5276" s="1">
        <v>37</v>
      </c>
      <c r="C5276" s="1" t="s">
        <v>20</v>
      </c>
      <c r="D5276" s="1" t="s">
        <v>37</v>
      </c>
      <c r="E5276" s="1" t="s">
        <v>18522</v>
      </c>
      <c r="F5276" s="72">
        <v>41284</v>
      </c>
      <c r="G5276" s="1" t="s">
        <v>18523</v>
      </c>
      <c r="H5276" s="1" t="s">
        <v>18524</v>
      </c>
      <c r="I5276" s="1" t="s">
        <v>150</v>
      </c>
      <c r="J5276" s="4" t="s">
        <v>18525</v>
      </c>
      <c r="K5276" s="1" t="s">
        <v>990</v>
      </c>
      <c r="L5276" s="1" t="s">
        <v>17262</v>
      </c>
      <c r="M5276" s="1" t="s">
        <v>27</v>
      </c>
      <c r="N5276" s="1" t="s">
        <v>18526</v>
      </c>
      <c r="O5276" s="1" t="s">
        <v>29</v>
      </c>
      <c r="P5276" s="1" t="s">
        <v>401</v>
      </c>
      <c r="Q5276" s="63" t="s">
        <v>18527</v>
      </c>
      <c r="R5276" s="1" t="s">
        <v>555</v>
      </c>
      <c r="S5276" s="13" t="s">
        <v>28</v>
      </c>
      <c r="T5276" s="44"/>
      <c r="U5276" s="44"/>
      <c r="V5276" s="44"/>
      <c r="W5276" s="44"/>
      <c r="X5276" s="44"/>
      <c r="Y5276" s="44"/>
      <c r="Z5276" s="44"/>
      <c r="AA5276" s="44"/>
      <c r="AB5276" s="44"/>
      <c r="AC5276" s="44"/>
      <c r="AD5276" s="44"/>
      <c r="AE5276" s="44"/>
      <c r="AF5276" s="44"/>
      <c r="AG5276" s="44"/>
      <c r="AH5276" s="44"/>
      <c r="AX5276" s="44"/>
      <c r="AY5276" s="44"/>
      <c r="AZ5276" s="44"/>
    </row>
    <row r="5277" spans="1:63" ht="12" customHeight="1" x14ac:dyDescent="0.15">
      <c r="A5277" s="1" t="s">
        <v>18528</v>
      </c>
      <c r="B5277" s="1">
        <v>31</v>
      </c>
      <c r="C5277" s="1" t="s">
        <v>20</v>
      </c>
      <c r="D5277" s="1" t="s">
        <v>85</v>
      </c>
      <c r="E5277" s="1" t="str">
        <f>HYPERLINK("http://www.baynews9.com/content/dam/news/images/2012/12/Suspect-killed-110.jpg","http://www.baynews9.com/content/dam/news/images/2012/12/Suspect-killed-110.jpg")</f>
        <v>http://www.baynews9.com/content/dam/news/images/2012/12/Suspect-killed-110.jpg</v>
      </c>
      <c r="F5277" s="72">
        <v>41283</v>
      </c>
      <c r="G5277" s="1" t="s">
        <v>18529</v>
      </c>
      <c r="H5277" s="1" t="s">
        <v>1567</v>
      </c>
      <c r="I5277" s="1" t="s">
        <v>62</v>
      </c>
      <c r="J5277" s="4" t="s">
        <v>18530</v>
      </c>
      <c r="K5277" s="1" t="s">
        <v>638</v>
      </c>
      <c r="L5277" s="1" t="s">
        <v>639</v>
      </c>
      <c r="M5277" s="1" t="s">
        <v>27</v>
      </c>
      <c r="N5277" s="1" t="s">
        <v>18531</v>
      </c>
      <c r="O5277" s="1" t="s">
        <v>1010</v>
      </c>
      <c r="P5277" s="1" t="s">
        <v>401</v>
      </c>
      <c r="Q5277" s="6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5277" s="1" t="s">
        <v>100</v>
      </c>
      <c r="S5277" s="13" t="s">
        <v>28</v>
      </c>
      <c r="T5277" s="44"/>
      <c r="U5277" s="44"/>
      <c r="V5277" s="44"/>
      <c r="W5277" s="44"/>
      <c r="X5277" s="44"/>
      <c r="Y5277" s="44"/>
      <c r="Z5277" s="44"/>
      <c r="AA5277" s="44"/>
      <c r="AB5277" s="44"/>
      <c r="AC5277" s="44"/>
      <c r="AD5277" s="44"/>
      <c r="AE5277" s="44"/>
      <c r="AF5277" s="44"/>
      <c r="AG5277" s="44"/>
      <c r="AH5277" s="44"/>
    </row>
    <row r="5278" spans="1:63" ht="12" customHeight="1" x14ac:dyDescent="0.15">
      <c r="A5278" s="1" t="s">
        <v>18537</v>
      </c>
      <c r="B5278" s="1">
        <v>38</v>
      </c>
      <c r="C5278" s="1" t="s">
        <v>114</v>
      </c>
      <c r="D5278" s="1" t="s">
        <v>37</v>
      </c>
      <c r="E5278" s="1" t="s">
        <v>18538</v>
      </c>
      <c r="F5278" s="72">
        <v>41283</v>
      </c>
      <c r="G5278" s="1" t="s">
        <v>18539</v>
      </c>
      <c r="H5278" s="1" t="s">
        <v>239</v>
      </c>
      <c r="I5278" s="1" t="s">
        <v>240</v>
      </c>
      <c r="J5278" s="4" t="s">
        <v>18540</v>
      </c>
      <c r="K5278" s="1" t="s">
        <v>611</v>
      </c>
      <c r="L5278" s="1" t="s">
        <v>17486</v>
      </c>
      <c r="M5278" s="1" t="s">
        <v>27</v>
      </c>
      <c r="N5278" s="1" t="s">
        <v>18541</v>
      </c>
      <c r="O5278" s="1" t="s">
        <v>550</v>
      </c>
      <c r="P5278" s="1" t="s">
        <v>401</v>
      </c>
      <c r="Q5278" s="63" t="s">
        <v>18542</v>
      </c>
      <c r="R5278" s="1" t="s">
        <v>100</v>
      </c>
      <c r="S5278" s="13" t="s">
        <v>28</v>
      </c>
      <c r="T5278" s="44"/>
      <c r="U5278" s="44"/>
      <c r="V5278" s="44"/>
      <c r="W5278" s="44"/>
      <c r="X5278" s="44"/>
      <c r="Y5278" s="44"/>
      <c r="Z5278" s="44"/>
      <c r="AA5278" s="44"/>
      <c r="AB5278" s="44"/>
      <c r="AC5278" s="44"/>
      <c r="AD5278" s="44"/>
      <c r="AE5278" s="44"/>
      <c r="AF5278" s="44"/>
      <c r="AG5278" s="44"/>
      <c r="AH5278" s="44"/>
      <c r="AX5278" s="44"/>
      <c r="AY5278" s="44"/>
      <c r="AZ5278" s="44"/>
    </row>
    <row r="5279" spans="1:63" ht="12" customHeight="1" x14ac:dyDescent="0.15">
      <c r="A5279" s="1" t="s">
        <v>18532</v>
      </c>
      <c r="B5279" s="1">
        <v>60</v>
      </c>
      <c r="C5279" s="1" t="s">
        <v>114</v>
      </c>
      <c r="D5279" s="1" t="s">
        <v>30</v>
      </c>
      <c r="F5279" s="72">
        <v>41283</v>
      </c>
      <c r="G5279" s="1" t="s">
        <v>24690</v>
      </c>
      <c r="H5279" s="1" t="s">
        <v>18533</v>
      </c>
      <c r="I5279" s="1" t="s">
        <v>62</v>
      </c>
      <c r="J5279" s="4" t="s">
        <v>18534</v>
      </c>
      <c r="K5279" s="1" t="s">
        <v>1123</v>
      </c>
      <c r="L5279" s="1" t="s">
        <v>4384</v>
      </c>
      <c r="M5279" s="1" t="s">
        <v>27</v>
      </c>
      <c r="N5279" s="1" t="s">
        <v>18535</v>
      </c>
      <c r="O5279" s="1" t="s">
        <v>1010</v>
      </c>
      <c r="P5279" s="1" t="s">
        <v>401</v>
      </c>
      <c r="Q5279" s="63" t="s">
        <v>18536</v>
      </c>
      <c r="R5279" s="1" t="s">
        <v>555</v>
      </c>
      <c r="S5279" s="13" t="s">
        <v>28</v>
      </c>
      <c r="T5279" s="44"/>
      <c r="U5279" s="44"/>
      <c r="V5279" s="44"/>
      <c r="W5279" s="44"/>
      <c r="X5279" s="44"/>
      <c r="Y5279" s="44"/>
      <c r="Z5279" s="44"/>
      <c r="AA5279" s="44"/>
      <c r="AB5279" s="44"/>
      <c r="AC5279" s="44"/>
      <c r="AD5279" s="44"/>
      <c r="AE5279" s="44"/>
      <c r="AF5279" s="44"/>
      <c r="AG5279" s="44"/>
      <c r="AH5279" s="44"/>
      <c r="BA5279" s="11"/>
      <c r="BB5279" s="11"/>
    </row>
    <row r="5280" spans="1:63" ht="12" customHeight="1" x14ac:dyDescent="0.15">
      <c r="A5280" s="1" t="s">
        <v>18549</v>
      </c>
      <c r="B5280" s="1">
        <v>24</v>
      </c>
      <c r="C5280" s="1" t="s">
        <v>114</v>
      </c>
      <c r="D5280" s="1" t="s">
        <v>37</v>
      </c>
      <c r="E5280" s="1" t="s">
        <v>18550</v>
      </c>
      <c r="F5280" s="72">
        <v>41282</v>
      </c>
      <c r="G5280" s="1" t="s">
        <v>24691</v>
      </c>
      <c r="H5280" s="1" t="s">
        <v>18551</v>
      </c>
      <c r="I5280" s="1" t="s">
        <v>62</v>
      </c>
      <c r="J5280" s="4" t="s">
        <v>18552</v>
      </c>
      <c r="K5280" s="1" t="s">
        <v>5318</v>
      </c>
      <c r="L5280" s="1" t="s">
        <v>63</v>
      </c>
      <c r="M5280" s="1" t="s">
        <v>27</v>
      </c>
      <c r="N5280" s="1" t="s">
        <v>18553</v>
      </c>
      <c r="O5280" s="1" t="s">
        <v>29</v>
      </c>
      <c r="P5280" s="1" t="s">
        <v>401</v>
      </c>
      <c r="Q5280" s="63" t="s">
        <v>18554</v>
      </c>
      <c r="R5280" s="1" t="s">
        <v>29</v>
      </c>
      <c r="S5280" s="13" t="s">
        <v>28</v>
      </c>
      <c r="T5280" s="44"/>
      <c r="U5280" s="44"/>
      <c r="V5280" s="44"/>
      <c r="W5280" s="44"/>
      <c r="X5280" s="44"/>
      <c r="Y5280" s="44"/>
      <c r="Z5280" s="44"/>
      <c r="AA5280" s="44"/>
      <c r="AB5280" s="44"/>
      <c r="AC5280" s="44"/>
      <c r="AD5280" s="44"/>
      <c r="AE5280" s="44"/>
      <c r="AF5280" s="44"/>
      <c r="AG5280" s="44"/>
      <c r="AH5280" s="44"/>
      <c r="AX5280" s="44"/>
      <c r="AY5280" s="44"/>
      <c r="AZ5280" s="44"/>
    </row>
    <row r="5281" spans="1:62" ht="12" customHeight="1" x14ac:dyDescent="0.15">
      <c r="A5281" s="1" t="s">
        <v>18543</v>
      </c>
      <c r="B5281" s="1">
        <v>54</v>
      </c>
      <c r="C5281" s="1" t="s">
        <v>20</v>
      </c>
      <c r="D5281" s="1" t="s">
        <v>37</v>
      </c>
      <c r="E5281" s="1" t="s">
        <v>18544</v>
      </c>
      <c r="F5281" s="72">
        <v>41282</v>
      </c>
      <c r="G5281" s="1" t="s">
        <v>18545</v>
      </c>
      <c r="H5281" s="1" t="s">
        <v>3516</v>
      </c>
      <c r="I5281" s="1" t="s">
        <v>123</v>
      </c>
      <c r="J5281" s="4" t="s">
        <v>18546</v>
      </c>
      <c r="K5281" s="1" t="s">
        <v>633</v>
      </c>
      <c r="L5281" s="1" t="s">
        <v>1893</v>
      </c>
      <c r="M5281" s="1" t="s">
        <v>27</v>
      </c>
      <c r="N5281" s="1" t="s">
        <v>18547</v>
      </c>
      <c r="O5281" s="1" t="s">
        <v>550</v>
      </c>
      <c r="P5281" s="1" t="s">
        <v>401</v>
      </c>
      <c r="Q5281" s="63" t="s">
        <v>18548</v>
      </c>
      <c r="R5281" s="1" t="s">
        <v>555</v>
      </c>
      <c r="S5281" s="13" t="s">
        <v>28</v>
      </c>
      <c r="T5281" s="44"/>
      <c r="U5281" s="44"/>
      <c r="V5281" s="44"/>
      <c r="W5281" s="44"/>
      <c r="X5281" s="44"/>
      <c r="Y5281" s="44"/>
      <c r="Z5281" s="44"/>
      <c r="AA5281" s="44"/>
      <c r="AB5281" s="44"/>
      <c r="AC5281" s="44"/>
      <c r="AD5281" s="44"/>
      <c r="AE5281" s="44"/>
      <c r="AF5281" s="44"/>
      <c r="AG5281" s="44"/>
      <c r="AH5281" s="44"/>
      <c r="AX5281" s="44"/>
      <c r="AY5281" s="44"/>
      <c r="AZ5281" s="44"/>
      <c r="BA5281" s="11"/>
      <c r="BB5281" s="11"/>
    </row>
    <row r="5282" spans="1:62" ht="12" customHeight="1" x14ac:dyDescent="0.15">
      <c r="A5282" s="1" t="s">
        <v>18560</v>
      </c>
      <c r="B5282" s="1">
        <v>17</v>
      </c>
      <c r="C5282" s="1" t="s">
        <v>20</v>
      </c>
      <c r="D5282" s="1" t="s">
        <v>85</v>
      </c>
      <c r="E5282" s="1" t="s">
        <v>21202</v>
      </c>
      <c r="F5282" s="72">
        <v>41281</v>
      </c>
      <c r="G5282" s="1" t="s">
        <v>18561</v>
      </c>
      <c r="H5282" s="1" t="s">
        <v>87</v>
      </c>
      <c r="I5282" s="1" t="s">
        <v>44</v>
      </c>
      <c r="J5282" s="4" t="s">
        <v>1677</v>
      </c>
      <c r="K5282" s="1" t="s">
        <v>88</v>
      </c>
      <c r="L5282" s="1" t="s">
        <v>89</v>
      </c>
      <c r="M5282" s="1" t="s">
        <v>27</v>
      </c>
      <c r="N5282" s="1" t="s">
        <v>18562</v>
      </c>
      <c r="O5282" s="1" t="s">
        <v>1010</v>
      </c>
      <c r="P5282" s="1" t="s">
        <v>401</v>
      </c>
      <c r="Q5282" s="63" t="s">
        <v>18563</v>
      </c>
      <c r="R5282" s="1" t="s">
        <v>100</v>
      </c>
      <c r="S5282" s="13" t="s">
        <v>18</v>
      </c>
      <c r="T5282" s="44"/>
      <c r="U5282" s="44"/>
      <c r="V5282" s="44"/>
      <c r="W5282" s="44"/>
      <c r="X5282" s="44"/>
      <c r="Y5282" s="44"/>
      <c r="Z5282" s="44"/>
      <c r="AA5282" s="44"/>
      <c r="AB5282" s="44"/>
      <c r="AC5282" s="44"/>
      <c r="AD5282" s="44"/>
      <c r="AE5282" s="44"/>
      <c r="AF5282" s="44"/>
      <c r="AG5282" s="44"/>
      <c r="AH5282" s="44"/>
    </row>
    <row r="5283" spans="1:62" ht="12" customHeight="1" x14ac:dyDescent="0.15">
      <c r="A5283" s="1" t="s">
        <v>18555</v>
      </c>
      <c r="B5283" s="1" t="s">
        <v>13386</v>
      </c>
      <c r="C5283" s="1" t="s">
        <v>20</v>
      </c>
      <c r="D5283" s="1" t="s">
        <v>48</v>
      </c>
      <c r="E5283" s="1" t="s">
        <v>18556</v>
      </c>
      <c r="F5283" s="72">
        <v>41281</v>
      </c>
      <c r="G5283" s="1" t="s">
        <v>18557</v>
      </c>
      <c r="H5283" s="1" t="s">
        <v>632</v>
      </c>
      <c r="I5283" s="1" t="s">
        <v>123</v>
      </c>
      <c r="J5283" s="4">
        <v>85009</v>
      </c>
      <c r="K5283" s="1" t="s">
        <v>633</v>
      </c>
      <c r="L5283" s="1" t="s">
        <v>634</v>
      </c>
      <c r="M5283" s="1" t="s">
        <v>27</v>
      </c>
      <c r="N5283" s="1" t="s">
        <v>18558</v>
      </c>
      <c r="O5283" s="1" t="s">
        <v>29</v>
      </c>
      <c r="P5283" s="1" t="s">
        <v>401</v>
      </c>
      <c r="Q5283" s="63" t="s">
        <v>18559</v>
      </c>
      <c r="R5283" s="1" t="s">
        <v>100</v>
      </c>
      <c r="S5283" s="13" t="s">
        <v>379</v>
      </c>
      <c r="T5283" s="44"/>
      <c r="U5283" s="44"/>
      <c r="V5283" s="44"/>
      <c r="W5283" s="44"/>
      <c r="X5283" s="44"/>
      <c r="Y5283" s="44"/>
      <c r="Z5283" s="44"/>
      <c r="AA5283" s="44"/>
      <c r="AB5283" s="44"/>
      <c r="AC5283" s="44"/>
      <c r="AD5283" s="44"/>
      <c r="AE5283" s="44"/>
      <c r="AF5283" s="44"/>
      <c r="AG5283" s="44"/>
      <c r="AH5283" s="44"/>
    </row>
    <row r="5284" spans="1:62" ht="12" customHeight="1" x14ac:dyDescent="0.15">
      <c r="A5284" s="1" t="s">
        <v>18564</v>
      </c>
      <c r="B5284" s="1">
        <v>44</v>
      </c>
      <c r="C5284" s="1" t="s">
        <v>20</v>
      </c>
      <c r="D5284" s="1" t="s">
        <v>37</v>
      </c>
      <c r="E5284" s="1" t="s">
        <v>18565</v>
      </c>
      <c r="F5284" s="72">
        <v>41281</v>
      </c>
      <c r="G5284" s="1" t="s">
        <v>18566</v>
      </c>
      <c r="H5284" s="1" t="s">
        <v>18567</v>
      </c>
      <c r="I5284" s="1" t="s">
        <v>150</v>
      </c>
      <c r="J5284" s="4" t="s">
        <v>18568</v>
      </c>
      <c r="K5284" s="1" t="s">
        <v>18569</v>
      </c>
      <c r="L5284" s="1" t="s">
        <v>17262</v>
      </c>
      <c r="M5284" s="1" t="s">
        <v>27</v>
      </c>
      <c r="N5284" s="1" t="s">
        <v>18570</v>
      </c>
      <c r="O5284" s="1" t="s">
        <v>550</v>
      </c>
      <c r="P5284" s="1" t="s">
        <v>401</v>
      </c>
      <c r="Q5284" s="63" t="s">
        <v>18571</v>
      </c>
      <c r="R5284" s="1" t="s">
        <v>555</v>
      </c>
      <c r="S5284" s="13" t="s">
        <v>28</v>
      </c>
      <c r="T5284" s="44"/>
      <c r="U5284" s="44"/>
      <c r="V5284" s="44"/>
      <c r="W5284" s="44"/>
      <c r="X5284" s="44"/>
      <c r="Y5284" s="44"/>
      <c r="Z5284" s="44"/>
      <c r="AA5284" s="44"/>
      <c r="AB5284" s="44"/>
      <c r="AC5284" s="44"/>
      <c r="AD5284" s="44"/>
      <c r="AE5284" s="44"/>
      <c r="AF5284" s="44"/>
      <c r="AG5284" s="44"/>
      <c r="AH5284" s="44"/>
      <c r="AX5284" s="44"/>
      <c r="AY5284" s="44"/>
      <c r="AZ5284" s="44"/>
    </row>
    <row r="5285" spans="1:62" ht="12" customHeight="1" x14ac:dyDescent="0.15">
      <c r="A5285" s="1" t="s">
        <v>18572</v>
      </c>
      <c r="B5285" s="1">
        <v>29</v>
      </c>
      <c r="C5285" s="1" t="s">
        <v>20</v>
      </c>
      <c r="D5285" s="1" t="s">
        <v>37</v>
      </c>
      <c r="E5285" s="1" t="s">
        <v>18573</v>
      </c>
      <c r="F5285" s="72">
        <v>41280</v>
      </c>
      <c r="G5285" s="1" t="s">
        <v>18574</v>
      </c>
      <c r="H5285" s="1" t="s">
        <v>4573</v>
      </c>
      <c r="I5285" s="1" t="s">
        <v>854</v>
      </c>
      <c r="J5285" s="4" t="s">
        <v>4574</v>
      </c>
      <c r="K5285" s="1" t="s">
        <v>4575</v>
      </c>
      <c r="L5285" s="1" t="s">
        <v>10448</v>
      </c>
      <c r="M5285" s="1" t="s">
        <v>27</v>
      </c>
      <c r="N5285" s="1" t="s">
        <v>18575</v>
      </c>
      <c r="O5285" s="1" t="s">
        <v>550</v>
      </c>
      <c r="P5285" s="1" t="s">
        <v>401</v>
      </c>
      <c r="Q5285" s="63" t="s">
        <v>18576</v>
      </c>
      <c r="R5285" s="1" t="s">
        <v>100</v>
      </c>
      <c r="S5285" s="13" t="s">
        <v>28</v>
      </c>
      <c r="T5285" s="44"/>
      <c r="U5285" s="44"/>
      <c r="V5285" s="44"/>
      <c r="W5285" s="44"/>
      <c r="X5285" s="44"/>
      <c r="Y5285" s="44"/>
      <c r="Z5285" s="44"/>
      <c r="AA5285" s="44"/>
      <c r="AB5285" s="44"/>
      <c r="AC5285" s="44"/>
      <c r="AD5285" s="44"/>
      <c r="AE5285" s="44"/>
      <c r="AF5285" s="44"/>
      <c r="AG5285" s="44"/>
      <c r="AH5285" s="44"/>
      <c r="AX5285" s="44"/>
      <c r="AY5285" s="44"/>
      <c r="AZ5285" s="44"/>
    </row>
    <row r="5286" spans="1:62" ht="12" customHeight="1" x14ac:dyDescent="0.15">
      <c r="A5286" s="1" t="s">
        <v>18577</v>
      </c>
      <c r="B5286" s="1">
        <v>55</v>
      </c>
      <c r="C5286" s="1" t="s">
        <v>20</v>
      </c>
      <c r="D5286" s="1" t="s">
        <v>37</v>
      </c>
      <c r="E5286" s="1" t="s">
        <v>18578</v>
      </c>
      <c r="F5286" s="72">
        <v>41280</v>
      </c>
      <c r="G5286" s="1" t="s">
        <v>24692</v>
      </c>
      <c r="H5286" s="1" t="s">
        <v>4191</v>
      </c>
      <c r="I5286" s="1" t="s">
        <v>366</v>
      </c>
      <c r="J5286" s="4" t="s">
        <v>18579</v>
      </c>
      <c r="K5286" s="1" t="s">
        <v>4193</v>
      </c>
      <c r="L5286" s="1" t="s">
        <v>4194</v>
      </c>
      <c r="M5286" s="1" t="s">
        <v>27</v>
      </c>
      <c r="N5286" s="1" t="s">
        <v>18580</v>
      </c>
      <c r="O5286" s="1" t="s">
        <v>1010</v>
      </c>
      <c r="P5286" s="1" t="s">
        <v>401</v>
      </c>
      <c r="Q5286" s="63" t="s">
        <v>18581</v>
      </c>
      <c r="R5286" s="1" t="s">
        <v>100</v>
      </c>
      <c r="S5286" s="13" t="s">
        <v>28</v>
      </c>
      <c r="T5286" s="44"/>
      <c r="U5286" s="44"/>
      <c r="V5286" s="44"/>
      <c r="W5286" s="44"/>
      <c r="X5286" s="44"/>
      <c r="Y5286" s="44"/>
      <c r="Z5286" s="44"/>
      <c r="AA5286" s="44"/>
      <c r="AB5286" s="44"/>
      <c r="AC5286" s="44"/>
      <c r="AD5286" s="44"/>
      <c r="AE5286" s="44"/>
      <c r="AF5286" s="44"/>
      <c r="AG5286" s="44"/>
      <c r="AH5286" s="44"/>
      <c r="AX5286" s="44"/>
      <c r="AY5286" s="44"/>
      <c r="AZ5286" s="44"/>
    </row>
    <row r="5287" spans="1:62" ht="12" customHeight="1" x14ac:dyDescent="0.15">
      <c r="A5287" s="1" t="s">
        <v>18588</v>
      </c>
      <c r="B5287" s="1">
        <v>31</v>
      </c>
      <c r="C5287" s="1" t="s">
        <v>20</v>
      </c>
      <c r="D5287" s="1" t="s">
        <v>37</v>
      </c>
      <c r="E5287" s="1" t="s">
        <v>18589</v>
      </c>
      <c r="F5287" s="72">
        <v>41280</v>
      </c>
      <c r="G5287" s="1" t="s">
        <v>18590</v>
      </c>
      <c r="H5287" s="1" t="s">
        <v>18591</v>
      </c>
      <c r="I5287" s="1" t="s">
        <v>404</v>
      </c>
      <c r="J5287" s="4" t="s">
        <v>18592</v>
      </c>
      <c r="K5287" s="1" t="s">
        <v>1104</v>
      </c>
      <c r="L5287" s="1" t="s">
        <v>18593</v>
      </c>
      <c r="M5287" s="1" t="s">
        <v>27</v>
      </c>
      <c r="N5287" s="1" t="s">
        <v>18594</v>
      </c>
      <c r="O5287" s="1" t="s">
        <v>1010</v>
      </c>
      <c r="P5287" s="1" t="s">
        <v>401</v>
      </c>
      <c r="Q5287" s="63" t="s">
        <v>18595</v>
      </c>
      <c r="R5287" s="1" t="s">
        <v>100</v>
      </c>
      <c r="S5287" s="13" t="s">
        <v>28</v>
      </c>
      <c r="T5287" s="44"/>
      <c r="U5287" s="44"/>
      <c r="V5287" s="44"/>
      <c r="W5287" s="44"/>
      <c r="X5287" s="44"/>
      <c r="Y5287" s="44"/>
      <c r="Z5287" s="44"/>
      <c r="AA5287" s="44"/>
      <c r="AB5287" s="44"/>
      <c r="AC5287" s="44"/>
      <c r="AD5287" s="44"/>
      <c r="AE5287" s="44"/>
      <c r="AF5287" s="44"/>
      <c r="AG5287" s="44"/>
      <c r="AH5287" s="44"/>
      <c r="AX5287" s="44"/>
      <c r="AY5287" s="44"/>
      <c r="AZ5287" s="44"/>
    </row>
    <row r="5288" spans="1:62" ht="12" customHeight="1" x14ac:dyDescent="0.15">
      <c r="A5288" s="1" t="s">
        <v>18582</v>
      </c>
      <c r="B5288" s="1">
        <v>38</v>
      </c>
      <c r="C5288" s="1" t="s">
        <v>20</v>
      </c>
      <c r="D5288" s="1" t="s">
        <v>37</v>
      </c>
      <c r="F5288" s="72">
        <v>41280</v>
      </c>
      <c r="G5288" s="1" t="s">
        <v>24693</v>
      </c>
      <c r="H5288" s="1" t="s">
        <v>18583</v>
      </c>
      <c r="I5288" s="1" t="s">
        <v>57</v>
      </c>
      <c r="J5288" s="4" t="s">
        <v>18584</v>
      </c>
      <c r="K5288" s="1" t="s">
        <v>601</v>
      </c>
      <c r="L5288" s="1" t="s">
        <v>18585</v>
      </c>
      <c r="M5288" s="1" t="s">
        <v>27</v>
      </c>
      <c r="N5288" s="1" t="s">
        <v>18586</v>
      </c>
      <c r="O5288" s="1" t="s">
        <v>550</v>
      </c>
      <c r="P5288" s="1" t="s">
        <v>401</v>
      </c>
      <c r="Q5288" s="63" t="s">
        <v>18587</v>
      </c>
      <c r="R5288" s="1" t="s">
        <v>555</v>
      </c>
      <c r="S5288" s="13" t="s">
        <v>28</v>
      </c>
      <c r="T5288" s="44"/>
      <c r="U5288" s="44"/>
      <c r="V5288" s="44"/>
      <c r="W5288" s="44"/>
      <c r="X5288" s="44"/>
      <c r="Y5288" s="44"/>
      <c r="Z5288" s="44"/>
      <c r="AA5288" s="44"/>
      <c r="AB5288" s="44"/>
      <c r="AC5288" s="44"/>
      <c r="AD5288" s="44"/>
      <c r="AE5288" s="44"/>
      <c r="AF5288" s="44"/>
      <c r="AG5288" s="44"/>
      <c r="AH5288" s="44"/>
      <c r="AX5288" s="44"/>
      <c r="AY5288" s="44"/>
      <c r="AZ5288" s="44"/>
    </row>
    <row r="5289" spans="1:62" ht="12" customHeight="1" x14ac:dyDescent="0.2">
      <c r="A5289" s="1" t="s">
        <v>18596</v>
      </c>
      <c r="B5289" s="1">
        <v>27</v>
      </c>
      <c r="C5289" s="1" t="s">
        <v>20</v>
      </c>
      <c r="D5289" s="1" t="s">
        <v>21</v>
      </c>
      <c r="E5289" s="1" t="s">
        <v>18597</v>
      </c>
      <c r="F5289" s="72">
        <v>41279</v>
      </c>
      <c r="G5289" s="1" t="s">
        <v>18598</v>
      </c>
      <c r="H5289" s="1" t="s">
        <v>18599</v>
      </c>
      <c r="I5289" s="1" t="s">
        <v>81</v>
      </c>
      <c r="J5289" s="4" t="s">
        <v>18600</v>
      </c>
      <c r="K5289" s="1" t="s">
        <v>18601</v>
      </c>
      <c r="L5289" s="1" t="s">
        <v>18602</v>
      </c>
      <c r="M5289" s="1" t="s">
        <v>27</v>
      </c>
      <c r="N5289" s="1" t="s">
        <v>18603</v>
      </c>
      <c r="O5289" s="1" t="s">
        <v>1158</v>
      </c>
      <c r="P5289" s="1" t="s">
        <v>1159</v>
      </c>
      <c r="Q5289" s="63" t="s">
        <v>18604</v>
      </c>
      <c r="R5289" s="1" t="s">
        <v>100</v>
      </c>
      <c r="S5289" s="13" t="s">
        <v>28</v>
      </c>
      <c r="T5289" s="44"/>
      <c r="U5289" s="44"/>
      <c r="V5289" s="44"/>
      <c r="W5289" s="44"/>
      <c r="X5289" s="44"/>
      <c r="Y5289" s="44"/>
      <c r="Z5289" s="44"/>
      <c r="AA5289" s="44"/>
      <c r="AB5289" s="44"/>
      <c r="AC5289" s="44"/>
      <c r="AD5289" s="44"/>
      <c r="AE5289" s="44"/>
      <c r="AF5289" s="44"/>
      <c r="AG5289" s="44"/>
      <c r="AH5289" s="44"/>
      <c r="AW5289" s="70"/>
      <c r="AX5289" s="70"/>
      <c r="AY5289" s="70"/>
      <c r="BC5289" s="70"/>
      <c r="BD5289" s="70"/>
      <c r="BE5289" s="70"/>
      <c r="BF5289" s="70"/>
      <c r="BG5289" s="70"/>
      <c r="BH5289" s="70"/>
      <c r="BI5289" s="70"/>
      <c r="BJ5289" s="70"/>
    </row>
    <row r="5290" spans="1:62" ht="12" customHeight="1" x14ac:dyDescent="0.15">
      <c r="A5290" s="1" t="s">
        <v>18605</v>
      </c>
      <c r="B5290" s="1">
        <v>39</v>
      </c>
      <c r="C5290" s="1" t="s">
        <v>20</v>
      </c>
      <c r="D5290" s="1" t="s">
        <v>30</v>
      </c>
      <c r="F5290" s="72">
        <v>41279</v>
      </c>
      <c r="G5290" s="1" t="s">
        <v>18606</v>
      </c>
      <c r="H5290" s="1" t="s">
        <v>632</v>
      </c>
      <c r="I5290" s="1" t="s">
        <v>123</v>
      </c>
      <c r="J5290" s="4" t="s">
        <v>7844</v>
      </c>
      <c r="K5290" s="1" t="s">
        <v>633</v>
      </c>
      <c r="L5290" s="1" t="s">
        <v>634</v>
      </c>
      <c r="M5290" s="1" t="s">
        <v>27</v>
      </c>
      <c r="N5290" s="1" t="s">
        <v>18607</v>
      </c>
      <c r="O5290" s="1" t="s">
        <v>1010</v>
      </c>
      <c r="P5290" s="1" t="s">
        <v>401</v>
      </c>
      <c r="Q5290" s="63" t="s">
        <v>18608</v>
      </c>
      <c r="R5290" s="1" t="s">
        <v>100</v>
      </c>
      <c r="S5290" s="13" t="s">
        <v>28</v>
      </c>
      <c r="T5290" s="44"/>
      <c r="U5290" s="44"/>
      <c r="V5290" s="44"/>
      <c r="W5290" s="44"/>
      <c r="X5290" s="44"/>
      <c r="Y5290" s="44"/>
      <c r="Z5290" s="44"/>
      <c r="AA5290" s="44"/>
      <c r="AB5290" s="44"/>
      <c r="AC5290" s="44"/>
      <c r="AD5290" s="44"/>
      <c r="AE5290" s="44"/>
      <c r="AF5290" s="44"/>
      <c r="AG5290" s="44"/>
      <c r="AH5290" s="44"/>
    </row>
    <row r="5291" spans="1:62" ht="12" customHeight="1" x14ac:dyDescent="0.2">
      <c r="A5291" s="1" t="s">
        <v>18609</v>
      </c>
      <c r="B5291" s="1">
        <v>33</v>
      </c>
      <c r="C5291" s="1" t="s">
        <v>20</v>
      </c>
      <c r="D5291" s="1" t="s">
        <v>37</v>
      </c>
      <c r="E5291" s="1" t="s">
        <v>18610</v>
      </c>
      <c r="F5291" s="72">
        <v>41279</v>
      </c>
      <c r="G5291" s="1" t="s">
        <v>18611</v>
      </c>
      <c r="H5291" s="1" t="s">
        <v>3823</v>
      </c>
      <c r="I5291" s="1" t="s">
        <v>209</v>
      </c>
      <c r="J5291" s="4" t="s">
        <v>9355</v>
      </c>
      <c r="K5291" s="1" t="s">
        <v>3825</v>
      </c>
      <c r="L5291" s="1" t="s">
        <v>3826</v>
      </c>
      <c r="M5291" s="1" t="s">
        <v>27</v>
      </c>
      <c r="N5291" s="1" t="s">
        <v>18612</v>
      </c>
      <c r="O5291" s="1" t="s">
        <v>1010</v>
      </c>
      <c r="P5291" s="1" t="s">
        <v>401</v>
      </c>
      <c r="Q5291" s="63" t="s">
        <v>18613</v>
      </c>
      <c r="R5291" s="1" t="s">
        <v>100</v>
      </c>
      <c r="S5291" s="13" t="s">
        <v>28</v>
      </c>
      <c r="T5291" s="44"/>
      <c r="U5291" s="44"/>
      <c r="V5291" s="44"/>
      <c r="W5291" s="44"/>
      <c r="X5291" s="44"/>
      <c r="Y5291" s="44"/>
      <c r="Z5291" s="44"/>
      <c r="AA5291" s="44"/>
      <c r="AB5291" s="44"/>
      <c r="AC5291" s="44"/>
      <c r="AD5291" s="44"/>
      <c r="AE5291" s="44"/>
      <c r="AF5291" s="44"/>
      <c r="AG5291" s="44"/>
      <c r="AH5291" s="44"/>
      <c r="AW5291" s="70"/>
      <c r="AX5291" s="44"/>
      <c r="AY5291" s="44"/>
      <c r="AZ5291" s="44"/>
    </row>
    <row r="5292" spans="1:62" ht="12" customHeight="1" x14ac:dyDescent="0.2">
      <c r="A5292" s="1" t="s">
        <v>18622</v>
      </c>
      <c r="B5292" s="1">
        <v>58</v>
      </c>
      <c r="C5292" s="1" t="s">
        <v>20</v>
      </c>
      <c r="D5292" s="1" t="s">
        <v>37</v>
      </c>
      <c r="E5292" s="1" t="s">
        <v>18623</v>
      </c>
      <c r="F5292" s="72">
        <v>41279</v>
      </c>
      <c r="G5292" s="1" t="s">
        <v>18624</v>
      </c>
      <c r="H5292" s="1" t="s">
        <v>3235</v>
      </c>
      <c r="I5292" s="1" t="s">
        <v>45</v>
      </c>
      <c r="J5292" s="4" t="s">
        <v>14274</v>
      </c>
      <c r="K5292" s="1" t="s">
        <v>3235</v>
      </c>
      <c r="L5292" s="1" t="s">
        <v>957</v>
      </c>
      <c r="M5292" s="1" t="s">
        <v>27</v>
      </c>
      <c r="N5292" s="1" t="s">
        <v>18625</v>
      </c>
      <c r="O5292" s="1" t="s">
        <v>550</v>
      </c>
      <c r="P5292" s="1" t="s">
        <v>401</v>
      </c>
      <c r="Q5292" s="63" t="s">
        <v>18626</v>
      </c>
      <c r="R5292" s="1" t="s">
        <v>29</v>
      </c>
      <c r="S5292" s="13" t="s">
        <v>28</v>
      </c>
      <c r="T5292" s="44"/>
      <c r="U5292" s="44"/>
      <c r="V5292" s="44"/>
      <c r="W5292" s="44"/>
      <c r="X5292" s="44"/>
      <c r="Y5292" s="44"/>
      <c r="Z5292" s="44"/>
      <c r="AA5292" s="44"/>
      <c r="AB5292" s="44"/>
      <c r="AC5292" s="44"/>
      <c r="AD5292" s="44"/>
      <c r="AE5292" s="44"/>
      <c r="AF5292" s="44"/>
      <c r="AG5292" s="44"/>
      <c r="AH5292" s="44"/>
      <c r="AW5292" s="70"/>
      <c r="AX5292" s="44"/>
      <c r="AY5292" s="44"/>
      <c r="AZ5292" s="44"/>
    </row>
    <row r="5293" spans="1:62" ht="12" customHeight="1" x14ac:dyDescent="0.2">
      <c r="A5293" s="1" t="s">
        <v>18614</v>
      </c>
      <c r="B5293" s="1">
        <v>55</v>
      </c>
      <c r="C5293" s="1" t="s">
        <v>20</v>
      </c>
      <c r="D5293" s="1" t="s">
        <v>37</v>
      </c>
      <c r="E5293" s="1" t="s">
        <v>18615</v>
      </c>
      <c r="F5293" s="72">
        <v>41279</v>
      </c>
      <c r="G5293" s="1" t="s">
        <v>18616</v>
      </c>
      <c r="H5293" s="1" t="s">
        <v>18617</v>
      </c>
      <c r="I5293" s="1" t="s">
        <v>57</v>
      </c>
      <c r="J5293" s="4" t="s">
        <v>18618</v>
      </c>
      <c r="K5293" s="1" t="s">
        <v>10026</v>
      </c>
      <c r="L5293" s="1" t="s">
        <v>18619</v>
      </c>
      <c r="M5293" s="1" t="s">
        <v>27</v>
      </c>
      <c r="N5293" s="1" t="s">
        <v>18620</v>
      </c>
      <c r="O5293" s="1" t="s">
        <v>550</v>
      </c>
      <c r="P5293" s="1" t="s">
        <v>401</v>
      </c>
      <c r="Q5293" s="63" t="s">
        <v>18621</v>
      </c>
      <c r="R5293" s="1" t="s">
        <v>29</v>
      </c>
      <c r="S5293" s="13" t="s">
        <v>28</v>
      </c>
      <c r="T5293" s="44"/>
      <c r="U5293" s="44"/>
      <c r="V5293" s="44"/>
      <c r="W5293" s="44"/>
      <c r="X5293" s="44"/>
      <c r="Y5293" s="44"/>
      <c r="Z5293" s="44"/>
      <c r="AA5293" s="44"/>
      <c r="AB5293" s="44"/>
      <c r="AC5293" s="44"/>
      <c r="AD5293" s="44"/>
      <c r="AE5293" s="44"/>
      <c r="AF5293" s="44"/>
      <c r="AG5293" s="44"/>
      <c r="AH5293" s="44"/>
      <c r="AW5293" s="70"/>
      <c r="AX5293" s="44"/>
      <c r="AY5293" s="44"/>
      <c r="AZ5293" s="44"/>
    </row>
    <row r="5294" spans="1:62" ht="12" customHeight="1" x14ac:dyDescent="0.15">
      <c r="A5294" s="1" t="s">
        <v>18627</v>
      </c>
      <c r="B5294" s="1">
        <v>52</v>
      </c>
      <c r="C5294" s="1" t="s">
        <v>20</v>
      </c>
      <c r="D5294" s="1" t="s">
        <v>37</v>
      </c>
      <c r="E5294" s="1" t="s">
        <v>18628</v>
      </c>
      <c r="F5294" s="72">
        <v>41279</v>
      </c>
      <c r="G5294" s="1" t="s">
        <v>18629</v>
      </c>
      <c r="H5294" s="1" t="s">
        <v>18630</v>
      </c>
      <c r="I5294" s="1" t="s">
        <v>123</v>
      </c>
      <c r="J5294" s="4" t="s">
        <v>18631</v>
      </c>
      <c r="K5294" s="1" t="s">
        <v>633</v>
      </c>
      <c r="L5294" s="1" t="s">
        <v>18632</v>
      </c>
      <c r="M5294" s="1" t="s">
        <v>27</v>
      </c>
      <c r="N5294" s="1" t="s">
        <v>18633</v>
      </c>
      <c r="O5294" s="1" t="s">
        <v>1010</v>
      </c>
      <c r="P5294" s="1" t="s">
        <v>401</v>
      </c>
      <c r="Q5294" s="63" t="s">
        <v>18634</v>
      </c>
      <c r="R5294" s="1" t="s">
        <v>555</v>
      </c>
      <c r="S5294" s="13" t="s">
        <v>28</v>
      </c>
      <c r="T5294" s="44"/>
      <c r="U5294" s="44"/>
      <c r="V5294" s="44"/>
      <c r="W5294" s="44"/>
      <c r="X5294" s="44"/>
      <c r="Y5294" s="44"/>
      <c r="Z5294" s="44"/>
      <c r="AA5294" s="44"/>
      <c r="AB5294" s="44"/>
      <c r="AC5294" s="44"/>
      <c r="AD5294" s="44"/>
      <c r="AE5294" s="44"/>
      <c r="AF5294" s="44"/>
      <c r="AG5294" s="44"/>
      <c r="AH5294" s="44"/>
      <c r="AX5294" s="44"/>
      <c r="AY5294" s="44"/>
      <c r="AZ5294" s="44"/>
    </row>
    <row r="5295" spans="1:62" ht="12" customHeight="1" x14ac:dyDescent="0.2">
      <c r="A5295" s="1" t="s">
        <v>18651</v>
      </c>
      <c r="B5295" s="1">
        <v>51</v>
      </c>
      <c r="C5295" s="1" t="s">
        <v>20</v>
      </c>
      <c r="D5295" s="1" t="s">
        <v>37</v>
      </c>
      <c r="E5295" s="1" t="s">
        <v>18652</v>
      </c>
      <c r="F5295" s="72">
        <v>41278</v>
      </c>
      <c r="G5295" s="1" t="s">
        <v>24694</v>
      </c>
      <c r="H5295" s="1" t="s">
        <v>18653</v>
      </c>
      <c r="I5295" s="1" t="s">
        <v>44</v>
      </c>
      <c r="J5295" s="4" t="s">
        <v>18654</v>
      </c>
      <c r="K5295" s="1" t="s">
        <v>2160</v>
      </c>
      <c r="L5295" s="1" t="s">
        <v>6995</v>
      </c>
      <c r="M5295" s="1" t="s">
        <v>27</v>
      </c>
      <c r="N5295" s="1" t="s">
        <v>18655</v>
      </c>
      <c r="O5295" s="1" t="s">
        <v>550</v>
      </c>
      <c r="P5295" s="1" t="s">
        <v>401</v>
      </c>
      <c r="Q5295" s="63" t="s">
        <v>18656</v>
      </c>
      <c r="R5295" s="11" t="s">
        <v>964</v>
      </c>
      <c r="S5295" s="13" t="s">
        <v>28</v>
      </c>
      <c r="T5295" s="44"/>
      <c r="U5295" s="44"/>
      <c r="V5295" s="44"/>
      <c r="W5295" s="44"/>
      <c r="X5295" s="44"/>
      <c r="Y5295" s="44"/>
      <c r="Z5295" s="44"/>
      <c r="AA5295" s="44"/>
      <c r="AB5295" s="44"/>
      <c r="AC5295" s="44"/>
      <c r="AD5295" s="44"/>
      <c r="AE5295" s="44"/>
      <c r="AF5295" s="44"/>
      <c r="AG5295" s="44"/>
      <c r="AH5295" s="44"/>
      <c r="AW5295" s="70"/>
      <c r="AX5295" s="44"/>
      <c r="AY5295" s="44"/>
      <c r="AZ5295" s="44"/>
    </row>
    <row r="5296" spans="1:62" ht="12" customHeight="1" x14ac:dyDescent="0.2">
      <c r="A5296" s="1" t="s">
        <v>18641</v>
      </c>
      <c r="B5296" s="1" t="s">
        <v>13541</v>
      </c>
      <c r="C5296" s="1" t="s">
        <v>20</v>
      </c>
      <c r="D5296" s="1" t="s">
        <v>85</v>
      </c>
      <c r="F5296" s="72">
        <v>41278</v>
      </c>
      <c r="G5296" s="1" t="s">
        <v>24695</v>
      </c>
      <c r="H5296" s="1" t="s">
        <v>1100</v>
      </c>
      <c r="I5296" s="1" t="s">
        <v>404</v>
      </c>
      <c r="J5296" s="4">
        <v>19132</v>
      </c>
      <c r="K5296" s="1" t="s">
        <v>1100</v>
      </c>
      <c r="L5296" s="1" t="s">
        <v>1101</v>
      </c>
      <c r="M5296" s="1" t="s">
        <v>27</v>
      </c>
      <c r="N5296" s="1" t="s">
        <v>18642</v>
      </c>
      <c r="O5296" s="1" t="s">
        <v>29</v>
      </c>
      <c r="P5296" s="1" t="s">
        <v>401</v>
      </c>
      <c r="Q5296" s="63" t="s">
        <v>18643</v>
      </c>
      <c r="R5296" s="1" t="s">
        <v>100</v>
      </c>
      <c r="S5296" s="13" t="s">
        <v>28</v>
      </c>
      <c r="T5296" s="44"/>
      <c r="U5296" s="44"/>
      <c r="V5296" s="44"/>
      <c r="W5296" s="44"/>
      <c r="X5296" s="44"/>
      <c r="Y5296" s="44"/>
      <c r="Z5296" s="44"/>
      <c r="AA5296" s="44"/>
      <c r="AB5296" s="44"/>
      <c r="AC5296" s="44"/>
      <c r="AD5296" s="44"/>
      <c r="AE5296" s="44"/>
      <c r="AF5296" s="44"/>
      <c r="AG5296" s="44"/>
      <c r="AH5296" s="44"/>
      <c r="AW5296" s="70"/>
      <c r="AX5296" s="44"/>
      <c r="AY5296" s="44"/>
    </row>
    <row r="5297" spans="1:62" ht="12" customHeight="1" x14ac:dyDescent="0.2">
      <c r="A5297" s="1" t="s">
        <v>18635</v>
      </c>
      <c r="B5297" s="1">
        <v>31</v>
      </c>
      <c r="C5297" s="1" t="s">
        <v>20</v>
      </c>
      <c r="D5297" s="1" t="s">
        <v>85</v>
      </c>
      <c r="F5297" s="72">
        <v>41278</v>
      </c>
      <c r="G5297" s="1" t="s">
        <v>18636</v>
      </c>
      <c r="H5297" s="1" t="s">
        <v>18637</v>
      </c>
      <c r="I5297" s="1" t="s">
        <v>62</v>
      </c>
      <c r="J5297" s="4" t="s">
        <v>12639</v>
      </c>
      <c r="K5297" s="1" t="s">
        <v>161</v>
      </c>
      <c r="L5297" s="1" t="s">
        <v>162</v>
      </c>
      <c r="M5297" s="1" t="s">
        <v>27</v>
      </c>
      <c r="N5297" s="1" t="s">
        <v>18638</v>
      </c>
      <c r="O5297" s="1" t="s">
        <v>1010</v>
      </c>
      <c r="P5297" s="1" t="s">
        <v>401</v>
      </c>
      <c r="Q5297" s="63" t="str">
        <f>HYPERLINK("http://miami.cbslocal.com/2013/01/07/family-of-man-killed-in-police-involved-shooting-demands-answers/","http://miami.cbslocal.com/2013/01/07/family-of-man-killed-in-police-involved-shooting-demands-answers/")</f>
        <v>http://miami.cbslocal.com/2013/01/07/family-of-man-killed-in-police-involved-shooting-demands-answers/</v>
      </c>
      <c r="R5297" s="1" t="s">
        <v>100</v>
      </c>
      <c r="S5297" s="13" t="s">
        <v>18</v>
      </c>
      <c r="T5297" s="44"/>
      <c r="U5297" s="44"/>
      <c r="V5297" s="44"/>
      <c r="W5297" s="44"/>
      <c r="X5297" s="44"/>
      <c r="Y5297" s="44"/>
      <c r="Z5297" s="44"/>
      <c r="AA5297" s="44"/>
      <c r="AB5297" s="44"/>
      <c r="AC5297" s="44"/>
      <c r="AD5297" s="44"/>
      <c r="AE5297" s="44"/>
      <c r="AF5297" s="44"/>
      <c r="AG5297" s="44"/>
      <c r="AH5297" s="44"/>
      <c r="AW5297" s="70"/>
    </row>
    <row r="5298" spans="1:62" ht="12" customHeight="1" x14ac:dyDescent="0.2">
      <c r="A5298" s="1" t="s">
        <v>18639</v>
      </c>
      <c r="B5298" s="1">
        <v>34</v>
      </c>
      <c r="C5298" s="1" t="s">
        <v>114</v>
      </c>
      <c r="D5298" s="1" t="s">
        <v>85</v>
      </c>
      <c r="F5298" s="72">
        <v>41278</v>
      </c>
      <c r="G5298" s="1" t="s">
        <v>18636</v>
      </c>
      <c r="H5298" s="1" t="s">
        <v>18637</v>
      </c>
      <c r="I5298" s="1" t="s">
        <v>62</v>
      </c>
      <c r="J5298" s="4" t="s">
        <v>12639</v>
      </c>
      <c r="K5298" s="1" t="s">
        <v>161</v>
      </c>
      <c r="L5298" s="1" t="s">
        <v>162</v>
      </c>
      <c r="M5298" s="1" t="s">
        <v>27</v>
      </c>
      <c r="N5298" s="1" t="s">
        <v>18638</v>
      </c>
      <c r="O5298" s="1" t="s">
        <v>1010</v>
      </c>
      <c r="P5298" s="1" t="s">
        <v>401</v>
      </c>
      <c r="Q5298" s="63" t="s">
        <v>18640</v>
      </c>
      <c r="R5298" s="1" t="s">
        <v>100</v>
      </c>
      <c r="S5298" s="13" t="s">
        <v>379</v>
      </c>
      <c r="T5298" s="44"/>
      <c r="U5298" s="44"/>
      <c r="V5298" s="44"/>
      <c r="W5298" s="44"/>
      <c r="X5298" s="44"/>
      <c r="Y5298" s="44"/>
      <c r="Z5298" s="44"/>
      <c r="AA5298" s="44"/>
      <c r="AB5298" s="44"/>
      <c r="AC5298" s="44"/>
      <c r="AD5298" s="44"/>
      <c r="AE5298" s="44"/>
      <c r="AF5298" s="44"/>
      <c r="AG5298" s="44"/>
      <c r="AH5298" s="44"/>
      <c r="AW5298" s="70"/>
      <c r="AX5298" s="44"/>
      <c r="AY5298" s="44"/>
    </row>
    <row r="5299" spans="1:62" ht="12" customHeight="1" x14ac:dyDescent="0.2">
      <c r="A5299" s="1" t="s">
        <v>18644</v>
      </c>
      <c r="B5299" s="1">
        <v>21</v>
      </c>
      <c r="C5299" s="1" t="s">
        <v>20</v>
      </c>
      <c r="D5299" s="1" t="s">
        <v>37</v>
      </c>
      <c r="E5299" s="1" t="s">
        <v>18645</v>
      </c>
      <c r="F5299" s="72">
        <v>41278</v>
      </c>
      <c r="G5299" s="1" t="s">
        <v>18646</v>
      </c>
      <c r="H5299" s="1" t="s">
        <v>18647</v>
      </c>
      <c r="I5299" s="1" t="s">
        <v>62</v>
      </c>
      <c r="J5299" s="4" t="s">
        <v>18648</v>
      </c>
      <c r="K5299" s="1" t="s">
        <v>5538</v>
      </c>
      <c r="L5299" s="1" t="s">
        <v>7724</v>
      </c>
      <c r="M5299" s="1" t="s">
        <v>27</v>
      </c>
      <c r="N5299" s="1" t="s">
        <v>18649</v>
      </c>
      <c r="O5299" s="1" t="s">
        <v>550</v>
      </c>
      <c r="P5299" s="1" t="s">
        <v>401</v>
      </c>
      <c r="Q5299" s="63" t="s">
        <v>18650</v>
      </c>
      <c r="R5299" s="1" t="s">
        <v>29</v>
      </c>
      <c r="S5299" s="13" t="s">
        <v>28</v>
      </c>
      <c r="T5299" s="44"/>
      <c r="U5299" s="44"/>
      <c r="V5299" s="44"/>
      <c r="W5299" s="44"/>
      <c r="X5299" s="44"/>
      <c r="Y5299" s="44"/>
      <c r="Z5299" s="44"/>
      <c r="AA5299" s="44"/>
      <c r="AB5299" s="44"/>
      <c r="AC5299" s="44"/>
      <c r="AD5299" s="44"/>
      <c r="AE5299" s="44"/>
      <c r="AF5299" s="44"/>
      <c r="AG5299" s="44"/>
      <c r="AH5299" s="44"/>
      <c r="AW5299" s="70"/>
      <c r="AX5299" s="44"/>
      <c r="AY5299" s="44"/>
      <c r="AZ5299" s="44"/>
    </row>
    <row r="5300" spans="1:62" ht="12" customHeight="1" x14ac:dyDescent="0.2">
      <c r="A5300" s="1" t="s">
        <v>18657</v>
      </c>
      <c r="B5300" s="1">
        <v>26</v>
      </c>
      <c r="C5300" s="1" t="s">
        <v>20</v>
      </c>
      <c r="D5300" s="1" t="s">
        <v>37</v>
      </c>
      <c r="E5300" s="1" t="s">
        <v>18658</v>
      </c>
      <c r="F5300" s="72">
        <v>41278</v>
      </c>
      <c r="G5300" s="1" t="s">
        <v>18659</v>
      </c>
      <c r="H5300" s="1" t="s">
        <v>18660</v>
      </c>
      <c r="I5300" s="1" t="s">
        <v>404</v>
      </c>
      <c r="J5300" s="4" t="s">
        <v>18661</v>
      </c>
      <c r="K5300" s="1" t="s">
        <v>11996</v>
      </c>
      <c r="L5300" s="1" t="s">
        <v>9350</v>
      </c>
      <c r="M5300" s="1" t="s">
        <v>27</v>
      </c>
      <c r="N5300" s="1" t="s">
        <v>18662</v>
      </c>
      <c r="O5300" s="1" t="s">
        <v>550</v>
      </c>
      <c r="P5300" s="1" t="s">
        <v>401</v>
      </c>
      <c r="Q5300" s="63" t="s">
        <v>18663</v>
      </c>
      <c r="R5300" s="1" t="s">
        <v>555</v>
      </c>
      <c r="S5300" s="13" t="s">
        <v>28</v>
      </c>
      <c r="T5300" s="44"/>
      <c r="U5300" s="44"/>
      <c r="V5300" s="44"/>
      <c r="W5300" s="44"/>
      <c r="X5300" s="44"/>
      <c r="Y5300" s="44"/>
      <c r="Z5300" s="44"/>
      <c r="AA5300" s="44"/>
      <c r="AB5300" s="44"/>
      <c r="AC5300" s="44"/>
      <c r="AD5300" s="44"/>
      <c r="AE5300" s="44"/>
      <c r="AF5300" s="44"/>
      <c r="AG5300" s="44"/>
      <c r="AH5300" s="44"/>
      <c r="AW5300" s="70"/>
      <c r="AX5300" s="44"/>
      <c r="AY5300" s="44"/>
      <c r="AZ5300" s="44"/>
    </row>
    <row r="5301" spans="1:62" ht="12" customHeight="1" x14ac:dyDescent="0.2">
      <c r="A5301" s="1" t="s">
        <v>18664</v>
      </c>
      <c r="B5301" s="1">
        <v>37</v>
      </c>
      <c r="C5301" s="1" t="s">
        <v>20</v>
      </c>
      <c r="D5301" s="1" t="s">
        <v>85</v>
      </c>
      <c r="E5301" s="1" t="str">
        <f>HYPERLINK("http://www.trbimg.com/img-50e7a90e/turbine/peter-jourdan-of-allentown.jpg-20130104/600","http://www.trbimg.com/img-50e7a90e/turbine/peter-jourdan-of-allentown.jpg-20130104/600")</f>
        <v>http://www.trbimg.com/img-50e7a90e/turbine/peter-jourdan-of-allentown.jpg-20130104/600</v>
      </c>
      <c r="F5301" s="72">
        <v>41277</v>
      </c>
      <c r="G5301" s="1" t="s">
        <v>18665</v>
      </c>
      <c r="H5301" s="1" t="s">
        <v>1710</v>
      </c>
      <c r="I5301" s="1" t="s">
        <v>423</v>
      </c>
      <c r="J5301" s="4" t="s">
        <v>18666</v>
      </c>
      <c r="K5301" s="1" t="s">
        <v>1712</v>
      </c>
      <c r="L5301" s="1" t="s">
        <v>582</v>
      </c>
      <c r="M5301" s="1" t="s">
        <v>27</v>
      </c>
      <c r="N5301" s="1" t="s">
        <v>18667</v>
      </c>
      <c r="O5301" s="1" t="s">
        <v>550</v>
      </c>
      <c r="P5301" s="1" t="s">
        <v>401</v>
      </c>
      <c r="Q5301" s="63" t="s">
        <v>18668</v>
      </c>
      <c r="R5301" s="1" t="s">
        <v>100</v>
      </c>
      <c r="S5301" s="13" t="s">
        <v>28</v>
      </c>
      <c r="T5301" s="44"/>
      <c r="U5301" s="44"/>
      <c r="V5301" s="44"/>
      <c r="W5301" s="44"/>
      <c r="X5301" s="44"/>
      <c r="Y5301" s="44"/>
      <c r="Z5301" s="44"/>
      <c r="AA5301" s="44"/>
      <c r="AB5301" s="44"/>
      <c r="AC5301" s="44"/>
      <c r="AD5301" s="44"/>
      <c r="AE5301" s="44"/>
      <c r="AF5301" s="44"/>
      <c r="AG5301" s="44"/>
      <c r="AH5301" s="44"/>
      <c r="AW5301" s="70"/>
      <c r="AX5301" s="44"/>
      <c r="AY5301" s="44"/>
    </row>
    <row r="5302" spans="1:62" ht="12" customHeight="1" x14ac:dyDescent="0.15">
      <c r="A5302" s="1" t="s">
        <v>18669</v>
      </c>
      <c r="B5302" s="1">
        <v>21</v>
      </c>
      <c r="C5302" s="1" t="s">
        <v>114</v>
      </c>
      <c r="D5302" s="1" t="s">
        <v>85</v>
      </c>
      <c r="E5302" s="1" t="s">
        <v>18670</v>
      </c>
      <c r="F5302" s="72">
        <v>41277</v>
      </c>
      <c r="G5302" s="1" t="s">
        <v>18671</v>
      </c>
      <c r="H5302" s="1" t="s">
        <v>6466</v>
      </c>
      <c r="I5302" s="1" t="s">
        <v>366</v>
      </c>
      <c r="J5302" s="4" t="s">
        <v>10722</v>
      </c>
      <c r="K5302" s="1" t="s">
        <v>647</v>
      </c>
      <c r="L5302" s="1" t="s">
        <v>10867</v>
      </c>
      <c r="M5302" s="1" t="s">
        <v>379</v>
      </c>
      <c r="N5302" s="1" t="s">
        <v>18672</v>
      </c>
      <c r="O5302" s="1" t="s">
        <v>1010</v>
      </c>
      <c r="P5302" s="1" t="s">
        <v>401</v>
      </c>
      <c r="Q5302" s="63" t="s">
        <v>18673</v>
      </c>
      <c r="R5302" s="1" t="s">
        <v>100</v>
      </c>
      <c r="S5302" s="13" t="s">
        <v>28</v>
      </c>
      <c r="T5302" s="44"/>
      <c r="U5302" s="44"/>
      <c r="V5302" s="44"/>
      <c r="W5302" s="44"/>
      <c r="X5302" s="44"/>
      <c r="Y5302" s="44"/>
      <c r="Z5302" s="44"/>
      <c r="AA5302" s="44"/>
      <c r="AB5302" s="44"/>
      <c r="AC5302" s="44"/>
      <c r="AD5302" s="44"/>
      <c r="AE5302" s="44"/>
      <c r="AF5302" s="44"/>
      <c r="AG5302" s="44"/>
      <c r="AH5302" s="44"/>
      <c r="BC5302" s="44"/>
      <c r="BD5302" s="44"/>
      <c r="BE5302" s="44"/>
      <c r="BF5302" s="44"/>
      <c r="BG5302" s="44"/>
      <c r="BH5302" s="44"/>
      <c r="BI5302" s="44"/>
      <c r="BJ5302" s="44"/>
    </row>
    <row r="5303" spans="1:62" ht="12" customHeight="1" x14ac:dyDescent="0.2">
      <c r="A5303" s="1" t="s">
        <v>18674</v>
      </c>
      <c r="B5303" s="1">
        <v>20</v>
      </c>
      <c r="C5303" s="1" t="s">
        <v>20</v>
      </c>
      <c r="D5303" s="1" t="s">
        <v>37</v>
      </c>
      <c r="E5303" s="1" t="s">
        <v>18675</v>
      </c>
      <c r="F5303" s="72">
        <v>41277</v>
      </c>
      <c r="G5303" s="1" t="s">
        <v>24696</v>
      </c>
      <c r="H5303" s="1" t="s">
        <v>1640</v>
      </c>
      <c r="I5303" s="1" t="s">
        <v>45</v>
      </c>
      <c r="J5303" s="4" t="s">
        <v>1641</v>
      </c>
      <c r="K5303" s="1" t="s">
        <v>1642</v>
      </c>
      <c r="L5303" s="1" t="s">
        <v>1643</v>
      </c>
      <c r="M5303" s="1" t="s">
        <v>27</v>
      </c>
      <c r="N5303" s="1" t="s">
        <v>18676</v>
      </c>
      <c r="O5303" s="1" t="s">
        <v>1010</v>
      </c>
      <c r="P5303" s="1" t="s">
        <v>401</v>
      </c>
      <c r="Q5303" s="63" t="s">
        <v>18677</v>
      </c>
      <c r="R5303" s="1" t="s">
        <v>100</v>
      </c>
      <c r="S5303" s="13" t="s">
        <v>28</v>
      </c>
      <c r="T5303" s="44"/>
      <c r="U5303" s="44"/>
      <c r="V5303" s="44"/>
      <c r="W5303" s="44"/>
      <c r="X5303" s="44"/>
      <c r="Y5303" s="44"/>
      <c r="Z5303" s="44"/>
      <c r="AA5303" s="44"/>
      <c r="AB5303" s="44"/>
      <c r="AC5303" s="44"/>
      <c r="AD5303" s="44"/>
      <c r="AE5303" s="44"/>
      <c r="AF5303" s="44"/>
      <c r="AG5303" s="44"/>
      <c r="AH5303" s="44"/>
      <c r="AW5303" s="70"/>
      <c r="AX5303" s="44"/>
      <c r="AY5303" s="44"/>
      <c r="AZ5303" s="44"/>
    </row>
    <row r="5304" spans="1:62" ht="12" customHeight="1" x14ac:dyDescent="0.2">
      <c r="A5304" s="1" t="s">
        <v>18678</v>
      </c>
      <c r="B5304" s="1">
        <v>52</v>
      </c>
      <c r="C5304" s="1" t="s">
        <v>20</v>
      </c>
      <c r="D5304" s="1" t="s">
        <v>30</v>
      </c>
      <c r="F5304" s="72">
        <v>41276</v>
      </c>
      <c r="G5304" s="1" t="s">
        <v>18679</v>
      </c>
      <c r="H5304" s="1" t="s">
        <v>18680</v>
      </c>
      <c r="I5304" s="1" t="s">
        <v>62</v>
      </c>
      <c r="J5304" s="4" t="s">
        <v>18681</v>
      </c>
      <c r="K5304" s="1" t="s">
        <v>3891</v>
      </c>
      <c r="L5304" s="1" t="s">
        <v>261</v>
      </c>
      <c r="M5304" s="1" t="s">
        <v>27</v>
      </c>
      <c r="N5304" s="1" t="s">
        <v>18682</v>
      </c>
      <c r="O5304" s="1" t="s">
        <v>1010</v>
      </c>
      <c r="P5304" s="1" t="s">
        <v>401</v>
      </c>
      <c r="Q5304" s="63" t="s">
        <v>18683</v>
      </c>
      <c r="R5304" s="1" t="s">
        <v>555</v>
      </c>
      <c r="S5304" s="13" t="s">
        <v>28</v>
      </c>
      <c r="T5304" s="44"/>
      <c r="U5304" s="44"/>
      <c r="V5304" s="44"/>
      <c r="W5304" s="44"/>
      <c r="X5304" s="44"/>
      <c r="Y5304" s="44"/>
      <c r="Z5304" s="44"/>
      <c r="AA5304" s="44"/>
      <c r="AB5304" s="44"/>
      <c r="AC5304" s="44"/>
      <c r="AD5304" s="44"/>
      <c r="AE5304" s="44"/>
      <c r="AF5304" s="44"/>
      <c r="AG5304" s="44"/>
      <c r="AH5304" s="44"/>
      <c r="AW5304" s="70"/>
      <c r="BA5304" s="11"/>
      <c r="BB5304" s="11"/>
    </row>
    <row r="5305" spans="1:62" ht="12" customHeight="1" x14ac:dyDescent="0.2">
      <c r="A5305" s="1" t="s">
        <v>18705</v>
      </c>
      <c r="B5305" s="1">
        <v>21</v>
      </c>
      <c r="C5305" s="1" t="s">
        <v>20</v>
      </c>
      <c r="D5305" s="1" t="s">
        <v>37</v>
      </c>
      <c r="E5305" s="1" t="s">
        <v>18706</v>
      </c>
      <c r="F5305" s="72">
        <v>41275</v>
      </c>
      <c r="G5305" s="1" t="s">
        <v>18707</v>
      </c>
      <c r="H5305" s="1" t="s">
        <v>18375</v>
      </c>
      <c r="I5305" s="1" t="s">
        <v>438</v>
      </c>
      <c r="J5305" s="4" t="s">
        <v>18708</v>
      </c>
      <c r="K5305" s="1" t="s">
        <v>938</v>
      </c>
      <c r="L5305" s="1" t="s">
        <v>1629</v>
      </c>
      <c r="M5305" s="1" t="s">
        <v>27</v>
      </c>
      <c r="N5305" s="1" t="s">
        <v>18709</v>
      </c>
      <c r="O5305" s="1" t="s">
        <v>550</v>
      </c>
      <c r="P5305" s="1" t="s">
        <v>401</v>
      </c>
      <c r="Q5305" s="63" t="s">
        <v>18710</v>
      </c>
      <c r="R5305" s="11" t="s">
        <v>964</v>
      </c>
      <c r="S5305" s="13" t="s">
        <v>28</v>
      </c>
      <c r="T5305" s="44"/>
      <c r="U5305" s="44"/>
      <c r="V5305" s="44"/>
      <c r="W5305" s="44"/>
      <c r="X5305" s="44"/>
      <c r="Y5305" s="44"/>
      <c r="Z5305" s="44"/>
      <c r="AA5305" s="44"/>
      <c r="AB5305" s="44"/>
      <c r="AC5305" s="44"/>
      <c r="AD5305" s="44"/>
      <c r="AE5305" s="44"/>
      <c r="AF5305" s="44"/>
      <c r="AG5305" s="44"/>
      <c r="AH5305" s="44"/>
      <c r="AW5305" s="70"/>
      <c r="AX5305" s="44"/>
      <c r="AY5305" s="44"/>
      <c r="AZ5305" s="44"/>
    </row>
    <row r="5306" spans="1:62" ht="12" customHeight="1" x14ac:dyDescent="0.2">
      <c r="A5306" s="1" t="s">
        <v>18690</v>
      </c>
      <c r="B5306" s="1">
        <v>26</v>
      </c>
      <c r="C5306" s="1" t="s">
        <v>20</v>
      </c>
      <c r="D5306" s="1" t="s">
        <v>48</v>
      </c>
      <c r="E5306" s="1" t="s">
        <v>18691</v>
      </c>
      <c r="F5306" s="72">
        <v>41275</v>
      </c>
      <c r="G5306" s="1" t="s">
        <v>18692</v>
      </c>
      <c r="H5306" s="1" t="s">
        <v>679</v>
      </c>
      <c r="I5306" s="1" t="s">
        <v>45</v>
      </c>
      <c r="J5306" s="4" t="s">
        <v>15901</v>
      </c>
      <c r="K5306" s="1" t="s">
        <v>680</v>
      </c>
      <c r="L5306" s="1" t="s">
        <v>681</v>
      </c>
      <c r="M5306" s="1" t="s">
        <v>27</v>
      </c>
      <c r="N5306" s="1" t="s">
        <v>18693</v>
      </c>
      <c r="O5306" s="1" t="s">
        <v>550</v>
      </c>
      <c r="P5306" s="1" t="s">
        <v>401</v>
      </c>
      <c r="Q5306" s="63" t="s">
        <v>18694</v>
      </c>
      <c r="R5306" s="1" t="s">
        <v>100</v>
      </c>
      <c r="S5306" s="13" t="s">
        <v>28</v>
      </c>
      <c r="T5306" s="44"/>
      <c r="U5306" s="44"/>
      <c r="V5306" s="44"/>
      <c r="W5306" s="44"/>
      <c r="X5306" s="44"/>
      <c r="Y5306" s="44"/>
      <c r="Z5306" s="44"/>
      <c r="AA5306" s="44"/>
      <c r="AB5306" s="44"/>
      <c r="AC5306" s="44"/>
      <c r="AD5306" s="44"/>
      <c r="AE5306" s="44"/>
      <c r="AF5306" s="44"/>
      <c r="AG5306" s="44"/>
      <c r="AH5306" s="44"/>
      <c r="AW5306" s="70"/>
    </row>
    <row r="5307" spans="1:62" ht="12" customHeight="1" x14ac:dyDescent="0.2">
      <c r="A5307" s="1" t="s">
        <v>18699</v>
      </c>
      <c r="B5307" s="1">
        <v>21</v>
      </c>
      <c r="C5307" s="1" t="s">
        <v>20</v>
      </c>
      <c r="D5307" s="1" t="s">
        <v>48</v>
      </c>
      <c r="E5307" s="1" t="s">
        <v>18700</v>
      </c>
      <c r="F5307" s="72">
        <v>41275</v>
      </c>
      <c r="G5307" s="1" t="s">
        <v>18701</v>
      </c>
      <c r="H5307" s="1" t="s">
        <v>4680</v>
      </c>
      <c r="I5307" s="1" t="s">
        <v>209</v>
      </c>
      <c r="J5307" s="4" t="s">
        <v>18702</v>
      </c>
      <c r="K5307" s="1" t="s">
        <v>4680</v>
      </c>
      <c r="L5307" s="1" t="s">
        <v>4682</v>
      </c>
      <c r="M5307" s="1" t="s">
        <v>27</v>
      </c>
      <c r="N5307" s="1" t="s">
        <v>18703</v>
      </c>
      <c r="O5307" s="1" t="s">
        <v>550</v>
      </c>
      <c r="P5307" s="1" t="s">
        <v>401</v>
      </c>
      <c r="Q5307" s="63" t="s">
        <v>18704</v>
      </c>
      <c r="R5307" s="1" t="s">
        <v>100</v>
      </c>
      <c r="S5307" s="13" t="s">
        <v>28</v>
      </c>
      <c r="T5307" s="44"/>
      <c r="U5307" s="44"/>
      <c r="V5307" s="44"/>
      <c r="W5307" s="44"/>
      <c r="X5307" s="44"/>
      <c r="Y5307" s="44"/>
      <c r="Z5307" s="44"/>
      <c r="AA5307" s="44"/>
      <c r="AB5307" s="44"/>
      <c r="AC5307" s="44"/>
      <c r="AD5307" s="44"/>
      <c r="AE5307" s="44"/>
      <c r="AF5307" s="44"/>
      <c r="AG5307" s="44"/>
      <c r="AH5307" s="44"/>
      <c r="AW5307" s="70"/>
    </row>
    <row r="5308" spans="1:62" ht="12" customHeight="1" x14ac:dyDescent="0.2">
      <c r="A5308" s="1" t="s">
        <v>18695</v>
      </c>
      <c r="B5308" s="1">
        <v>49</v>
      </c>
      <c r="C5308" s="1" t="s">
        <v>20</v>
      </c>
      <c r="D5308" s="1" t="s">
        <v>48</v>
      </c>
      <c r="E5308" s="1" t="str">
        <f>HYPERLINK("http://www.tricitytribuneusa.com/wp-content/uploads/Chavez_Mug0642-300x300.jpg","http://www.tricitytribuneusa.com/wp-content/uploads/Chavez_Mug0642-300x300.jpg")</f>
        <v>http://www.tricitytribuneusa.com/wp-content/uploads/Chavez_Mug0642-300x300.jpg</v>
      </c>
      <c r="F5308" s="72">
        <v>41275</v>
      </c>
      <c r="G5308" s="1" t="s">
        <v>18696</v>
      </c>
      <c r="H5308" s="1" t="s">
        <v>12547</v>
      </c>
      <c r="I5308" s="1" t="s">
        <v>195</v>
      </c>
      <c r="J5308" s="4" t="s">
        <v>18250</v>
      </c>
      <c r="K5308" s="1" t="s">
        <v>5736</v>
      </c>
      <c r="L5308" s="1" t="s">
        <v>12549</v>
      </c>
      <c r="M5308" s="1" t="s">
        <v>27</v>
      </c>
      <c r="N5308" s="1" t="s">
        <v>18697</v>
      </c>
      <c r="O5308" s="1" t="s">
        <v>1010</v>
      </c>
      <c r="P5308" s="1" t="s">
        <v>401</v>
      </c>
      <c r="Q5308" s="63" t="s">
        <v>18698</v>
      </c>
      <c r="R5308" s="1" t="s">
        <v>100</v>
      </c>
      <c r="S5308" s="13" t="s">
        <v>28</v>
      </c>
      <c r="T5308" s="44"/>
      <c r="U5308" s="44"/>
      <c r="V5308" s="44"/>
      <c r="W5308" s="44"/>
      <c r="X5308" s="44"/>
      <c r="Y5308" s="44"/>
      <c r="Z5308" s="44"/>
      <c r="AA5308" s="44"/>
      <c r="AB5308" s="44"/>
      <c r="AC5308" s="44"/>
      <c r="AD5308" s="44"/>
      <c r="AE5308" s="44"/>
      <c r="AF5308" s="44"/>
      <c r="AG5308" s="44"/>
      <c r="AH5308" s="44"/>
      <c r="AW5308" s="70"/>
    </row>
    <row r="5309" spans="1:62" ht="12" customHeight="1" x14ac:dyDescent="0.15">
      <c r="A5309" s="1" t="s">
        <v>18711</v>
      </c>
      <c r="B5309" s="1">
        <v>26</v>
      </c>
      <c r="C5309" s="1" t="s">
        <v>20</v>
      </c>
      <c r="D5309" s="1" t="s">
        <v>37</v>
      </c>
      <c r="E5309" s="1" t="s">
        <v>18712</v>
      </c>
      <c r="F5309" s="72">
        <v>41275</v>
      </c>
      <c r="G5309" s="1" t="s">
        <v>18713</v>
      </c>
      <c r="H5309" s="1" t="s">
        <v>18357</v>
      </c>
      <c r="I5309" s="1" t="s">
        <v>133</v>
      </c>
      <c r="J5309" s="4" t="s">
        <v>18714</v>
      </c>
      <c r="K5309" s="1" t="s">
        <v>18715</v>
      </c>
      <c r="L5309" s="1" t="s">
        <v>18716</v>
      </c>
      <c r="M5309" s="1" t="s">
        <v>391</v>
      </c>
      <c r="N5309" s="1" t="s">
        <v>18717</v>
      </c>
      <c r="O5309" s="1" t="s">
        <v>1010</v>
      </c>
      <c r="P5309" s="1" t="s">
        <v>401</v>
      </c>
      <c r="Q5309" s="63" t="s">
        <v>18718</v>
      </c>
      <c r="R5309" s="1" t="s">
        <v>100</v>
      </c>
      <c r="S5309" s="13" t="s">
        <v>28</v>
      </c>
      <c r="T5309" s="44"/>
      <c r="U5309" s="44"/>
      <c r="V5309" s="44"/>
      <c r="W5309" s="44"/>
      <c r="X5309" s="44"/>
      <c r="Y5309" s="44"/>
      <c r="Z5309" s="44"/>
      <c r="AA5309" s="44"/>
      <c r="AB5309" s="44"/>
      <c r="AC5309" s="44"/>
      <c r="AD5309" s="44"/>
      <c r="AE5309" s="44"/>
      <c r="AF5309" s="44"/>
      <c r="AG5309" s="44"/>
      <c r="AH5309" s="44"/>
      <c r="AU5309" s="11"/>
      <c r="AV5309" s="11"/>
      <c r="AW5309" s="11"/>
    </row>
    <row r="5310" spans="1:62" ht="12" customHeight="1" x14ac:dyDescent="0.2">
      <c r="A5310" s="1" t="s">
        <v>18684</v>
      </c>
      <c r="B5310" s="1">
        <v>31</v>
      </c>
      <c r="C5310" s="1" t="s">
        <v>20</v>
      </c>
      <c r="D5310" s="1" t="s">
        <v>85</v>
      </c>
      <c r="E5310" s="1" t="s">
        <v>18685</v>
      </c>
      <c r="F5310" s="72">
        <v>41275</v>
      </c>
      <c r="G5310" s="1" t="s">
        <v>18686</v>
      </c>
      <c r="H5310" s="1" t="s">
        <v>1627</v>
      </c>
      <c r="I5310" s="1" t="s">
        <v>463</v>
      </c>
      <c r="J5310" s="4" t="s">
        <v>18687</v>
      </c>
      <c r="K5310" s="1" t="s">
        <v>938</v>
      </c>
      <c r="L5310" s="1" t="s">
        <v>2253</v>
      </c>
      <c r="M5310" s="1" t="s">
        <v>27</v>
      </c>
      <c r="N5310" s="1" t="s">
        <v>18688</v>
      </c>
      <c r="O5310" s="1" t="s">
        <v>550</v>
      </c>
      <c r="P5310" s="1" t="s">
        <v>401</v>
      </c>
      <c r="Q5310" s="63" t="s">
        <v>18689</v>
      </c>
      <c r="R5310" s="1" t="s">
        <v>555</v>
      </c>
      <c r="S5310" s="13" t="s">
        <v>28</v>
      </c>
      <c r="T5310" s="44"/>
      <c r="U5310" s="44"/>
      <c r="V5310" s="44"/>
      <c r="W5310" s="44"/>
      <c r="X5310" s="44"/>
      <c r="Y5310" s="44"/>
      <c r="Z5310" s="44"/>
      <c r="AA5310" s="44"/>
      <c r="AB5310" s="44"/>
      <c r="AC5310" s="44"/>
      <c r="AD5310" s="44"/>
      <c r="AE5310" s="44"/>
      <c r="AF5310" s="44"/>
      <c r="AG5310" s="44"/>
      <c r="AH5310" s="44"/>
      <c r="AW5310" s="70"/>
      <c r="AX5310" s="44"/>
      <c r="AY5310" s="44"/>
      <c r="BA5310" s="11"/>
      <c r="BB5310" s="11"/>
    </row>
  </sheetData>
  <sortState ref="A2:BK5310">
    <sortCondition descending="1" ref="F2:F5310"/>
  </sortState>
  <hyperlinks>
    <hyperlink ref="E2067" r:id="rId1"/>
    <hyperlink ref="E2072" r:id="rId2"/>
    <hyperlink ref="E2077" r:id="rId3"/>
    <hyperlink ref="E2073" r:id="rId4"/>
    <hyperlink ref="E2081" r:id="rId5"/>
    <hyperlink ref="E2086" r:id="rId6"/>
    <hyperlink ref="Q2091" r:id="rId7"/>
    <hyperlink ref="E2088" r:id="rId8"/>
    <hyperlink ref="E2094" r:id="rId9"/>
    <hyperlink ref="E2095" r:id="rId10"/>
    <hyperlink ref="Q2144" r:id="rId11" display="http://www.local10.com/news/man-killed-in-policeinvolved-shooting-in-sw-miamidade/35298042"/>
    <hyperlink ref="Q2146" r:id="rId12" display="http://www.vvng.com/barstow-man-killed-in-officer-involved-shooting/"/>
    <hyperlink ref="Q2145" r:id="rId13" display="http://abc7.com/news/suspect-killed-in-panorama-city-officer-involved-shooting/986303/"/>
    <hyperlink ref="Q2152" r:id="rId14" display="http://www.kwwl.com/story/30019391/2015/09/13/officer-involved-shooting-near-wellman-leaves-one-person-dead"/>
    <hyperlink ref="Q2153" r:id="rId15" display="http://www.tylerpaper.com/TP-Breaking+Silent/224089/jeffrey-brooks-fugitive-shot-and-killed-by-law-enforcement-officers-near-clute"/>
    <hyperlink ref="Q2171" r:id="rId16" display="http://wreg.com/2015/09/24/paris-police-officer-charged-for-murdering-his-own-son/"/>
    <hyperlink ref="Q2177" r:id="rId17" display="http://www.omaha.com/news/metro/man-who-had-trouble-breathing-while-being-arrested-has-died/article_6868fb7c-54f8-11e5-bf00-0f25174cd9cb.html"/>
    <hyperlink ref="Q2205" r:id="rId18" display="http://www.kltv.com/story/29931923/man-shot-by-longview-officer-dies"/>
    <hyperlink ref="E2300" r:id="rId19" display="http://www.killedbypolice.net/victims/150680.jpg"/>
    <hyperlink ref="E2303" r:id="rId20" display="http://www.star-telegram.com/news/local/community/fort-worth/rat54p/picture29706625/ALTERNATES/FREE_640/Flip Vallejo"/>
    <hyperlink ref="E2305" r:id="rId21" display="http://media.graytvinc.com/images/Mark+Perkins.jpg"/>
    <hyperlink ref="Q2306" r:id="rId22" display="http://www.sfgate.com/crime/article/Dead-body-probe-on-Lombard-Street-in-S-F-6414831.php"/>
    <hyperlink ref="E2307" r:id="rId23" display="http://media.masslive.com/mass_river_worcester_news/photo/screen-shot-2015-07-30-at-14303-pmpng-3c8d20217be5ac12.png"/>
    <hyperlink ref="E2304" r:id="rId24" display="http://www.killedbypolice.net/victims/150676.jpg"/>
    <hyperlink ref="E2310" r:id="rId25" display="http://bloximages.chicago2.vip.townnews.com/news.hjnews.com/content/tncms/assets/v3/editorial/c/a4/ca4f81e2-cf7d-5033-933f-f993eb1d4c29/55ba527445ee0.image.jpg"/>
    <hyperlink ref="E2313" r:id="rId26" display="http://images1.westword.com/imager/u/745xauto/6970529/sam.forgy.portrait.800.cropped.jpg"/>
    <hyperlink ref="Q2313" r:id="rId27" display="http://www.thedenverchannel.com/news/local-news/naked-man-shot-and-killed-by-boulder-police-was-reportedly-high-on-lsd"/>
    <hyperlink ref="E2315" r:id="rId28" display="http://bayoutimelive.com/wp-content/uploads/2013/04/Jean-P.-Falgout.jpg"/>
    <hyperlink ref="Q2315" r:id="rId29" display="http://www.houmatoday.com/article/20150728/ARTICLES/150729727/1319?p=1&amp;tc=pg"/>
    <hyperlink ref="Q2314" r:id="rId30" display="http://www.wistv.com/story/29644189/sled-investigating-deputy-involved-shooting-in-lexington-county"/>
    <hyperlink ref="E2317" r:id="rId31" display="http://www.independent.co.uk/incoming/article10446695.ece/alternates/w620/Zach-hammond.jpg"/>
    <hyperlink ref="Q2317" r:id="rId32" display="http://www.independentmail.com/news/man-killed-by-seneca-police-officer"/>
    <hyperlink ref="Q2320" r:id="rId33" display="http://www.walb.com/story/29631891/1-dead-after-officer-involved-shooting-in-decatur-co"/>
    <hyperlink ref="Q2321" r:id="rId34" location="incart_river" display="http://www.nola.com/crime/index.ssf/2015/07/breaking_new_orleans_police_sh.html - incart_river"/>
    <hyperlink ref="E2323" r:id="rId35" display="http://cdn.abclocal.go.com/content/kabc/images/cms/889902_1280x720.jpg"/>
    <hyperlink ref="Q2323" r:id="rId36" display="http://www.latimes.com/local/lanow/la-me-ln-report-of-gunman-opening-fire-bring-lapd-swarm-in-studio-city-20150724-story.html"/>
    <hyperlink ref="E2342" r:id="rId37" display="http://www.killedbypolice.net/victims/150642.jpg"/>
    <hyperlink ref="Q2347" r:id="rId38" display="http://www.visaliatimesdelta.com/story/news/local/2015/07/22/single-bullet-killed-farmersville-man/30501679/"/>
    <hyperlink ref="Q2345" r:id="rId39" display="http://www.azcentral.com/story/news/local/phoenix/2015/07/18/west-phoenix-fatal-officer-involved-shooting-abrk/30349421/"/>
    <hyperlink ref="Q2349" r:id="rId40" display="http://www.thedenverchannel.com/news/local-news/man-dead-shot-by-fort-collins-officers-after-suspect-tried-to-attack-them-with-knife"/>
    <hyperlink ref="Q2346" r:id="rId41" display="http://www.kake.com/home/headlines/KBI-investigating-officer-involved-shooting-in-northwest-Kansas-316960821.html"/>
    <hyperlink ref="Q2353" r:id="rId42" display="http://www.click2houston.com/news/hpd-investigating-after-possible-incustody-death-in-southeast-houston/34238632"/>
    <hyperlink ref="Q2354" r:id="rId43" display="http://www.sbsun.com/general-news/20150718/sheriffs-deputies-shoot-kill-highland-man-in-needles"/>
    <hyperlink ref="Q2359" r:id="rId44" display="http://www.cnn.com/2015/07/17/us/tennessee-shooter-mohammad-youssuf-abdulazeez/"/>
    <hyperlink ref="E2360" r:id="rId45" display="https://localtvwiti.files.wordpress.com/2015/07/antonio-gonzales2.jpeg"/>
    <hyperlink ref="Q2360" r:id="rId46" display="http://www.nbc15.com/home/headlines/Reports-of-shooting-in-Monroe-318229761.html"/>
    <hyperlink ref="E2356" r:id="rId47" display="http://media.graytvinc.com/images/saige+hack+2.jpg"/>
    <hyperlink ref="Q2356" r:id="rId48" display="http://trib.com/news/local/crime-and-courts/authorities-identify-man-killed-in-law-enforcement-shooting/article_6d603afc-e1e5-5d5c-a156-708cc4078263.html"/>
    <hyperlink ref="Q2357" r:id="rId49" display="http://www.myfoxal.com/story/29566625/man-in-opp-officer-involved-shooting-dies"/>
    <hyperlink ref="Q2367" r:id="rId50" display="http://homicide.latimes.com/post/jason-charles-davis/"/>
    <hyperlink ref="E2362" r:id="rId51" display="http://media.mlive.com/grpress/news_impact/photo/eugene-kailingjpg-1325419215b33c26.jpg"/>
    <hyperlink ref="Q2364" r:id="rId52" display="http://wkbn.com/2015/07/14/man-dies-in-shootout-with-police-in-southington/"/>
    <hyperlink ref="Q2376" r:id="rId53" display="http://www.rawstory.com/2015/07/denver-police-shoot-and-kill-a-mentally-ill-native-american-man-holding-a-knife-to-his-own-throat/"/>
    <hyperlink ref="Q2375" r:id="rId54" display="http://www.oakpark.com/News/Articles/7-13-2015/Three-injured,-two-killed-in-River-Forest/"/>
    <hyperlink ref="E2373" r:id="rId55" display="http://media.cmgdigital.com/shared/lt/lt_cache/thumbnail/600/img/photos/2015/07/13/35/c5/DavidLepine_1.jpg"/>
    <hyperlink ref="Q2373" r:id="rId56" display="http://www.statesman.com/news/news/crime-law/man-killed-by-austin-police-officer-sunday-had-a-v/nmyKL/"/>
    <hyperlink ref="E2374" r:id="rId57" display="http://wac.450f.edgecastcdn.net/80450F/k2radio.com/files/2015/07/chris-benton.jpg"/>
    <hyperlink ref="Q2374" r:id="rId58" location=".Vdo9r_ZVikq" display="http://www.wyomingnews.com/articles/2015/07/16/breaking_news/01breaking_7-16-15.txt - .Vdo9r_ZVikq"/>
    <hyperlink ref="E2378" r:id="rId59" display="http://bloximages.newyork1.vip.townnews.com/appeal-democrat.com/content/tncms/assets/v3/editorial/a/50/a5039184-2b6b-11e5-b28b-c7b5c40fdd3d/55a726cc3856f.image.jpg?resize=631%2C760"/>
    <hyperlink ref="Q2382" r:id="rId60" display="http://lasvegassun.com/news/2015/jul/15/police-body-cam-video-shows-traffic-stop-turn-dead/"/>
    <hyperlink ref="Q2385" r:id="rId61" display="http://www.scpr.org/news/2015/07/10/53025/mid-wilshire-police-shooting-suspect-in-skateboard/"/>
    <hyperlink ref="Q2387" r:id="rId62" display="http://www.azcentral.com/story/news/local/phoenix/2015/07/10/phoenix-police-shooting-suspect-cactus-abrk/29978125/"/>
    <hyperlink ref="Q2388" r:id="rId63" display="http://www.santacruzsentinel.com/20150714/memorial-fund-started-for-boulder-creek-teen-killed-by-deputies"/>
    <hyperlink ref="E2384" r:id="rId64" display="http://matchbin-assets.s3.amazonaws.com/public/sites/990/assets/26J5_1625924_profile_pic.jpg"/>
    <hyperlink ref="Q2384" r:id="rId65" location=".VbobCM2hNfs.twitter" display="http://www.cachevalleydaily.com/news/local/article_95847b98-36af-11e5-a21d-5381b6067a1e.html - .VbobCM2hNfs.twitter"/>
    <hyperlink ref="E2391" r:id="rId66" display="http://media.oregonlive.com/beaverton_news/photo/westrichjpg-51507199625e81e6.jpg"/>
    <hyperlink ref="Q2391" r:id="rId67" display="http://www.kgw.com/story/news/local/washington-county/2015/07/08/beaverton-officer-shot-trailer-hidden-estate/29857719/"/>
    <hyperlink ref="Q2393" r:id="rId68" display="http://www.bakersfield.com/news/2015/07/09/bakersfield-police-man-fatally-shot-tuesday-pointed-gun-at-officers.html"/>
    <hyperlink ref="Q2399" r:id="rId69" display="http://www.themonitor.com/news/local/authorities-armed-man-in-edinburg-standoff-killed-in-officer-involved/article_62b2b456-24f2-11e5-b79b-6b2f14f63dc2.html"/>
    <hyperlink ref="Q2394" r:id="rId70" display="http://www.wlky.com/news/man-dies-after-being-shot-by-elizabethtown-police/34052212"/>
    <hyperlink ref="E2397" r:id="rId71" display="http://www.kansascity.com/news/local/crime/iwklhy/picture26752486/ALTERNATES/FREE_640/Booth"/>
    <hyperlink ref="E2395" r:id="rId72" display="http://www.homefacts.com/images/offenders/texas/thumb/01958213.jpg"/>
    <hyperlink ref="Q2395" r:id="rId73" display="http://crimeblog.dallasnews.com/2015/07/authorities-man-shot-by-dallas-police-was-racist-killer-rapist-family-he-was-kind-loving.html/"/>
    <hyperlink ref="Q2402" r:id="rId74" display="http://www.mercedsunstar.com/news/local/crime/article26705443.html"/>
    <hyperlink ref="Q2396" r:id="rId75" display="http://www.fox10phoenix.com/story/29484924/2015/07/06/suspect-hospitalized-after-officer-involved-shooting-in-mesa"/>
    <hyperlink ref="Q2405" r:id="rId76" display="http://homicide.latimes.com/post/john-leonard-berry/"/>
    <hyperlink ref="E2403" r:id="rId77" display="https://localtvkfor.files.wordpress.com/2015/07/rogers-tyler.jpg"/>
    <hyperlink ref="E2400" r:id="rId78" display="https://localtvkstu.files.wordpress.com/2015/07/gormley.jpg"/>
    <hyperlink ref="Q2407" r:id="rId79" display="http://www.loscerritosnews.net/2015/07/12/hundreds-protest-johnny-ray-andersons-shooting-death-in-hawaiian-gardens/"/>
    <hyperlink ref="E2408" r:id="rId80" display="http://cdn.patch.com/users/1372433/2015/07/T800x600/201507559ff12e799d0.png"/>
    <hyperlink ref="Q2408" r:id="rId81" display="http://www.mercurynews.com/crime-courts/ci_28445274/pleasanton-investigation-continues-into-fatal-police-shooting-19"/>
    <hyperlink ref="E2406" r:id="rId82" display="https://media.licdn.com/media/p/3/000/0d2/16d/29b38bd.jpg"/>
    <hyperlink ref="Q2406" r:id="rId83" display="http://www.dallasnews.com/news/crime/headlines/20150706-austin-police-id-gunman-victim-at-sundays-hotel-shooting.ece"/>
    <hyperlink ref="Q2410" r:id="rId84" display="http://kxan.com/2015/07/06/police-say-man-killed-in-north-austin-aimed-a-bb-pistol-at-officers/"/>
    <hyperlink ref="Q2413" r:id="rId85" display="http://www.reviewjournal.com/news/las-vegas/gunman-killed-police-henderson-hotel-identified"/>
    <hyperlink ref="Q2414" r:id="rId86" display="http://www.standardbanner.com/news/morristown-man-shot-by-police-was-also-wanted-here/article_e6215eb4-242a-11e5-b876-3f8c02fbda9f.html"/>
    <hyperlink ref="E2418" r:id="rId87" display="http://media.nbclosangeles.com/images/1203*675/7-3-15+Christian+Siqueiros+in-custody+death.JPG"/>
    <hyperlink ref="E2417" r:id="rId88" display="http://victimsofpolice.com/2015/images/Julian-Joseph.jpg"/>
    <hyperlink ref="E2424" r:id="rId89" display="http://www.enterprisenews.com/galleryimage/WL/20150702/PHOTOGALLERY/702009988/PH/0/6/PH-702009988.jpg"/>
    <hyperlink ref="Q2427" r:id="rId90" display="http://www.oregonlive.com/pacific-northwest-news/index.ssf/2015/07/oregon_state_police_shoot_and.html"/>
    <hyperlink ref="E2425" r:id="rId91" display="http://www.killedbypolice.net/victims/150628.jpg"/>
    <hyperlink ref="E2429" r:id="rId92" display="http://www.wyff4.com/image/view/-/33914720/highRes/1/-/maxh/630/maxw/1200/-/157k9k3/-/Clay-Alan-Lickteig-jpg.jpg"/>
    <hyperlink ref="Q2429" r:id="rId93" display="http://www.wyff4.com/news/police-man-killed-after-shootout-with-officers/33901040"/>
    <hyperlink ref="Q2430" r:id="rId94" location="photo-8239735" display="http://www.timesunion.com/news/article/Sheriff-Edinburgh-resident-dead-in-officer-6357460.php - photo-8239735"/>
    <hyperlink ref="E2431" r:id="rId95" display="http://www.portlandmercury.com/images/blogimages/2015/06/29/1435620050-screen_shot_2015-06-29_at_4.20.07_pm.png"/>
    <hyperlink ref="Q2431" r:id="rId96" display="http://www.kgw.com/story/news/local/2015/06/29/police-shooting-winco-parking-lot-portland/29455487/"/>
    <hyperlink ref="Q2433" r:id="rId97" display="http://www.news9.com/story/29443076/tahlequah-police-release-body-cam-video-in-fatal-officer-involved-shooting"/>
    <hyperlink ref="Q2434" r:id="rId98" display="http://www.mysanantonio.com/news/local/article/Suspect-killed-by-polcie-during-chase-identified-6355557.php"/>
    <hyperlink ref="E2435" r:id="rId99" display="http://a.abcnews.com/images/US/HT_richard_matt_jt_150606_4x3_992.jpg"/>
    <hyperlink ref="Q2435" r:id="rId100" display="http://www.nbcnews.com/storyline/new-york-prison-escape/autopsy-shows-prison-escapee-richard-matt-was-drunk-when-he-n404676"/>
    <hyperlink ref="Q2436" r:id="rId101" display="http://abc30.com/news/man-wanted-after-deadly-fresno-county-deputy-involved-shooting-identified/808781/"/>
    <hyperlink ref="Q2440" r:id="rId102" display="http://www.kansas.com/news/local/article25221067.html"/>
    <hyperlink ref="Q2441" r:id="rId103" display="http://www.wthr.com/story/29391400/impd-officer-involved-in-shooting-after-short-pursuit"/>
    <hyperlink ref="E2442" r:id="rId104" display="http://bloximages.chicago2.vip.townnews.com/weatherforddemocrat.com/content/tncms/assets/v3/editorial/c/9c/c9c251be-1a8f-11e5-9a9f-0358863fe83b/558addd0ba8d6.image.jpg?resize=300%2C300"/>
    <hyperlink ref="Q2442" r:id="rId105" display="http://www.star-telegram.com/news/local/community/fort-worth/article25340344.html"/>
    <hyperlink ref="E2439" r:id="rId106" display="http://bloximages.newyork1.vip.townnews.com/omaha.com/content/tncms/assets/v3/editorial/d/d0/dd0b9724-19c9-11e5-93b4-936ae8b833ff/558991a743529.image.jpg"/>
    <hyperlink ref="Q2439" r:id="rId107" display="http://journalstar.com/news/local/911/man-shot-by-deputy-has-died-sheriff-s-office-says/article_6edae1e6-0eba-5846-8dc1-79a7a3a032da.html"/>
    <hyperlink ref="Q2445" r:id="rId108" display="http://www.sacbee.com/news/local/crime/article25297567.html"/>
    <hyperlink ref="E2446" r:id="rId109" display="http://chronicle.augusta.com/sites/default/files/imagecache/superphoto/14501857.jpg"/>
    <hyperlink ref="Q2446" r:id="rId110" display="http://chronicle.augusta.com/news/crime-courts/2015-06-23/deputy-shoots-man-who-had-rifle-standoff-victim-died-monday-georgia"/>
    <hyperlink ref="E2443" r:id="rId111" display="http://bloximages.newyork1.vip.townnews.com/journalnow.com/content/tncms/assets/v3/editorial/4/1f/41fb4001-cb7b-5850-8587-b8e9677b73a9/558828f92bfd8.image.jpg"/>
    <hyperlink ref="Q2443" r:id="rId112" display="http://www.wxii12.com/news/sheriffs-deputy-shot-in-wilkes-county/33705684"/>
    <hyperlink ref="E2447" r:id="rId113" display="http://www.gannett-cdn.com/-mm-/9084052019203598504c1c2c8d284ed18b0eeeb0/c=95-0-659-424&amp;r=x404&amp;c=534x401/local/-/media/2015/06/25/KTVB/KTVB/635708443303175916-Allen-Hernandez.jpg"/>
    <hyperlink ref="Q2447" r:id="rId114" display="http://www.ktvb.com/story/news/crime/2015/06/25/allen--hernandez-owyhee-sheriff/29283099/"/>
    <hyperlink ref="E2448" r:id="rId115" display="http://homicide.latimes.com.s3.amazonaws.com/media/homicide/72c81404-df51-4024-b054-47809e5bc39a.jpeg"/>
    <hyperlink ref="Q2448" r:id="rId116" display="http://homicide.latimes.com/post/adrian-simental/"/>
    <hyperlink ref="E2449" r:id="rId117" display="http://d3trabu2dfbdfb.cloudfront.net/4/6/4658528_300x300.jpeg"/>
    <hyperlink ref="Q2449" r:id="rId118" display="http://www.chron.com/news/houston-texas/article/Deputy-fatally-shoots-man-after-he-charges-6340675.php"/>
    <hyperlink ref="Q2455" r:id="rId119" display="http://www.necn.com/news/new-england/Sister-Speaks-Out-About-Police-Involved-Shooting-308721631.html"/>
    <hyperlink ref="Q2453" r:id="rId120" display="http://www.greeleytribune.com/news/16932384-113/weld-district-attorney-releases-names-of-man-woman"/>
    <hyperlink ref="Q2456" r:id="rId121" display="http://www.nydailynews.com/new-york/suspect-shot-killed-cops-stabbing-officer-police-article-1.2262745"/>
    <hyperlink ref="Q2461" r:id="rId122" display="http://www.grandforksherald.com/news/region/3770087-family-alleged-police-shooting-victim-speaks-out"/>
    <hyperlink ref="Q2457" r:id="rId123" display="http://www.montgomeryadvertiser.com/story/news/local/progress/2015/06/18/sbi-investigate-officer-involved-shooting/28954689/"/>
    <hyperlink ref="Q2458" r:id="rId124" location=".Vem0QNNVhBc" display="http://www.kob.com/article/stories/s3831288.shtml - .Vem0QNNVhBc"/>
    <hyperlink ref="Q2462" r:id="rId125" display="http://newyork.cbslocal.com/2015/06/17/neptune-police-officer-shooting/"/>
    <hyperlink ref="Q2460" r:id="rId126" display="http://abc30.com/news/visalia-police-shoot-and-kill-man-shortly-after-arriving-at-vacant-business-complex/789315/"/>
    <hyperlink ref="E2465" r:id="rId127" display="https://tribfox40.files.wordpress.com/2015/06/kenneth-garcia.jpg"/>
    <hyperlink ref="Q2465" r:id="rId128" display="http://www.kcra.com/news/local-news/news-stockton/stockton-police-investigate-officerinvolved-shooting-1-suspect-dead/33578792"/>
    <hyperlink ref="E2466" r:id="rId129" display="http://media.cmgdigital.com/shared/img/photos/2015/06/15/08/8a/Zane_Terryn.jpg"/>
    <hyperlink ref="Q2466" r:id="rId130" display="http://www.wftv.com/news/news/local/trooper-teens-idd-brevard-county-shooting/nmdGr/"/>
    <hyperlink ref="E2469" r:id="rId131" display="https://5f0ad1906cfcc43aa1e6-196c176a9165c4fb91294bcccfeafde1.ssl.cf1.rackcdn.com/b383b173-9988-4244-8538-f5128397eb44_profile.jpg"/>
    <hyperlink ref="Q2469" r:id="rId132" display="http://www.wrdw.com/home/headlines/Shooting-on-Coulter-Drive-in-North-Augusta-307293011.html"/>
    <hyperlink ref="E2472" r:id="rId133" display="http://www.dallasnews.com/incoming/20150613-james-lance-boulware-1-.jpg.ece/BINARY/James-Lance-Boulware+%281%29.jpg"/>
    <hyperlink ref="Q2472" r:id="rId134" display="http://www.dallasnews.com/news/local-news/20150613-report-of-shots-fired-near-dallas-police-headquarters-prompts-chase.ece"/>
    <hyperlink ref="E2468" r:id="rId135" display="http://assets.mediaspanonline.com/prod/11889528/7206529_h400.jpg"/>
    <hyperlink ref="Q2468" r:id="rId136" display="http://wane.com/2015/06/15/coroner-releases-identity-of-man-shot-by-officer/"/>
    <hyperlink ref="E2473" r:id="rId137" display="http://bloximages.chicago2.vip.townnews.com/kokomotribune.com/content/tncms/assets/v3/editorial/7/fc/7fcd4704-6af4-59a9-8f7e-42671ea7d7cd/557df996651c8.image.jpg?resize=300%2C400"/>
    <hyperlink ref="Q2473" r:id="rId138" display="http://www.kokomotribune.com/news/update-name-of-officer-involved-in-shooting-released/article_fac3c076-121b-11e5-91a2-63f77d795bb0.html"/>
    <hyperlink ref="E2474" r:id="rId139" display="http://wvns.images.worldnow.com/images/8063652_G.jpg"/>
    <hyperlink ref="Q2474" r:id="rId140" display="http://www.wowktv.com/story/29310449/inmate-death-reported-at-mount-olive-prison-in-fayette-county"/>
    <hyperlink ref="E2478" r:id="rId141" display="http://victimsofpolice.com/2015/images/Mark-Flores-Jr.jpg"/>
    <hyperlink ref="Q2478" r:id="rId142" display="http://www.ksat.com/news/father-says-mental-issues-triggered-gun-fight-with-son"/>
    <hyperlink ref="E2477" r:id="rId143" display="http://www.northjersey.com/polopoly_fs/1.1355145.1434164980!/fileImage/httpImage/image.jpg_gen/derivatives/landscape_300/hackensackshooting.jpg"/>
    <hyperlink ref="Q2477" r:id="rId144" display="http://www.northjersey.com/news/hackensack-man-killed-in-police-involved-shooting-had-knife-officials-say-1.1354435"/>
    <hyperlink ref="Q2479" r:id="rId145" display="http://www.wsmv.com/story/29298752/officer-involved-fatal-shooting-reported-in-columbia"/>
    <hyperlink ref="Q2482" r:id="rId146" display="http://www.yourhoustonnews.com/courier/news/one-dead-after-officer-involved-shooting/article_1cfb859f-d481-5895-abe3-9f10b2b50423.html"/>
    <hyperlink ref="A2483" r:id="rId147" display="http://www.killedbypolice.net/victims/150505.jpg"/>
    <hyperlink ref="Q2483" r:id="rId148" display="http://www.desmoinesregister.com/story/news/crime-and-courts/2015/06/10/fatal-shooting-officer-involved-merle-hay-urbandale/28779873/"/>
    <hyperlink ref="A2484" r:id="rId149" display="http://www.killedbypolice.net/victims/150501.jpg"/>
    <hyperlink ref="Q2484" r:id="rId150" display="https://www.toledoblade.com/Police-Fire/2015/06/09/Findlay-officer-involved-in-shooting.html"/>
    <hyperlink ref="A2490" r:id="rId151" display="http://www.killedbypolice.net/victims/150496.jpg"/>
    <hyperlink ref="Q2490" r:id="rId152" display="http://www.wftv.com/news/news/local/police-person-interest-killed-melbourne-officer-in/nmX7b/"/>
    <hyperlink ref="A2487" r:id="rId153" display="http://www.killedbypolice.net/victims/150498.jpg"/>
    <hyperlink ref="Q2487" r:id="rId154" display="http://www.ocregister.com/articles/shooting-665164-personnel-dispatchers.html"/>
    <hyperlink ref="Q2489" r:id="rId155" display="http://www.indystar.com/story/news/crime/2015/06/08/police-shooting-suspect-dead-beech-grove/28700455/"/>
    <hyperlink ref="Q2488" r:id="rId156" display="http://www.azfamily.com/story/29270558/deputy-involved-shooting-in-sun-city"/>
    <hyperlink ref="A2486" r:id="rId157" display="http://www.killedbypolice.net/victims/150499.jpg"/>
    <hyperlink ref="Q2486" r:id="rId158" display="http://www.nydailynews.com/new-york/bronx/bronx-man-shocked-taser-cops-dies-sources-article-1.2250703"/>
    <hyperlink ref="Q2492" r:id="rId159" display="http://www.wfla.com/story/29258795/suspect-dead-after-deputy-involved-shooting-in-sarasota"/>
    <hyperlink ref="Q2491" r:id="rId160" display="http://www.komonews.com/news/local/Police-officer-in-Woodland-shoots-kills-58-year-old-man-306422811.html"/>
    <hyperlink ref="A2495" r:id="rId161" display="http://www.killedbypolice.net/victims/150489.jpg"/>
    <hyperlink ref="Q2495" r:id="rId162" display="http://www.denverpost.com/news/ci_28264788/man-was-fatally-shot-following-high-speed-chase"/>
    <hyperlink ref="A2494" r:id="rId163" display="http://www.killedbypolice.net/victims/150491.jpg"/>
    <hyperlink ref="Q2494" r:id="rId164" display="http://www.kionrightnow.com/news/local-news/officer-involvedshooting-in-watsonville-saturday-night-police-said/33444158"/>
    <hyperlink ref="Q2501" r:id="rId165" display="http://www.mrt.com/news/crime/article_eccc8aa0-0ccd-11e5-92a5-e30a35ff1af1.html"/>
    <hyperlink ref="Q2497" r:id="rId166" display="http://www.wboy.com/story/29256189/monongalia-county-deputies-shoot-suspect-after-vehicle-pursuit"/>
    <hyperlink ref="Q2499" r:id="rId167" display="http://www.keyt.com/news/officer-involved-shooting-in-santa-maria-following-domestic-abuse-call/33434948"/>
    <hyperlink ref="Q2503" r:id="rId168" display="http://www.turnto23.com/news/local-news/delano-pd-shoot-kill-man-after-he-fires-at-police"/>
    <hyperlink ref="A2504" r:id="rId169" display="http://www.killedbypolice.net/victims/150485.jpg"/>
    <hyperlink ref="Q2504" r:id="rId170" display="http://www.koat.com/news/valencia-county-deputy-involved-in-shooting/33383626"/>
    <hyperlink ref="Q2506" r:id="rId171" display="http://crimeblog.dallasnews.com/2015/06/two-men-dead-i-35e-shut-down-in-ellis-county-after-three-hour-chase.html/"/>
    <hyperlink ref="Q2505" r:id="rId172" display="http://www.khou.com/story/news/crime/2015/06/03/chase-ends--shooting-southeast-houston/28402107/"/>
    <hyperlink ref="Q2507" r:id="rId173" display="http://www.nj.com/sussex-county/index.ssf/2015/06/man_killed_in_sussex_county_police_shooting_authorities_say.html"/>
    <hyperlink ref="A2510" r:id="rId174" display="http://www.killedbypolice.net/victims/150479.jpg"/>
    <hyperlink ref="Q2510" r:id="rId175" display="http://crimeblog.dallasnews.com/2015/06/tarrant-county-sheriffs-deputy-fatally-shoots-azle-man-who-stabbed-three-relatives.html/"/>
    <hyperlink ref="A2511" r:id="rId176" display="http://www.killedbypolice.net/victims/150476.jpg"/>
    <hyperlink ref="Q2511" r:id="rId177" display="http://www.democratandchronicle.com/story/news/2015/06/01/police-investigate-near-sears-mall-greece-ridge/28314217/"/>
    <hyperlink ref="A2512" r:id="rId178" display="http://www.killedbypolice.net/victims/150475.jpg"/>
    <hyperlink ref="Q2512" r:id="rId179" display="http://www.kplctv.com/story/29203366/palestine-police-id-victim-in-officer-involved-shooting"/>
    <hyperlink ref="Q2516" r:id="rId180" display="http://www.scrippsmedia.com/newschannel5/news/Investigation-Ongoing-At-Scene-Of-Alleged-Shooting-305572891.html"/>
    <hyperlink ref="Q2520" r:id="rId181" display="http://koin.com/2015/05/30/osp-troopers-shoot-kill-man-in-wilderville/"/>
    <hyperlink ref="A2521" r:id="rId182" display="http://www.killedbypolice.net/victims/150477.jpg"/>
    <hyperlink ref="Q2521" r:id="rId183" display="http://www.thelevisalazer.com/news/local-news/11484-louisa-man-dies-after-being-tasered-by-police-during-arrest.html"/>
    <hyperlink ref="Q2527" r:id="rId184" display="http://www.presstelegram.com/general-news/20150528/man-dies-after-long-beach-officer-involved-shooting"/>
    <hyperlink ref="Q2530" r:id="rId185" display="http://www.macon.com/2015/05/28/3768612/putnam-deputy-shoots-and-kills.html"/>
    <hyperlink ref="Q2523" r:id="rId186" display="http://www.clickondetroit.com/news/man-attacks-officer-shot-by-police-trenton/33276844"/>
    <hyperlink ref="Q2526" r:id="rId187" display="http://www.wsoctv.com/news/news/local/sled-responding-possible-officer-involved-shooting/nmQSJ/"/>
    <hyperlink ref="Q2532" r:id="rId188" display="http://www.nbcsandiego.com/news/local/Reported-Shots-Fired-Alpine-305259931.html"/>
    <hyperlink ref="Q2528" r:id="rId189" display="http://www.kmbc.com/news/person-taken-to-hospital-after-kck-officer-uses-force-at-family-dollar/33249942"/>
    <hyperlink ref="Q2529" r:id="rId190" display="http://7online.com/news/man-holding-17-month-old-son-hostage-killed-in-middletown-police-shooting/744277/"/>
    <hyperlink ref="Q2531" r:id="rId191" display="http://kfor.com/2015/05/27/breaking-news-officer-involved-shooting-in-edmond/"/>
    <hyperlink ref="Q2534" r:id="rId192" display="http://www.nbcdfw.com/news/local/9-Year-Old-Child-Reported-Missing-in-Benbrook-304947651.html"/>
    <hyperlink ref="Q2535" r:id="rId193" display="http://www.kirotv.com/news/news/breaking-news-deputy-shoots-kills-man-near-monroe/nmNnq/"/>
    <hyperlink ref="Q2537" r:id="rId194" display="http://kxan.com/2015/05/25/woman-shot-dead-after-five-hour-standoff-with-apd-swat-officers/"/>
    <hyperlink ref="Q2539" r:id="rId195" display="http://www.kpho.com/story/29143797/suspect-dead-following-police-shooting-in-eagar-ariz"/>
    <hyperlink ref="Q2538" r:id="rId196" display="http://www.kshb.com/news/crime/james-horn-man-who-locked-woman-in-box-wanted-in-connection-to-double-murder"/>
    <hyperlink ref="Q2541" r:id="rId197" display="http://www.wpxi.com/news/news/local/troopers-shoot-person-inside-grocery-store/nmMF2/"/>
    <hyperlink ref="Q2546" r:id="rId198" display="http://www.nj.com/bergen/index.ssf/2015/05/police-involved_shooting_under_investigation_in_ha.html"/>
    <hyperlink ref="Q2547" r:id="rId199" display="http://www.elpasotimes.com/latestnews/ci_28159979/officer-involved-shooting-northeast-el-paso"/>
    <hyperlink ref="Q2564" r:id="rId200" display="http://jacksonville.com/news/crime/2015-05-21/story/suspect-shot-deputies-st-augustine-beach-has-died"/>
    <hyperlink ref="Q2544" r:id="rId201" display="http://www.postandcourier.com/article/20150521/PC16/150529889/man-shot-last-night-after-cutting-deputy-dies"/>
    <hyperlink ref="Q2552" r:id="rId202" display="http://www.gillettenewsrecord.com/news/local/article_8ce9749e-ffea-11e4-b7e5-5f207815da4f.html"/>
    <hyperlink ref="Q2553" r:id="rId203" display="http://www.thv11.com/story/news/crime/2015/05/19/police-respond-to-cabot-shooting/27627629/"/>
    <hyperlink ref="Q2551" r:id="rId204" display="http://www.newsnet5.com/news/local-news/oh-summit/summit-county-sheriffs-deputy-fatally-shoots-man-with-knife-in-green"/>
    <hyperlink ref="Q2555" r:id="rId205" display="http://www.arlnow.com/2015/05/19/breaking-officer-involved-shooting-in-buckingham/"/>
    <hyperlink ref="Q2554" r:id="rId206" display="http://www.kjct8.com/news/headlines/Officer-involved-shooting-near-downtown-Grand-Junction-304404101.html"/>
    <hyperlink ref="Q2556" r:id="rId207" display="http://k2radio.com/inmate-fought-deputies-before-dying-affidavit-details-bin-williams-last-days/"/>
    <hyperlink ref="Q2558" r:id="rId208" display="http://www.utsandiego.com/news/2015/may/17/sdpd-ois-officer-shot-kearny-mesa-hospital/"/>
    <hyperlink ref="Q2559" r:id="rId209" display="http://www.baynews9.com/content/news/baynews9/news/article.html/content/news/articles/bn9/2015/5/17/st_pete_officer_shot.html"/>
    <hyperlink ref="Q2557" r:id="rId210" location=".VVkL0zY4nTY" display="http://www.kob.com/article/stories/s3798987.shtml - .VVkL0zY4nTY"/>
    <hyperlink ref="Q2563" r:id="rId211" display="http://www.kcra.com/news/local-news/news-sacramento/sacramento-police-investigating-officerinvolved-shooting/33053756"/>
    <hyperlink ref="Q2562" r:id="rId212" display="http://www.nydailynews.com/new-york/bronx-man-died-custody-drinking-sources-article-1.2224115"/>
    <hyperlink ref="Q2561" r:id="rId213" display="http://www.wrex.com/story/29079166/2015/05/15/officer-involved-shooting-in-rockford"/>
    <hyperlink ref="Q2565" r:id="rId214" display="http://www.mlive.com/news/kalamazoo/index.ssf/2015/05/police_kill_1_man_injure_anoth.html"/>
    <hyperlink ref="Q2570" r:id="rId215" display="http://www.staradvertiser.com/news/breaking/20150512_Man_fatally_shot_at_Chinatown_Gateway_Plaza.html?id=303517261"/>
    <hyperlink ref="Q2571" r:id="rId216" display="http://www.ocregister.com/articles/santa-661469-involved-margarita.html"/>
    <hyperlink ref="Q2579" r:id="rId217" display="http://www.kpho.com/story/29033947/man-dead-after-officer-involved-shooting-in-kearny"/>
    <hyperlink ref="Q2574" r:id="rId218" display="http://www.news4jax.com/news/st-johns-county-investiges-deputy-involved-shooting/32947972"/>
    <hyperlink ref="Q2572" r:id="rId219" display="http://www.wral.com/man-dies-while-in-police-custody-in-enfield/14637653/"/>
    <hyperlink ref="Q2576" r:id="rId220" display="http://www.kirotv.com/news/news/tacoma-police-shoot-and-kill-armed-man-outside-his/nmDNM/"/>
    <hyperlink ref="Q2580" r:id="rId221" display="http://www.localsyr.com/story/d/story/authorities-investigating-fatal-officer-involved-s/67882/io8DUgiTsEG_yMWZyCVbHw"/>
    <hyperlink ref="Q2581" r:id="rId222" display="http://www.heraldtribune.com/article/20150507/ARTICLE/150509754/2416/NEWS"/>
    <hyperlink ref="Q2584" r:id="rId223" display="http://www.wsbtv.com/news/news/local/gwinnett-county-police-investigate-officer-involve/nmBY5/"/>
    <hyperlink ref="Q2587" r:id="rId224" display="http://www.wsoctv.com/news/news/local/police-investigate-officer-involved-shooting-wake-/nmBQL/"/>
    <hyperlink ref="Q2582" r:id="rId225" display="http://www.recordonline.com/article/20150507/NEWS/150509481"/>
    <hyperlink ref="Q2591" r:id="rId226" display="http://www.sgvtribune.com/general-news/20150505/2-dead-1-injured-in-south-el-monte-stabbing-deputy-involved-shooting"/>
    <hyperlink ref="Q2590" r:id="rId227" display="http://www.wsls.com/story/28977735/vsp-investigating-officer-involved-shooting-in-pulaski"/>
    <hyperlink ref="Q2598" r:id="rId228" display="http://www.wkyt.com/wymt/home/headlines/Police-investigating-officer-involved-shooting-in-Perry-County-302391481.html"/>
    <hyperlink ref="Q2593" r:id="rId229" display="http://www.keprtv.com/SWAT-on-scene-of-standoff-in-Kennewick-302418671.html"/>
    <hyperlink ref="Q2595" r:id="rId230" display="http://facebook.com/KilledByPolice/posts/1034785363216267"/>
    <hyperlink ref="Q2597" r:id="rId231" display="http://krqe.com/2015/05/03/suspect-from-deputy-involved-shooting-dies/"/>
    <hyperlink ref="Q2599" r:id="rId232" display="http://www.deseretnews.com/article/865627866/Roosevelt-police-shoot-kill-man-wielding-handgun-near-hospital.html?pg=all"/>
    <hyperlink ref="Q2600" r:id="rId233" display="http://www.wboc.com/story/28959278/police-investigating-officer-involved-shooting"/>
    <hyperlink ref="E2607" r:id="rId234" display="http://www.wsmv.com/story/28940658/police-investigating-shooting-in-south-nashville"/>
    <hyperlink ref="Q2607" r:id="rId235" display="http://www.wsmv.com/story/28940658/police-investigating-shooting-in-south-nashville"/>
    <hyperlink ref="Q2602" r:id="rId236" display="http://www.cbs8.com/story/28940667/homicide-detectives-on-scene-after-officer-involved-shooting-in-midway"/>
    <hyperlink ref="Q2606" r:id="rId237" display="http://www.azcentral.com/story/news/local/mesa/2015/04/29/mesa-police-officer-involved-fatal-shooting-abrk/26610825/"/>
    <hyperlink ref="Q2601" r:id="rId238" display="http://www.elpasotimes.com/news/ci_28023272/el-paso-police-officer-shot-and-killed-burglary"/>
    <hyperlink ref="Q2604" r:id="rId239" display="http://kfor.com/2015/04/29/oklahoma-police-officer-involved-in-fatal-shooting/"/>
    <hyperlink ref="Q2603" r:id="rId240" display="http://www.sacbee.com/news/local/crime/article19860156.html"/>
    <hyperlink ref="E2612" r:id="rId241" display="http://www.kfvs12.com/story/28915534/1-dead-after-standoff-in-marion"/>
    <hyperlink ref="Q2612" r:id="rId242" display="http://www.kfvs12.com/story/28915534/1-dead-after-standoff-in-marion"/>
    <hyperlink ref="E2611" r:id="rId243" display="http://www.mansfieldnewsjournal.com/story/news/local/2015/04/27/mansfield-police-scene-standoff/26457727/"/>
    <hyperlink ref="Q2611" r:id="rId244" display="http://www.mansfieldnewsjournal.com/story/news/local/2015/04/27/mansfield-police-scene-standoff/26457727/"/>
    <hyperlink ref="Q2614" r:id="rId245" display="http://abc7.com/news/burglary-suspect-killed-in-officer-involved-shooting-in-fountain-valley/682399/"/>
    <hyperlink ref="E2616" r:id="rId246" display="http://www.guns.com/2015/04/30/game-warden-shoots-kills-man-who-tried-to-drown-him-after-checking-fishing-license/"/>
    <hyperlink ref="E2619" r:id="rId247" display="https://www.victoriaadvocate.com/news/2015/apr/27/parents-of-veteran-fatally-shot-by-police-seek-ans/"/>
    <hyperlink ref="Q2619" r:id="rId248" display="https://www.victoriaadvocate.com/news/2015/apr/27/parents-of-veteran-fatally-shot-by-police-seek-ans/"/>
    <hyperlink ref="Q2618" r:id="rId249" display="http://www.wftv.com/news/news/local/1-fatally-shot-lake-county-deputy-involved-shootin/nk3ng/"/>
    <hyperlink ref="Q2625" r:id="rId250" display="http://www.miamiok.com/news/article_7116fd15-d23e-59c9-aa7e-043ec0f3871f.html"/>
    <hyperlink ref="E2621" r:id="rId251" display="http://www.statesmanjournal.com/story/news/2015/04/25/man-shot-killed-salem-police-identified/26377897/"/>
    <hyperlink ref="Q2621" r:id="rId252" display="http://www.oregonlive.com/pacific-northwest-news/index.ssf/2015/04/salem_police_wound_armed_man_e.html"/>
    <hyperlink ref="Q2628" r:id="rId253" display="http://www.presstelegram.com/general-news/20150424/police-no-weapon-found-at-scene-of-officer-involved-shooting-in-long-beach-thursday"/>
    <hyperlink ref="Q2629" r:id="rId254" display="http://www.latimes.com/local/lanow/la-me-ln-lapd-shoots-sylmar-gunman-20150423-story.html"/>
    <hyperlink ref="Q2624" r:id="rId255" display="http://sanfrancisco.cbslocal.com/2015/04/24/woman-shot-deputies-sonoma-county-chase-dies/"/>
    <hyperlink ref="E2636" r:id="rId256" display="http://www.nytimes.com/2015/04/24/nyregion/man-killed-by-police-in-queens-had-a-history-of-instability.html?_r=0"/>
    <hyperlink ref="Q2636" r:id="rId257" display="http://www.nytimes.com/2015/04/24/nyregion/man-killed-by-police-in-queens-had-a-history-of-instability.html?_r=0"/>
    <hyperlink ref="Q2630" r:id="rId258" display="http://www.dispatch.com/content/stories/local/2015/04/27/Knox_County_jail_death.html"/>
    <hyperlink ref="E2627" r:id="rId259" display="http://www.newson6.com/story/28881786/choctaw-county-law-enforcement-officers-shot-serving-warrant"/>
    <hyperlink ref="Q2627" r:id="rId260" display="http://www.newson6.com/story/28881786/choctaw-county-law-enforcement-officers-shot-serving-warrant"/>
    <hyperlink ref="Q2631" r:id="rId261" display="http://www.bakersfieldnow.com/news/local/Man-shot-in-Delano-300955291.html"/>
    <hyperlink ref="Q2640" r:id="rId262" display="http://www.latimes.com/local/lanow/la-me-ln-lapd-lincoln-heights-shooting-20150422-story.html"/>
    <hyperlink ref="Q2637" r:id="rId263" display="http://www.wtok.com/news/headlines/Lauderdale-County-Man-Dies-after-Arrest-300851931.html"/>
    <hyperlink ref="Q2646" r:id="rId264" display="http://www.suntelegraph.com/story/2015/04/21/community/leasa-hlavinka-husband-was-a-doting-father/6849.html"/>
    <hyperlink ref="Q2647" r:id="rId265" display="http://www.kentucky.com/2015/04/19/3809168/wilmore-man-killed-by-police-had.html"/>
    <hyperlink ref="Q2650" r:id="rId266" display="http://www.azfamily.com/story/28852387/phoenix-pds-mental-health-squad-looks-to-reduce-violent-encounters"/>
    <hyperlink ref="Q2653" r:id="rId267" display="http://www.pe.com/articles/car-765208-officers-sheriff.html"/>
    <hyperlink ref="Q2655" r:id="rId268" display="http://www.bakersfieldnow.com/news/local/Questions-raised-after-officer-involved-shooting-in-Shafter-300410121.html"/>
    <hyperlink ref="Q2656" r:id="rId269" display="http://www.detroitnews.com/story/news/local/wayne-county/2015/04/17/assault-suspect-died-hit-taser-identified/25947299/"/>
    <hyperlink ref="Q2662" r:id="rId270" display="http://www.abc17news.com/news/suspect-shot-and-killed-by-police/32394506"/>
    <hyperlink ref="Q2665" r:id="rId271" display="http://www.dailybulletin.com/government-and-politics/20150416/man-fatally-shot-by-deputies-near-montclair-had-bb-gun"/>
    <hyperlink ref="Q2667" r:id="rId272" display="http://wreg.com/2015/04/15/man-wielding-machete-is-shot-and-killed-by-jonesboro-patrolman/"/>
    <hyperlink ref="Q2658" r:id="rId273" display="http://www.nbclosangeles.com/news/local/Highland-In-Custody-Death-Investigation-300128821.html"/>
    <hyperlink ref="Q2664" r:id="rId274" display="http://denver.cbslocal.com/2015/04/16/marriage-down-the-tubes-i-hope-they-kill-me-says-killed-standoff-suspect-on-facebook/"/>
    <hyperlink ref="Q2707" r:id="rId275" display="http://www.nj.com/mercer/index.ssf/2015/04/man_shot_by_hamilton_police_in_stabbing_incident_d.html"/>
    <hyperlink ref="E2669" r:id="rId276" display="http://fox2now.com/2015/04/14/man-identified-in-alton-officer-involved-shooting/"/>
    <hyperlink ref="Q2669" r:id="rId277" display="http://fox2now.com/2015/04/14/man-identified-in-alton-officer-involved-shooting/"/>
    <hyperlink ref="Q2672" r:id="rId278" display="http://abc11.com/news/sampson-county-sheriffs-deputy-shoots-and-kills-robbery-suspect/654777/"/>
    <hyperlink ref="Q2673" r:id="rId279" display="http://www.koco.com/news/police-investigating-reported-shooting-in-newalla/32332484"/>
    <hyperlink ref="Q2674" r:id="rId280" display="http://www.dailymail.co.uk/news/article-3051433/Bodycam-footage-shows-Sand-Springs-Officer-Brian-Barnett-killing-Donald-Allen.html"/>
    <hyperlink ref="Q2675" r:id="rId281" display="http://www.appeal-democrat.com/corning_observer/deputy-shoots-kills-corning-man-stabbing-father/article_800aa990-e23b-11e4-9469-435eb6fa3396.html"/>
    <hyperlink ref="Q2681" r:id="rId282" display="http://www.pennlive.com/midstate/index.ssf/2015/04/adams_county_prison_gunman_die.html"/>
    <hyperlink ref="Q2680" r:id="rId283" display="http://www.northescambia.com/2015/04/santa-rosa-deputy-attacked-by-man-with-sword-suspect-shot-and-killed"/>
    <hyperlink ref="Q2679" r:id="rId284" display="http://newsok.com/oklahoma-agents-investigate-fatal-deputy-involved-shooting-in-creek-county/article/5408706"/>
    <hyperlink ref="Q2678" r:id="rId285" display="http://www.wyff4.com/news/family-of-man-killed-by-deputies-hires-attorney/32601896"/>
    <hyperlink ref="Q2682" r:id="rId286" display="http://www.latimes.com/local/lanow/la-me-ln-boyle-heights-ois-man-identified-20150410-story.html"/>
    <hyperlink ref="Q2685" r:id="rId287" display="http://www.kerngoldenempire.com/news/top-stories/new-information-on-kcso-in-custody-death"/>
    <hyperlink ref="Q2686" r:id="rId288" display="http://sanfrancisco.cbslocal.com/2015/04/14/armed-robbery-suspect-killed-by-sunnyvale-police-was-army-veteran/"/>
    <hyperlink ref="E2683" r:id="rId289" display="http://www.ksat.com/content/pns/ksat/news/2015/04/10/man-shot--killed-by-police-id-d.html"/>
    <hyperlink ref="Q2683" r:id="rId290" display="http://www.ksat.com/content/pns/ksat/news/2015/04/10/man-shot--killed-by-police-id-d.html"/>
    <hyperlink ref="Q2689" r:id="rId291" display="http://www.ktvb.com/story/news/crime/2015/04/07/deputy-shoots-kills-man-rifle/25414923/"/>
    <hyperlink ref="Q2687" r:id="rId292" display="http://kfor.com/2015/04/08/officer-involved-shooting-in-shawnee-leaves-one-dead/"/>
    <hyperlink ref="Q2693" r:id="rId293" display="http://www.turnto23.com/news/local-news/suspect-dies-after-officer-involved-shooting-in-tehachapi-040615"/>
    <hyperlink ref="Q2688" r:id="rId294" display="http://www.seattletimes.com/seattle-news/coulee-dam-man-dies-following-taser-incident/"/>
    <hyperlink ref="Q2690" r:id="rId295" display="http://www.ocala.com/article/20150429/ARTICLES/150429614"/>
    <hyperlink ref="Q2692" r:id="rId296" display="http://www.indystar.com/story/news/crime/2015/04/06/armed-man-shot-and-killed-by-police-on-southwestside/25348529/"/>
    <hyperlink ref="E2694" r:id="rId297" display="http://mugshot-record-search.com/mugshot/AZ/Maricopa-County-Sheriff-Office/2015-Mar-16/8155067/Kenneth-Cockerel"/>
    <hyperlink ref="Q2694" r:id="rId298" display="http://www.abc15.com/news/region-phoenix-metro/north-phoenix/police-identify-ken-cockerel-as-man-who-stabbed-himself-then-threatened-officers-with-knives"/>
    <hyperlink ref="Q2698" r:id="rId299" display="http://www.koat.com/news/state-police-officers-fatally-shoot-east-mountains-man/32197688"/>
    <hyperlink ref="Q2696" r:id="rId300" display="http://www.newson6.com/story/28722322/sheriff-man-who-died-after-being-tasered-broke-warner-officers-eye-bone-first"/>
    <hyperlink ref="Q2700" r:id="rId301" display="http://www.winchesterstar.com/article/040615br"/>
    <hyperlink ref="Q2705" r:id="rId302" display="http://www.kfvs12.com/story/28708976/man-identified-following-officer-involved-shooting-in-metropolis"/>
    <hyperlink ref="Q2704" r:id="rId303" display="http://www.thetowntalk.com/story/news/local/2015/04/04/pineville-man-killed-deputy-idd-la-guardsman/25296693/"/>
    <hyperlink ref="Q2713" r:id="rId304" display="http://www.click2houston.com/news/pd-man-with-pellet-gun-shot-dead-by-baytown-police-officer/32108156"/>
    <hyperlink ref="Q2717" r:id="rId305" display="http://www.nwitimes.com/news/local/lake/hobart-man-dies-while-in-police-custody/article_8c40ecd0-25ee-537c-a247-168e9f79d438.html"/>
    <hyperlink ref="Q2719" r:id="rId306" display="http://www.10tv.com/content/stories/2015/03/29/pike-county-ohio--officer-involved-shooting-leaves-one-dead.html"/>
    <hyperlink ref="Q2740" r:id="rId307" display="http://www.oregonlive.com/clark-county/index.ssf/2015/03/clark_county_jail_inmate_dies_1.html"/>
    <hyperlink ref="Q2816" r:id="rId308" display="http://www.ksstradio.com/2015/03/09/texas-rangers-investigate-death-of-inmate/"/>
    <hyperlink ref="Q2843" r:id="rId309" display="http://www.tristatehomepage.com/story/d/story/isp-investigating-officer-involved-shooting-in-ter/40703/pV4yrq5qR0S3uTbJYNfJsQ"/>
    <hyperlink ref="Q2856" r:id="rId310" display="http://www.theindychannel.com/news/local-news/suspect-fatally-shot-by-impd-officer-on-east-side"/>
    <hyperlink ref="Q2878" r:id="rId311" location="section/-1/article/p2p-82809119/" display="http://touch.mcall.com/ - section/-1/article/p2p-82809119/"/>
    <hyperlink ref="Q2882" r:id="rId312" display="http://www.starfl.com/news/local-news/officer-involved-shooting-under-investigation-1.440104"/>
    <hyperlink ref="Q2895" r:id="rId313" display="http://www.cbsnews.com/news/texas-officer-responding-to-home-fatally-shoots-off-duty-deputy/"/>
    <hyperlink ref="Q2922" r:id="rId314" display="http://woodtv.com/2015/02/07/suspect-in-officer-shooting-to-be-taken-off-life-support/"/>
    <hyperlink ref="A2908" r:id="rId315" display="http://www.killedbypolice.net/victims/150102.jpg"/>
    <hyperlink ref="Q2907" r:id="rId316" display="http://losangeles.cbslocal.com/2015/02/04/police-fatally-shoot-bank-robbery-suspect-in-chino-following-high-speed-chase/"/>
    <hyperlink ref="Q2921" r:id="rId317" display="http://newsok.com/new-details-released-in-stillwater-homicide-officer-shooting/article/5389230"/>
    <hyperlink ref="Q2923" r:id="rId318" display="http://alaska-native-news.com/inmate-dies-intake-anchorage-correctional-complex-15705"/>
    <hyperlink ref="Q2944" r:id="rId319" display="http://www.statesman.com/news/news/local/officer-involved-shooting-being-investigated/njtpW/"/>
    <hyperlink ref="Q2967" r:id="rId320" display="http://theadvocate.com/news/11346884-123/evangeline-parish-man-shot-killed"/>
    <hyperlink ref="Q2998" r:id="rId321" display="http://www.washingtonpost.com/news/the-watch/wp/2015/01/09/iowa-cop-reportedly-tries-to-shoot-dog-kills-woman-instead/"/>
    <hyperlink ref="E3008" r:id="rId322" display="http://www.miamiherald.com/news/local/community/florida-keys/tfsh2c/picture5621952/ALTERNATES/FREE_960/Roberto.jpg"/>
    <hyperlink ref="Q3008" r:id="rId323" display="http://www.miamiherald.com/news/local/community/florida-keys/article5621958.html"/>
    <hyperlink ref="E3014" r:id="rId324" display="http://i.guim.co.uk/static/w-620/h--/q-95/sys-images/Guardian/Pix/pictures/2015/2/12/1423748301468/7245d83a-eba5-4117-8f2b-584fc9f566e8-bestSizeAvailable.jpeg"/>
    <hyperlink ref="Q3014" r:id="rId325" display="http://www.alternet.org/news-amp-politics/kevin-davis-called-cops-help-out-friend-trouble-and-was-shot-death-police-his"/>
    <hyperlink ref="E3013" r:id="rId326" display="http://www.miamiherald.com/news/local/crime/2xyin4/picture5303859/ALTERNATES/FREE_960/Eric Tyrone Forbes.jpg"/>
    <hyperlink ref="Q3013" r:id="rId327" display="http://www.local10.com/news/1-dead-in-new-years-eve-policeinvolved-shooting-in-miami/30477214"/>
    <hyperlink ref="Q3016" r:id="rId328" display="http://www.presstelegram.com/general-news/20150101/armed-woman-killed-in-compton-deputy-involved-shooting"/>
    <hyperlink ref="Q3021" r:id="rId329" display="http://6abc.com/news/sources-suspect-shot-killed-by-police-in-drexel-hill/455767/"/>
    <hyperlink ref="Q3020" r:id="rId330" display="http://www.firstcoastnews.com/story/news/local/2014/12/29/st-johns-county-armed-suspect-killed/21031459/"/>
    <hyperlink ref="Q3023" r:id="rId331" display="http://www.chicoer.com/general-news/20141229/man-shot-killed-by-sheriffs-deputy-in-paradise"/>
    <hyperlink ref="E3025" r:id="rId332" display="http://edge.liveleak.com/80281E/ll_a_s/2014/Dec/29/LiveLeak-dot-com-ebe_1419888575-davidandrescott_1419888592.jpg.resized.jpg?d5e8cc8eccfb6039332f41f6249e92b06c91b4db65f5e99818bdd5924c40ded7397e&amp;ec_rate=230"/>
    <hyperlink ref="Q3025" r:id="rId333" display="http://www.actionnewsjax.com/news/news/local/swat-called-out-fort-caroline-area/njbtC/"/>
    <hyperlink ref="Q3029" r:id="rId334" display="http://www.al.com/news/birmingham/index.ssf/2014/12/51-year-old_man_shot_to_death.html"/>
    <hyperlink ref="E3030" r:id="rId335" display="http://www.wesh.com/image/view/-/30418970/medRes/2/-/maxh/220/maxw/220/-/o2mpgg/-/Quinten-Jamal-Smith-jpg.jpg"/>
    <hyperlink ref="Q3030" r:id="rId336" display="http://www.wesh.com/news/sheriff-brevard-deputy-fatally-shoots-armed-wanted-man/30415088"/>
    <hyperlink ref="E3031" r:id="rId337" display="http://ww3.hdnux.com/photos/33/73/31/7321166/3/622x350.jpg"/>
    <hyperlink ref="Q3031" r:id="rId338" display="http://www.kvue.com/story/news/state/2014/12/26/police-shoot-kill-man-firing-gun-in-texas-city-parking-lot/20907475/"/>
    <hyperlink ref="Q3032" r:id="rId339" display="http://www.19actionnews.com/story/27709268/bedford-resident-shot-and-killed-during-confrontation-with-police"/>
    <hyperlink ref="Q3038" r:id="rId340" display="http://www.oregonlive.com/portland/index.ssf/2014/12/man_dies_after_officer-involve.html"/>
    <hyperlink ref="Q3037" r:id="rId341" display="http://pickens.fetchyournews.com/archives/5043-UPDATED-Authorities-Confirm-Suspect-Has-Died,-Domestic-Call-Ends-in-Gun-Fire.html"/>
    <hyperlink ref="Q3040" r:id="rId342" display="http://www.huffingtonpost.com/2014/12/24/antonio-martin-police-shooting_n_6376210.html"/>
    <hyperlink ref="Q3045" r:id="rId343" display="http://www.valleynewslive.com/home/headlines/Man-Dead-in-Otter-Tail-Police-Chase-286635971.html"/>
    <hyperlink ref="Q3048" r:id="rId344" display="http://www.doverpost.com/article/20141221/NEWS/141229971/13421/NEWS"/>
    <hyperlink ref="Q3047" r:id="rId345" display="http://www.sacbee.com/news/local/crime/article4774815.html"/>
    <hyperlink ref="Q3053" r:id="rId346" display="http://www.kpho.com/story/27660383/pd-phoenix-officer-involved-in-shooting"/>
    <hyperlink ref="Q3055" r:id="rId347" display="http://www.wthr.com/story/27658447/police-pursuit-standoff-shuts-down-state-road-67-at-owen-morgan-county-line"/>
    <hyperlink ref="Q3058" r:id="rId348" display="http://www.kirotv.com/news/news/deputy-involved-shooting-tacoma/njTnD/"/>
    <hyperlink ref="Q3062" r:id="rId349" display="http://www.pnj.com/story/news/crime/2014/12/17/man-dies-two-weeks-tased/20545199/"/>
    <hyperlink ref="Q3059" r:id="rId350" display="http://www.azcentral.com/story/news/local/phoenix/2014/12/17/phoenix-officer-shooting-teen-dies-abrk/20530475/"/>
    <hyperlink ref="E3057" r:id="rId351" display="http://www.muellersfuneralhomes.com/obituaries/Johnathon-Jd-Mar/Print/Wall"/>
    <hyperlink ref="Q3060" r:id="rId352" display="http://www.ocregister.com/articles/mesa-645510-costa-warrants.html"/>
    <hyperlink ref="Q3061" r:id="rId353" display="http://whotv.com/2014/12/17/marshalltown-police-critically-wound-armed-suspect-overnight/"/>
    <hyperlink ref="Q3065" r:id="rId354" display="http://www.nbcphiladelphia.com/news/local/Mayfair-Police-Shooting-285796911.html"/>
    <hyperlink ref="Q3066" r:id="rId355" display="http://www.tennessean.com/story/news/crime/2014/12/14/suspect-killed-officer-injured-south-nashville/20418519/"/>
    <hyperlink ref="E3068" r:id="rId356" display="http://www.arklatexhomepage.com/media/lib/186/8/4/d/84d8a85a-cc51-4371-b6d1-6a6fb81977f1/Story.jpg"/>
    <hyperlink ref="E3067" r:id="rId357" display="http://www.everythinglubbock.com/media/lib/197/b/e/9/be97488a-220f-42d4-a656-82afae53b037/Story.jpg"/>
    <hyperlink ref="Q3067" r:id="rId358" display="http://www.newswest9.com/story/27643563/midland-police-identify-officer-killed-in-murder-suicide"/>
    <hyperlink ref="Q3069" r:id="rId359" display="http://www.msnewsnow.com/story/27625936/madison-coroner-called-to-hwy-51-for-officer-involved-shooting"/>
    <hyperlink ref="Q3075" r:id="rId360" display="http://www.wbir.com/story/news/local/sevierville-sevier/2014/12/13/spd-officer-shoots-kills-man-standoff/20349589/"/>
    <hyperlink ref="Q3079" r:id="rId361" display="http://www.kktv.com/home/headlines/One-Man-Hospialized-After-Officer-Involved-Shooting-285508201.html"/>
    <hyperlink ref="Q3081" r:id="rId362" display="http://wvtm.membercenter.worldnow.com/story/27598792/1-dead-in-sanford-officer-involved-shooting"/>
    <hyperlink ref="Q3084" r:id="rId363" display="http://abc7chicago.com/news/armed-man-84-fatally-shot-by-police-in-lake-station-ind/428887/"/>
    <hyperlink ref="Q3087" r:id="rId364" display="http://www.lansingstatejournal.com/story/news/local/2014/12/08/shooting-lansing-township/20101031/"/>
    <hyperlink ref="Q3093" r:id="rId365" display="http://www.mynews3.com/content/specials/crimetracker/story/One-dead-in-shooting-inside-Rio-casino-early-today/cN46O5Q68ky6b5gwzcAquQ.cspx"/>
    <hyperlink ref="Q3097" r:id="rId366" display="http://ktla.com/2014/12/05/armed-man-shot-by-officers-near-hollywood-and-highland-lapd/"/>
    <hyperlink ref="E3095" r:id="rId367" display="http://wistv.images.worldnow.com/images/6145354_G.jpg"/>
    <hyperlink ref="Q3095" r:id="rId368" display="http://www.wltx.com/story/news/local/2014/12/05/sled-investigating-officer-involved-shooting/19980013/"/>
    <hyperlink ref="Q3100" r:id="rId369" display="http://www.thenewsstar.com/story/news/local/2014/12/23/officer-involved-shooting-named-separate-case/20814039/"/>
    <hyperlink ref="Q3103" r:id="rId370" display="http://www.star-telegram.com/2014/12/03/6335890/fort-worth-police-fatally-shoot.html?rh=1"/>
    <hyperlink ref="E3104" r:id="rId371" display="https://encrypted-tbn1.gstatic.com/images?q=tbn:ANd9GcReseSA89ykdECqZfgRZGCtXTy03nbwQN7mgVVimHD6HxveTuXMkCVC4Q"/>
    <hyperlink ref="Q3104" r:id="rId372" display="http://newsok.com/officer-involved-shooting-reported-in-northwest-oklahoma-city/article/5372084"/>
    <hyperlink ref="Q3108" r:id="rId373" display="http://www.chron.com/news/houston-texas/article/1-dead-in-officer-involved-shooting-in-NW-Harris-5928188.php"/>
    <hyperlink ref="Q3121" r:id="rId374" display="http://crimeblog.dallasnews.com/2014/11/balch-springs-police-say-man-died-in-custody-tuesday-after-he-fought-arresting-officers.html/"/>
    <hyperlink ref="Q3126" r:id="rId375" display="http://www.firstcoastnews.com/story/news/local/2014/11/24/jso-involved-incident-gate-gas-station/70068030/"/>
    <hyperlink ref="Q3135" r:id="rId376" location=".VHT3q4vF9R4" display="http://www.kutv.com/news/features/top-stories/stories/South-Jordan-police-give-more-details-in-shooting-death-of-1-man-59617.shtml - .VHT3q4vF9R4"/>
    <hyperlink ref="Q3131" r:id="rId377" display="http://sacramento.cbslocal.com/2014/11/23/suspect-dead-after-shootout-in-downtown-sonora-officer-bystander-hurt/"/>
    <hyperlink ref="Q3145" r:id="rId378" display="http://www.wral.com/family-man-who-shot-fayetteville-officer-suffered-from-mental-illness/14200793/"/>
    <hyperlink ref="E3149" r:id="rId379" display="http://www.revelsfh.com/obituaries/uploads/OI1223286732_FullSizeRender.jpg"/>
    <hyperlink ref="Q3150" r:id="rId380" display="http://www.mcall.com/news/breaking/mc-d-phillipsburg-officer-involved-shooting-suspect-dies-20141118-story.html"/>
    <hyperlink ref="Q3161" r:id="rId381" display="http://www.weau.com/home/headlines/Female-suspect-killed-in-Boyceville-officer-involved-shooting-282832071.html"/>
    <hyperlink ref="Q3166" r:id="rId382" display="http://www.local8now.com/home/headlines/Shooting-investigation-in-South-Knox-County-282637501.html"/>
    <hyperlink ref="Q3174" r:id="rId383" display="http://www.news-record.com/news/guilford-county-sheriff-s-deputies-involved-in-chase-that-ends/article_79451250-6a25-11e4-bb91-87f8f4995f40.html"/>
    <hyperlink ref="E3175" r:id="rId384" display="http://imgick.nj.com/home/njo-media/width620/img/middlesex_impact/photo/16419415-mmmain.png"/>
    <hyperlink ref="Q3175" r:id="rId385" display="http://www.nj.com/middlesex/index.ssf/2014/11/middlesex_county_death_jail_inmate_family_wait_for_answers.html"/>
    <hyperlink ref="Q3190" r:id="rId386" display="http://www.jacksonsun.com/story/news/local/2014/11/11/parents-man-shot-officer-speak-tbi-investigate/18836355/"/>
    <hyperlink ref="Q3192" r:id="rId387" display="http://magicvalley.com/news/local/crime-and-courts/update-man-fatally-shot-by-jerome-county-deputies-identified/article_4355b3bd-44b7-5e74-8937-16ad1d7d96cc.html"/>
    <hyperlink ref="Q3194" r:id="rId388" display="http://www.rgj.com/story/news/crime/2014/11/05/police-officer-involved-shooting-near-unr/18563353/"/>
    <hyperlink ref="E3195" r:id="rId389" display="https://www.facebook.com/groups/387178151407408/"/>
    <hyperlink ref="Q3195" r:id="rId390" display="http://www.yakimaherald.com/news/latestlocalnews/2632541-8/man-fatally-shot-by-yakima-county-deputy"/>
    <hyperlink ref="Q3196" r:id="rId391" display="http://www.wsaz.com/home/headlines/Officers-Shoot-and-Kill-Suspect-During-Drug-Raid-in-Lawrence-County-Ohiog---281476761.html"/>
    <hyperlink ref="Q3205" r:id="rId392" display="http://www.kshb.com/news/crime/deputy-fatally-shot-in-cedar-county"/>
    <hyperlink ref="Q3206" r:id="rId393" display="http://www.tucsonnewsnow.com/story/27187359/bicyclist-fatally-struck-by-police-officer-in-unmarked-vehicle"/>
    <hyperlink ref="Q3218" r:id="rId394" display="http://www.wdbj7.com/news/local/lynchburg-bedford/deputy-involved-in-bedford-county-shooting/29390802"/>
    <hyperlink ref="Q3224" r:id="rId395" display="http://www.wsvn.com/story/27025232/1-dead-in-hialeah-police-involved-shooting"/>
    <hyperlink ref="Q3238" r:id="rId396" display="http://www.fayobserver.com/news/local/man-shot-killed-when-cumberland-county-deputies-try-to-serve/article_f253b5ae-7298-5362-8caf-84520ea48f26.html"/>
    <hyperlink ref="Q3234" r:id="rId397" display="http://www.tucsonsentinel.com/local/report/102914_bp_shooting/update-man-fatally-shot-by-border-patrol-identified/"/>
    <hyperlink ref="Q3241" r:id="rId398" display="http://www.nydailynews.com/new-york/nyc-crime/police-shoots-kills-man-ax-queens-article-1.1984914"/>
    <hyperlink ref="Q3286" r:id="rId399" location="incart_2box" display="http://www.al.com/news/huntsville/index.ssf/2014/10/officer-involved_shooting_at_m.html - incart_2box"/>
    <hyperlink ref="E3281" r:id="rId400" display="http://bloximages.chicago2.vip.townnews.com/wacotrib.com/content/tncms/assets/v3/editorial/d/8f/d8f5c52a-c474-5323-bbcf-9da3b5d574a5/543498624ad06.image.jpg"/>
    <hyperlink ref="Q3281" r:id="rId401" display="http://www.wacotrib.com/news/courts_and_trials/woman-dies-in-mclennan-county-jail/article_295a2448-47f5-565b-b08b-7d0104877301.html"/>
    <hyperlink ref="E3285" r:id="rId402" display="http://www.miamiherald.com/news/state/florida/mqonpy/picture2628797/ALTERNATES/FREE_960/latandraellington"/>
    <hyperlink ref="Q3285" r:id="rId403" display="http://www.miamiherald.com/news/state/florida/article2564576.html"/>
    <hyperlink ref="Q3283" r:id="rId404" display="http://www.jrn.com/ktnv/news/Family-speaks-out-after-man-killed-by-police-in-shootout-278597311.html"/>
    <hyperlink ref="Q3289" r:id="rId405" display="http://www.washingtonpost.com/local/man-shot-and-killed-by-officers-trying-to-serve-a-warrant-in-southeast-dc/2014/10/05/b755dfea-4c9b-11e4-aa5e-7153e466a02d_story.html"/>
    <hyperlink ref="E3296" r:id="rId406" display="http://www.gannett-cdn.com/-mm-/90407faa708f948b3bc41ed885ae0b6dbee7db9f/c=0-743-2448-2587&amp;r=x383&amp;c=540x380/local/-/media/WXIA/None/2014/10/03/1412363614000-photo-2-.JPG"/>
    <hyperlink ref="Q3298" r:id="rId407" display="http://www.wlky.com/news/woman-shot-by-lmpd-officers-in-swat-situation-dies/28371462"/>
    <hyperlink ref="Q3303" r:id="rId408" display="http://www.houstontx.gov/police/nr/2014/oct/nr141001-3.htm"/>
    <hyperlink ref="Q3325" r:id="rId409" display="http://www.wfaa.com/story/news/crime/2014/09/23/man-death-police-custody-pepper-spray-dallas-university-park-police/16100715/"/>
    <hyperlink ref="Q3323" r:id="rId410" display="http://www.elkharttruth.com/news/crime-fire-courts/2014/09/29/Joseph-Adam-Lee-died-from-multiple-gunshot-wounds-shooting-investigation-continues.html"/>
    <hyperlink ref="Q3335" r:id="rId411" display="http://www.demingheadlight.com/deming-news/ci_26572049/pursuit-through-luna-county-ends-stand-off-las"/>
    <hyperlink ref="Q3337" r:id="rId412" display="http://www.northwestgeorgianews.com/polkfishwrap/news/local/authorities--year-old-levi-weaver-shot-killed-by-polk/article_b26d6dba-408c-11e4-ba96-0017a43b2370.html"/>
    <hyperlink ref="Q3338" r:id="rId413" display="http://www.twincities.com/localnews/ci_26675527/hermantown-man-dies-after-police-use-taser"/>
    <hyperlink ref="Q3341" r:id="rId414" display="http://www.ajc.com/news/news/man-fatally-shot-by-police-on-savannah-street/nhP97/"/>
    <hyperlink ref="Q3350" r:id="rId415" display="http://www.wwltv.com/story/news/local/orleans/2014/09/15/officer-shot-on-duty-in-good-spirits/15700815/"/>
    <hyperlink ref="E3356" r:id="rId416" display="http://www.copblock.org/wp-content/uploads/2014/09/ricky-deangelo-hinkle-jefferson-county-alabama-copblock.png"/>
    <hyperlink ref="Q3356" r:id="rId417" display="http://www.al.com/news/birmingham/index.ssf/2014/09/jefferson_county_inmate_dies_a.html"/>
    <hyperlink ref="Q3353" r:id="rId418" display="http://www.wkyt.com/home/headlines/Police-dealing-with-developing-situation-in-Madison-County-275029661.html"/>
    <hyperlink ref="Q3377" r:id="rId419" display="http://www.kolotv.com/home/headlines/Officer-Involved-Shooting-Shuts-Down-Sutro-and-So-273796761.html"/>
    <hyperlink ref="Q3381" r:id="rId420" display="http://www.cleveland.com/metro/index.ssf/2014/09/man_shot_killed_by_cleveland_p.html"/>
    <hyperlink ref="Q3387" r:id="rId421" display="http://nypost.com/2014/09/06/man-who-shot-nypd-cop-dies-after-surgery/"/>
    <hyperlink ref="Q3391" r:id="rId422" display="http://www.king5.com/story/news/local/seattle/2014/09/01/police-find-gun-arsenal-queen-anne-home-shooting/14946055/"/>
    <hyperlink ref="E3393" r:id="rId423" display="https://cbsnewyork.files.wordpress.com/2014/08/singelton2.jpg?w=620&amp;h=349&amp;crop=1"/>
    <hyperlink ref="Q3393" r:id="rId424" display="http://www.nydailynews.com/new-york/nyc-crime/death-man-high-pcp-restrained-cops-ruled-homicide-article-1.1922055"/>
    <hyperlink ref="Q3400" r:id="rId425" display="http://www.mprnews.org/story/2014/11/17/police-justified-in-ramsey-shooting"/>
    <hyperlink ref="Q3401" r:id="rId426" display="http://www.redding.com/news/local-news/deputies-person-shot-on-fig-tree-lane"/>
    <hyperlink ref="Q3429" r:id="rId427" display="http://www.baltimoresun.com/news/maryland/baltimore-county/bs-md-co-in-custody-death-20140821-story.html"/>
    <hyperlink ref="Q3432" r:id="rId428" display="http://www.philly.com/philly/news/20140820_Cop_grazed_by_bullet__suspect_killed.html"/>
    <hyperlink ref="Q3439" r:id="rId429" display="http://homicide.latimes.com/post/andre-maurice-jones/"/>
    <hyperlink ref="Q3457" r:id="rId430" display="http://www.9news.com/story/news/crime/2014/08/13/greeley-officer-involved-shoot-veteran-shoot-out-call/14006469/"/>
    <hyperlink ref="Q3461" r:id="rId431" display="http://neshobademocrat.com/main.asp?SectionID=2&amp;SubSectionID=297&amp;ArticleID=33427"/>
    <hyperlink ref="E3459" r:id="rId432" display="http://obits.dignitymemorial.com/dignity-memorial/obituary.aspx?n=James-DeVito&amp;lc=7339&amp;pid=172110208&amp;mid=6085341"/>
    <hyperlink ref="E3463" r:id="rId433" display="http://kbmt.images.worldnow.com/images/4452029_G.jpg"/>
    <hyperlink ref="Q3463" r:id="rId434" display="http://www.12newsnow.com/story/26251863/family-seeks-answers-after-police-release-unconscious-man-who-died-moments-later"/>
    <hyperlink ref="Q3467" r:id="rId435" display="http://www.shreveporttimes.com/story/news/crime/2014/08/11/state-fbi-investigate-doc-prisoners-death/13931967/%22His death was reported July 15 to state police investigators by the Claiborne Parish Sheriff's Office.%22"/>
    <hyperlink ref="Q3468" r:id="rId436" display="http://www.arklatexhomepage.com/story/d/story/man-killed-in-overnight-shooting-has-been-identifi/42931/M-T9-BnlDEKC3eIlvgv1Xg"/>
    <hyperlink ref="Q3466" r:id="rId437" display="http://kpel965.com/la-state-police-handling-shooting-involving-crowley-police-officers/"/>
    <hyperlink ref="Q3496" r:id="rId438" display="http://www.local10.com/news/1-killed-in-policeinvolved-shooting-in-miami-springs/26847256"/>
    <hyperlink ref="Q3490" r:id="rId439" display="http://www.cincinnati.com/story/news/2014/08/05/cincinnati-police-officer-shoots-man-killed-traffic-stop/13611479/"/>
    <hyperlink ref="Q3491" r:id="rId440" display="http://www.newsherald.com/news/crime-public-safety/man-shot-during-standoff-dies-1.357594"/>
    <hyperlink ref="E3503" r:id="rId441" display="http://ak-cache.legacy.net/legacy/Images/Cobrands/DignityMemorial/Photos/0cde69ec-edda-421b-b501-5eebbf9d5797.jpg"/>
    <hyperlink ref="Q3501" r:id="rId442" display="http://bangordailynews.com/2014/08/04/news/penobscot/lagrange-man-49-killed-by-state-trooper-after-3-hour-standoff/"/>
    <hyperlink ref="Q3511" r:id="rId443" display="http://www.ajc.com/news/news/police-investigating-shooting-in-east-point/ngsX4/"/>
    <hyperlink ref="Q3521" r:id="rId444" display="http://www.8newsnow.com/story/26137424/breaking-news-police-investigate-officer-involved-shooting"/>
    <hyperlink ref="Q3523" r:id="rId445" display="http://www.tri-cityherald.com/2014/07/29/3083195_pasco-man-with-knife-killed-by.html?rh=1"/>
    <hyperlink ref="Q3530" r:id="rId446" display="http://www.knoxnews.com/news/local-news/parolee-killed-in-fight-with-officer-had-a-syringe-narcotic-on-him_07147175"/>
    <hyperlink ref="Q3536" r:id="rId447" display="http://www.sltrib.com/news/justice/1618808-155/officers-shot-lister-police-gill-gun"/>
    <hyperlink ref="Q3546" r:id="rId448" display="http://www.northwestgeorgianews.com/rome/adairsville-officer-on-administrative-leave-after-fatal-shooting/article_7082a720-119e-11e4-8eb9-001a4bcf6878.html"/>
    <hyperlink ref="Q3544" r:id="rId449" display="http://www.koat.com/news/apd-involved-in-shooting-near-eubank-central/27095580"/>
    <hyperlink ref="Q3549" r:id="rId450" display="http://www.kentreporter.com/news/272307371.html"/>
    <hyperlink ref="Q3552" r:id="rId451" display="http://www.azcentral.com/story/news/local/tempe/2014/07/20/tempe-officer-involved-shooting-jonathan-williams-dead/12922577/"/>
    <hyperlink ref="Q3554" r:id="rId452" display="http://www.fox5vegas.com/story/26071249/coroner-identifies-man-shot-by-nlv-police"/>
    <hyperlink ref="Q3568" r:id="rId453" display="http://www.citizen-times.com/story/news/crime/2014/07/14/hendersonville-police-shoot-kill-suspect/12640863/"/>
    <hyperlink ref="Q3578" r:id="rId454" display="http://www.12newsnow.com/story/26796642/vidor-officers-cleared-by-grand-jury-will-return-to-work-friday"/>
    <hyperlink ref="Q3581" r:id="rId455" display="http://www.10tv.com/content/stories/2014/07/10/columbus-ohio-probation-officer-among-2-people-shot-in-southeast-columbus.html"/>
    <hyperlink ref="Q3591" r:id="rId456" display="http://journaltimes.com/news/local/crime-and-courts/man-fatally-shot-by-police-identified/article_9983c98a-0620-11e4-8f7e-0019bb2963f4.html"/>
    <hyperlink ref="Q3602" r:id="rId457" display="http://www.wcyb.com/news/tbi-investigating-death-of-man-in-custody/26809334"/>
    <hyperlink ref="Q3606" r:id="rId458" location="__federated=1" display="http://www.ajc.com/news/news/officer-involved-shooting-in-se-atlanta/ngYcr/ - __federated=1"/>
    <hyperlink ref="Q3619" r:id="rId459" display="http://www.nbcnewyork.com/news/local/Long-Island-Suffolk-County-Bay-Shore-Police-Involved-Shooting-Fatal-264868841.html"/>
    <hyperlink ref="Q3621" r:id="rId460" display="http://www.wcyb.com/news/shooting-investigated-in-damascus/26694690"/>
    <hyperlink ref="Q3634" r:id="rId461" display="http://www.nj.com/hudson/index.ssf/2014/06/authorities_release_identity_of_20-year-old_man_shot_by_police.html"/>
    <hyperlink ref="Q3635" r:id="rId462" display="http://www.wusa9.com/story/news/local/upper-marlboro/2014/06/23/man-dies-in-prince-georges-county-jail/11267077/"/>
    <hyperlink ref="Q3647" r:id="rId463" display="http://www.myfoxdfw.com/story/25833600/suspect-killed-in-garland-officer-involved-shooting"/>
    <hyperlink ref="Q3651" r:id="rId464" display="http://blogs.seattletimes.com/today/2014/06/man-killed-by-port-orchard-police-identified/"/>
    <hyperlink ref="Q3662" r:id="rId465" display="http://www.wsp.wa.gov/information/releases/2014_archive/mr061714.htm"/>
    <hyperlink ref="Q3681" r:id="rId466" display="http://www.ky3.com/news/local/deadly-offiverinvolved-shooting-kills-cassville-man-officer-injured/21048998_26424836"/>
    <hyperlink ref="Q3686" r:id="rId467" display="http://www.nbcnews.com/storyline/vegas-cop-killers/police-fatally-shot-las-vegas-gunman-jerad-miller-during-gunfight-n128546"/>
    <hyperlink ref="Q3690" r:id="rId468" display="http://www.local8now.com/home/headlines/KPD-officer-shot-in-East-KNoxville-262228291.html"/>
    <hyperlink ref="Q3691" r:id="rId469" location="!V4xVM" display="http://www.wbaltv.com/news/police-investigate-mta-officerinvolved-shooting-at-cromwell-light-rail-station/26384134 - !V4xVM"/>
    <hyperlink ref="Q3700" r:id="rId470" display="http://www.mlive.com/news/flint/index.ssf/2013/10/prosecutor_says_michigan_state.html"/>
    <hyperlink ref="Q3699" r:id="rId471" display="http://www.firstcoastnews.com/story/news/local/2014/06/04/westside-jso-officer-involved-shooting/9985499/"/>
    <hyperlink ref="Q3704" r:id="rId472" display="http://rapidcityjournal.com/news/local/police-rapid-city-man-shot-and-killed-by-officer-had/article_262374b9-bd2f-569a-9635-2170734ac0d0.html"/>
    <hyperlink ref="Q3706" r:id="rId473" display="http://6abc.com/news/officer-released-from-hospital-suspect-dead-in-chester/89060/"/>
    <hyperlink ref="Q3707" r:id="rId474" display="http://www.hickoryrecord.com/news/hickory-police-man-killed-in-officer-involved-shooting/article_701d15ba-ea50-11e3-ad29-001a4bcf6878.html"/>
    <hyperlink ref="Q3708" r:id="rId475" location="!TFnpq" display="http://www.wyff4.com/news/dispatchers-deputyinvolved-shooting-under-investigation-at-gas-station/26282954 - !TFnpq"/>
    <hyperlink ref="Q3711" r:id="rId476" display="http://www.kake.com/home/headlines/Officer-involved-shooting-reported-south-of-Dexter-in-Cowley-County-261401221.html"/>
    <hyperlink ref="Q3712" r:id="rId477" display="http://patersontimes.com/2014/05/31/armed-city-man-killed-by-city-detective-on-montgomery-street/"/>
    <hyperlink ref="Q3725" r:id="rId478" display="http://www.tricities.com/news/article_0ec2ddf4-e749-11e3-a6a8-0017a43b2370.html"/>
    <hyperlink ref="Q3733" r:id="rId479" display="http://www.daytondailynews.com/news/news/crime-law/police-involved-shooting-reported-udf-dayton/nf7f7/?__federated=1"/>
    <hyperlink ref="Q3737" r:id="rId480" display="http://www.bakersfieldnow.com/news/local/1-shot-killed-by-KC-deputy-in-Lebec-260562651.html"/>
    <hyperlink ref="E3755" r:id="rId481" display="https://www.facebook.com/curtise.welford"/>
    <hyperlink ref="Q3760" r:id="rId482" display="http://www.expressnews.com/news/local/article/Officer-shoots-kills-woman-who-police-said-5490353.php"/>
    <hyperlink ref="E3758" r:id="rId483" display="http://nrvnews.com/wp-content/uploads/2014/05/saunders_thomas_neil.jpg"/>
    <hyperlink ref="Q3758" r:id="rId484" display="http://www.wdbj7.com/news/local/developing-story-officerinvolved-shooting-in-giles-county/26045058"/>
    <hyperlink ref="Q3764" r:id="rId485" display="http://www.kansascity.com/2014/05/20/5035276/kck-standoff-suspect-killed-by.html"/>
    <hyperlink ref="Q3767" r:id="rId486" display="http://www.nbcnewyork.com/news/local/NYPD-Shooting-FDR-Drive-96-Street-259556971.html"/>
    <hyperlink ref="Q3773" r:id="rId487" display="http://www.mercurynews.com/my-town/ci_25773669/concord-police-shoot-kill-suspect-thursday-evening"/>
    <hyperlink ref="Q3777" r:id="rId488" display="http://www.houstontx.gov/police/nr/2014/may/nr051314-3.htm"/>
    <hyperlink ref="Q3784" r:id="rId489" display="http://www.dcclothesline.com/2014/05/19/veteran-stopped-front-license-plate-beat-death-5-cops/"/>
    <hyperlink ref="Q3782" r:id="rId490" location=".U3DGe-hX-uY" display="http://www.suntimes.com/27377311-761/armed-man-shot-by-police-on-west-side-dies.html - .U3DGe-hX-uY"/>
    <hyperlink ref="Q3794" r:id="rId491" display="http://www.10tv.com/content/stories/2014/05/10/columbus-jonathan-drive-officer-involved-shooting.html"/>
    <hyperlink ref="Q3790" r:id="rId492" display="http://www.nbclosangeles.com/news/local/Man-Killed-in-Fatal-Officer-Involved-Shooting-in-Ontario-258815701.html"/>
    <hyperlink ref="Q3797" r:id="rId493" display="http://www.statesmanjournal.com/story/news/crime/2014/05/19/grand-jury-officer-justified-shooting-killing-armed-suspect/9307783/"/>
    <hyperlink ref="Q3803" r:id="rId494" display="http://www.mlive.com/news/grand-rapids/index.ssf/2014/05/two_troopers_one_deputy_on_lea.html"/>
    <hyperlink ref="Q3809" r:id="rId495" display="http://www.nydailynews.com/news/national/fired-fatally-shot-93-year-old-woman-rips-knee-jerk-reaction-article-1.1789207"/>
    <hyperlink ref="Q3815" r:id="rId496" display="http://www.ksla.com/story/25422732/shreveport-police-confirm-man-who-fought-officers-has-died?clienttype=generic&amp;mobilecgbypass&amp;utm_content=buffer598c5&amp;utm_medium=social&amp;utm_source=twitter.com&amp;utm_campaign=buffer"/>
    <hyperlink ref="Q3829" r:id="rId497" display="http://m.union-bulletin.com/news/2014/apr/29/update-investigation-continues-athena-mans-fatal-s/?templates=mobile"/>
    <hyperlink ref="E3832" r:id="rId498" display="http://www.news-graphic.com/image_5c8d94e0-b110-11e2-af2b-001a4bcf887a.html"/>
    <hyperlink ref="Q3837" r:id="rId499" display="http://www.natchezdemocrat.com/2014/04/25/man-dies-after-stun-gun-shock-state-agency-inspecting-acso-traffic-stop-death/"/>
    <hyperlink ref="Q3836" r:id="rId500" display="http://www.wtok.com/news/headlines/Update-on-Emmanuel-Wooten-Search-256704901.html"/>
    <hyperlink ref="Q3850" r:id="rId501" location="axzz3Gj9fLtSM" display="http://triblive.com/news/allegheny/6036085-74/zappala-officer-police - axzz3Gj9fLtSM"/>
    <hyperlink ref="Q3879" r:id="rId502" display="http://www.wwaytv3.com/2014/04/14/updated-sbi-investigating-officer-involved-shooting-pender-county"/>
    <hyperlink ref="Q3892" r:id="rId503" display="http://www.miamiherald.com/news/local/crime/article2176191.html"/>
    <hyperlink ref="Q3898" r:id="rId504" display="http://www.kansas.com/2014/04/10/3396426/man-dead-after-officer-involved.html"/>
    <hyperlink ref="E3902" r:id="rId505" display="http://www.wrhi.com/2014/04/officer-involved-shooting-in-york-county-leaves-one-man-dead-91986"/>
    <hyperlink ref="Q3902" r:id="rId506" location=".VD2-WVewUSc" display="http://www.charlotteobserver.com/2014/04/09/4830144_experts-weigh-in-on-york-county.html - .VD2-WVewUSc"/>
    <hyperlink ref="Q3903" r:id="rId507" display="http://www.palmbeachpost.com/news/news/pbso-investigating-officer-involved-shooting-in-su/nfTT5/"/>
    <hyperlink ref="Q3909" r:id="rId508" display="http://www.click2houston.com/news/man-killed-after-pulling-gun-on-deputies-serving-warrant/25349872"/>
    <hyperlink ref="Q3913" r:id="rId509" display="http://www.washingtonpost.com/local/crime/man-killed-in-police-shooting-in-prince-georges-county/2014/04/05/114eb076-bcc3-11e3-b195-dd0c1174052c_allComments.html?ctab=all"/>
    <hyperlink ref="Q3915" r:id="rId510" display="http://whnt.com/2014/04/04/breaking-huntsville-police-confirm-officer-shot-residents-being-evacuated/"/>
    <hyperlink ref="Q3922" r:id="rId511" display="http://www.wsbtv.com/news/news/local/officer-injured-suspect-killed-lawrenceville-apart/nfQTQ/"/>
    <hyperlink ref="Q3929" r:id="rId512" display="http://www.washingtonpost.com/national/police-officer-fatally-shot-in-upstate-new-york/2014/03/31/ad349cc6-b8f4-11e3-80de-2ff8801f27af_story.html"/>
    <hyperlink ref="Q3931" r:id="rId513" display="http://www.myfoxchicago.com/story/25108986/raason-shaw-man-shot-to-death-by-police-in-woodlawn"/>
    <hyperlink ref="Q3933" r:id="rId514" display="http://www.wcti12.com/news/city-official-two-officers-injured-one-suspect-dead-in-shooting/25226556"/>
    <hyperlink ref="E3934" r:id="rId515" display="http://fox13now.com/2014/03/28/2-police-officers-hurt-1-man-dead-after-salt-lake-city-shooting/"/>
    <hyperlink ref="E3957" r:id="rId516" display="http://www.gannett-cdn.com/-mm-/cbbdacfe4e1c4318f635c9789244aebac3fd509e/c=0-526-968-1254&amp;r=x404&amp;c=534x401/local/-/media/Westchester/Westchester/2014/09/07/1410147536000-TJN-0901-tenadeath-1-(2).jpg"/>
    <hyperlink ref="Q3955" r:id="rId517" display="http://www.tennessean.com/story/news/crime/2014/03/21/dozens-officers-scene-elliston-place-shooting/6716709/"/>
    <hyperlink ref="Q3963" r:id="rId518" display="http://blogs.ocweekly.com/navelgazing/2014/03/police_shooting_in_anaheim_lea.php?page=2"/>
    <hyperlink ref="Q3962" r:id="rId519" location="!bIoKti" display="http://www.ketv.com/news/police-id-man-killed-in-officer-involved-shooting/25060968 - !bIoKti"/>
    <hyperlink ref="Q3968" r:id="rId520" display="http://www.washingtonpost.com/local/crime/police-involved-in-shooting-person-in-nw/2014/03/18/7f80b924-ae8e-11e3-96dc-d6ea14c099f9_story.html"/>
    <hyperlink ref="E3971" r:id="rId521" display="http://www.peacefulalternatives.com/fh/obituaries/obituary.cfm?o_id=2458194&amp;fh_id=14153"/>
    <hyperlink ref="Q3973" r:id="rId522" display="http://www.ajc.com/news/news/local/man-shot-and-killed-by-forsyth-county-deputies/nfFC8/"/>
    <hyperlink ref="Q3981" r:id="rId523" display="http://www.firstcoastnews.com/story/news/crime/2014/03/15/lake-city-killed-police/6457449/"/>
    <hyperlink ref="Q3993" r:id="rId524" display="http://www.reviewjournal.com/news/las-vegas/north-las-vegas-police-face-lawsuit-deadly-shooting-homeless-man"/>
    <hyperlink ref="Q4000" r:id="rId525" display="http://www.newssun.com/news/article_513fe971-a208-543b-8a5c-71ff2376804d.html"/>
    <hyperlink ref="Q4006" r:id="rId526" display="http://collegian.csufresno.edu/2014/03/07/woman-shot-twice-killed-by-fresno-police-officer-in-apartment-complex-west-of-campus/"/>
    <hyperlink ref="Q4012" r:id="rId527" display="http://www.indystar.com/story/news/crime/2014/03/05/4-indianapolis-swat-officers-shot-suspect-is-killed/6097619/"/>
    <hyperlink ref="Q4039" r:id="rId528" display="http://www.utsandiego.com/news/2014/feb/26/suicidal-man-rifle-downtown-san-diego/"/>
    <hyperlink ref="Q4036" r:id="rId529" display="http://www.news-gazette.com/news/local/2014-02-26/state-police-investigate-fatal-shooting-after-chase-danville.html"/>
    <hyperlink ref="Q4043" r:id="rId530" display="http://thenewsherald.com/articles/2014/02/28/news/doc5310a54ba9b5b176742526.txt"/>
    <hyperlink ref="E4045" r:id="rId531" display="http://rollingout.com/wp-content/uploads/2014/02/Kenneth-Lucas-and-Family.jpg?f66a58"/>
    <hyperlink ref="Q4045" r:id="rId532" display="http://rollingout.com/news/why-did-kenneth-lucas-jailed-in-texas-die-after-guards-left-cell/"/>
    <hyperlink ref="Q4067" r:id="rId533" display="http://www.abc15.com/dpp/news/region_phoenix_metro/central_phoenix/phoenix-police-investigating-officer-involved-shooting-near-19th-avenue-and-culver-street"/>
    <hyperlink ref="Q4069" r:id="rId534" display="http://www.chronline.com/article_b54aecd0-94b9-11e3-8b34-001a4bcf887a.html"/>
    <hyperlink ref="Q4071" r:id="rId535" display="http://chippewa.com/dunnconnect/news/local/suspect-shot-during-search-warrant-in-town-of-red-cedar/article_c7a4ae88-2f57-59fd-a566-2ee0bef8573b.html"/>
    <hyperlink ref="Q4073" r:id="rId536" display="http://www.spokesman.com/stories/2014/feb/11/possible-officer-involved-shooting-spokane-valley/"/>
    <hyperlink ref="Q4076" r:id="rId537" display="http://www.washingtonpost.com/news/morning-mix/wp/2015/04/08/south-carolina-cop-now-faces-felony-charge-for-fatally-shooting-a-black-man-in-his-driveway/"/>
    <hyperlink ref="E4075" r:id="rId538" display="http://kollegekidd.com/news/friends-family-remember-slain-robbery-suspect-deonta-mackey/"/>
    <hyperlink ref="Q4081" r:id="rId539" display="http://www.ktbs.com/story/24667057/officer-involved-shooting-in-ruston-leaves-one-dead"/>
    <hyperlink ref="Q4087" r:id="rId540" display="http://www.delmarvanow.com/article/20140205/NEWS/302050037"/>
    <hyperlink ref="Q4089" r:id="rId541" display="http://www.wtxl.com/news/update-officer-involved-shooting-at-taylor-county-car-dealership/article_a27a9ab0-8e83-11e3-8e81-0017a43b2370.html"/>
    <hyperlink ref="Q4094" r:id="rId542" display="http://www.sfgate.com/crime/article/Hayward-police-shoot-and-kill-armed-woman-5205798.php"/>
    <hyperlink ref="E4096" r:id="rId543" display="http://thumbs.mugshots.com/gallery/images/8d/63/Kevin-Dejon-Grissett-mugshot-24130338.400x800.jpg"/>
    <hyperlink ref="E4100" r:id="rId544" display="http://bloximages.newyork1.vip.townnews.com/scnow.com/content/tncms/assets/v3/editorial/9/af/9af467d9-6895-55d0-a65f-5d532b203c84/52f5bad3778ea.preview-300.jpg"/>
    <hyperlink ref="Q4102" r:id="rId545" display="http://www.ivpressonline.com/news/local/one-suspect-dead-in-el-centro-shooting/article_8fb45b2a-8a44-11e3-8222-001a4bcf6878.html"/>
    <hyperlink ref="Q4121" r:id="rId546" display="http://www.goupstate.com/article/20140124/ARTICLES/140129757?p=1&amp;tc=pg"/>
    <hyperlink ref="Q4126" r:id="rId547" display="http://www.wdef.com/news/story/Sequatchie-Community-Mourns-Loss-Of-Josh-Layne/r6DlJk-F4kOv8aqGvHyA1g.cspx"/>
    <hyperlink ref="Q4146" r:id="rId548" display="http://www.wptv.com/news/state/gregory-vaughn-hill-jr-fort-pierce-man-ided-in-fatal-deputy-involved-shooting"/>
    <hyperlink ref="E4151" r:id="rId549" display="http://www.wyliefh.com/printguestbook.php?id=2166&amp;rid=15392"/>
    <hyperlink ref="Q4151" r:id="rId550" display="http://www.baltimoresun.com/news/maryland/crime/blog/bal-police-investigating-officerinvolved-shooting-in-east-baltimore-20140113,0,4169034.story"/>
    <hyperlink ref="Q4173" r:id="rId551" display="http://newsok.com/police-release-name-of-man-killed-in-officer-involved-shooting/article/3920773"/>
    <hyperlink ref="Q4178" r:id="rId552" display="http://www.nwfdailynews.com/local/suspect-killed-officers-shot-in-crestview-incident-1.257150"/>
    <hyperlink ref="Q4183" r:id="rId553" display="http://www.wilsontimes.com/News/Feature/Story/28048226---Deputies--Man-fatally-shot-after-killing-2"/>
    <hyperlink ref="Q4196" r:id="rId554" display="http://newsok.com/man-shot-by-oklahoma-highway-patrol-trooper-was-correction-center-escapee/article/3919183"/>
    <hyperlink ref="Q4209" r:id="rId555" display="http://newsok.com/oklahoma-parents-say-son-needed-help-instead-custer-county-sheriffs-deputies-shot-him/article/3929841"/>
    <hyperlink ref="Q4212" r:id="rId556" display="http://www.kens5.com/story/local/2014/09/26/10621720/"/>
    <hyperlink ref="Q4213" r:id="rId557" display="http://blog.al.com/montgomery/2013/12/phenix_city_police_fatally_sho.html"/>
    <hyperlink ref="Q4214" r:id="rId558" display="http://www.indystar.com/story/news/crime/2013/12/18/impd-officer-fatally-shoots-man-on-southeastside/4110911/"/>
    <hyperlink ref="Q4239" r:id="rId559" display="http://web.tampabay.com/news/publicsafety/crime/new-port-richey-man-dies-after-being-stunned-in-confrontation-with-police/2158068"/>
    <hyperlink ref="Q4242" r:id="rId560" display="http://www.local10.com/news/man-dead-after-shootout-with-swat/23386254"/>
    <hyperlink ref="Q4251" r:id="rId561" display="http://www.today.com/news/unjustified-family-student-killed-campus-police-speaks-out-2D11723684"/>
    <hyperlink ref="Q4279" r:id="rId562" display="http://whnt.com/2013/12/02/grand-jury-to-review-shooting-involving-corrections-officer/"/>
    <hyperlink ref="Q4303" r:id="rId563" display="http://www.presstelegram.com/general-news/20131120/man-shot-killed-by-long-beach-police-identified-as-from-rialto"/>
    <hyperlink ref="Q4318" r:id="rId564" display="http://www.startribune.com/local/west/232358621.html"/>
    <hyperlink ref="Q4326" r:id="rId565" display="http://www.jsonline.com/news/crime/shots-fired-in-downtown-milwaukee-b99139596z1-231430101.html"/>
    <hyperlink ref="Q4362" r:id="rId566" display="http://crimeblog.dallasnews.com/2013/10/duncanville-police-fatally-shoot-suspect-monday-morning.html/"/>
    <hyperlink ref="Q4393" r:id="rId567" display="http://sfappeal.com/2013/10/sf-man-shot-to-death-by-san-mateo-police/"/>
    <hyperlink ref="Q4398" r:id="rId568" display="http://www.koat.com/news/fatal-roswell-shootout-caught-on-camera/22577824"/>
    <hyperlink ref="Q4418" r:id="rId569" display="http://www.myfoxmemphis.com/story/24329596/medical-examiner-rules-cause-of-death-aaron-dumas"/>
    <hyperlink ref="Q4437" r:id="rId570" display="http://bangordailynews.com/2013/10/10/news/bangor/police-identify-2-dead-in-old-town-stabbing-standoff/"/>
    <hyperlink ref="Q4445" r:id="rId571" display="http://www.chicagotribune.com/news/local/breaking/chi-at-least-1-wounded-in-policeinvolved-shooting-in-posen-20131004,0,7140004.story"/>
    <hyperlink ref="Q4457" r:id="rId572" display="http://pgpolice.blogspot.com/2013/10/pgpd-investigates-police-involved.html"/>
    <hyperlink ref="Q4459" r:id="rId573" display="http://abc13.com/archive/9270067/"/>
    <hyperlink ref="Q4469" r:id="rId574" display="http://www.presstelegram.com/general-news/20130926/long-beach-police-kill-man-in-departments-third-ois-in-past-week"/>
    <hyperlink ref="Q4484" r:id="rId575" display="http://www.dps.state.ia.us/commis/pib/Releases/2013/12-14-2013_Northwood_Results.htm"/>
    <hyperlink ref="Q4490" r:id="rId576" display="http://www.denverpost.com/breakingnews/ci_24147149/police-fatally-shoot-denver-bank-robbery-suspect"/>
    <hyperlink ref="Q4491" r:id="rId577" display="http://www.culvercityobserver.com/story/2013/10/10/news/man-shot-at-ccpd-hq-identified/3089.html"/>
    <hyperlink ref="Q4497" r:id="rId578" display="http://homicide.latimes.com/post/ruben-ramos-escobedo/"/>
    <hyperlink ref="Q4496" r:id="rId579" display="http://articles.orlandosentinel.com/2013-09-18/news/os-winter-garden-officer-involved-shooting-20130918_1_winter-garden-man-unarmed-man-roommate"/>
    <hyperlink ref="Q4518" r:id="rId580" location="axzz2eJeAaiTJ" display="http://triblive.com/news/allegheny/4669466-74/officer-police-victim - axzz2eJeAaiTJ"/>
    <hyperlink ref="Q4540" r:id="rId581" display="http://www.wtva.com/news/national/story/Grand-jury-no-indictments-in-officer-involved/EE5Am7KlmUmIECC8X0k4Wg.cspx"/>
    <hyperlink ref="Q4563" r:id="rId582" display="http://www.washingtonpost.com/blogs/local/wp/2014/07/08/ten-months-of-silence-in-the-fairfax-police-shooting-death-of-john-geer/"/>
    <hyperlink ref="Q4568" r:id="rId583" display="http://homicide.latimes.com/post/dennis-hakeen-vasquez/"/>
    <hyperlink ref="Q4583" r:id="rId584" display="http://www.pe.com/articles/palmer-674426-deputies-phillips.html"/>
    <hyperlink ref="Q4582" r:id="rId585" display="http://www.khq.com/story/23228789/officer-involved-shooting-in-n-spokane"/>
    <hyperlink ref="Q4621" r:id="rId586" display="http://blog.gulflive.com/mississippi-press-news/2013/10/gloster_police_offer_reinstate.html"/>
    <hyperlink ref="Q4631" r:id="rId587" display="http://www.huffingtonpost.com/2013/08/08/james-lee-dimaggio_n_3724734.html"/>
    <hyperlink ref="Q4635" r:id="rId588" display="http://hamptonroads.com/2013/08/man-killed-deputyinvolved-isle-wight-shooting"/>
    <hyperlink ref="Q4638" r:id="rId589" display="http://www.theindychannel.com/news/local-news/impd-suspect-dies-while-being-arrested"/>
    <hyperlink ref="Q4646" r:id="rId590" display="http://www.huffingtonpost.com/2013/08/05/shaaliver-douse-shooting_n_3705623.html"/>
    <hyperlink ref="Q4653" r:id="rId591" display="http://kfor.com/2013/08/02/warr-acres-police-involved-in-chase-shooting-reported/"/>
    <hyperlink ref="Q4659" r:id="rId592" display="http://www.nola.com/crime/index.ssf/2014/04/report_doj_drops_probe_of_fbi-.html"/>
    <hyperlink ref="Q4681" r:id="rId593" display="http://pjmedia.com/tatler/2013/07/30/the-strange-killing-of-larry-eugene-jackson-jr-by-an-austin-police-detective/"/>
    <hyperlink ref="Q4693" r:id="rId594" display="http://www.wral.com/suspect-killed-in-officer-involved-shooting-identified/12688890/"/>
    <hyperlink ref="Q4709" r:id="rId595" display="http://crimeblog.dallasnews.com/2013/07/police-shoot-burglary-suspect-in-confrontation-in-southeast-dallas.html/"/>
    <hyperlink ref="Q4713" r:id="rId596" display="http://explorevenango.com/vigil-rally-held-for-oil-city-woman-fatally-shot-by-police/"/>
    <hyperlink ref="Q4714" r:id="rId597" display="http://hiphopwired.com/2013/07/17/arkansas-cop-kills-wrongfully-suspected-in-car-thief-claims-self-defense/"/>
    <hyperlink ref="Q4723" r:id="rId598" display="http://newsok.com/family-member-identifies-man-shot-by-oklahoma-city-police/article/3861642"/>
    <hyperlink ref="Q4728" r:id="rId599" display="http://www.nj.com/essex/index.ssf/2013/09/woman_files_multi-million_dollar_suit_against_belleville_after_police_shot_husband_24_times.html"/>
    <hyperlink ref="Q4735" r:id="rId600" display="http://www.post-gazette.com/stories/local/neighborhoods-north/man-shot-to-death-in-sewickley-694786/"/>
    <hyperlink ref="Q4850" r:id="rId601" display="http://articles.baltimoresun.com/2013-06-11/news/bs-md-ar-road-rage-bail-20130610_1_police-officer-documents-hudson-county"/>
    <hyperlink ref="Q4876" r:id="rId602" display="http://www.wsfa.com/story/22481859/selma-police-stunned-that-off-duty-officer-killed-two-then-self-over-the-weekend"/>
    <hyperlink ref="Q4920" r:id="rId603" display="http://www.nydailynews.com/new-york/brooklyn/crazed-brooklyn-man-shot-cops-bad-mouthed-article-1.1297528"/>
    <hyperlink ref="Q4932" r:id="rId604" display="http://wreg.com/2013/05/30/funeral-escort-riders-say-farewell-to-one-of-their-own/"/>
    <hyperlink ref="Q5037" r:id="rId605" display="http://www.palmbeachpost.com/news/news/man-shot-and-killed-by-deputies-near-marriott-in-w/nXR2K/"/>
    <hyperlink ref="Q5073" r:id="rId606" display="http://www.daytondailynews.com/news/news/crime-law/fbi-working-at-shooting-site/nXDWH/"/>
    <hyperlink ref="Q5099" r:id="rId607" display="http://www.chron.com/news/houston-texas/houston/article/HPD-officer-wounded-suspect-killed-in-shootout-4362891.php"/>
    <hyperlink ref="Q5115" r:id="rId608" display="http://crimeblog.dallasnews.com/2013/03/dallas-police-officer-fatally-shoots-suspect-after-major-disturbance-at-apartment-complex.html/"/>
    <hyperlink ref="Q5117" r:id="rId609" display="http://www.dnainfo.com/new-york/20130310/east-flatbush/police-fatally-shoot-allegedly-armed-teenager-brooklyn"/>
    <hyperlink ref="Q5124" r:id="rId610" display="http://articles.sun-sentinel.com/2013-03-12/news/fl-boca-officer-involved-named-20130311_1_boca-raton-police-police-officers-facebook-profile"/>
    <hyperlink ref="Q5152" r:id="rId611" display="http://www.myfoxhouston.com/story/21431932/suspected-purse-snatcher-shot-by-houston-police-officer"/>
    <hyperlink ref="Q5177" r:id="rId612" display="http://www.phillyburbs.com/news/crime/da-warminster-officer-accidentally-shot-year-old-during-standoff/article_2e02c0de-13d0-54ef-88d7-e00c66713ba5.html"/>
    <hyperlink ref="Q5189" r:id="rId613" display="http://www.chron.com/news/houston-texas/houston/article/HPD-kills-person-at-westside-complex-4276703.php"/>
    <hyperlink ref="Q5208" r:id="rId614" display="http://www.wrdw.com/home/headlines/Deputies-respond-to-reports-of-a-shooting-at-Fox-Trace-189340421.html"/>
    <hyperlink ref="Q5217" r:id="rId615" display="http://jacksonville.com/news/crime/2014-09-06/story/lawsuit-pits-family-against-jacksonville-police-over-fatal-police"/>
    <hyperlink ref="Q5245" r:id="rId616" display="http://wreg.com/2013/01/18/man-shot-killed-by-memphis-police/"/>
    <hyperlink ref="E5277" r:id="rId617" display="http://www.baynews9.com/content/dam/news/images/2012/12/Suspect-killed-110.jpg"/>
    <hyperlink ref="Q5277" r:id="rId618" display="http://www.baynews9.com/content/news/baynews9/news/article.html/content/news/articles/bn9/2013/1/10/with_deputy_in_fight.html"/>
    <hyperlink ref="Q5297" r:id="rId619" display="http://miami.cbslocal.com/2013/01/07/family-of-man-killed-in-police-involved-shooting-demands-answers/"/>
    <hyperlink ref="E5301" r:id="rId620" display="http://www.trbimg.com/img-50e7a90e/turbine/peter-jourdan-of-allentown.jpg-20130104/600"/>
    <hyperlink ref="E5308" r:id="rId621" display="http://www.tricitytribuneusa.com/wp-content/uploads/Chavez_Mug0642-300x300.jpg"/>
    <hyperlink ref="Q1999" r:id="rId622"/>
    <hyperlink ref="A1998" r:id="rId623"/>
    <hyperlink ref="A2003" r:id="rId624"/>
    <hyperlink ref="Q2003" r:id="rId625"/>
    <hyperlink ref="A2007" r:id="rId626"/>
    <hyperlink ref="Q2007" r:id="rId627"/>
    <hyperlink ref="A2004" r:id="rId628"/>
    <hyperlink ref="A2009" r:id="rId629"/>
    <hyperlink ref="A2012" r:id="rId630"/>
    <hyperlink ref="Q2012" r:id="rId631"/>
    <hyperlink ref="A2013" r:id="rId632"/>
    <hyperlink ref="A2020" r:id="rId633"/>
    <hyperlink ref="Q2020" r:id="rId634"/>
    <hyperlink ref="A2014" r:id="rId635"/>
    <hyperlink ref="Q2014" r:id="rId636"/>
    <hyperlink ref="Q2021" r:id="rId637"/>
    <hyperlink ref="A2028" r:id="rId638"/>
    <hyperlink ref="Q2030" r:id="rId639"/>
    <hyperlink ref="A2029" r:id="rId640"/>
    <hyperlink ref="A2027" r:id="rId641"/>
    <hyperlink ref="A2036" r:id="rId642"/>
    <hyperlink ref="Q2036" r:id="rId643"/>
    <hyperlink ref="A2032" r:id="rId644"/>
    <hyperlink ref="A2033" r:id="rId645"/>
    <hyperlink ref="A2035" r:id="rId646"/>
    <hyperlink ref="Q2035" r:id="rId647"/>
    <hyperlink ref="A2034" r:id="rId648"/>
    <hyperlink ref="A2041" r:id="rId649"/>
    <hyperlink ref="A2039" r:id="rId650"/>
    <hyperlink ref="A2040" r:id="rId651"/>
    <hyperlink ref="Q2040" r:id="rId652"/>
    <hyperlink ref="A2043" r:id="rId653"/>
    <hyperlink ref="Q2048" r:id="rId654"/>
    <hyperlink ref="Q2049" r:id="rId655"/>
    <hyperlink ref="Q2050" r:id="rId656"/>
    <hyperlink ref="A2059" r:id="rId657"/>
    <hyperlink ref="Q2059" r:id="rId658"/>
    <hyperlink ref="A2055" r:id="rId659"/>
    <hyperlink ref="A2054" r:id="rId660"/>
    <hyperlink ref="A2053" r:id="rId661"/>
    <hyperlink ref="A2062" r:id="rId662"/>
    <hyperlink ref="A2066" r:id="rId663"/>
    <hyperlink ref="Q2071" r:id="rId664"/>
    <hyperlink ref="A2075" r:id="rId665"/>
    <hyperlink ref="A2074" r:id="rId666"/>
    <hyperlink ref="A2076" r:id="rId667"/>
    <hyperlink ref="A2083" r:id="rId668"/>
    <hyperlink ref="A1993" r:id="rId669"/>
    <hyperlink ref="A2069" r:id="rId670"/>
    <hyperlink ref="A2056" r:id="rId671" display="Linda Lee Lush, 50"/>
    <hyperlink ref="A1907" r:id="rId672" display="Zachary Grigsby, 29"/>
    <hyperlink ref="A1906" r:id="rId673" display="Lionel Kerns, 53"/>
    <hyperlink ref="A1908" r:id="rId674" display="Justin D. McHenry, 22"/>
    <hyperlink ref="A1905" r:id="rId675" display="Hugo Fernando Celio, 23"/>
    <hyperlink ref="A1914" r:id="rId676" display="Magnum Edgar Phillips, 23"/>
    <hyperlink ref="A1913" r:id="rId677" display="Somer Brook Speer, 37"/>
    <hyperlink ref="A1918" r:id="rId678" display="Michael Gerald Ray Kirvelay, 45"/>
    <hyperlink ref="A1916" r:id="rId679" display="Thomas Joseph McEniry, 32"/>
    <hyperlink ref="A1920" r:id="rId680" display="Barry Kirk, 50"/>
    <hyperlink ref="A1919" r:id="rId681" display="Henry Reyna, 49"/>
    <hyperlink ref="A1921" r:id="rId682" display="Mathew Grows, 45"/>
    <hyperlink ref="A1924" r:id="rId683" display="Christopher Lynn Nichols, 24"/>
    <hyperlink ref="A1922" r:id="rId684" display="James Daniel Hall, 46"/>
    <hyperlink ref="A1928" r:id="rId685" display="Chase Alan Sherman, 32"/>
    <hyperlink ref="A1926" r:id="rId686" display="William Tarrant, 39"/>
    <hyperlink ref="A1940" r:id="rId687" display="Francis Hartnett, 47"/>
    <hyperlink ref="A1964" r:id="rId688" display="Andrew Blake, 22"/>
    <hyperlink ref="A1944" r:id="rId689" display="Brett Kelby Noblitt, 25"/>
    <hyperlink ref="A1947" r:id="rId690" display="John Livingston, 33"/>
    <hyperlink ref="A1953" r:id="rId691" display="Ernesto Gamino, 25"/>
    <hyperlink ref="A1951" r:id="rId692" display="Matthew Eric Coleman, 25"/>
    <hyperlink ref="A1955" r:id="rId693" display="Moises Nerio, 42"/>
    <hyperlink ref="A1959" r:id="rId694" display="Brian H. Gavin Sr., 57"/>
    <hyperlink ref="A1958" r:id="rId695" display="Javier Lopez Garcia, 25"/>
    <hyperlink ref="A1960" r:id="rId696" display="Joseph Jaramillo, 31"/>
    <hyperlink ref="A1963" r:id="rId697" display="Jason Leanard Mesaros, 36"/>
    <hyperlink ref="A1962" r:id="rId698" display="Eddie Gabriel Sanchez Jr., 34"/>
    <hyperlink ref="A1969" r:id="rId699" display="Leonel Acevedo, 45"/>
    <hyperlink ref="A1971" r:id="rId700" display="Dale Maverick Hudson, 26"/>
    <hyperlink ref="A1975" r:id="rId701" display="Kim Lee Long, 48"/>
    <hyperlink ref="A1970" r:id="rId702" display="Miguel Cano, 34"/>
    <hyperlink ref="A1968" r:id="rId703" display="Cesar Cuellar Jr., 25"/>
    <hyperlink ref="A1976" r:id="rId704" display="James Francis Smyth, 55"/>
    <hyperlink ref="A1973" r:id="rId705" display="Michael Gregory Johnson, 51"/>
    <hyperlink ref="A1980" r:id="rId706" display="David Michael Romanoski, 48"/>
    <hyperlink ref="A1977" r:id="rId707" display="James Wayne Bigley, 20"/>
    <hyperlink ref="A1984" r:id="rId708" display="Timothy Gene Smith, 47"/>
    <hyperlink ref="A1982" r:id="rId709" display="Faisal Mohammad, 18"/>
    <hyperlink ref="A1983" r:id="rId710" display="Joseph M. Tyndall, 30"/>
    <hyperlink ref="A1985" r:id="rId711" display="Jeremy David Mardis, 6"/>
    <hyperlink ref="A1990" r:id="rId712" display="Jack Yantis, 62"/>
    <hyperlink ref="A1991" r:id="rId713" display="Luverne Roy Christensen, 49"/>
    <hyperlink ref="A1989" r:id="rId714" display="Killian O’Quinn, 20"/>
    <hyperlink ref="Q1902" r:id="rId715"/>
    <hyperlink ref="Q1907" r:id="rId716"/>
    <hyperlink ref="Q1904" r:id="rId717"/>
    <hyperlink ref="Q1906" r:id="rId718"/>
    <hyperlink ref="Q1908" r:id="rId719"/>
    <hyperlink ref="Q1905" r:id="rId720"/>
    <hyperlink ref="Q1909" r:id="rId721"/>
    <hyperlink ref="Q1910" r:id="rId722"/>
    <hyperlink ref="Q1914" r:id="rId723"/>
    <hyperlink ref="Q1913" r:id="rId724"/>
    <hyperlink ref="Q1912" r:id="rId725"/>
    <hyperlink ref="Q1918" r:id="rId726"/>
    <hyperlink ref="Q1916" r:id="rId727"/>
    <hyperlink ref="Q1920" r:id="rId728"/>
    <hyperlink ref="Q1919" r:id="rId729"/>
    <hyperlink ref="Q1923" r:id="rId730"/>
    <hyperlink ref="Q1921" r:id="rId731"/>
    <hyperlink ref="Q1924" r:id="rId732"/>
    <hyperlink ref="Q1922" r:id="rId733"/>
    <hyperlink ref="Q1928" r:id="rId734"/>
    <hyperlink ref="Q1927" r:id="rId735"/>
    <hyperlink ref="Q1926" r:id="rId736"/>
    <hyperlink ref="Q1940" r:id="rId737"/>
    <hyperlink ref="Q1941" r:id="rId738"/>
    <hyperlink ref="Q1942" r:id="rId739"/>
    <hyperlink ref="Q1964" r:id="rId740"/>
    <hyperlink ref="Q1944" r:id="rId741"/>
    <hyperlink ref="Q1947" r:id="rId742"/>
    <hyperlink ref="Q1950" r:id="rId743"/>
    <hyperlink ref="Q1952" r:id="rId744"/>
    <hyperlink ref="Q1953" r:id="rId745"/>
    <hyperlink ref="Q1951" r:id="rId746"/>
    <hyperlink ref="Q1955" r:id="rId747"/>
    <hyperlink ref="Q1959" r:id="rId748"/>
    <hyperlink ref="Q1958" r:id="rId749"/>
    <hyperlink ref="Q1960" r:id="rId750"/>
    <hyperlink ref="Q1963" r:id="rId751"/>
    <hyperlink ref="Q1962" r:id="rId752"/>
    <hyperlink ref="Q1969" r:id="rId753"/>
    <hyperlink ref="Q1971" r:id="rId754"/>
    <hyperlink ref="Q1975" r:id="rId755"/>
    <hyperlink ref="Q1970" r:id="rId756"/>
    <hyperlink ref="Q1968" r:id="rId757"/>
    <hyperlink ref="Q1974" r:id="rId758"/>
    <hyperlink ref="Q1976" r:id="rId759"/>
    <hyperlink ref="Q1973" r:id="rId760"/>
    <hyperlink ref="Q1979" r:id="rId761"/>
    <hyperlink ref="Q1978" r:id="rId762"/>
    <hyperlink ref="Q1980" r:id="rId763"/>
    <hyperlink ref="Q1977" r:id="rId764"/>
    <hyperlink ref="Q1984" r:id="rId765"/>
    <hyperlink ref="Q1982" r:id="rId766"/>
    <hyperlink ref="Q1983" r:id="rId767"/>
    <hyperlink ref="Q1985" r:id="rId768"/>
    <hyperlink ref="Q1990" r:id="rId769"/>
    <hyperlink ref="Q1991" r:id="rId770"/>
    <hyperlink ref="Q1989" r:id="rId771"/>
    <hyperlink ref="Q2404" r:id="rId772" display="http://www.vnews.com/news/newsletter/17857473-95/haverhill-officers-unnamed-nh-ag-wont-give-any-shooting-details"/>
    <hyperlink ref="Q2322" r:id="rId773" display="http://www.wxii12.com/news/stabbing-standoff-reported-in-stokes-co/34345684"/>
    <hyperlink ref="Q2397" r:id="rId774" display="http://www.kctv5.com/story/29494552/armed-carjacking-suspect-dead-in-police-shooting"/>
    <hyperlink ref="Q2328" r:id="rId775" display="http://www.startribune.com/officer-involved-shooting-at-plymouth-arby-s-leaves-one-man-dead/318383701/"/>
    <hyperlink ref="Q2366" r:id="rId776" display="http://www.redding.com/homepage-showcase/matthew-graham-killed-in-dunsmuir-shootout-with-officers_38935482"/>
    <hyperlink ref="Q2416" r:id="rId777" display="http://abc7.com/news/suspect-holding-knife-killed-in-west-covina-officer-involved-shooting/828284/"/>
    <hyperlink ref="Q2422" r:id="rId778" display="http://www.nbcsandiego.com/news/local/Man-with-Knife-Shot-Killed-by-San-Diego-Police-Officer-Identified-311679131.html"/>
    <hyperlink ref="Q2348" r:id="rId779" display="http://www.ksdk.com/story/news/nation/2015/07/20/man-hogtied-police-death/30433375/"/>
    <hyperlink ref="Q2418" r:id="rId780" display="http://abc7.com/news/man-dies-of-heart-attack-while-in-montclair-police-custody/826399/"/>
    <hyperlink ref="Q2362" r:id="rId781" display="http://www.mlive.com/news/grand-rapids/index.ssf/2015/07/no_reason_to_shoot_him_step-da.html"/>
    <hyperlink ref="Q2369" r:id="rId782" display="https://www.bostonglobe.com/metro/2015/07/14/roxbury-man-identified-person-fatally-shot-lynn-police-officer-during-drug-investigation/HluhRMJJeFBqMqtUt3gNWP/story.html"/>
    <hyperlink ref="Q2368" r:id="rId783"/>
    <hyperlink ref="E2225" r:id="rId784"/>
    <hyperlink ref="E2286" r:id="rId785"/>
    <hyperlink ref="E2296" r:id="rId786"/>
    <hyperlink ref="E2294" r:id="rId787"/>
    <hyperlink ref="E2293" r:id="rId788"/>
    <hyperlink ref="E2295" r:id="rId789"/>
    <hyperlink ref="E2271" r:id="rId790"/>
    <hyperlink ref="E2272" r:id="rId791"/>
    <hyperlink ref="E2267" r:id="rId792"/>
    <hyperlink ref="E2264" r:id="rId793"/>
    <hyperlink ref="E2263" r:id="rId794"/>
    <hyperlink ref="E2261" r:id="rId795"/>
    <hyperlink ref="E2254" r:id="rId796"/>
    <hyperlink ref="E2247" r:id="rId797"/>
    <hyperlink ref="E2250" r:id="rId798"/>
    <hyperlink ref="E2245" r:id="rId799"/>
    <hyperlink ref="E2246" r:id="rId800"/>
    <hyperlink ref="E2240" r:id="rId801"/>
    <hyperlink ref="E2229" r:id="rId802"/>
    <hyperlink ref="E2221" r:id="rId803"/>
    <hyperlink ref="E2224" r:id="rId804"/>
    <hyperlink ref="E2285" r:id="rId805"/>
    <hyperlink ref="E2288" r:id="rId806"/>
    <hyperlink ref="E2283" r:id="rId807"/>
    <hyperlink ref="E2278" r:id="rId808"/>
    <hyperlink ref="E2279" r:id="rId809"/>
    <hyperlink ref="E2196" r:id="rId810"/>
    <hyperlink ref="E2195" r:id="rId811"/>
    <hyperlink ref="E2204" r:id="rId812"/>
    <hyperlink ref="E2200" r:id="rId813"/>
    <hyperlink ref="E2203" r:id="rId814"/>
    <hyperlink ref="E2212" r:id="rId815"/>
    <hyperlink ref="E2213" r:id="rId816"/>
    <hyperlink ref="E2214" r:id="rId817"/>
    <hyperlink ref="E2217" r:id="rId818"/>
    <hyperlink ref="E2222" r:id="rId819"/>
    <hyperlink ref="E2226" r:id="rId820"/>
    <hyperlink ref="E2231" r:id="rId821"/>
    <hyperlink ref="E2235" r:id="rId822"/>
    <hyperlink ref="E2243" r:id="rId823"/>
    <hyperlink ref="Q2297" r:id="rId824"/>
    <hyperlink ref="Q2268" r:id="rId825"/>
    <hyperlink ref="Q2225" r:id="rId826"/>
    <hyperlink ref="Q2296" r:id="rId827"/>
    <hyperlink ref="Q2294" r:id="rId828"/>
    <hyperlink ref="Q2277" r:id="rId829"/>
    <hyperlink ref="Q2276" r:id="rId830"/>
    <hyperlink ref="Q2271" r:id="rId831"/>
    <hyperlink ref="Q2272" r:id="rId832"/>
    <hyperlink ref="Q2270" r:id="rId833"/>
    <hyperlink ref="Q2259" r:id="rId834"/>
    <hyperlink ref="Q2265" r:id="rId835"/>
    <hyperlink ref="Q2267" r:id="rId836"/>
    <hyperlink ref="Q2264" r:id="rId837"/>
    <hyperlink ref="Q2262" r:id="rId838"/>
    <hyperlink ref="Q2263" r:id="rId839"/>
    <hyperlink ref="Q2261" r:id="rId840"/>
    <hyperlink ref="Q2260" r:id="rId841" location=".VgXutctVikp"/>
    <hyperlink ref="Q2254" r:id="rId842"/>
    <hyperlink ref="Q2253" r:id="rId843"/>
    <hyperlink ref="Q2247" r:id="rId844"/>
    <hyperlink ref="Q2251" r:id="rId845"/>
    <hyperlink ref="Q2249" r:id="rId846"/>
    <hyperlink ref="Q2250" r:id="rId847"/>
    <hyperlink ref="Q2245" r:id="rId848"/>
    <hyperlink ref="Q2246" r:id="rId849"/>
    <hyperlink ref="Q2241" r:id="rId850"/>
    <hyperlink ref="Q2240" r:id="rId851"/>
    <hyperlink ref="Q2229" r:id="rId852"/>
    <hyperlink ref="Q2220" r:id="rId853"/>
    <hyperlink ref="Q2221" r:id="rId854"/>
    <hyperlink ref="Q2223" r:id="rId855"/>
    <hyperlink ref="Q2224" r:id="rId856"/>
    <hyperlink ref="Q2285" r:id="rId857"/>
    <hyperlink ref="Q2288" r:id="rId858"/>
    <hyperlink ref="Q2283" r:id="rId859"/>
    <hyperlink ref="Q2278" r:id="rId860"/>
    <hyperlink ref="Q2279" r:id="rId861"/>
    <hyperlink ref="Q2196" r:id="rId862"/>
    <hyperlink ref="Q2195" r:id="rId863"/>
    <hyperlink ref="Q2197" r:id="rId864"/>
    <hyperlink ref="Q2198" r:id="rId865"/>
    <hyperlink ref="Q2204" r:id="rId866"/>
    <hyperlink ref="Q2207" r:id="rId867"/>
    <hyperlink ref="Q2200" r:id="rId868"/>
    <hyperlink ref="Q2203" r:id="rId869"/>
    <hyperlink ref="Q2210" r:id="rId870"/>
    <hyperlink ref="Q2212" r:id="rId871"/>
    <hyperlink ref="Q2213" r:id="rId872"/>
    <hyperlink ref="Q2214" r:id="rId873"/>
    <hyperlink ref="Q2216" r:id="rId874"/>
    <hyperlink ref="Q2217" r:id="rId875"/>
    <hyperlink ref="Q2218" r:id="rId876"/>
    <hyperlink ref="Q2219" r:id="rId877"/>
    <hyperlink ref="Q2222" r:id="rId878"/>
    <hyperlink ref="Q2227" r:id="rId879"/>
    <hyperlink ref="Q2226" r:id="rId880"/>
    <hyperlink ref="Q2231" r:id="rId881"/>
    <hyperlink ref="Q2232" r:id="rId882"/>
    <hyperlink ref="Q2233" r:id="rId883"/>
    <hyperlink ref="Q2237" r:id="rId884"/>
    <hyperlink ref="Q2235" r:id="rId885"/>
    <hyperlink ref="Q2236" r:id="rId886"/>
    <hyperlink ref="Q2243" r:id="rId887"/>
    <hyperlink ref="Q2201" r:id="rId888"/>
    <hyperlink ref="Q2097" r:id="rId889"/>
    <hyperlink ref="Q2100" r:id="rId890"/>
    <hyperlink ref="Q2101" r:id="rId891"/>
    <hyperlink ref="Q2099" r:id="rId892"/>
    <hyperlink ref="Q2103" r:id="rId893" location=".ViQiFitENIr"/>
    <hyperlink ref="Q2108" r:id="rId894"/>
    <hyperlink ref="Q2154" r:id="rId895"/>
    <hyperlink ref="Q2156" r:id="rId896"/>
    <hyperlink ref="Q2160" r:id="rId897"/>
    <hyperlink ref="Q2159" r:id="rId898"/>
    <hyperlink ref="Q2161" r:id="rId899"/>
    <hyperlink ref="Q2165" r:id="rId900"/>
    <hyperlink ref="Q2164" r:id="rId901"/>
    <hyperlink ref="Q2163" r:id="rId902"/>
    <hyperlink ref="Q2168" r:id="rId903"/>
    <hyperlink ref="Q2167" r:id="rId904"/>
    <hyperlink ref="Q2170" r:id="rId905"/>
    <hyperlink ref="Q2173" r:id="rId906"/>
    <hyperlink ref="Q2172" r:id="rId907"/>
    <hyperlink ref="Q2176" r:id="rId908"/>
    <hyperlink ref="Q2175" r:id="rId909"/>
    <hyperlink ref="Q2178" r:id="rId910"/>
    <hyperlink ref="Q2187" r:id="rId911"/>
    <hyperlink ref="Q2185" r:id="rId912"/>
    <hyperlink ref="Q2183" r:id="rId913"/>
    <hyperlink ref="Q2184" r:id="rId914"/>
    <hyperlink ref="Q2186" r:id="rId915"/>
    <hyperlink ref="Q2189" r:id="rId916"/>
    <hyperlink ref="Q2188" r:id="rId917"/>
    <hyperlink ref="Q2193" r:id="rId918"/>
    <hyperlink ref="Q2192" r:id="rId919"/>
    <hyperlink ref="Q2107" r:id="rId920"/>
    <hyperlink ref="Q2095" r:id="rId921"/>
    <hyperlink ref="Q2094" r:id="rId922"/>
    <hyperlink ref="Q2083" r:id="rId923"/>
    <hyperlink ref="Q2133" r:id="rId924"/>
    <hyperlink ref="Q2155" r:id="rId925"/>
    <hyperlink ref="Q2134" r:id="rId926"/>
    <hyperlink ref="Q2174" r:id="rId927"/>
    <hyperlink ref="Q2141" r:id="rId928"/>
    <hyperlink ref="Q2132" r:id="rId929"/>
    <hyperlink ref="Q2126" r:id="rId930"/>
    <hyperlink ref="Q2120" r:id="rId931"/>
    <hyperlink ref="Q2128" r:id="rId932"/>
    <hyperlink ref="Q2135" r:id="rId933"/>
    <hyperlink ref="Q2129" r:id="rId934"/>
    <hyperlink ref="Q2122" r:id="rId935"/>
    <hyperlink ref="Q2116" r:id="rId936"/>
    <hyperlink ref="Q2117" r:id="rId937"/>
    <hyperlink ref="Q2138" r:id="rId938"/>
    <hyperlink ref="Q2137" r:id="rId939"/>
    <hyperlink ref="Q2130" r:id="rId940"/>
    <hyperlink ref="Q2136" r:id="rId941"/>
    <hyperlink ref="Q2110" r:id="rId942"/>
    <hyperlink ref="Q2113" r:id="rId943"/>
    <hyperlink ref="Q2139" r:id="rId944"/>
    <hyperlink ref="Q2127" r:id="rId945"/>
    <hyperlink ref="Q2125" r:id="rId946"/>
    <hyperlink ref="Q2123" r:id="rId947"/>
    <hyperlink ref="Q2182" r:id="rId948"/>
    <hyperlink ref="Q2124" r:id="rId949"/>
    <hyperlink ref="Q2157" r:id="rId950"/>
    <hyperlink ref="Q2162" r:id="rId951"/>
    <hyperlink ref="Q2080" r:id="rId952"/>
    <hyperlink ref="Q2090" r:id="rId953"/>
    <hyperlink ref="Q2088" r:id="rId954"/>
    <hyperlink ref="Q2086" r:id="rId955"/>
    <hyperlink ref="Q2089" r:id="rId956"/>
    <hyperlink ref="Q2081" r:id="rId957"/>
    <hyperlink ref="Q2079" r:id="rId958"/>
    <hyperlink ref="Q2077" r:id="rId959"/>
    <hyperlink ref="Q2072" r:id="rId960"/>
    <hyperlink ref="Q2073" r:id="rId961"/>
    <hyperlink ref="Q2067" r:id="rId962"/>
    <hyperlink ref="Q2085" r:id="rId963"/>
    <hyperlink ref="Q2055" r:id="rId964"/>
    <hyperlink ref="Q2082" r:id="rId965"/>
    <hyperlink ref="Q2076" r:id="rId966"/>
    <hyperlink ref="Q2070" r:id="rId967"/>
    <hyperlink ref="Q2074" r:id="rId968"/>
    <hyperlink ref="Q2075" r:id="rId969"/>
    <hyperlink ref="Q2069" r:id="rId970"/>
    <hyperlink ref="Q2066" r:id="rId971"/>
    <hyperlink ref="Q2062" r:id="rId972"/>
    <hyperlink ref="Q2053" r:id="rId973"/>
    <hyperlink ref="Q2056" r:id="rId974"/>
    <hyperlink ref="Q2063" r:id="rId975"/>
    <hyperlink ref="Q2061" r:id="rId976"/>
    <hyperlink ref="Q2052" r:id="rId977"/>
    <hyperlink ref="Q2054" r:id="rId978" location="incart_m-rpt-1"/>
    <hyperlink ref="Q2078" r:id="rId979"/>
    <hyperlink ref="Q2046" r:id="rId980"/>
    <hyperlink ref="Q2043" r:id="rId981"/>
    <hyperlink ref="Q2039" r:id="rId982"/>
    <hyperlink ref="Q2033" r:id="rId983"/>
    <hyperlink ref="Q2032" r:id="rId984"/>
    <hyperlink ref="Q2034" r:id="rId985"/>
    <hyperlink ref="Q2027" r:id="rId986"/>
    <hyperlink ref="Q2029" r:id="rId987"/>
    <hyperlink ref="Q2028" r:id="rId988"/>
    <hyperlink ref="Q2026" r:id="rId989"/>
    <hyperlink ref="Q2016" r:id="rId990"/>
    <hyperlink ref="Q2017" r:id="rId991"/>
    <hyperlink ref="Q2009" r:id="rId992"/>
    <hyperlink ref="Q2004" r:id="rId993"/>
    <hyperlink ref="Q2001" r:id="rId994"/>
    <hyperlink ref="Q1998" r:id="rId995"/>
    <hyperlink ref="Q1997" r:id="rId996"/>
    <hyperlink ref="Q1993" r:id="rId997"/>
    <hyperlink ref="Q2002" r:id="rId998"/>
    <hyperlink ref="Q2013" r:id="rId999"/>
    <hyperlink ref="E2211" r:id="rId1000"/>
    <hyperlink ref="Q2211" r:id="rId1001"/>
    <hyperlink ref="E2230" r:id="rId1002" display="http://www.killedbypolice.net/victims/150755.jpg"/>
    <hyperlink ref="Q2230" r:id="rId1003" display="https://djournal.com/news/man-dies-after-police-chase-2/"/>
    <hyperlink ref="E2093" r:id="rId1004"/>
    <hyperlink ref="Q2093" r:id="rId1005" display="http://www.kristv.com/story/30147782/texas-rangers-investigating-aransas-co-death"/>
    <hyperlink ref="Q2098" r:id="rId1006" display="http://www.mercurynews.com/crime-courts/ci_28894656/san-jose-latest-inmate-jail-death-sparks-internal"/>
    <hyperlink ref="Q2109" r:id="rId1007" display="http://www.fresnobee.com/news/local/crime/article37140321.html"/>
    <hyperlink ref="Q2121" r:id="rId1008" display="http://www.redding.com/news/local-news/happy-valley-road-closing-in-search-for-armed-suspect"/>
    <hyperlink ref="A2064" r:id="rId1009"/>
    <hyperlink ref="Q2064" r:id="rId1010"/>
    <hyperlink ref="E1857" r:id="rId1011"/>
    <hyperlink ref="Q1857" r:id="rId1012"/>
    <hyperlink ref="E1809" r:id="rId1013"/>
    <hyperlink ref="E1893" r:id="rId1014"/>
    <hyperlink ref="Q1893" r:id="rId1015"/>
    <hyperlink ref="Q1901" r:id="rId1016"/>
    <hyperlink ref="E2084" r:id="rId1017"/>
    <hyperlink ref="Q2149" r:id="rId1018" display="http://ksn.com/2015/09/14/inmate-death-reported-at-hutchinson-correctional-facility/"/>
    <hyperlink ref="Q2148" r:id="rId1019" display="http://wncn.com/2015/09/14/man-dies-while-in-custody-of-raleigh-police-investigation-underway/"/>
    <hyperlink ref="Q2147" r:id="rId1020" display="http://www.courier-journal.com/story/news/local/2015/09/14/ky-trooper-shot-western-kentucky-after-chase/72241764/"/>
    <hyperlink ref="Q2316" r:id="rId1021" display="http://www.ksla.com/story/29634844/spd-officers-involved-in-shooting-while-responding-to-hostage-situation"/>
    <hyperlink ref="Q2319" r:id="rId1022" display="http://www.miamiherald.com/news/local/crime/article28915918.html"/>
    <hyperlink ref="Q2318" r:id="rId1023" display="http://www.reviewjournal.com/news/las-vegas/metro-officer-wounded-suspect-shot-death"/>
    <hyperlink ref="E2334" r:id="rId1024" display="http://ksla.images.worldnow.com/images/8474631_G.jpg"/>
    <hyperlink ref="Q2331" r:id="rId1025" display="http://www.koco.com/news/okc-police-investigating-officerinvolved-shooting-on-northeast-side/34302646"/>
    <hyperlink ref="Q2330" r:id="rId1026" display="http://philadelphia.cbslocal.com/2014/09/16/police-id-suspect-in-shooting-death-of-pregnant-woman-unborn-child/"/>
    <hyperlink ref="E2341" r:id="rId1027" display="http://www.killedbypolice.net/victims/150637.jpg"/>
    <hyperlink ref="Q2344" r:id="rId1028" display="http://www.cincinnati.com/story/news/2015/07/29/publish/30830777/"/>
    <hyperlink ref="Q2351" r:id="rId1029" display="http://www.orlandosentinel.com/news/breaking-news/os-orlando-police-suspect-shooting-20150717-story.html"/>
    <hyperlink ref="Q2350" r:id="rId1030" display="http://www.wmcactionnews5.com/story/29578116/man-dead-after-struggle-with-mpd-officer"/>
    <hyperlink ref="Q2355" r:id="rId1031" display="http://www.miamiherald.com/news/local/crime/article27524482.html"/>
    <hyperlink ref="Q2363" r:id="rId1032" display="http://www.clickorlando.com/news/1-dead-in-deputyinvolved-shooting-in-lake-county/34153664"/>
    <hyperlink ref="Q2371" r:id="rId1033" location=".Vao7U4FnKBE.twitter" display="http://www.brownsvilleherald.com/news/local/article_d17faf7e-2cfe-11e5-b74c-2b2b278cba62.html - .Vao7U4FnKBE.twitter"/>
    <hyperlink ref="E2372" r:id="rId1034" display="http://www.trbimg.com/img-55a686d0/turbine/fl-plantation-cop-homeless-shooting-id-2015071-001/304/304x171"/>
    <hyperlink ref="Q2372" r:id="rId1035" display="http://www.sun-sentinel.com/local/broward/fl-plantation-cop-homeless-shooting-id-20150715-story.html"/>
    <hyperlink ref="Q2377" r:id="rId1036" display="http://www.11alive.com/story/news/local/lawrenceville/2015/07/14/family-questions-procedures-in-gwinnett-police-taser-death/30160171/"/>
    <hyperlink ref="Q2381" r:id="rId1037" display="http://www.al.com/news/tuscaloosa/index.ssf/2015/07/tuscaloosa_police_release_more.html"/>
    <hyperlink ref="Q2379" r:id="rId1038" display="http://www.ajc.com/news/news/crime-law/man-dies-after-being-shot-by-newton-deputies/nmxjG/"/>
    <hyperlink ref="Q2383" r:id="rId1039" display="http://chicago.suntimes.com/crime/7/71/759984/chicago-police-involved-grand-crossing-shooting"/>
    <hyperlink ref="E2390" r:id="rId1040" display="http://www.gannett-cdn.com/-mm-/444b6b00164f56950327b2368f293f2ce83db955/c=0-295-1304-1032&amp;r=x633&amp;c=1200x630/local/-/media/2015/07/10/JacksonMS/JacksonMS/635721442175293352-IMG-0825.JPG.jpg"/>
    <hyperlink ref="Q2392" r:id="rId1041" display="http://www.chron.com/news/houston-texas/houston/article/New-details-emerge-in-HPD-shooting-and-chase-6373997.php"/>
    <hyperlink ref="Q2398" r:id="rId1042" display="http://www.pressofatlanticcity.com/eedition/news/grand-jury-may-decide-fate-of-cop/article_d75e1ab1-8f1e-5086-b543-3243f95fc088.html"/>
    <hyperlink ref="Q2401" r:id="rId1043" display="http://homicide.latimes.com/post/jason-m-hendley/"/>
    <hyperlink ref="Q2415" r:id="rId1044" display="http://www.miamiherald.com/news/local/community/miami-dade/little-havana/article26604022.html"/>
    <hyperlink ref="E2411" r:id="rId1045" display="http://kwtv.images.worldnow.com/images/8241047_G.jpg"/>
    <hyperlink ref="E2412" r:id="rId1046" display="http://i.guim.co.uk/img/media/6b8d2e8197fcd13bf1efa55dde76f7af6401fdfb/0_188_600_360/master/600.jpg?w=620&amp;q=85&amp;auto=format&amp;sharp=10&amp;s=cd2d313d4e808218cd2fff1e044bc896"/>
    <hyperlink ref="E2421" r:id="rId1047" display="http://jacksonville.com/sites/default/files/imagecache/premium_415_wide_scale/Suspect_1.jpg"/>
    <hyperlink ref="E2428" r:id="rId1048" display="http://images.bimedia.net/images/150701_Kevin_Lamont_Judson_story_insert.jpg"/>
    <hyperlink ref="Q2428" r:id="rId1049" display="http://www.katu.com/news/local/DA-clears-deputy-in-deadly-McMinnville-shooting-316055961.html"/>
    <hyperlink ref="Q2437" r:id="rId1050" display="http://www.baltimoresun.com/news/maryland/crime/blog/bs-md-baltimore-county-0628-20150627-story.html"/>
    <hyperlink ref="E2438" r:id="rId1051" display="http://www.gannett-cdn.com/-mm-/8334042135d7f679c06190b7cdf533ced74a407e/c=15-0-465-600&amp;r=537&amp;c=0-0-534-712/local/-/media/2015/06/24/WVEC/WVEC/635707581920059394-DamienAlexanderHarrell.jpg"/>
    <hyperlink ref="Q2438" r:id="rId1052" display="http://www.13newsnow.com/story/news/local/peninsulanow/2015/06/24/incident-closes-part-of-ft-eustis-blvd-in-york-co/29204021/"/>
    <hyperlink ref="E2444" r:id="rId1053" display="http://www.post-gazette.com/image/2015/06/23/420x_q90_cMC_z_ca0,37,614,753/HarrisTyrone.jpg"/>
    <hyperlink ref="Q2444" r:id="rId1054" display="http://www.post-gazette.com/local/city/2015/06/22/Shooting-incident-blocks-traffic-on-Route-51-near-Bausman-pittsburgh/stories/201506220143"/>
    <hyperlink ref="Q2452" r:id="rId1055" display="http://www.chicagotribune.com/news/local/breaking/ct-alfontish-cockerham-shot-by-police-20150626-story.html"/>
    <hyperlink ref="Q2450" r:id="rId1056" display="http://theadvocate.com/news/12712188-123/father-at-a-loss-for"/>
    <hyperlink ref="E2451" r:id="rId1057" display="http://ak-cache.legacy.net/legacy/images/cobrands/birmingham/Photos/photo_20150625_AL0069125_0_danteljelks2015_20150625.jpg?v=0x00000000308a6237"/>
    <hyperlink ref="Q2451" r:id="rId1058" display="http://www.tuscaloosanews.com/article/20150622/news/150629934?p=1&amp;tc=pg"/>
    <hyperlink ref="E2454" r:id="rId1059" display="http://www.gannett-cdn.com/-mm-/15e60ce64e0a486e11e80fc1732b57a8401a0831/c=1-0-179-238&amp;r=537&amp;c=0-0-534-712/local/-/media/2015/06/19/Cincinnati/B9317795377Z.1_20150619211539_000_GCBB4NLT3.1-0.jpg"/>
    <hyperlink ref="Q2454" r:id="rId1060" display="http://www.cincinnati.com/story/news/2015/06/19/trepierre-hummons-past/29018599/"/>
    <hyperlink ref="Q2459" r:id="rId1061" display="http://www.wptv.com/news/region-indian-river-county/drug-related-death-investigated-in-indian-river-county"/>
    <hyperlink ref="E2464" r:id="rId1062" display="http://www.kcra.com/image/view/-/33606430/medRes/1/-/maxh/460/maxw/620/-/xldfqjz/-/Kris-Jackson-061615-jpg.jpg"/>
    <hyperlink ref="E2467" r:id="rId1063" display="http://www.gannett-cdn.com/-mm-/4a6db3c9477f4109c4cdeac9a88f4baf6e2f228c/c=0-5-305-412&amp;r=537&amp;c=0-0-534-712/local/-/media/2015/06/15/Louisville/B9317735012Z.1_20150615164435_000_GG6B398IT.1-0.jpg"/>
    <hyperlink ref="Q2467" r:id="rId1064" display="http://www.washingtonpost.com/news/morning-mix/wp/2015/06/14/new-video-shows-kentucky-police-officer-killing-flagpole-wielding-man/"/>
    <hyperlink ref="E2475" r:id="rId1065" display="http://www.trbimg.com/img-557a9e9e/turbine/fl-pompano-beach-fatal-shoot-bso-20150611-003/550/550x309"/>
    <hyperlink ref="Q2475" r:id="rId1066" display="http://www.local10.com/news/bso-investigates-deputyinvolved-shooting-in-pompano-beach/33522974"/>
    <hyperlink ref="E2476" r:id="rId1067" display="http://i.dailymail.co.uk/i/pix/2015/06/12/08/298F3F8200000578-3120464-image-m-3_1434095771297.jpg"/>
    <hyperlink ref="Q2476" r:id="rId1068" display="http://miami.cbslocal.com/2015/06/11/witnesses-police-officer-shoots-homeless-man-five-times-in-miami/"/>
    <hyperlink ref="E2480" r:id="rId1069" display="http://assets.dnainfo.com/generated/photo/2015/06/hampton-isaiah-13a2575-11-1433968556.jpg/extralarge.jpg"/>
    <hyperlink ref="Q2480" r:id="rId1070" display="http://www.nydailynews.com/new-york/bronx/bronx-man-shot-police-responding-domestic-dispute-article-1.2253127"/>
    <hyperlink ref="A2485" r:id="rId1071" display="http://www.killedbypolice.net/victims/150504.jpg"/>
    <hyperlink ref="E2485" r:id="rId1072" display="http://media2.wcpo.com/photo/2015/06/10/16x9/Cincinnati_fatal_officer_involved_shooti_3047750000_19584286_ver1.0_640_480.jpg"/>
    <hyperlink ref="Q2485" r:id="rId1073" display="http://www.cincinnati.com/story/news/crime/2015/06/09/officer-involved-shooting-northside/28778129/"/>
    <hyperlink ref="Q2481" r:id="rId1074" display="http://www.dallasnews.com/news/metro/20150609-man-who-died-after-police-used-stun-gun-identified.ece"/>
    <hyperlink ref="A2493" r:id="rId1075" display="http://www.killedbypolice.net/victims/150490.jpg"/>
    <hyperlink ref="Q2493" r:id="rId1076" display="http://www.sfgate.com/crime/article/Oakland-police-shoot-suspect-near-Lake-Merritt-6311221.php"/>
    <hyperlink ref="Q2498" r:id="rId1077" display="http://www.nbcphiladelphia.com/news/breaking/Rising-Sun-Pizza-Robbery-Shooting-306241121.html"/>
    <hyperlink ref="A2502" r:id="rId1078" display="http://www.killedbypolice.net/victims/150483.jpg"/>
    <hyperlink ref="Q2502" r:id="rId1079" display="http://philadelphia.cbslocal.com/2015/06/04/police-cruiser-hits-kills-man-fleeing-officers-in-chester/"/>
    <hyperlink ref="A2508" r:id="rId1080" display="http://www.killedbypolice.net/victims/150478.jpg"/>
    <hyperlink ref="Q2508" r:id="rId1081" display="http://www.whdh.com/story/29215946/one-dead-after-officer-involved-shooting-in-roslindale"/>
    <hyperlink ref="Q2514" r:id="rId1082" display="http://www.democratandchronicle.com/story/news/2015/05/31/police-holding-press-briefing-tremont-st-incident/28263079/"/>
    <hyperlink ref="Q2518" r:id="rId1083" display="http://newyork.cbslocal.com/2015/05/29/lyndhurst-library-police-shooting/"/>
    <hyperlink ref="Q2525" r:id="rId1084" display="http://www.11alive.com/story/news/local/carrollton/2015/05/28/carrolton-officer-involved-shooting/28130059/"/>
    <hyperlink ref="Q2533" r:id="rId1085" display="http://pix11.com/2015/05/26/police-shoot-man-in-brooklyn-school-parking-lot/"/>
    <hyperlink ref="Q2536" r:id="rId1086" display="http://www.waaytv.com/appnews/huntsville-police-investigate-fatal-officer-involved-shooting/article_ed55e3aa-035d-11e5-86b1-a7abaa619c23.html"/>
    <hyperlink ref="Q2540" r:id="rId1087" display="http://www.freep.com/story/news/local/michigan/detroit/2015/05/23/barricaded-standoff-detroit/27839681/"/>
    <hyperlink ref="Q2545" r:id="rId1088" display="http://www.local10.com/news/markus-clark-dies-at-florida-medical-center-after-arrest/33152392"/>
    <hyperlink ref="Q2542" r:id="rId1089" display="http://www.wsvn.com/story/29128211/man-dead-after-barricading-himself-inside-fort-lauderdale-home"/>
    <hyperlink ref="Q2548" r:id="rId1090" display="http://www.wave3.com/story/29120867/shooting-investigation-in-owensboro"/>
    <hyperlink ref="Q2543" r:id="rId1091" display="http://www.abcnews4.com/story/29122044/police-close-off-downtown-charleston-streets-believe-lt-rogers-shooting-suspect-inside"/>
    <hyperlink ref="Q2549" r:id="rId1092" display="http://www.wowt.com/home/headlines/Police-Officer-Shot-304450711.html?ref=711"/>
    <hyperlink ref="Q2550" r:id="rId1093" display="http://www.wgal.com/news/breaking-news-officer-shot-in-lancaster/33104470"/>
    <hyperlink ref="Q2560" r:id="rId1094" display="http://www.chicagotribune.com/news/local/breaking/ct-officials-robbery-suspect-shot-dead-after-opening-fire-on-cops-20150517-story.html"/>
    <hyperlink ref="Q2566" r:id="rId1095" display="http://www.spokesman.com/stories/2015/may/13/jail-inmate-dies-shortly-after-arrest/"/>
    <hyperlink ref="Q2568" r:id="rId1096" display="http://wtop.com/montgomery-county/2015/05/death-of-man-after-police-tasing-investigated-in-montgomery-county/"/>
    <hyperlink ref="Q2575" r:id="rId1097" display="http://www.nbcwashington.com/news/local/Prince-Georges-County-Sheriffs-Deputy-Involved-in-Fatal-Shooting-303283731.html"/>
    <hyperlink ref="Q2573" r:id="rId1098" display="http://www.wfaa.com/story/news/crime/2015/05/11/fort-worth-police-report-officer-involved-shooting/27141917/"/>
    <hyperlink ref="Q2577" r:id="rId1099" display="http://www.kare11.com/story/news/2015/05/09/694-shut-down-man-dies-in-officer-involved-shooting/27034515/"/>
    <hyperlink ref="Q2578" r:id="rId1100" display="http://www.nola.com/crime/index.ssf/2015/05/officer-involved_shooting_repo.html"/>
    <hyperlink ref="Q2583" r:id="rId1101" display="http://ktla.com/2015/05/07/apparent-deputy-involved-shooting-prompts-emergency-response-in-cerritos/"/>
    <hyperlink ref="Q2588" r:id="rId1102" display="http://abc7.com/news/man-shot-to-death-by-lapd-in-venice-after-disturbing-the-peace-call/699856/"/>
    <hyperlink ref="Q2596" r:id="rId1103" display="http://www.wfaa.com/story/news/local/2015/05/03/garland-curtis-culwell-center-swat/26848435/"/>
    <hyperlink ref="E2608" r:id="rId1104" display="http://mugshots.com/search.html?q=alexia christian&amp;c=119250"/>
    <hyperlink ref="Q2608" r:id="rId1105" display="http://www.ajc.com/news/news/shots-fired-in-downtown-atlanta/nk6jp/"/>
    <hyperlink ref="E2605" r:id="rId1106" display="http://wtvr.com/2015/04/30/greensville-county-sheriff-shooting/"/>
    <hyperlink ref="Q2605" r:id="rId1107" display="http://www.13newsnow.com/story/news/local/virginia/2015/04/30/greensville-co-man-killed-in-officer-involved-shooting/26633591/"/>
    <hyperlink ref="Q2610" r:id="rId1108" display="http://www.wwltv.com/story/news/crime/2015/04/28/nopd-on-scene-of-officer-needing-assistance/26555847/"/>
    <hyperlink ref="Q2613" r:id="rId1109" display="http://america.aljazeera.com/articles/2015/4/29/terrance-kellom-shot-dead-in-detroit-by-ice-agent.html"/>
    <hyperlink ref="E2617" r:id="rId1110" display="http://www.democracynow.org/2015/4/27/headlines/new_york_police_kill_mentally_ill_african_american_man"/>
    <hyperlink ref="Q2617" r:id="rId1111" display="http://www.nydailynews.com/new-york/cops-shoot-man-east-village-altercation-police-article-1.2198797"/>
    <hyperlink ref="Q2620" r:id="rId1112" display="http://www.kktv.com/home/headlines/Deadly-Officer-Involved-Shooting-in-Trinidad-301252451.html"/>
    <hyperlink ref="E2639" r:id="rId1113" display="http://www.midhudsonnews.com/News/2015/April/24/Fishkill_inmate_Harrell-24Apr15.htm"/>
    <hyperlink ref="Q2638" r:id="rId1114" display="http://www.nj.com/middlesex/index.ssf/2015/04/man_killed_by_state_trooper_released_from_state_pr.html"/>
    <hyperlink ref="Q2652" r:id="rId1115" display="http://www.chicagotribune.com/news/local/breaking/chi-man-fatally-shot-by-police-in-south-shore-20150417-story.html"/>
    <hyperlink ref="Q2660" r:id="rId1116" display="http://www.nbcmiami.com/news/local/FDLE-Investigating-Fatal-Police-Involved-Shooting-in-Miami-Dade-300173991.html"/>
    <hyperlink ref="E2661" r:id="rId1117" display="http://www.brownrobinson.com/obituary/4199/Donte_Noble"/>
    <hyperlink ref="Q2661" r:id="rId1118" display="http://www.wyff4.com/news/police-find-man-stabbing-wife-shoot-kill-him/32384112"/>
    <hyperlink ref="Q2668" r:id="rId1119" display="http://www.recordonline.com/article/20150428/OPINION/150429329/101136/OPINION"/>
    <hyperlink ref="Q2666" r:id="rId1120" display="http://www.oregonlive.com/portland/index.ssf/2015/04/se_portland_double_murder_susp.html"/>
    <hyperlink ref="Q2671" r:id="rId1121" display="http://www.indystar.com/story/news/crime/2015/04/12/officer-involved-shooting-reported-indys-eastside/25678213/"/>
    <hyperlink ref="Q2677" r:id="rId1122" display="http://www.jconline.com/story/news/2015/05/01/officers-justified-use-lethal-force/26708803/"/>
    <hyperlink ref="Q2684" r:id="rId1123" display="http://www.wctv.tv/home/headlines/Police-Respond-to-Apparent-Shooting-in-Valdosta-299123481.html"/>
    <hyperlink ref="Q2691" r:id="rId1124" display="http://www.wdsu.com/news/local-news/new-orleans/jpso-officer-involved-in-shooting-in-harvey/32215908"/>
    <hyperlink ref="Q2699" r:id="rId1125" display="http://ktla.com/2015/04/05/armed-man-is-fatally-shot-by-anaheim-police-1-day-after-posting-bail/"/>
    <hyperlink ref="Q2697" r:id="rId1126" display="http://www.huffingtonpost.com/2015/04/29/justus-howell_n_7172814.html"/>
    <hyperlink ref="E2702" r:id="rId1127" display="http://www.killedbypolice.net/victims/150297.jpg"/>
    <hyperlink ref="Q2702" r:id="rId1128" display="http://kwqc.com/2015/04/03/r-i-county-coroner-identifies-man-killed-in-officer-involved-shooting/"/>
    <hyperlink ref="Q2703" r:id="rId1129" display="http://www.timesunion.com/news/article/Taser-victim-Dontay-Ivy-to-be-laid-to-rest-6187858.php"/>
    <hyperlink ref="Q2701" r:id="rId1130" display="http://www.inquisitr.com/2003038/oklahoma-shooting-videos-reveal-eric-courtney-harris-last-moments-alive/"/>
    <hyperlink ref="E2706" r:id="rId1131" display="http://www.killedbypolice.net/victims/150292.jpg"/>
    <hyperlink ref="Q2706" r:id="rId1132" display="http://www.nbclosangeles.com/news/local/Fatal-Shooting-May-Have-Started-Over-Laugh-298532211.html"/>
    <hyperlink ref="A2728" r:id="rId1133" display="http://www.killedbypolice.net/victims/150279.jpg"/>
    <hyperlink ref="Q2728" r:id="rId1134" display="http://www.vcstar.com/news/local-news/oxnard/oxnard-woman-killed-by-police-after-domestic-dispute-call_34372240"/>
    <hyperlink ref="Q2789" r:id="rId1135" display="http://crimeblog.dallasnews.com/2015/03/man-in-arlington-police-custody-hospitazlied.html/"/>
    <hyperlink ref="Q2801" r:id="rId1136" display="http://www.19actionnews.com/story/28380324/one-dead-after-officer-involved-shooting-in-cleveland"/>
    <hyperlink ref="Q2890" r:id="rId1137" display="http://crimeblog.dallasnews.com/2015/02/live-video-dallas-police-on-the-scene-of-officer-involved-shooting-at-bonnie-view-and-i-20.html/"/>
    <hyperlink ref="Q2897" r:id="rId1138" display="http://www.washingtonpost.com/local/crime/woman-dies-after-a-stun-gun-was-used-on-her-in-the-fairfax-county-jail/2015/02/08/14a7f498-4987-4e47-be50-5d31b39825ef_story.html"/>
    <hyperlink ref="E2893" r:id="rId1139" display="http://www.trbimg.com/img-54da5444/turbine/os-joseph-paffen-20150210/243/243x137"/>
    <hyperlink ref="Q2893" r:id="rId1140" display="http://www.orlandosentinel.com/news/breaking-news/os-sovereign-citizen-deputy-shooting-20150210-story.html"/>
    <hyperlink ref="Q2898" r:id="rId1141" display="http://www.wcnc.com/story/news/crime/2015/02/08/gastoina-police-officer-involved-in-deadly-shooting/23075073/"/>
    <hyperlink ref="Q2904" r:id="rId1142" display="http://www.wacotrib.com/news/traffic/officers-shoot-kill-suspected-waco-area-robber-after-high-speed/article_0ad98762-1641-5888-80b2-3797f0b5c9f6.html"/>
    <hyperlink ref="Q2960" r:id="rId1143" display="http://kfor.com/2015/01/17/update-on-off-duty-officer-shooting-at-garth-brooks-concert-in-tulsa/"/>
    <hyperlink ref="Q2984" r:id="rId1144" display="http://www.greenfieldreporter.com/view/story/f769fa01fc134dab9ebc78994015adf8/AR--Fatal-Pharmacy-Robbery"/>
    <hyperlink ref="Q2991" r:id="rId1145" display="http://www.omaha.com/news/crime/autopsy-results-to-be-released-soon-in-case-of-man/article_57e6f9c6-981e-11e4-84ef-dfff4d2c6e13.html"/>
    <hyperlink ref="Q2994" r:id="rId1146" display="http://www.latimes.com/local/lanow/la-me-ln-taser-death-20150107-story.html"/>
    <hyperlink ref="Q1996" r:id="rId1147"/>
    <hyperlink ref="A2000" r:id="rId1148"/>
    <hyperlink ref="A2006" r:id="rId1149"/>
    <hyperlink ref="A2008" r:id="rId1150"/>
    <hyperlink ref="A2005" r:id="rId1151"/>
    <hyperlink ref="A2011" r:id="rId1152"/>
    <hyperlink ref="A2018" r:id="rId1153"/>
    <hyperlink ref="A2015" r:id="rId1154"/>
    <hyperlink ref="A2022" r:id="rId1155"/>
    <hyperlink ref="A2024" r:id="rId1156"/>
    <hyperlink ref="A2025" r:id="rId1157"/>
    <hyperlink ref="A2031" r:id="rId1158"/>
    <hyperlink ref="A2038" r:id="rId1159"/>
    <hyperlink ref="A2042" r:id="rId1160"/>
    <hyperlink ref="A2045" r:id="rId1161"/>
    <hyperlink ref="A2044" r:id="rId1162"/>
    <hyperlink ref="A2047" r:id="rId1163"/>
    <hyperlink ref="A2057" r:id="rId1164"/>
    <hyperlink ref="A2051" r:id="rId1165"/>
    <hyperlink ref="A2065" r:id="rId1166"/>
    <hyperlink ref="A2068" r:id="rId1167"/>
    <hyperlink ref="Q2006" r:id="rId1168"/>
    <hyperlink ref="Q2005" r:id="rId1169"/>
    <hyperlink ref="Q2011" r:id="rId1170"/>
    <hyperlink ref="Q2022" r:id="rId1171"/>
    <hyperlink ref="Q2045" r:id="rId1172"/>
    <hyperlink ref="Q2057" r:id="rId1173"/>
    <hyperlink ref="E1992" r:id="rId1174"/>
    <hyperlink ref="Q1992" r:id="rId1175"/>
    <hyperlink ref="E1931" r:id="rId1176"/>
    <hyperlink ref="Q1931" r:id="rId1177"/>
    <hyperlink ref="E1929" r:id="rId1178"/>
    <hyperlink ref="Q1925" r:id="rId1179"/>
    <hyperlink ref="E1934" r:id="rId1180"/>
    <hyperlink ref="Q1934" r:id="rId1181"/>
    <hyperlink ref="E1988" r:id="rId1182"/>
    <hyperlink ref="Q1988" r:id="rId1183"/>
    <hyperlink ref="Q1986" r:id="rId1184"/>
    <hyperlink ref="E1967" r:id="rId1185"/>
    <hyperlink ref="Q1967" r:id="rId1186"/>
    <hyperlink ref="E1939" r:id="rId1187"/>
    <hyperlink ref="Q1939" r:id="rId1188"/>
    <hyperlink ref="E1946" r:id="rId1189"/>
    <hyperlink ref="Q1946" r:id="rId1190"/>
    <hyperlink ref="E1937" r:id="rId1191"/>
    <hyperlink ref="Q1937" r:id="rId1192"/>
    <hyperlink ref="E1981" r:id="rId1193"/>
    <hyperlink ref="Q1981" r:id="rId1194"/>
    <hyperlink ref="E1935" r:id="rId1195"/>
    <hyperlink ref="Q1935" r:id="rId1196"/>
    <hyperlink ref="E1956" r:id="rId1197"/>
    <hyperlink ref="Q1956" r:id="rId1198"/>
    <hyperlink ref="E1938" r:id="rId1199"/>
    <hyperlink ref="Q1938" r:id="rId1200"/>
    <hyperlink ref="Q2830" r:id="rId1201"/>
    <hyperlink ref="A1917" r:id="rId1202" display="Freddy Baez, 24"/>
    <hyperlink ref="Q1903" r:id="rId1203"/>
    <hyperlink ref="Q1917" r:id="rId1204"/>
    <hyperlink ref="Q1948" r:id="rId1205"/>
    <hyperlink ref="Q1965" r:id="rId1206"/>
    <hyperlink ref="A1903" r:id="rId1207" display="Darius Smith, 18"/>
    <hyperlink ref="Q2390" r:id="rId1208" display="http://www.wtok.com/home/headlines/New-Details-in-Stonewall-Death-Investigation-313047501.html"/>
    <hyperlink ref="Q2361" r:id="rId1209"/>
    <hyperlink ref="Q2386" r:id="rId1210"/>
    <hyperlink ref="E2290" r:id="rId1211"/>
    <hyperlink ref="E2292" r:id="rId1212"/>
    <hyperlink ref="E2273" r:id="rId1213"/>
    <hyperlink ref="E2274" r:id="rId1214"/>
    <hyperlink ref="E2269" r:id="rId1215"/>
    <hyperlink ref="E2275" r:id="rId1216"/>
    <hyperlink ref="E2266" r:id="rId1217"/>
    <hyperlink ref="E2252" r:id="rId1218"/>
    <hyperlink ref="E2248" r:id="rId1219"/>
    <hyperlink ref="E2242" r:id="rId1220"/>
    <hyperlink ref="E2239" r:id="rId1221"/>
    <hyperlink ref="E2228" r:id="rId1222"/>
    <hyperlink ref="E2287" r:id="rId1223"/>
    <hyperlink ref="E2284" r:id="rId1224"/>
    <hyperlink ref="E2282" r:id="rId1225"/>
    <hyperlink ref="E2280" r:id="rId1226"/>
    <hyperlink ref="E2194" r:id="rId1227"/>
    <hyperlink ref="E2199" r:id="rId1228"/>
    <hyperlink ref="E2206" r:id="rId1229"/>
    <hyperlink ref="E2215" r:id="rId1230"/>
    <hyperlink ref="E2238" r:id="rId1231"/>
    <hyperlink ref="E2256" r:id="rId1232"/>
    <hyperlink ref="E2257" r:id="rId1233"/>
    <hyperlink ref="Q2258" r:id="rId1234"/>
    <hyperlink ref="Q2273" r:id="rId1235"/>
    <hyperlink ref="Q2274" r:id="rId1236"/>
    <hyperlink ref="Q2269" r:id="rId1237"/>
    <hyperlink ref="Q2275" r:id="rId1238"/>
    <hyperlink ref="Q2266" r:id="rId1239"/>
    <hyperlink ref="Q2252" r:id="rId1240"/>
    <hyperlink ref="Q2248" r:id="rId1241"/>
    <hyperlink ref="Q2242" r:id="rId1242"/>
    <hyperlink ref="Q2239" r:id="rId1243"/>
    <hyperlink ref="Q2228" r:id="rId1244"/>
    <hyperlink ref="Q2287" r:id="rId1245"/>
    <hyperlink ref="Q2284" r:id="rId1246"/>
    <hyperlink ref="Q2282" r:id="rId1247"/>
    <hyperlink ref="Q2280" r:id="rId1248"/>
    <hyperlink ref="Q2194" r:id="rId1249"/>
    <hyperlink ref="Q2199" r:id="rId1250"/>
    <hyperlink ref="Q2202" r:id="rId1251"/>
    <hyperlink ref="Q2206" r:id="rId1252"/>
    <hyperlink ref="Q2209" r:id="rId1253"/>
    <hyperlink ref="Q2215" r:id="rId1254"/>
    <hyperlink ref="Q2238" r:id="rId1255"/>
    <hyperlink ref="Q2255" r:id="rId1256"/>
    <hyperlink ref="Q2256" r:id="rId1257"/>
    <hyperlink ref="Q2257" r:id="rId1258"/>
    <hyperlink ref="Q2166" r:id="rId1259"/>
    <hyperlink ref="Q2096" r:id="rId1260"/>
    <hyperlink ref="Q2102" r:id="rId1261"/>
    <hyperlink ref="Q2106" r:id="rId1262"/>
    <hyperlink ref="Q2158" r:id="rId1263"/>
    <hyperlink ref="Q2169" r:id="rId1264"/>
    <hyperlink ref="Q2180" r:id="rId1265"/>
    <hyperlink ref="Q2179" r:id="rId1266"/>
    <hyperlink ref="Q2181" r:id="rId1267"/>
    <hyperlink ref="Q2191" r:id="rId1268"/>
    <hyperlink ref="Q2092" r:id="rId1269"/>
    <hyperlink ref="Q2143" r:id="rId1270"/>
    <hyperlink ref="Q2142" r:id="rId1271"/>
    <hyperlink ref="Q2119" r:id="rId1272"/>
    <hyperlink ref="Q2112" r:id="rId1273"/>
    <hyperlink ref="Q2118" r:id="rId1274"/>
    <hyperlink ref="Q2114" r:id="rId1275"/>
    <hyperlink ref="Q2115" r:id="rId1276"/>
    <hyperlink ref="Q2084" r:id="rId1277"/>
    <hyperlink ref="Q2068" r:id="rId1278"/>
    <hyperlink ref="Q2037" r:id="rId1279"/>
    <hyperlink ref="Q2065" r:id="rId1280"/>
    <hyperlink ref="Q2051" r:id="rId1281"/>
    <hyperlink ref="Q2047" r:id="rId1282"/>
    <hyperlink ref="Q2060" r:id="rId1283"/>
    <hyperlink ref="Q2044" r:id="rId1284"/>
    <hyperlink ref="Q2042" r:id="rId1285"/>
    <hyperlink ref="Q2038" r:id="rId1286"/>
    <hyperlink ref="Q2031" r:id="rId1287"/>
    <hyperlink ref="Q2024" r:id="rId1288"/>
    <hyperlink ref="Q2025" r:id="rId1289"/>
    <hyperlink ref="Q2018" r:id="rId1290"/>
    <hyperlink ref="Q2015" r:id="rId1291"/>
    <hyperlink ref="Q2010" r:id="rId1292"/>
    <hyperlink ref="Q2008" r:id="rId1293"/>
    <hyperlink ref="Q2000" r:id="rId1294"/>
    <hyperlink ref="E2509" r:id="rId1295"/>
    <hyperlink ref="Q2509" r:id="rId1296"/>
    <hyperlink ref="E2592" r:id="rId1297"/>
    <hyperlink ref="Q2592" r:id="rId1298"/>
    <hyperlink ref="Q1966" r:id="rId1299"/>
    <hyperlink ref="E2648" r:id="rId1300"/>
    <hyperlink ref="Q2648" r:id="rId1301"/>
    <hyperlink ref="Q1995" r:id="rId1302"/>
    <hyperlink ref="Q2524" r:id="rId1303" display="http://www.thedenverchannel.com/news/local-news/injured-northglenn-police-officer-taken-to-hospital"/>
    <hyperlink ref="E1795" r:id="rId1304"/>
    <hyperlink ref="E1792" r:id="rId1305"/>
    <hyperlink ref="E1782" r:id="rId1306"/>
    <hyperlink ref="E1786" r:id="rId1307"/>
    <hyperlink ref="E1787" r:id="rId1308"/>
    <hyperlink ref="E1780" r:id="rId1309"/>
    <hyperlink ref="E1779" r:id="rId1310"/>
    <hyperlink ref="E1778" r:id="rId1311"/>
    <hyperlink ref="E1771" r:id="rId1312"/>
    <hyperlink ref="E1769" r:id="rId1313"/>
    <hyperlink ref="E1768" r:id="rId1314"/>
    <hyperlink ref="E1767" r:id="rId1315"/>
    <hyperlink ref="E1757" r:id="rId1316"/>
    <hyperlink ref="E1756" r:id="rId1317"/>
    <hyperlink ref="E1751" r:id="rId1318"/>
    <hyperlink ref="E1752" r:id="rId1319"/>
    <hyperlink ref="E1750" r:id="rId1320"/>
    <hyperlink ref="E1749" r:id="rId1321"/>
    <hyperlink ref="E1742" r:id="rId1322"/>
    <hyperlink ref="E1743" r:id="rId1323"/>
    <hyperlink ref="E1746" r:id="rId1324"/>
    <hyperlink ref="E1739" r:id="rId1325"/>
    <hyperlink ref="E1736" r:id="rId1326"/>
    <hyperlink ref="E1737" r:id="rId1327"/>
    <hyperlink ref="E1722" r:id="rId1328"/>
    <hyperlink ref="E1720" r:id="rId1329"/>
    <hyperlink ref="E1715" r:id="rId1330"/>
    <hyperlink ref="E1717" r:id="rId1331"/>
    <hyperlink ref="E1718" r:id="rId1332"/>
    <hyperlink ref="E1711" r:id="rId1333"/>
    <hyperlink ref="E1713" r:id="rId1334"/>
    <hyperlink ref="E1693" r:id="rId1335"/>
    <hyperlink ref="E1691" r:id="rId1336"/>
    <hyperlink ref="E1690" r:id="rId1337"/>
    <hyperlink ref="E1689" r:id="rId1338"/>
    <hyperlink ref="E1688" r:id="rId1339"/>
    <hyperlink ref="E1678" r:id="rId1340"/>
    <hyperlink ref="E1682" r:id="rId1341"/>
    <hyperlink ref="E1666" r:id="rId1342"/>
    <hyperlink ref="E1665" r:id="rId1343"/>
    <hyperlink ref="E1662" r:id="rId1344"/>
    <hyperlink ref="E1657" r:id="rId1345"/>
    <hyperlink ref="E1651" r:id="rId1346"/>
    <hyperlink ref="E1642" r:id="rId1347"/>
    <hyperlink ref="E1639" r:id="rId1348"/>
    <hyperlink ref="E1631" r:id="rId1349"/>
    <hyperlink ref="E1630" r:id="rId1350"/>
    <hyperlink ref="E1629" r:id="rId1351"/>
    <hyperlink ref="E1628" r:id="rId1352"/>
    <hyperlink ref="E1626" r:id="rId1353"/>
    <hyperlink ref="E1620" r:id="rId1354"/>
    <hyperlink ref="E1616" r:id="rId1355"/>
    <hyperlink ref="E1614" r:id="rId1356"/>
    <hyperlink ref="E1608" r:id="rId1357"/>
    <hyperlink ref="E1609" r:id="rId1358"/>
    <hyperlink ref="E1601" r:id="rId1359"/>
    <hyperlink ref="E1595" r:id="rId1360"/>
    <hyperlink ref="E1592" r:id="rId1361"/>
    <hyperlink ref="E1593" r:id="rId1362"/>
    <hyperlink ref="E1585" r:id="rId1363"/>
    <hyperlink ref="E1584" r:id="rId1364"/>
    <hyperlink ref="E1581" r:id="rId1365"/>
    <hyperlink ref="E1582" r:id="rId1366"/>
    <hyperlink ref="E1577" r:id="rId1367"/>
    <hyperlink ref="E1573" r:id="rId1368"/>
    <hyperlink ref="E1576" r:id="rId1369"/>
    <hyperlink ref="E1569" r:id="rId1370"/>
    <hyperlink ref="E1564" r:id="rId1371"/>
    <hyperlink ref="Q1795" r:id="rId1372"/>
    <hyperlink ref="Q1794" r:id="rId1373"/>
    <hyperlink ref="Q1792" r:id="rId1374"/>
    <hyperlink ref="Q1793" r:id="rId1375"/>
    <hyperlink ref="Q1790" r:id="rId1376"/>
    <hyperlink ref="Q1782" r:id="rId1377"/>
    <hyperlink ref="Q1786" r:id="rId1378"/>
    <hyperlink ref="Q1784" r:id="rId1379"/>
    <hyperlink ref="Q1787" r:id="rId1380"/>
    <hyperlink ref="Q1785" r:id="rId1381"/>
    <hyperlink ref="Q1780" r:id="rId1382"/>
    <hyperlink ref="Q1779" r:id="rId1383" location=".VpBJdfkrLIU"/>
    <hyperlink ref="Q1778" r:id="rId1384"/>
    <hyperlink ref="Q1775" r:id="rId1385"/>
    <hyperlink ref="Q1776" r:id="rId1386"/>
    <hyperlink ref="Q1773" r:id="rId1387"/>
    <hyperlink ref="Q1774" r:id="rId1388"/>
    <hyperlink ref="Q1771" r:id="rId1389" display="http://local12.com/news/local/cpd-outline-events-leading-up-to-deadly-officer-involved-shooting"/>
    <hyperlink ref="Q1770" r:id="rId1390"/>
    <hyperlink ref="Q1769" r:id="rId1391"/>
    <hyperlink ref="Q1768" r:id="rId1392"/>
    <hyperlink ref="Q1767" r:id="rId1393"/>
    <hyperlink ref="Q1766" r:id="rId1394"/>
    <hyperlink ref="Q1764" r:id="rId1395"/>
    <hyperlink ref="Q1765" r:id="rId1396"/>
    <hyperlink ref="Q1762" r:id="rId1397"/>
    <hyperlink ref="Q1761" r:id="rId1398"/>
    <hyperlink ref="Q1763" r:id="rId1399"/>
    <hyperlink ref="Q1760" r:id="rId1400"/>
    <hyperlink ref="Q1757" r:id="rId1401"/>
    <hyperlink ref="Q1755" r:id="rId1402"/>
    <hyperlink ref="Q1756" r:id="rId1403"/>
    <hyperlink ref="Q1758" r:id="rId1404"/>
    <hyperlink ref="Q1751" r:id="rId1405"/>
    <hyperlink ref="Q1752" r:id="rId1406"/>
    <hyperlink ref="Q1750" r:id="rId1407"/>
    <hyperlink ref="Q1749" r:id="rId1408"/>
    <hyperlink ref="Q1754" r:id="rId1409"/>
    <hyperlink ref="Q1748" r:id="rId1410"/>
    <hyperlink ref="Q1744" r:id="rId1411"/>
    <hyperlink ref="Q1742" r:id="rId1412"/>
    <hyperlink ref="Q1743" r:id="rId1413"/>
    <hyperlink ref="Q1745" r:id="rId1414"/>
    <hyperlink ref="Q1746" r:id="rId1415"/>
    <hyperlink ref="Q1740" r:id="rId1416"/>
    <hyperlink ref="Q1738" r:id="rId1417"/>
    <hyperlink ref="Q1739" r:id="rId1418"/>
    <hyperlink ref="Q1741" r:id="rId1419"/>
    <hyperlink ref="Q1736" r:id="rId1420"/>
    <hyperlink ref="Q1737" r:id="rId1421"/>
    <hyperlink ref="Q1732" r:id="rId1422"/>
    <hyperlink ref="Q1730" r:id="rId1423"/>
    <hyperlink ref="Q1729" r:id="rId1424" location="incart_river_index"/>
    <hyperlink ref="Q1726" r:id="rId1425"/>
    <hyperlink ref="Q1722" r:id="rId1426"/>
    <hyperlink ref="Q1723" r:id="rId1427"/>
    <hyperlink ref="Q1716" r:id="rId1428"/>
    <hyperlink ref="Q1720" r:id="rId1429"/>
    <hyperlink ref="Q1715" r:id="rId1430"/>
    <hyperlink ref="Q1717" r:id="rId1431"/>
    <hyperlink ref="Q1718" r:id="rId1432"/>
    <hyperlink ref="Q1719" r:id="rId1433"/>
    <hyperlink ref="Q1711" r:id="rId1434"/>
    <hyperlink ref="Q1713" r:id="rId1435"/>
    <hyperlink ref="Q1709" r:id="rId1436"/>
    <hyperlink ref="Q1706" r:id="rId1437"/>
    <hyperlink ref="Q1700" r:id="rId1438"/>
    <hyperlink ref="Q1704" r:id="rId1439"/>
    <hyperlink ref="Q1705" r:id="rId1440"/>
    <hyperlink ref="Q1698" r:id="rId1441"/>
    <hyperlink ref="Q1702" r:id="rId1442"/>
    <hyperlink ref="Q1699" r:id="rId1443"/>
    <hyperlink ref="Q1693" r:id="rId1444"/>
    <hyperlink ref="Q1695" r:id="rId1445"/>
    <hyperlink ref="Q1697" r:id="rId1446" location=".VrFlKfkrLIU"/>
    <hyperlink ref="Q1691" r:id="rId1447"/>
    <hyperlink ref="Q1692" r:id="rId1448"/>
    <hyperlink ref="Q1690" r:id="rId1449"/>
    <hyperlink ref="Q1689" r:id="rId1450"/>
    <hyperlink ref="Q1686" r:id="rId1451"/>
    <hyperlink ref="Q1688" r:id="rId1452"/>
    <hyperlink ref="Q1685" r:id="rId1453" location=".Vs-IW5wrJvY"/>
    <hyperlink ref="Q1683" r:id="rId1454"/>
    <hyperlink ref="Q1679" r:id="rId1455"/>
    <hyperlink ref="Q1681" r:id="rId1456"/>
    <hyperlink ref="Q1680" r:id="rId1457"/>
    <hyperlink ref="Q1678" r:id="rId1458"/>
    <hyperlink ref="Q1682" r:id="rId1459"/>
    <hyperlink ref="Q1675" r:id="rId1460"/>
    <hyperlink ref="Q1674" r:id="rId1461"/>
    <hyperlink ref="Q1671" r:id="rId1462"/>
    <hyperlink ref="Q1672" r:id="rId1463"/>
    <hyperlink ref="Q1666" r:id="rId1464"/>
    <hyperlink ref="Q1665" r:id="rId1465"/>
    <hyperlink ref="Q1663" r:id="rId1466"/>
    <hyperlink ref="Q1664" r:id="rId1467"/>
    <hyperlink ref="Q1662" r:id="rId1468"/>
    <hyperlink ref="Q1659" r:id="rId1469"/>
    <hyperlink ref="Q1658" r:id="rId1470"/>
    <hyperlink ref="Q1660" r:id="rId1471"/>
    <hyperlink ref="Q1661" r:id="rId1472"/>
    <hyperlink ref="Q1657" r:id="rId1473"/>
    <hyperlink ref="Q1655" r:id="rId1474"/>
    <hyperlink ref="Q1651" r:id="rId1475"/>
    <hyperlink ref="Q1645" r:id="rId1476"/>
    <hyperlink ref="Q1643" r:id="rId1477"/>
    <hyperlink ref="Q1644" r:id="rId1478"/>
    <hyperlink ref="Q1642" r:id="rId1479"/>
    <hyperlink ref="Q1641" r:id="rId1480"/>
    <hyperlink ref="Q1639" r:id="rId1481"/>
    <hyperlink ref="Q1637" r:id="rId1482"/>
    <hyperlink ref="Q1638" r:id="rId1483"/>
    <hyperlink ref="Q1634" r:id="rId1484"/>
    <hyperlink ref="Q1633" r:id="rId1485"/>
    <hyperlink ref="Q1632" r:id="rId1486"/>
    <hyperlink ref="Q1631" r:id="rId1487"/>
    <hyperlink ref="Q1630" r:id="rId1488"/>
    <hyperlink ref="Q1629" r:id="rId1489"/>
    <hyperlink ref="Q1628" r:id="rId1490"/>
    <hyperlink ref="Q1625" r:id="rId1491"/>
    <hyperlink ref="Q1626" r:id="rId1492"/>
    <hyperlink ref="Q1623" r:id="rId1493"/>
    <hyperlink ref="Q1620" r:id="rId1494"/>
    <hyperlink ref="Q1615" r:id="rId1495"/>
    <hyperlink ref="Q1616" r:id="rId1496"/>
    <hyperlink ref="Q1618" r:id="rId1497"/>
    <hyperlink ref="Q1614" r:id="rId1498"/>
    <hyperlink ref="Q1612" r:id="rId1499"/>
    <hyperlink ref="Q1610" r:id="rId1500"/>
    <hyperlink ref="Q1611" r:id="rId1501"/>
    <hyperlink ref="Q1606" r:id="rId1502"/>
    <hyperlink ref="Q1608" r:id="rId1503"/>
    <hyperlink ref="Q1609" r:id="rId1504"/>
    <hyperlink ref="Q1607" r:id="rId1505"/>
    <hyperlink ref="Q1601" r:id="rId1506"/>
    <hyperlink ref="Q1600" r:id="rId1507"/>
    <hyperlink ref="Q1598" r:id="rId1508"/>
    <hyperlink ref="Q1597" r:id="rId1509"/>
    <hyperlink ref="Q1595" r:id="rId1510"/>
    <hyperlink ref="Q1596" r:id="rId1511"/>
    <hyperlink ref="Q1591" r:id="rId1512"/>
    <hyperlink ref="Q1592" r:id="rId1513"/>
    <hyperlink ref="Q1593" r:id="rId1514"/>
    <hyperlink ref="Q1590" r:id="rId1515"/>
    <hyperlink ref="Q1589" r:id="rId1516"/>
    <hyperlink ref="Q1587" r:id="rId1517"/>
    <hyperlink ref="Q1585" r:id="rId1518"/>
    <hyperlink ref="Q1586" r:id="rId1519"/>
    <hyperlink ref="Q1584" r:id="rId1520"/>
    <hyperlink ref="Q1583" r:id="rId1521"/>
    <hyperlink ref="Q1581" r:id="rId1522"/>
    <hyperlink ref="Q1582" r:id="rId1523"/>
    <hyperlink ref="Q1580" r:id="rId1524"/>
    <hyperlink ref="Q1574" r:id="rId1525"/>
    <hyperlink ref="Q1579" r:id="rId1526"/>
    <hyperlink ref="Q1577" r:id="rId1527"/>
    <hyperlink ref="Q1573" r:id="rId1528"/>
    <hyperlink ref="Q1576" r:id="rId1529"/>
    <hyperlink ref="Q1572" r:id="rId1530"/>
    <hyperlink ref="Q1569" r:id="rId1531"/>
    <hyperlink ref="Q1567" r:id="rId1532"/>
    <hyperlink ref="Q1570" r:id="rId1533"/>
    <hyperlink ref="Q1568" r:id="rId1534"/>
    <hyperlink ref="Q1565" r:id="rId1535"/>
    <hyperlink ref="Q1566" r:id="rId1536"/>
    <hyperlink ref="Q1564" r:id="rId1537"/>
    <hyperlink ref="Q1561" r:id="rId1538"/>
    <hyperlink ref="E1602" r:id="rId1539"/>
    <hyperlink ref="E1594" r:id="rId1540"/>
    <hyperlink ref="Q1602" r:id="rId1541"/>
    <hyperlink ref="Q1594" r:id="rId1542"/>
    <hyperlink ref="E1791" r:id="rId1543"/>
    <hyperlink ref="E1788" r:id="rId1544"/>
    <hyperlink ref="E1759" r:id="rId1545"/>
    <hyperlink ref="E1753" r:id="rId1546" location="8587986"/>
    <hyperlink ref="E1747" r:id="rId1547"/>
    <hyperlink ref="E1735" r:id="rId1548"/>
    <hyperlink ref="E1734" r:id="rId1549"/>
    <hyperlink ref="E1712" r:id="rId1550"/>
    <hyperlink ref="E1707" r:id="rId1551"/>
    <hyperlink ref="E1708" r:id="rId1552"/>
    <hyperlink ref="E1654" r:id="rId1553"/>
    <hyperlink ref="E1649" r:id="rId1554"/>
    <hyperlink ref="E1646" r:id="rId1555"/>
    <hyperlink ref="E1624" r:id="rId1556"/>
    <hyperlink ref="E1619" r:id="rId1557"/>
    <hyperlink ref="E1604" r:id="rId1558"/>
    <hyperlink ref="E1563" r:id="rId1559"/>
    <hyperlink ref="E1552" r:id="rId1560"/>
    <hyperlink ref="Q1791" r:id="rId1561"/>
    <hyperlink ref="Q1788" r:id="rId1562"/>
    <hyperlink ref="Q1781" r:id="rId1563"/>
    <hyperlink ref="Q1759" r:id="rId1564"/>
    <hyperlink ref="Q1753" r:id="rId1565"/>
    <hyperlink ref="Q1747" r:id="rId1566"/>
    <hyperlink ref="Q1735" r:id="rId1567"/>
    <hyperlink ref="Q1734" r:id="rId1568"/>
    <hyperlink ref="Q1712" r:id="rId1569"/>
    <hyperlink ref="Q1707" r:id="rId1570"/>
    <hyperlink ref="Q1708" r:id="rId1571"/>
    <hyperlink ref="Q1703" r:id="rId1572"/>
    <hyperlink ref="Q1670" r:id="rId1573"/>
    <hyperlink ref="Q1667" r:id="rId1574"/>
    <hyperlink ref="Q1653" r:id="rId1575"/>
    <hyperlink ref="Q1654" r:id="rId1576"/>
    <hyperlink ref="Q1649" r:id="rId1577"/>
    <hyperlink ref="Q1646" r:id="rId1578"/>
    <hyperlink ref="Q1624" r:id="rId1579"/>
    <hyperlink ref="Q1619" r:id="rId1580"/>
    <hyperlink ref="Q1622" r:id="rId1581" location="038;utm_medium=Referral&amp;#038;utm_campaign=RSS_seattle-news"/>
    <hyperlink ref="Q1604" r:id="rId1582"/>
    <hyperlink ref="Q1563" r:id="rId1583"/>
    <hyperlink ref="Q1553" r:id="rId1584"/>
    <hyperlink ref="Q1552" r:id="rId1585"/>
    <hyperlink ref="Q1701" r:id="rId1586"/>
    <hyperlink ref="Q1687" r:id="rId1587"/>
    <hyperlink ref="Q1669" r:id="rId1588"/>
    <hyperlink ref="Q1647" r:id="rId1589"/>
    <hyperlink ref="Q1559" r:id="rId1590"/>
    <hyperlink ref="E1599" r:id="rId1591"/>
    <hyperlink ref="E1571" r:id="rId1592"/>
    <hyperlink ref="Q1696" r:id="rId1593"/>
    <hyperlink ref="Q1636" r:id="rId1594"/>
    <hyperlink ref="Q1599" r:id="rId1595"/>
    <hyperlink ref="Q1571" r:id="rId1596"/>
    <hyperlink ref="Q1656" r:id="rId1597"/>
    <hyperlink ref="E1789" r:id="rId1598"/>
    <hyperlink ref="E1714" r:id="rId1599"/>
    <hyperlink ref="E1648" r:id="rId1600"/>
    <hyperlink ref="E1621" r:id="rId1601"/>
    <hyperlink ref="Q1789" r:id="rId1602"/>
    <hyperlink ref="Q1714" r:id="rId1603"/>
    <hyperlink ref="Q1648" r:id="rId1604"/>
    <hyperlink ref="Q1621" r:id="rId1605"/>
    <hyperlink ref="Q1605" r:id="rId1606"/>
    <hyperlink ref="E1721" r:id="rId1607"/>
    <hyperlink ref="Q1721" r:id="rId1608" location="incart_river_home"/>
    <hyperlink ref="Q1668" r:id="rId1609"/>
    <hyperlink ref="Q1613" r:id="rId1610"/>
    <hyperlink ref="E1677" r:id="rId1611"/>
    <hyperlink ref="E1676" r:id="rId1612"/>
    <hyperlink ref="Q1677" r:id="rId1613"/>
    <hyperlink ref="Q1676" r:id="rId1614"/>
    <hyperlink ref="E1728" r:id="rId1615"/>
    <hyperlink ref="Q1728" r:id="rId1616"/>
    <hyperlink ref="E1650" r:id="rId1617" display="http://www.fatalencounters.org/wp-content/uploads/2013/10/Allen.jpg"/>
    <hyperlink ref="Q1422" r:id="rId1618"/>
    <hyperlink ref="Q1424" r:id="rId1619"/>
    <hyperlink ref="Q1426" r:id="rId1620"/>
    <hyperlink ref="Q1427" r:id="rId1621"/>
    <hyperlink ref="Q1425" r:id="rId1622"/>
    <hyperlink ref="Q1428" r:id="rId1623"/>
    <hyperlink ref="Q1430" r:id="rId1624"/>
    <hyperlink ref="Q1431" r:id="rId1625"/>
    <hyperlink ref="Q1433" r:id="rId1626"/>
    <hyperlink ref="Q1434" r:id="rId1627"/>
    <hyperlink ref="Q1436" r:id="rId1628"/>
    <hyperlink ref="Q1438" r:id="rId1629"/>
    <hyperlink ref="Q1437" r:id="rId1630"/>
    <hyperlink ref="Q1439" r:id="rId1631"/>
    <hyperlink ref="Q1440" r:id="rId1632"/>
    <hyperlink ref="Q1441" r:id="rId1633"/>
    <hyperlink ref="Q1445" r:id="rId1634"/>
    <hyperlink ref="Q1444" r:id="rId1635"/>
    <hyperlink ref="Q1443" r:id="rId1636"/>
    <hyperlink ref="Q1442" r:id="rId1637"/>
    <hyperlink ref="Q1446" r:id="rId1638"/>
    <hyperlink ref="Q1447" r:id="rId1639"/>
    <hyperlink ref="Q1448" r:id="rId1640"/>
    <hyperlink ref="Q1451" r:id="rId1641"/>
    <hyperlink ref="Q1453" r:id="rId1642"/>
    <hyperlink ref="Q1452" r:id="rId1643"/>
    <hyperlink ref="Q1454" r:id="rId1644"/>
    <hyperlink ref="Q1455" r:id="rId1645"/>
    <hyperlink ref="Q1457" r:id="rId1646"/>
    <hyperlink ref="Q1456" r:id="rId1647"/>
    <hyperlink ref="Q1459" r:id="rId1648"/>
    <hyperlink ref="Q1458" r:id="rId1649"/>
    <hyperlink ref="Q1461" r:id="rId1650"/>
    <hyperlink ref="Q1463" r:id="rId1651"/>
    <hyperlink ref="Q1462" r:id="rId1652"/>
    <hyperlink ref="Q1460" r:id="rId1653"/>
    <hyperlink ref="Q1465" r:id="rId1654"/>
    <hyperlink ref="Q1464" r:id="rId1655"/>
    <hyperlink ref="Q1468" r:id="rId1656"/>
    <hyperlink ref="Q1466" r:id="rId1657"/>
    <hyperlink ref="Q1467" r:id="rId1658"/>
    <hyperlink ref="Q1470" r:id="rId1659"/>
    <hyperlink ref="Q1471" r:id="rId1660"/>
    <hyperlink ref="Q1474" r:id="rId1661"/>
    <hyperlink ref="Q1473" r:id="rId1662"/>
    <hyperlink ref="Q1475" r:id="rId1663"/>
    <hyperlink ref="Q1478" r:id="rId1664"/>
    <hyperlink ref="Q1477" r:id="rId1665"/>
    <hyperlink ref="Q1479" r:id="rId1666"/>
    <hyperlink ref="Q1480" r:id="rId1667"/>
    <hyperlink ref="Q1482" r:id="rId1668"/>
    <hyperlink ref="Q1483" r:id="rId1669"/>
    <hyperlink ref="Q1484" r:id="rId1670"/>
    <hyperlink ref="Q1487" r:id="rId1671"/>
    <hyperlink ref="Q1488" r:id="rId1672"/>
    <hyperlink ref="E1424" r:id="rId1673"/>
    <hyperlink ref="Q1537" r:id="rId1674"/>
    <hyperlink ref="Q1538" r:id="rId1675"/>
    <hyperlink ref="Q1515" r:id="rId1676"/>
    <hyperlink ref="Q1527" r:id="rId1677" display="http://www.wcjb.com/local-news/2016/03/16-year-old-dies-after-standoff-police"/>
    <hyperlink ref="Q1530" r:id="rId1678"/>
    <hyperlink ref="E1515" r:id="rId1679"/>
    <hyperlink ref="E1527" r:id="rId1680"/>
    <hyperlink ref="E1530" r:id="rId1681"/>
    <hyperlink ref="Q1500" r:id="rId1682"/>
    <hyperlink ref="Q1510" r:id="rId1683"/>
    <hyperlink ref="Q1518" r:id="rId1684"/>
    <hyperlink ref="Q1528" r:id="rId1685"/>
    <hyperlink ref="Q1550" r:id="rId1686"/>
    <hyperlink ref="E1500" r:id="rId1687"/>
    <hyperlink ref="E1510" r:id="rId1688"/>
    <hyperlink ref="E1518" r:id="rId1689"/>
    <hyperlink ref="E1528" r:id="rId1690"/>
    <hyperlink ref="E1550" r:id="rId1691"/>
    <hyperlink ref="Q1499" r:id="rId1692"/>
    <hyperlink ref="Q1504" r:id="rId1693"/>
    <hyperlink ref="Q1501" r:id="rId1694"/>
    <hyperlink ref="Q1502" r:id="rId1695"/>
    <hyperlink ref="Q1508" r:id="rId1696"/>
    <hyperlink ref="Q1507" r:id="rId1697"/>
    <hyperlink ref="Q1505" r:id="rId1698"/>
    <hyperlink ref="Q1506" r:id="rId1699"/>
    <hyperlink ref="Q1503" r:id="rId1700"/>
    <hyperlink ref="Q1514" r:id="rId1701"/>
    <hyperlink ref="Q1511" r:id="rId1702"/>
    <hyperlink ref="Q1513" r:id="rId1703"/>
    <hyperlink ref="Q1512" r:id="rId1704"/>
    <hyperlink ref="Q1517" r:id="rId1705"/>
    <hyperlink ref="Q1516" r:id="rId1706"/>
    <hyperlink ref="Q1519" r:id="rId1707"/>
    <hyperlink ref="Q1520" r:id="rId1708"/>
    <hyperlink ref="Q1521" r:id="rId1709"/>
    <hyperlink ref="Q1523" r:id="rId1710"/>
    <hyperlink ref="Q1522" r:id="rId1711"/>
    <hyperlink ref="Q1524" r:id="rId1712"/>
    <hyperlink ref="Q1526" r:id="rId1713"/>
    <hyperlink ref="Q1525" r:id="rId1714"/>
    <hyperlink ref="Q1529" r:id="rId1715"/>
    <hyperlink ref="Q1532" r:id="rId1716"/>
    <hyperlink ref="Q1534" r:id="rId1717"/>
    <hyperlink ref="Q1535" r:id="rId1718"/>
    <hyperlink ref="Q1536" r:id="rId1719"/>
    <hyperlink ref="Q1539" r:id="rId1720"/>
    <hyperlink ref="Q1546" r:id="rId1721"/>
    <hyperlink ref="Q1544" r:id="rId1722"/>
    <hyperlink ref="Q1545" r:id="rId1723"/>
    <hyperlink ref="Q1547" r:id="rId1724"/>
    <hyperlink ref="Q1548" r:id="rId1725"/>
    <hyperlink ref="Q1549" r:id="rId1726"/>
    <hyperlink ref="Q1558" r:id="rId1727"/>
    <hyperlink ref="Q1557" r:id="rId1728"/>
    <hyperlink ref="Q1551" r:id="rId1729"/>
    <hyperlink ref="Q1554" r:id="rId1730"/>
    <hyperlink ref="E1504" r:id="rId1731"/>
    <hyperlink ref="E1501" r:id="rId1732"/>
    <hyperlink ref="E1502" r:id="rId1733"/>
    <hyperlink ref="E1508" r:id="rId1734"/>
    <hyperlink ref="E1506" r:id="rId1735"/>
    <hyperlink ref="E1503" r:id="rId1736"/>
    <hyperlink ref="E1512" r:id="rId1737"/>
    <hyperlink ref="E1519" r:id="rId1738"/>
    <hyperlink ref="E1520" r:id="rId1739"/>
    <hyperlink ref="E1521" r:id="rId1740"/>
    <hyperlink ref="E1523" r:id="rId1741"/>
    <hyperlink ref="E1522" r:id="rId1742"/>
    <hyperlink ref="E1525" r:id="rId1743"/>
    <hyperlink ref="E1529" r:id="rId1744"/>
    <hyperlink ref="E1535" r:id="rId1745"/>
    <hyperlink ref="E1536" r:id="rId1746"/>
    <hyperlink ref="E1539" r:id="rId1747"/>
    <hyperlink ref="E1547" r:id="rId1748"/>
    <hyperlink ref="E1549" r:id="rId1749"/>
    <hyperlink ref="E1551" r:id="rId1750"/>
    <hyperlink ref="E1555" r:id="rId1751"/>
    <hyperlink ref="E1554" r:id="rId1752"/>
    <hyperlink ref="Q1402" r:id="rId1753"/>
    <hyperlink ref="E1401" r:id="rId1754"/>
    <hyperlink ref="Q1401" r:id="rId1755"/>
    <hyperlink ref="Q1403" r:id="rId1756"/>
    <hyperlink ref="E1400" r:id="rId1757"/>
    <hyperlink ref="Q1400" r:id="rId1758"/>
    <hyperlink ref="Q1399" r:id="rId1759"/>
    <hyperlink ref="Q1396" r:id="rId1760"/>
    <hyperlink ref="Q1394" r:id="rId1761"/>
    <hyperlink ref="Q1397" r:id="rId1762"/>
    <hyperlink ref="Q1395" r:id="rId1763"/>
    <hyperlink ref="E1391" r:id="rId1764"/>
    <hyperlink ref="Q1391" r:id="rId1765"/>
    <hyperlink ref="E1393" r:id="rId1766"/>
    <hyperlink ref="Q1393" r:id="rId1767"/>
    <hyperlink ref="Q1392" r:id="rId1768"/>
    <hyperlink ref="Q1390" r:id="rId1769"/>
    <hyperlink ref="E1384" r:id="rId1770"/>
    <hyperlink ref="Q1384" r:id="rId1771"/>
    <hyperlink ref="E1386" r:id="rId1772"/>
    <hyperlink ref="Q1386" r:id="rId1773"/>
    <hyperlink ref="E1388" r:id="rId1774"/>
    <hyperlink ref="Q1388" r:id="rId1775"/>
    <hyperlink ref="Q1389" r:id="rId1776"/>
    <hyperlink ref="E1387" r:id="rId1777"/>
    <hyperlink ref="Q1387" r:id="rId1778"/>
    <hyperlink ref="E1383" r:id="rId1779"/>
    <hyperlink ref="Q1383" r:id="rId1780"/>
    <hyperlink ref="Q1377" r:id="rId1781"/>
    <hyperlink ref="E1379" r:id="rId1782"/>
    <hyperlink ref="Q1379" r:id="rId1783"/>
    <hyperlink ref="Q1381" r:id="rId1784"/>
    <hyperlink ref="E1376" r:id="rId1785"/>
    <hyperlink ref="Q1376" r:id="rId1786"/>
    <hyperlink ref="Q1378" r:id="rId1787"/>
    <hyperlink ref="E1380" r:id="rId1788"/>
    <hyperlink ref="Q1380" r:id="rId1789"/>
    <hyperlink ref="E1382" r:id="rId1790"/>
    <hyperlink ref="Q1382" r:id="rId1791"/>
    <hyperlink ref="E1374" r:id="rId1792"/>
    <hyperlink ref="Q1374" r:id="rId1793"/>
    <hyperlink ref="Q1375" r:id="rId1794"/>
    <hyperlink ref="E1372" r:id="rId1795"/>
    <hyperlink ref="Q1372" r:id="rId1796"/>
    <hyperlink ref="Q1371" r:id="rId1797"/>
    <hyperlink ref="E1369" r:id="rId1798"/>
    <hyperlink ref="Q1369" r:id="rId1799"/>
    <hyperlink ref="Q1373" r:id="rId1800"/>
    <hyperlink ref="Q1370" r:id="rId1801"/>
    <hyperlink ref="E1368" r:id="rId1802"/>
    <hyperlink ref="Q1368" r:id="rId1803"/>
    <hyperlink ref="Q1366" r:id="rId1804"/>
    <hyperlink ref="E1367" r:id="rId1805"/>
    <hyperlink ref="Q1367" r:id="rId1806"/>
    <hyperlink ref="E1365" r:id="rId1807"/>
    <hyperlink ref="Q1365" r:id="rId1808"/>
    <hyperlink ref="E1361" r:id="rId1809"/>
    <hyperlink ref="Q1361" r:id="rId1810"/>
    <hyperlink ref="Q1362" r:id="rId1811"/>
    <hyperlink ref="E1363" r:id="rId1812"/>
    <hyperlink ref="Q1363" r:id="rId1813"/>
    <hyperlink ref="E1364" r:id="rId1814"/>
    <hyperlink ref="Q1364" r:id="rId1815"/>
    <hyperlink ref="E1360" r:id="rId1816"/>
    <hyperlink ref="Q1360" r:id="rId1817"/>
    <hyperlink ref="E1357" r:id="rId1818"/>
    <hyperlink ref="Q1357" r:id="rId1819"/>
    <hyperlink ref="E1356" r:id="rId1820"/>
    <hyperlink ref="Q1356" r:id="rId1821"/>
    <hyperlink ref="Q1355" r:id="rId1822"/>
    <hyperlink ref="E1354" r:id="rId1823"/>
    <hyperlink ref="Q1354" r:id="rId1824"/>
    <hyperlink ref="E1351" r:id="rId1825"/>
    <hyperlink ref="Q1351" r:id="rId1826"/>
    <hyperlink ref="Q1353" r:id="rId1827"/>
    <hyperlink ref="E1352" r:id="rId1828"/>
    <hyperlink ref="Q1352" r:id="rId1829"/>
    <hyperlink ref="Q1350" r:id="rId1830"/>
    <hyperlink ref="E1348" r:id="rId1831"/>
    <hyperlink ref="Q1348" r:id="rId1832"/>
    <hyperlink ref="E1347" r:id="rId1833"/>
    <hyperlink ref="Q1347" r:id="rId1834"/>
    <hyperlink ref="E1346" r:id="rId1835"/>
    <hyperlink ref="Q1346" r:id="rId1836"/>
    <hyperlink ref="E1349" r:id="rId1837"/>
    <hyperlink ref="Q1349" r:id="rId1838"/>
    <hyperlink ref="Q1345" r:id="rId1839"/>
    <hyperlink ref="E1344" r:id="rId1840"/>
    <hyperlink ref="Q1344" r:id="rId1841"/>
    <hyperlink ref="E1343" r:id="rId1842"/>
    <hyperlink ref="Q1343" r:id="rId1843"/>
    <hyperlink ref="Q1341" r:id="rId1844"/>
    <hyperlink ref="E1340" r:id="rId1845"/>
    <hyperlink ref="Q1340" r:id="rId1846"/>
    <hyperlink ref="Q1342" r:id="rId1847"/>
    <hyperlink ref="Q1339" r:id="rId1848"/>
    <hyperlink ref="Q1338" r:id="rId1849"/>
    <hyperlink ref="E1336" r:id="rId1850"/>
    <hyperlink ref="Q1336" r:id="rId1851"/>
    <hyperlink ref="E1337" r:id="rId1852"/>
    <hyperlink ref="Q1337" r:id="rId1853"/>
    <hyperlink ref="Q1335" r:id="rId1854"/>
    <hyperlink ref="E1334" r:id="rId1855"/>
    <hyperlink ref="Q1334" r:id="rId1856"/>
    <hyperlink ref="E1333" r:id="rId1857"/>
    <hyperlink ref="Q1333" r:id="rId1858"/>
    <hyperlink ref="Q1332" r:id="rId1859"/>
    <hyperlink ref="Q1331" r:id="rId1860" location=".V0ya3ZErJOA"/>
    <hyperlink ref="E1329" r:id="rId1861"/>
    <hyperlink ref="Q1329" r:id="rId1862"/>
    <hyperlink ref="Q1330" r:id="rId1863"/>
    <hyperlink ref="Q1322" r:id="rId1864"/>
    <hyperlink ref="Q1327" r:id="rId1865"/>
    <hyperlink ref="Q1328" r:id="rId1866"/>
    <hyperlink ref="Q1326" r:id="rId1867"/>
    <hyperlink ref="Q1325" r:id="rId1868"/>
    <hyperlink ref="Q1323" r:id="rId1869"/>
    <hyperlink ref="Q1324" r:id="rId1870"/>
    <hyperlink ref="Q1321" r:id="rId1871"/>
    <hyperlink ref="Q1320" r:id="rId1872"/>
    <hyperlink ref="Q1318" r:id="rId1873" location=".V0uoI5ErK00"/>
    <hyperlink ref="E1317" r:id="rId1874"/>
    <hyperlink ref="Q1317" r:id="rId1875"/>
    <hyperlink ref="Q1319" r:id="rId1876"/>
    <hyperlink ref="Q1311" r:id="rId1877"/>
    <hyperlink ref="Q1314" r:id="rId1878"/>
    <hyperlink ref="E1313" r:id="rId1879"/>
    <hyperlink ref="Q1313" r:id="rId1880"/>
    <hyperlink ref="E1315" r:id="rId1881"/>
    <hyperlink ref="Q1315" r:id="rId1882"/>
    <hyperlink ref="Q1312" r:id="rId1883"/>
    <hyperlink ref="E1309" r:id="rId1884"/>
    <hyperlink ref="Q1309" r:id="rId1885"/>
    <hyperlink ref="E1310" r:id="rId1886"/>
    <hyperlink ref="Q1310" r:id="rId1887"/>
    <hyperlink ref="Q1307" r:id="rId1888"/>
    <hyperlink ref="E1308" r:id="rId1889"/>
    <hyperlink ref="Q1308" r:id="rId1890"/>
    <hyperlink ref="Q1305" r:id="rId1891"/>
    <hyperlink ref="E1304" r:id="rId1892"/>
    <hyperlink ref="Q1304" r:id="rId1893"/>
    <hyperlink ref="E1306" r:id="rId1894"/>
    <hyperlink ref="Q1306" r:id="rId1895"/>
    <hyperlink ref="Q1300" r:id="rId1896"/>
    <hyperlink ref="Q1301" r:id="rId1897"/>
    <hyperlink ref="E1302" r:id="rId1898"/>
    <hyperlink ref="Q1302" r:id="rId1899"/>
    <hyperlink ref="E1303" r:id="rId1900"/>
    <hyperlink ref="Q1303" r:id="rId1901"/>
    <hyperlink ref="Q1298" r:id="rId1902"/>
    <hyperlink ref="Q1299" r:id="rId1903"/>
    <hyperlink ref="E1295" r:id="rId1904"/>
    <hyperlink ref="Q1295" r:id="rId1905"/>
    <hyperlink ref="Q1296" r:id="rId1906"/>
    <hyperlink ref="Q1297" r:id="rId1907"/>
    <hyperlink ref="Q1293" r:id="rId1908"/>
    <hyperlink ref="Q1294" r:id="rId1909"/>
    <hyperlink ref="E1292" r:id="rId1910"/>
    <hyperlink ref="Q1292" r:id="rId1911"/>
    <hyperlink ref="Q1291" r:id="rId1912"/>
    <hyperlink ref="Q1289" r:id="rId1913"/>
    <hyperlink ref="E1287" r:id="rId1914"/>
    <hyperlink ref="Q1287" r:id="rId1915"/>
    <hyperlink ref="Q1288" r:id="rId1916"/>
    <hyperlink ref="Q1286" r:id="rId1917"/>
    <hyperlink ref="Q1285" r:id="rId1918"/>
    <hyperlink ref="Q1282" r:id="rId1919"/>
    <hyperlink ref="Q1281" r:id="rId1920"/>
    <hyperlink ref="Q1284" r:id="rId1921"/>
    <hyperlink ref="Q1283" r:id="rId1922"/>
    <hyperlink ref="E1280" r:id="rId1923"/>
    <hyperlink ref="Q1280" r:id="rId1924"/>
    <hyperlink ref="E1279" r:id="rId1925"/>
    <hyperlink ref="Q1279" r:id="rId1926"/>
    <hyperlink ref="Q1276" r:id="rId1927"/>
    <hyperlink ref="Q1278" r:id="rId1928"/>
    <hyperlink ref="Q1277" r:id="rId1929"/>
    <hyperlink ref="Q1274" r:id="rId1930"/>
    <hyperlink ref="Q1273" r:id="rId1931"/>
    <hyperlink ref="E1271" r:id="rId1932"/>
    <hyperlink ref="Q1271" r:id="rId1933"/>
    <hyperlink ref="Q1272" r:id="rId1934"/>
    <hyperlink ref="Q1270" r:id="rId1935"/>
    <hyperlink ref="Q1265" r:id="rId1936"/>
    <hyperlink ref="E1266" r:id="rId1937"/>
    <hyperlink ref="Q1266" r:id="rId1938"/>
    <hyperlink ref="E1268" r:id="rId1939"/>
    <hyperlink ref="Q1268" r:id="rId1940"/>
    <hyperlink ref="E1267" r:id="rId1941"/>
    <hyperlink ref="Q1267" r:id="rId1942"/>
    <hyperlink ref="E1269" r:id="rId1943"/>
    <hyperlink ref="Q1269" r:id="rId1944"/>
    <hyperlink ref="E1261" r:id="rId1945"/>
    <hyperlink ref="Q1261" r:id="rId1946"/>
    <hyperlink ref="Q1264" r:id="rId1947"/>
    <hyperlink ref="Q1263" r:id="rId1948"/>
    <hyperlink ref="E1262" r:id="rId1949"/>
    <hyperlink ref="Q1262" r:id="rId1950"/>
    <hyperlink ref="E1259" r:id="rId1951"/>
    <hyperlink ref="Q1259" r:id="rId1952"/>
    <hyperlink ref="Q1260" r:id="rId1953"/>
    <hyperlink ref="E1256" r:id="rId1954"/>
    <hyperlink ref="Q1256" r:id="rId1955"/>
    <hyperlink ref="Q1257" r:id="rId1956"/>
    <hyperlink ref="Q1255" r:id="rId1957"/>
    <hyperlink ref="Q1258" r:id="rId1958"/>
    <hyperlink ref="E1253" r:id="rId1959"/>
    <hyperlink ref="Q1253" r:id="rId1960"/>
    <hyperlink ref="Q1254" r:id="rId1961"/>
    <hyperlink ref="E1252" r:id="rId1962"/>
    <hyperlink ref="Q1252" r:id="rId1963"/>
    <hyperlink ref="Q1248" r:id="rId1964"/>
    <hyperlink ref="E1251" r:id="rId1965"/>
    <hyperlink ref="Q1251" r:id="rId1966"/>
    <hyperlink ref="E1249" r:id="rId1967"/>
    <hyperlink ref="Q1249" r:id="rId1968"/>
    <hyperlink ref="E1250" r:id="rId1969"/>
    <hyperlink ref="Q1250" r:id="rId1970" location="incart_m-rpt-1"/>
    <hyperlink ref="E1247" r:id="rId1971"/>
    <hyperlink ref="Q1247" r:id="rId1972"/>
    <hyperlink ref="Q1246" r:id="rId1973"/>
    <hyperlink ref="E1244" r:id="rId1974"/>
    <hyperlink ref="E1245" r:id="rId1975"/>
    <hyperlink ref="E1242" r:id="rId1976"/>
    <hyperlink ref="E1235" r:id="rId1977"/>
    <hyperlink ref="E1241" r:id="rId1978"/>
    <hyperlink ref="E1233" r:id="rId1979"/>
    <hyperlink ref="E1228" r:id="rId1980"/>
    <hyperlink ref="E1227" r:id="rId1981"/>
    <hyperlink ref="E1226" r:id="rId1982"/>
    <hyperlink ref="E1215" r:id="rId1983"/>
    <hyperlink ref="E1217" r:id="rId1984"/>
    <hyperlink ref="E1212" r:id="rId1985"/>
    <hyperlink ref="E1208" r:id="rId1986"/>
    <hyperlink ref="E1210" r:id="rId1987"/>
    <hyperlink ref="E1206" r:id="rId1988"/>
    <hyperlink ref="Q1243" r:id="rId1989"/>
    <hyperlink ref="Q1244" r:id="rId1990"/>
    <hyperlink ref="Q1245" r:id="rId1991"/>
    <hyperlink ref="Q1238" r:id="rId1992"/>
    <hyperlink ref="Q1242" r:id="rId1993"/>
    <hyperlink ref="Q1236" r:id="rId1994"/>
    <hyperlink ref="Q1237" r:id="rId1995"/>
    <hyperlink ref="Q1239" r:id="rId1996"/>
    <hyperlink ref="Q1240" r:id="rId1997"/>
    <hyperlink ref="Q1235" r:id="rId1998"/>
    <hyperlink ref="Q1241" r:id="rId1999"/>
    <hyperlink ref="Q1233" r:id="rId2000"/>
    <hyperlink ref="Q1234" r:id="rId2001"/>
    <hyperlink ref="Q1231" r:id="rId2002"/>
    <hyperlink ref="Q1228" r:id="rId2003"/>
    <hyperlink ref="Q1232" r:id="rId2004"/>
    <hyperlink ref="Q1230" r:id="rId2005"/>
    <hyperlink ref="Q1227" r:id="rId2006"/>
    <hyperlink ref="Q1226" r:id="rId2007"/>
    <hyperlink ref="Q1224" r:id="rId2008"/>
    <hyperlink ref="Q1222" r:id="rId2009"/>
    <hyperlink ref="Q1220" r:id="rId2010"/>
    <hyperlink ref="Q1221" r:id="rId2011"/>
    <hyperlink ref="Q1223" r:id="rId2012"/>
    <hyperlink ref="Q1214" r:id="rId2013"/>
    <hyperlink ref="Q1215" r:id="rId2014"/>
    <hyperlink ref="Q1218" r:id="rId2015"/>
    <hyperlink ref="Q1217" r:id="rId2016"/>
    <hyperlink ref="Q1219" r:id="rId2017"/>
    <hyperlink ref="Q1212" r:id="rId2018"/>
    <hyperlink ref="Q1213" r:id="rId2019"/>
    <hyperlink ref="Q1209" r:id="rId2020"/>
    <hyperlink ref="Q1208" r:id="rId2021"/>
    <hyperlink ref="Q1210" r:id="rId2022"/>
    <hyperlink ref="Q1205" r:id="rId2023"/>
    <hyperlink ref="Q1211" r:id="rId2024"/>
    <hyperlink ref="Q1207" r:id="rId2025"/>
    <hyperlink ref="Q1206" r:id="rId2026"/>
    <hyperlink ref="Q1202" r:id="rId2027"/>
    <hyperlink ref="Q1204" r:id="rId2028"/>
    <hyperlink ref="Q1203" r:id="rId2029"/>
    <hyperlink ref="Q1200" r:id="rId2030"/>
    <hyperlink ref="Q1201" r:id="rId2031"/>
    <hyperlink ref="E1199" r:id="rId2032"/>
    <hyperlink ref="Q1199" r:id="rId2033"/>
    <hyperlink ref="E1197" r:id="rId2034"/>
    <hyperlink ref="Q1197" r:id="rId2035"/>
    <hyperlink ref="Q1198" r:id="rId2036"/>
    <hyperlink ref="Q1196" r:id="rId2037"/>
    <hyperlink ref="Q1195" r:id="rId2038"/>
    <hyperlink ref="E1193" r:id="rId2039"/>
    <hyperlink ref="Q1193" r:id="rId2040"/>
    <hyperlink ref="Q1194" r:id="rId2041"/>
    <hyperlink ref="Q1189" r:id="rId2042"/>
    <hyperlink ref="E1191" r:id="rId2043"/>
    <hyperlink ref="Q1191" r:id="rId2044"/>
    <hyperlink ref="E1192" r:id="rId2045"/>
    <hyperlink ref="Q1192" r:id="rId2046"/>
    <hyperlink ref="Q1190" r:id="rId2047"/>
    <hyperlink ref="Q1188" r:id="rId2048"/>
    <hyperlink ref="Q1186" r:id="rId2049"/>
    <hyperlink ref="E1185" r:id="rId2050"/>
    <hyperlink ref="Q1185" r:id="rId2051"/>
    <hyperlink ref="E1187" r:id="rId2052"/>
    <hyperlink ref="Q1187" r:id="rId2053"/>
    <hyperlink ref="Q1183" r:id="rId2054"/>
    <hyperlink ref="E1181" r:id="rId2055"/>
    <hyperlink ref="Q1181" r:id="rId2056"/>
    <hyperlink ref="E1182" r:id="rId2057"/>
    <hyperlink ref="Q1182" r:id="rId2058"/>
    <hyperlink ref="Q1184" r:id="rId2059"/>
    <hyperlink ref="Q1177" r:id="rId2060"/>
    <hyperlink ref="Q1179" r:id="rId2061"/>
    <hyperlink ref="Q1178" r:id="rId2062"/>
    <hyperlink ref="E1180" r:id="rId2063"/>
    <hyperlink ref="Q1180" r:id="rId2064"/>
    <hyperlink ref="Q1176" r:id="rId2065"/>
    <hyperlink ref="E1175" r:id="rId2066"/>
    <hyperlink ref="Q1175" r:id="rId2067"/>
    <hyperlink ref="Q1174" r:id="rId2068"/>
    <hyperlink ref="E1173" r:id="rId2069"/>
    <hyperlink ref="Q1173" r:id="rId2070"/>
    <hyperlink ref="Q1172" r:id="rId2071"/>
    <hyperlink ref="Q1171" r:id="rId2072"/>
    <hyperlink ref="Q1169" r:id="rId2073"/>
    <hyperlink ref="E1170" r:id="rId2074"/>
    <hyperlink ref="Q1170" r:id="rId2075"/>
    <hyperlink ref="Q1168" r:id="rId2076"/>
    <hyperlink ref="Q1167" r:id="rId2077"/>
    <hyperlink ref="Q1166" r:id="rId2078"/>
    <hyperlink ref="Q1165" r:id="rId2079"/>
    <hyperlink ref="Q1162" r:id="rId2080"/>
    <hyperlink ref="E1164" r:id="rId2081"/>
    <hyperlink ref="Q1164" r:id="rId2082"/>
    <hyperlink ref="Q1163" r:id="rId2083"/>
    <hyperlink ref="E1160" r:id="rId2084"/>
    <hyperlink ref="Q1160" r:id="rId2085"/>
    <hyperlink ref="Q1161" r:id="rId2086"/>
    <hyperlink ref="E1159" r:id="rId2087"/>
    <hyperlink ref="Q1159" r:id="rId2088"/>
    <hyperlink ref="E1155" r:id="rId2089"/>
    <hyperlink ref="Q1155" r:id="rId2090"/>
    <hyperlink ref="Q1158" r:id="rId2091"/>
    <hyperlink ref="E1157" r:id="rId2092"/>
    <hyperlink ref="Q1157" r:id="rId2093"/>
    <hyperlink ref="E1154" r:id="rId2094"/>
    <hyperlink ref="Q1154" r:id="rId2095"/>
    <hyperlink ref="Q1152" r:id="rId2096"/>
    <hyperlink ref="Q1151" r:id="rId2097"/>
    <hyperlink ref="Q1153" r:id="rId2098"/>
    <hyperlink ref="Q1149" r:id="rId2099"/>
    <hyperlink ref="Q1148" r:id="rId2100"/>
    <hyperlink ref="Q1147" r:id="rId2101"/>
    <hyperlink ref="E1146" r:id="rId2102"/>
    <hyperlink ref="Q1146" r:id="rId2103"/>
    <hyperlink ref="E1145" r:id="rId2104"/>
    <hyperlink ref="Q1145" r:id="rId2105"/>
    <hyperlink ref="Q1144" r:id="rId2106"/>
    <hyperlink ref="Q1143" r:id="rId2107"/>
    <hyperlink ref="Q1140" r:id="rId2108"/>
    <hyperlink ref="Q1142" r:id="rId2109"/>
    <hyperlink ref="Q1141" r:id="rId2110"/>
    <hyperlink ref="Q1134" r:id="rId2111"/>
    <hyperlink ref="Q1139" r:id="rId2112"/>
    <hyperlink ref="E1138" r:id="rId2113"/>
    <hyperlink ref="Q1138" r:id="rId2114" location=".V5WASEYrLnD"/>
    <hyperlink ref="E1135" r:id="rId2115"/>
    <hyperlink ref="Q1135" r:id="rId2116"/>
    <hyperlink ref="E1136" r:id="rId2117"/>
    <hyperlink ref="Q1136" r:id="rId2118"/>
    <hyperlink ref="E1132" r:id="rId2119"/>
    <hyperlink ref="Q1132" r:id="rId2120"/>
    <hyperlink ref="Q1133" r:id="rId2121"/>
    <hyperlink ref="Q1123" r:id="rId2122"/>
    <hyperlink ref="Q1130" r:id="rId2123"/>
    <hyperlink ref="Q1131" r:id="rId2124"/>
    <hyperlink ref="E1129" r:id="rId2125"/>
    <hyperlink ref="Q1129" r:id="rId2126"/>
    <hyperlink ref="E1128" r:id="rId2127"/>
    <hyperlink ref="Q1128" r:id="rId2128"/>
    <hyperlink ref="E1126" r:id="rId2129"/>
    <hyperlink ref="Q1126" r:id="rId2130"/>
    <hyperlink ref="Q1127" r:id="rId2131"/>
    <hyperlink ref="Q1124" r:id="rId2132"/>
    <hyperlink ref="Q1125" r:id="rId2133"/>
    <hyperlink ref="E1117" r:id="rId2134"/>
    <hyperlink ref="Q1117" r:id="rId2135"/>
    <hyperlink ref="Q1118" r:id="rId2136"/>
    <hyperlink ref="Q1120" r:id="rId2137"/>
    <hyperlink ref="Q1119" r:id="rId2138"/>
    <hyperlink ref="Q1122" r:id="rId2139"/>
    <hyperlink ref="Q1121" r:id="rId2140"/>
    <hyperlink ref="E1114" r:id="rId2141"/>
    <hyperlink ref="Q1114" r:id="rId2142"/>
    <hyperlink ref="E1115" r:id="rId2143"/>
    <hyperlink ref="Q1115" r:id="rId2144"/>
    <hyperlink ref="E1112" r:id="rId2145"/>
    <hyperlink ref="Q1112" r:id="rId2146"/>
    <hyperlink ref="Q1113" r:id="rId2147"/>
    <hyperlink ref="Q1111" r:id="rId2148"/>
    <hyperlink ref="Q1108" r:id="rId2149"/>
    <hyperlink ref="E1105" r:id="rId2150"/>
    <hyperlink ref="Q1105" r:id="rId2151"/>
    <hyperlink ref="Q1107" r:id="rId2152"/>
    <hyperlink ref="E1109" r:id="rId2153"/>
    <hyperlink ref="Q1109" r:id="rId2154"/>
    <hyperlink ref="E1106" r:id="rId2155"/>
    <hyperlink ref="Q1106" r:id="rId2156"/>
    <hyperlink ref="E1100" r:id="rId2157"/>
    <hyperlink ref="Q1100" r:id="rId2158"/>
    <hyperlink ref="E1103" r:id="rId2159"/>
    <hyperlink ref="Q1103" r:id="rId2160"/>
    <hyperlink ref="E1104" r:id="rId2161"/>
    <hyperlink ref="Q1104" r:id="rId2162"/>
    <hyperlink ref="E1101" r:id="rId2163"/>
    <hyperlink ref="Q1101" r:id="rId2164"/>
    <hyperlink ref="E1102" r:id="rId2165"/>
    <hyperlink ref="Q1102" r:id="rId2166"/>
    <hyperlink ref="E1098" r:id="rId2167"/>
    <hyperlink ref="Q1098" r:id="rId2168"/>
    <hyperlink ref="E1099" r:id="rId2169"/>
    <hyperlink ref="Q1099" r:id="rId2170"/>
    <hyperlink ref="E1096" r:id="rId2171"/>
    <hyperlink ref="Q1096" r:id="rId2172"/>
    <hyperlink ref="E1095" r:id="rId2173"/>
    <hyperlink ref="Q1095" r:id="rId2174"/>
    <hyperlink ref="Q1097" r:id="rId2175"/>
    <hyperlink ref="Q1092" r:id="rId2176"/>
    <hyperlink ref="E1090" r:id="rId2177"/>
    <hyperlink ref="Q1090" r:id="rId2178"/>
    <hyperlink ref="E1091" r:id="rId2179"/>
    <hyperlink ref="Q1091" r:id="rId2180"/>
    <hyperlink ref="Q1093" r:id="rId2181"/>
    <hyperlink ref="Q1094" r:id="rId2182"/>
    <hyperlink ref="E1088" r:id="rId2183"/>
    <hyperlink ref="Q1088" r:id="rId2184"/>
    <hyperlink ref="E1089" r:id="rId2185"/>
    <hyperlink ref="Q1089" r:id="rId2186"/>
    <hyperlink ref="Q1085" r:id="rId2187"/>
    <hyperlink ref="Q1084" r:id="rId2188"/>
    <hyperlink ref="E1083" r:id="rId2189"/>
    <hyperlink ref="Q1083" r:id="rId2190"/>
    <hyperlink ref="Q1086" r:id="rId2191"/>
    <hyperlink ref="Q1087" r:id="rId2192"/>
    <hyperlink ref="Q1081" r:id="rId2193"/>
    <hyperlink ref="E1078" r:id="rId2194"/>
    <hyperlink ref="Q1078" r:id="rId2195"/>
    <hyperlink ref="E1079" r:id="rId2196"/>
    <hyperlink ref="Q1079" r:id="rId2197"/>
    <hyperlink ref="E1082" r:id="rId2198"/>
    <hyperlink ref="Q1082" r:id="rId2199"/>
    <hyperlink ref="E1080" r:id="rId2200"/>
    <hyperlink ref="Q1080" r:id="rId2201"/>
    <hyperlink ref="E1074" r:id="rId2202"/>
    <hyperlink ref="Q1074" r:id="rId2203"/>
    <hyperlink ref="E1076" r:id="rId2204"/>
    <hyperlink ref="Q1076" r:id="rId2205"/>
    <hyperlink ref="Q1077" r:id="rId2206"/>
    <hyperlink ref="Q1072" r:id="rId2207"/>
    <hyperlink ref="E1071" r:id="rId2208"/>
    <hyperlink ref="Q1071" r:id="rId2209"/>
    <hyperlink ref="E1073" r:id="rId2210"/>
    <hyperlink ref="Q1073" r:id="rId2211"/>
    <hyperlink ref="Q1068" r:id="rId2212"/>
    <hyperlink ref="Q1069" r:id="rId2213"/>
    <hyperlink ref="Q1067" r:id="rId2214"/>
    <hyperlink ref="Q1064" r:id="rId2215"/>
    <hyperlink ref="Q1066" r:id="rId2216"/>
    <hyperlink ref="E1063" r:id="rId2217"/>
    <hyperlink ref="Q1063" r:id="rId2218"/>
    <hyperlink ref="E1061" r:id="rId2219"/>
    <hyperlink ref="Q1061" r:id="rId2220"/>
    <hyperlink ref="Q1062" r:id="rId2221"/>
    <hyperlink ref="Q1058" r:id="rId2222"/>
    <hyperlink ref="Q1057" r:id="rId2223"/>
    <hyperlink ref="E1055" r:id="rId2224"/>
    <hyperlink ref="Q1055" r:id="rId2225"/>
    <hyperlink ref="Q1054" r:id="rId2226"/>
    <hyperlink ref="E1056" r:id="rId2227"/>
    <hyperlink ref="Q1056" r:id="rId2228"/>
    <hyperlink ref="Q1060" r:id="rId2229"/>
    <hyperlink ref="Q1059" r:id="rId2230"/>
    <hyperlink ref="Q1053" r:id="rId2231"/>
    <hyperlink ref="Q1047" r:id="rId2232"/>
    <hyperlink ref="Q1051" r:id="rId2233"/>
    <hyperlink ref="E1046" r:id="rId2234"/>
    <hyperlink ref="Q1046" r:id="rId2235"/>
    <hyperlink ref="Q1052" r:id="rId2236"/>
    <hyperlink ref="E1048" r:id="rId2237"/>
    <hyperlink ref="Q1048" r:id="rId2238"/>
    <hyperlink ref="E1050" r:id="rId2239"/>
    <hyperlink ref="Q1050" r:id="rId2240"/>
    <hyperlink ref="E1049" r:id="rId2241"/>
    <hyperlink ref="Q1049" r:id="rId2242"/>
    <hyperlink ref="Q1045" r:id="rId2243"/>
    <hyperlink ref="Q1041" r:id="rId2244"/>
    <hyperlink ref="E1043" r:id="rId2245"/>
    <hyperlink ref="Q1043" r:id="rId2246"/>
    <hyperlink ref="Q1042" r:id="rId2247"/>
    <hyperlink ref="Q1040" r:id="rId2248"/>
    <hyperlink ref="Q1044" r:id="rId2249"/>
    <hyperlink ref="Q1039" r:id="rId2250"/>
    <hyperlink ref="Q1036" r:id="rId2251"/>
    <hyperlink ref="Q1038" r:id="rId2252"/>
    <hyperlink ref="E1037" r:id="rId2253"/>
    <hyperlink ref="Q1037" r:id="rId2254"/>
    <hyperlink ref="E1035" r:id="rId2255"/>
    <hyperlink ref="Q1035" r:id="rId2256"/>
    <hyperlink ref="E1034" r:id="rId2257"/>
    <hyperlink ref="Q1034" r:id="rId2258"/>
    <hyperlink ref="Q1033" r:id="rId2259"/>
    <hyperlink ref="E1032" r:id="rId2260"/>
    <hyperlink ref="Q1032" r:id="rId2261"/>
    <hyperlink ref="Q1031" r:id="rId2262"/>
    <hyperlink ref="E1028" r:id="rId2263"/>
    <hyperlink ref="Q1028" r:id="rId2264"/>
    <hyperlink ref="E1027" r:id="rId2265"/>
    <hyperlink ref="Q1027" r:id="rId2266"/>
    <hyperlink ref="Q1029" r:id="rId2267"/>
    <hyperlink ref="E1030" r:id="rId2268"/>
    <hyperlink ref="Q1030" r:id="rId2269"/>
    <hyperlink ref="Q1025" r:id="rId2270"/>
    <hyperlink ref="E1026" r:id="rId2271"/>
    <hyperlink ref="Q1026" r:id="rId2272"/>
    <hyperlink ref="E1021" r:id="rId2273"/>
    <hyperlink ref="Q1021" r:id="rId2274"/>
    <hyperlink ref="E1022" r:id="rId2275"/>
    <hyperlink ref="Q1022" r:id="rId2276"/>
    <hyperlink ref="E1023" r:id="rId2277"/>
    <hyperlink ref="Q1023" r:id="rId2278"/>
    <hyperlink ref="E1024" r:id="rId2279"/>
    <hyperlink ref="Q1024" r:id="rId2280"/>
    <hyperlink ref="Q1020" r:id="rId2281"/>
    <hyperlink ref="Q1017" r:id="rId2282"/>
    <hyperlink ref="E1018" r:id="rId2283"/>
    <hyperlink ref="Q1018" r:id="rId2284"/>
    <hyperlink ref="E1016" r:id="rId2285"/>
    <hyperlink ref="Q1016" r:id="rId2286"/>
    <hyperlink ref="E1019" r:id="rId2287"/>
    <hyperlink ref="Q1019" r:id="rId2288"/>
    <hyperlink ref="E1014" r:id="rId2289"/>
    <hyperlink ref="Q1014" r:id="rId2290"/>
    <hyperlink ref="Q1012" r:id="rId2291"/>
    <hyperlink ref="E1013" r:id="rId2292"/>
    <hyperlink ref="Q1013" r:id="rId2293"/>
    <hyperlink ref="Q1015" r:id="rId2294"/>
    <hyperlink ref="E1010" r:id="rId2295"/>
    <hyperlink ref="Q1010" r:id="rId2296"/>
    <hyperlink ref="Q1011" r:id="rId2297"/>
    <hyperlink ref="Q1007" r:id="rId2298"/>
    <hyperlink ref="Q1008" r:id="rId2299"/>
    <hyperlink ref="Q1006" r:id="rId2300"/>
    <hyperlink ref="Q1009" r:id="rId2301"/>
    <hyperlink ref="Q1005" r:id="rId2302"/>
    <hyperlink ref="Q1004" r:id="rId2303"/>
    <hyperlink ref="Q1002" r:id="rId2304"/>
    <hyperlink ref="E1003" r:id="rId2305"/>
    <hyperlink ref="Q1003" r:id="rId2306"/>
    <hyperlink ref="Q996" r:id="rId2307"/>
    <hyperlink ref="Q999" r:id="rId2308"/>
    <hyperlink ref="Q1000" r:id="rId2309"/>
    <hyperlink ref="Q998" r:id="rId2310"/>
    <hyperlink ref="Q1001" r:id="rId2311"/>
    <hyperlink ref="Q997" r:id="rId2312"/>
    <hyperlink ref="Q995" r:id="rId2313"/>
    <hyperlink ref="Q994" r:id="rId2314"/>
    <hyperlink ref="E992" r:id="rId2315"/>
    <hyperlink ref="Q992" r:id="rId2316"/>
    <hyperlink ref="E990" r:id="rId2317"/>
    <hyperlink ref="Q990" r:id="rId2318"/>
    <hyperlink ref="Q991" r:id="rId2319"/>
    <hyperlink ref="Q989" r:id="rId2320"/>
    <hyperlink ref="Q993" r:id="rId2321"/>
    <hyperlink ref="E988" r:id="rId2322"/>
    <hyperlink ref="Q988" r:id="rId2323"/>
    <hyperlink ref="E983" r:id="rId2324"/>
    <hyperlink ref="Q983" r:id="rId2325"/>
    <hyperlink ref="E985" r:id="rId2326"/>
    <hyperlink ref="Q985" r:id="rId2327"/>
    <hyperlink ref="Q986" r:id="rId2328"/>
    <hyperlink ref="E987" r:id="rId2329"/>
    <hyperlink ref="Q987" r:id="rId2330"/>
    <hyperlink ref="Q984" r:id="rId2331"/>
    <hyperlink ref="E979" r:id="rId2332"/>
    <hyperlink ref="Q979" r:id="rId2333"/>
    <hyperlink ref="E981" r:id="rId2334"/>
    <hyperlink ref="Q981" r:id="rId2335"/>
    <hyperlink ref="Q982" r:id="rId2336"/>
    <hyperlink ref="Q978" r:id="rId2337"/>
    <hyperlink ref="Q976" r:id="rId2338"/>
    <hyperlink ref="Q973" r:id="rId2339"/>
    <hyperlink ref="Q974" r:id="rId2340"/>
    <hyperlink ref="E933" r:id="rId2341"/>
    <hyperlink ref="Q933" r:id="rId2342"/>
    <hyperlink ref="E923" r:id="rId2343"/>
    <hyperlink ref="Q923" r:id="rId2344"/>
    <hyperlink ref="Q924" r:id="rId2345"/>
    <hyperlink ref="Q920" r:id="rId2346"/>
    <hyperlink ref="E919" r:id="rId2347"/>
    <hyperlink ref="Q919" r:id="rId2348"/>
    <hyperlink ref="Q918" r:id="rId2349"/>
    <hyperlink ref="E916" r:id="rId2350"/>
    <hyperlink ref="Q916" r:id="rId2351"/>
    <hyperlink ref="E917" r:id="rId2352"/>
    <hyperlink ref="Q917" r:id="rId2353"/>
    <hyperlink ref="E914" r:id="rId2354"/>
    <hyperlink ref="Q914" r:id="rId2355"/>
    <hyperlink ref="E915" r:id="rId2356"/>
    <hyperlink ref="Q915" r:id="rId2357"/>
    <hyperlink ref="E913" r:id="rId2358"/>
    <hyperlink ref="Q913" r:id="rId2359"/>
    <hyperlink ref="Q912" r:id="rId2360"/>
    <hyperlink ref="E911" r:id="rId2361"/>
    <hyperlink ref="Q911" r:id="rId2362"/>
    <hyperlink ref="E910" r:id="rId2363"/>
    <hyperlink ref="Q910" r:id="rId2364"/>
    <hyperlink ref="Q905" r:id="rId2365"/>
    <hyperlink ref="E909" r:id="rId2366"/>
    <hyperlink ref="Q909" r:id="rId2367"/>
    <hyperlink ref="E907" r:id="rId2368"/>
    <hyperlink ref="Q907" r:id="rId2369"/>
    <hyperlink ref="E906" r:id="rId2370"/>
    <hyperlink ref="Q906" r:id="rId2371"/>
    <hyperlink ref="Q904" r:id="rId2372"/>
    <hyperlink ref="Q903" r:id="rId2373"/>
    <hyperlink ref="E902" r:id="rId2374"/>
    <hyperlink ref="Q902" r:id="rId2375"/>
    <hyperlink ref="Q900" r:id="rId2376"/>
    <hyperlink ref="E901" r:id="rId2377"/>
    <hyperlink ref="Q901" r:id="rId2378"/>
    <hyperlink ref="E899" r:id="rId2379"/>
    <hyperlink ref="Q899" r:id="rId2380"/>
    <hyperlink ref="E895" r:id="rId2381"/>
    <hyperlink ref="Q895" r:id="rId2382"/>
    <hyperlink ref="E892" r:id="rId2383"/>
    <hyperlink ref="Q892" r:id="rId2384"/>
    <hyperlink ref="E897" r:id="rId2385"/>
    <hyperlink ref="Q897" r:id="rId2386"/>
    <hyperlink ref="Q891" r:id="rId2387"/>
    <hyperlink ref="Q896" r:id="rId2388"/>
    <hyperlink ref="E893" r:id="rId2389"/>
    <hyperlink ref="Q893" r:id="rId2390"/>
    <hyperlink ref="E890" r:id="rId2391"/>
    <hyperlink ref="Q890" r:id="rId2392"/>
    <hyperlink ref="Q889" r:id="rId2393"/>
    <hyperlink ref="E887" r:id="rId2394"/>
    <hyperlink ref="Q887" r:id="rId2395"/>
    <hyperlink ref="Q884" r:id="rId2396"/>
    <hyperlink ref="E883" r:id="rId2397"/>
    <hyperlink ref="Q883" r:id="rId2398"/>
    <hyperlink ref="Q886" r:id="rId2399"/>
    <hyperlink ref="E885" r:id="rId2400"/>
    <hyperlink ref="Q885" r:id="rId2401"/>
    <hyperlink ref="E881" r:id="rId2402"/>
    <hyperlink ref="Q881" r:id="rId2403"/>
    <hyperlink ref="Q880" r:id="rId2404"/>
    <hyperlink ref="Q882" r:id="rId2405"/>
    <hyperlink ref="E878" r:id="rId2406"/>
    <hyperlink ref="Q878" r:id="rId2407"/>
    <hyperlink ref="E879" r:id="rId2408"/>
    <hyperlink ref="Q879" r:id="rId2409"/>
    <hyperlink ref="Q877" r:id="rId2410"/>
    <hyperlink ref="Q875" r:id="rId2411"/>
    <hyperlink ref="Q876" r:id="rId2412"/>
    <hyperlink ref="E874" r:id="rId2413"/>
    <hyperlink ref="Q874" r:id="rId2414"/>
    <hyperlink ref="Q873" r:id="rId2415"/>
    <hyperlink ref="E870" r:id="rId2416"/>
    <hyperlink ref="Q870" r:id="rId2417"/>
    <hyperlink ref="E869" r:id="rId2418"/>
    <hyperlink ref="Q869" r:id="rId2419"/>
    <hyperlink ref="E866" r:id="rId2420"/>
    <hyperlink ref="Q866" r:id="rId2421"/>
    <hyperlink ref="Q867" r:id="rId2422"/>
    <hyperlink ref="Q868" r:id="rId2423"/>
    <hyperlink ref="E865" r:id="rId2424"/>
    <hyperlink ref="Q865" r:id="rId2425"/>
    <hyperlink ref="E864" r:id="rId2426"/>
    <hyperlink ref="Q864" r:id="rId2427"/>
    <hyperlink ref="E863" r:id="rId2428"/>
    <hyperlink ref="Q863" r:id="rId2429"/>
    <hyperlink ref="Q861" r:id="rId2430"/>
    <hyperlink ref="E862" r:id="rId2431"/>
    <hyperlink ref="Q862" r:id="rId2432"/>
    <hyperlink ref="Q860" r:id="rId2433"/>
    <hyperlink ref="E858" r:id="rId2434"/>
    <hyperlink ref="Q858" r:id="rId2435"/>
    <hyperlink ref="E859" r:id="rId2436"/>
    <hyperlink ref="Q859" r:id="rId2437"/>
    <hyperlink ref="Q857" r:id="rId2438"/>
    <hyperlink ref="Q856" r:id="rId2439"/>
    <hyperlink ref="E850" r:id="rId2440"/>
    <hyperlink ref="Q850" r:id="rId2441"/>
    <hyperlink ref="Q855" r:id="rId2442"/>
    <hyperlink ref="E854" r:id="rId2443"/>
    <hyperlink ref="Q854" r:id="rId2444"/>
    <hyperlink ref="Q849" r:id="rId2445"/>
    <hyperlink ref="Q848" r:id="rId2446"/>
    <hyperlink ref="Q847" r:id="rId2447"/>
    <hyperlink ref="E846" r:id="rId2448"/>
    <hyperlink ref="Q846" r:id="rId2449"/>
    <hyperlink ref="E843" r:id="rId2450"/>
    <hyperlink ref="Q843" r:id="rId2451"/>
    <hyperlink ref="Q844" r:id="rId2452"/>
    <hyperlink ref="E845" r:id="rId2453"/>
    <hyperlink ref="Q845" r:id="rId2454"/>
    <hyperlink ref="Q839" r:id="rId2455"/>
    <hyperlink ref="E841" r:id="rId2456"/>
    <hyperlink ref="Q841" r:id="rId2457"/>
    <hyperlink ref="E842" r:id="rId2458"/>
    <hyperlink ref="Q842" r:id="rId2459"/>
    <hyperlink ref="E840" r:id="rId2460"/>
    <hyperlink ref="Q840" r:id="rId2461"/>
    <hyperlink ref="Q836" r:id="rId2462"/>
    <hyperlink ref="Q838" r:id="rId2463"/>
    <hyperlink ref="Q837" r:id="rId2464"/>
    <hyperlink ref="E835" r:id="rId2465"/>
    <hyperlink ref="Q835" r:id="rId2466"/>
    <hyperlink ref="Q834" r:id="rId2467"/>
    <hyperlink ref="Q830" r:id="rId2468"/>
    <hyperlink ref="Q833" r:id="rId2469"/>
    <hyperlink ref="Q829" r:id="rId2470"/>
    <hyperlink ref="Q828" r:id="rId2471"/>
    <hyperlink ref="E827" r:id="rId2472"/>
    <hyperlink ref="Q827" r:id="rId2473"/>
    <hyperlink ref="E825" r:id="rId2474"/>
    <hyperlink ref="Q825" r:id="rId2475"/>
    <hyperlink ref="E826" r:id="rId2476"/>
    <hyperlink ref="Q826" r:id="rId2477"/>
    <hyperlink ref="Q824" r:id="rId2478"/>
    <hyperlink ref="Q823" r:id="rId2479"/>
    <hyperlink ref="Q822" r:id="rId2480"/>
    <hyperlink ref="E821" r:id="rId2481"/>
    <hyperlink ref="Q821" r:id="rId2482"/>
    <hyperlink ref="Q818" r:id="rId2483"/>
    <hyperlink ref="Q819" r:id="rId2484"/>
    <hyperlink ref="E820" r:id="rId2485"/>
    <hyperlink ref="Q820" r:id="rId2486"/>
    <hyperlink ref="E813" r:id="rId2487"/>
    <hyperlink ref="Q813" r:id="rId2488"/>
    <hyperlink ref="E816" r:id="rId2489"/>
    <hyperlink ref="Q816" r:id="rId2490"/>
    <hyperlink ref="Q814" r:id="rId2491"/>
    <hyperlink ref="E815" r:id="rId2492"/>
    <hyperlink ref="Q815" r:id="rId2493"/>
    <hyperlink ref="Q817" r:id="rId2494"/>
    <hyperlink ref="E811" r:id="rId2495"/>
    <hyperlink ref="Q811" r:id="rId2496"/>
    <hyperlink ref="Q812" r:id="rId2497"/>
    <hyperlink ref="E807" r:id="rId2498"/>
    <hyperlink ref="Q807" r:id="rId2499"/>
    <hyperlink ref="Q810" r:id="rId2500"/>
    <hyperlink ref="Q809" r:id="rId2501"/>
    <hyperlink ref="Q808" r:id="rId2502"/>
    <hyperlink ref="E806" r:id="rId2503"/>
    <hyperlink ref="Q806" r:id="rId2504"/>
    <hyperlink ref="Q804" r:id="rId2505"/>
    <hyperlink ref="E801" r:id="rId2506"/>
    <hyperlink ref="Q801" r:id="rId2507"/>
    <hyperlink ref="Q802" r:id="rId2508"/>
    <hyperlink ref="Q805" r:id="rId2509"/>
    <hyperlink ref="E803" r:id="rId2510"/>
    <hyperlink ref="Q803" r:id="rId2511"/>
    <hyperlink ref="E800" r:id="rId2512"/>
    <hyperlink ref="Q800" r:id="rId2513"/>
    <hyperlink ref="Q799" r:id="rId2514"/>
    <hyperlink ref="E798" r:id="rId2515"/>
    <hyperlink ref="Q798" r:id="rId2516"/>
    <hyperlink ref="E793" r:id="rId2517"/>
    <hyperlink ref="Q793" r:id="rId2518"/>
    <hyperlink ref="Q795" r:id="rId2519"/>
    <hyperlink ref="E797" r:id="rId2520"/>
    <hyperlink ref="Q797" r:id="rId2521"/>
    <hyperlink ref="Q792" r:id="rId2522"/>
    <hyperlink ref="E791" r:id="rId2523"/>
    <hyperlink ref="Q791" r:id="rId2524"/>
    <hyperlink ref="Q789" r:id="rId2525"/>
    <hyperlink ref="E788" r:id="rId2526"/>
    <hyperlink ref="Q788" r:id="rId2527"/>
    <hyperlink ref="Q787" r:id="rId2528"/>
    <hyperlink ref="E786" r:id="rId2529"/>
    <hyperlink ref="Q786" r:id="rId2530"/>
    <hyperlink ref="Q782" r:id="rId2531"/>
    <hyperlink ref="Q783" r:id="rId2532"/>
    <hyperlink ref="Q784" r:id="rId2533"/>
    <hyperlink ref="Q780" r:id="rId2534"/>
    <hyperlink ref="E781" r:id="rId2535"/>
    <hyperlink ref="Q781" r:id="rId2536"/>
    <hyperlink ref="Q779" r:id="rId2537"/>
    <hyperlink ref="E775" r:id="rId2538"/>
    <hyperlink ref="Q775" r:id="rId2539"/>
    <hyperlink ref="E777" r:id="rId2540"/>
    <hyperlink ref="Q777" r:id="rId2541"/>
    <hyperlink ref="E773" r:id="rId2542"/>
    <hyperlink ref="Q773" r:id="rId2543"/>
    <hyperlink ref="E776" r:id="rId2544"/>
    <hyperlink ref="Q776" r:id="rId2545"/>
    <hyperlink ref="E770" r:id="rId2546"/>
    <hyperlink ref="Q770" r:id="rId2547"/>
    <hyperlink ref="E772" r:id="rId2548"/>
    <hyperlink ref="Q772" r:id="rId2549"/>
    <hyperlink ref="E774" r:id="rId2550"/>
    <hyperlink ref="Q774" r:id="rId2551"/>
    <hyperlink ref="Q769" r:id="rId2552"/>
    <hyperlink ref="E771" r:id="rId2553"/>
    <hyperlink ref="Q771" r:id="rId2554"/>
    <hyperlink ref="Q768" r:id="rId2555"/>
    <hyperlink ref="Q767" r:id="rId2556"/>
    <hyperlink ref="Q765" r:id="rId2557"/>
    <hyperlink ref="Q764" r:id="rId2558"/>
    <hyperlink ref="Q761" r:id="rId2559"/>
    <hyperlink ref="Q766" r:id="rId2560"/>
    <hyperlink ref="E762" r:id="rId2561"/>
    <hyperlink ref="Q762" r:id="rId2562"/>
    <hyperlink ref="Q760" r:id="rId2563"/>
    <hyperlink ref="Q757" r:id="rId2564"/>
    <hyperlink ref="E758" r:id="rId2565"/>
    <hyperlink ref="Q758" r:id="rId2566"/>
    <hyperlink ref="Q759" r:id="rId2567"/>
    <hyperlink ref="Q754" r:id="rId2568"/>
    <hyperlink ref="E756" r:id="rId2569"/>
    <hyperlink ref="Q756" r:id="rId2570"/>
    <hyperlink ref="Q755" r:id="rId2571"/>
    <hyperlink ref="Q752" r:id="rId2572"/>
    <hyperlink ref="Q753" r:id="rId2573"/>
    <hyperlink ref="E751" r:id="rId2574"/>
    <hyperlink ref="Q751" r:id="rId2575"/>
    <hyperlink ref="E749" r:id="rId2576"/>
    <hyperlink ref="Q749" r:id="rId2577"/>
    <hyperlink ref="Q750" r:id="rId2578"/>
    <hyperlink ref="E748" r:id="rId2579"/>
    <hyperlink ref="Q748" r:id="rId2580"/>
    <hyperlink ref="Q747" r:id="rId2581"/>
    <hyperlink ref="Q745" r:id="rId2582"/>
    <hyperlink ref="E746" r:id="rId2583"/>
    <hyperlink ref="Q746" r:id="rId2584"/>
    <hyperlink ref="E741" r:id="rId2585"/>
    <hyperlink ref="Q741" r:id="rId2586"/>
    <hyperlink ref="E744" r:id="rId2587"/>
    <hyperlink ref="Q744" r:id="rId2588"/>
    <hyperlink ref="E742" r:id="rId2589"/>
    <hyperlink ref="Q742" r:id="rId2590"/>
    <hyperlink ref="Q743" r:id="rId2591"/>
    <hyperlink ref="E740" r:id="rId2592"/>
    <hyperlink ref="Q740" r:id="rId2593"/>
    <hyperlink ref="E739" r:id="rId2594"/>
    <hyperlink ref="Q739" r:id="rId2595"/>
    <hyperlink ref="Q736" r:id="rId2596"/>
    <hyperlink ref="E737" r:id="rId2597"/>
    <hyperlink ref="Q737" r:id="rId2598"/>
    <hyperlink ref="E738" r:id="rId2599"/>
    <hyperlink ref="Q738" r:id="rId2600"/>
    <hyperlink ref="E735" r:id="rId2601"/>
    <hyperlink ref="Q735" r:id="rId2602"/>
    <hyperlink ref="E733" r:id="rId2603"/>
    <hyperlink ref="Q733" r:id="rId2604"/>
    <hyperlink ref="E732" r:id="rId2605"/>
    <hyperlink ref="Q732" r:id="rId2606"/>
    <hyperlink ref="E731" r:id="rId2607"/>
    <hyperlink ref="Q731" r:id="rId2608"/>
    <hyperlink ref="E730" r:id="rId2609"/>
    <hyperlink ref="Q730" r:id="rId2610"/>
    <hyperlink ref="E725" r:id="rId2611"/>
    <hyperlink ref="Q725" r:id="rId2612"/>
    <hyperlink ref="E726" r:id="rId2613"/>
    <hyperlink ref="Q726" r:id="rId2614"/>
    <hyperlink ref="Q728" r:id="rId2615"/>
    <hyperlink ref="E727" r:id="rId2616"/>
    <hyperlink ref="Q727" r:id="rId2617"/>
    <hyperlink ref="E729" r:id="rId2618"/>
    <hyperlink ref="Q729" r:id="rId2619"/>
    <hyperlink ref="Q724" r:id="rId2620"/>
    <hyperlink ref="Q720" r:id="rId2621"/>
    <hyperlink ref="Q723" r:id="rId2622"/>
    <hyperlink ref="E721" r:id="rId2623"/>
    <hyperlink ref="Q721" r:id="rId2624"/>
    <hyperlink ref="E719" r:id="rId2625"/>
    <hyperlink ref="Q719" r:id="rId2626"/>
    <hyperlink ref="Q717" r:id="rId2627"/>
    <hyperlink ref="Q718" r:id="rId2628"/>
    <hyperlink ref="E716" r:id="rId2629"/>
    <hyperlink ref="Q716" r:id="rId2630"/>
    <hyperlink ref="Q712" r:id="rId2631"/>
    <hyperlink ref="E714" r:id="rId2632"/>
    <hyperlink ref="Q714" r:id="rId2633"/>
    <hyperlink ref="E715" r:id="rId2634"/>
    <hyperlink ref="Q715" r:id="rId2635"/>
    <hyperlink ref="E713" r:id="rId2636"/>
    <hyperlink ref="Q713" r:id="rId2637"/>
    <hyperlink ref="Q710" r:id="rId2638"/>
    <hyperlink ref="Q709" r:id="rId2639"/>
    <hyperlink ref="E706" r:id="rId2640"/>
    <hyperlink ref="Q706" r:id="rId2641"/>
    <hyperlink ref="Q705" r:id="rId2642"/>
    <hyperlink ref="E708" r:id="rId2643"/>
    <hyperlink ref="Q708" r:id="rId2644"/>
    <hyperlink ref="E707" r:id="rId2645"/>
    <hyperlink ref="Q707" r:id="rId2646"/>
    <hyperlink ref="E704" r:id="rId2647"/>
    <hyperlink ref="Q704" r:id="rId2648"/>
    <hyperlink ref="E703" r:id="rId2649"/>
    <hyperlink ref="Q703" r:id="rId2650"/>
    <hyperlink ref="Q702" r:id="rId2651"/>
    <hyperlink ref="Q698" r:id="rId2652"/>
    <hyperlink ref="Q701" r:id="rId2653"/>
    <hyperlink ref="Q700" r:id="rId2654"/>
    <hyperlink ref="Q699" r:id="rId2655"/>
    <hyperlink ref="E697" r:id="rId2656"/>
    <hyperlink ref="Q697" r:id="rId2657"/>
    <hyperlink ref="Q696" r:id="rId2658"/>
    <hyperlink ref="Q695" r:id="rId2659"/>
    <hyperlink ref="E694" r:id="rId2660"/>
    <hyperlink ref="Q694" r:id="rId2661"/>
    <hyperlink ref="E693" r:id="rId2662"/>
    <hyperlink ref="Q693" r:id="rId2663"/>
    <hyperlink ref="E692" r:id="rId2664"/>
    <hyperlink ref="Q692" r:id="rId2665"/>
    <hyperlink ref="Q690" r:id="rId2666"/>
    <hyperlink ref="E691" r:id="rId2667"/>
    <hyperlink ref="Q691" r:id="rId2668"/>
    <hyperlink ref="E689" r:id="rId2669"/>
    <hyperlink ref="Q689" r:id="rId2670"/>
    <hyperlink ref="Q686" r:id="rId2671"/>
    <hyperlink ref="E687" r:id="rId2672"/>
    <hyperlink ref="Q687" r:id="rId2673"/>
    <hyperlink ref="Q688" r:id="rId2674"/>
    <hyperlink ref="E684" r:id="rId2675"/>
    <hyperlink ref="Q684" r:id="rId2676"/>
    <hyperlink ref="Q685" r:id="rId2677"/>
    <hyperlink ref="Q683" r:id="rId2678"/>
    <hyperlink ref="Q681" r:id="rId2679"/>
    <hyperlink ref="E682" r:id="rId2680"/>
    <hyperlink ref="Q682" r:id="rId2681"/>
    <hyperlink ref="E680" r:id="rId2682"/>
    <hyperlink ref="Q680" r:id="rId2683"/>
    <hyperlink ref="Q679" r:id="rId2684"/>
    <hyperlink ref="E673" r:id="rId2685"/>
    <hyperlink ref="Q673" r:id="rId2686"/>
    <hyperlink ref="Q678" r:id="rId2687"/>
    <hyperlink ref="E671" r:id="rId2688"/>
    <hyperlink ref="Q671" r:id="rId2689"/>
    <hyperlink ref="Q677" r:id="rId2690"/>
    <hyperlink ref="Q676" r:id="rId2691"/>
    <hyperlink ref="E672" r:id="rId2692"/>
    <hyperlink ref="Q672" r:id="rId2693"/>
    <hyperlink ref="E674" r:id="rId2694"/>
    <hyperlink ref="Q674" r:id="rId2695"/>
    <hyperlink ref="Q667" r:id="rId2696"/>
    <hyperlink ref="E675" r:id="rId2697"/>
    <hyperlink ref="Q675" r:id="rId2698"/>
    <hyperlink ref="Q666" r:id="rId2699"/>
    <hyperlink ref="Q664" r:id="rId2700"/>
    <hyperlink ref="Q669" r:id="rId2701"/>
    <hyperlink ref="Q665" r:id="rId2702"/>
    <hyperlink ref="Q668" r:id="rId2703"/>
    <hyperlink ref="Q661" r:id="rId2704"/>
    <hyperlink ref="Q663" r:id="rId2705"/>
    <hyperlink ref="E662" r:id="rId2706"/>
    <hyperlink ref="Q662" r:id="rId2707"/>
    <hyperlink ref="Q658" r:id="rId2708"/>
    <hyperlink ref="E657" r:id="rId2709"/>
    <hyperlink ref="Q657" r:id="rId2710"/>
    <hyperlink ref="Q659" r:id="rId2711"/>
    <hyperlink ref="E660" r:id="rId2712"/>
    <hyperlink ref="Q660" r:id="rId2713"/>
    <hyperlink ref="Q651" r:id="rId2714"/>
    <hyperlink ref="Q636" r:id="rId2715"/>
    <hyperlink ref="E640" r:id="rId2716"/>
    <hyperlink ref="Q640" r:id="rId2717"/>
    <hyperlink ref="Q637" r:id="rId2718"/>
    <hyperlink ref="E638" r:id="rId2719"/>
    <hyperlink ref="Q638" r:id="rId2720"/>
    <hyperlink ref="Q635" r:id="rId2721"/>
    <hyperlink ref="Q634" r:id="rId2722"/>
    <hyperlink ref="Q639" r:id="rId2723"/>
    <hyperlink ref="E632" r:id="rId2724"/>
    <hyperlink ref="Q632" r:id="rId2725"/>
    <hyperlink ref="Q630" r:id="rId2726"/>
    <hyperlink ref="Q631" r:id="rId2727"/>
    <hyperlink ref="E629" r:id="rId2728"/>
    <hyperlink ref="Q629" r:id="rId2729"/>
    <hyperlink ref="Q624" r:id="rId2730"/>
    <hyperlink ref="Q623" r:id="rId2731"/>
    <hyperlink ref="Q628" r:id="rId2732"/>
    <hyperlink ref="Q626" r:id="rId2733"/>
    <hyperlink ref="E625" r:id="rId2734"/>
    <hyperlink ref="Q625" r:id="rId2735"/>
    <hyperlink ref="E621" r:id="rId2736"/>
    <hyperlink ref="Q621" r:id="rId2737"/>
    <hyperlink ref="Q622" r:id="rId2738"/>
    <hyperlink ref="E619" r:id="rId2739"/>
    <hyperlink ref="Q619" r:id="rId2740"/>
    <hyperlink ref="E617" r:id="rId2741"/>
    <hyperlink ref="Q617" r:id="rId2742"/>
    <hyperlink ref="Q615" r:id="rId2743"/>
    <hyperlink ref="Q616" r:id="rId2744"/>
    <hyperlink ref="E614" r:id="rId2745"/>
    <hyperlink ref="Q614" r:id="rId2746"/>
    <hyperlink ref="E612" r:id="rId2747"/>
    <hyperlink ref="Q612" r:id="rId2748"/>
    <hyperlink ref="E613" r:id="rId2749"/>
    <hyperlink ref="Q613" r:id="rId2750"/>
    <hyperlink ref="Q610" r:id="rId2751"/>
    <hyperlink ref="Q611" r:id="rId2752"/>
    <hyperlink ref="Q609" r:id="rId2753"/>
    <hyperlink ref="Q605" r:id="rId2754"/>
    <hyperlink ref="E607" r:id="rId2755"/>
    <hyperlink ref="Q607" r:id="rId2756"/>
    <hyperlink ref="E606" r:id="rId2757"/>
    <hyperlink ref="Q606" r:id="rId2758"/>
    <hyperlink ref="Q602" r:id="rId2759"/>
    <hyperlink ref="Q604" r:id="rId2760"/>
    <hyperlink ref="E603" r:id="rId2761"/>
    <hyperlink ref="Q603" r:id="rId2762"/>
    <hyperlink ref="E601" r:id="rId2763"/>
    <hyperlink ref="Q601" r:id="rId2764"/>
    <hyperlink ref="E599" r:id="rId2765"/>
    <hyperlink ref="Q599" r:id="rId2766"/>
    <hyperlink ref="E600" r:id="rId2767"/>
    <hyperlink ref="Q600" r:id="rId2768"/>
    <hyperlink ref="Q598" r:id="rId2769"/>
    <hyperlink ref="E596" r:id="rId2770"/>
    <hyperlink ref="Q596" r:id="rId2771"/>
    <hyperlink ref="Q595" r:id="rId2772"/>
    <hyperlink ref="Q594" r:id="rId2773"/>
    <hyperlink ref="Q591" r:id="rId2774"/>
    <hyperlink ref="Q593" r:id="rId2775"/>
    <hyperlink ref="Q590" r:id="rId2776"/>
    <hyperlink ref="Q592" r:id="rId2777"/>
    <hyperlink ref="Q588" r:id="rId2778"/>
    <hyperlink ref="Q589" r:id="rId2779"/>
    <hyperlink ref="Q587" r:id="rId2780"/>
    <hyperlink ref="Q583" r:id="rId2781"/>
    <hyperlink ref="Q586" r:id="rId2782"/>
    <hyperlink ref="Q584" r:id="rId2783"/>
    <hyperlink ref="Q581" r:id="rId2784"/>
    <hyperlink ref="Q582" r:id="rId2785"/>
    <hyperlink ref="Q576" r:id="rId2786"/>
    <hyperlink ref="E577" r:id="rId2787"/>
    <hyperlink ref="Q577" r:id="rId2788"/>
    <hyperlink ref="E579" r:id="rId2789"/>
    <hyperlink ref="Q579" r:id="rId2790"/>
    <hyperlink ref="E580" r:id="rId2791"/>
    <hyperlink ref="Q580" r:id="rId2792"/>
    <hyperlink ref="Q575" r:id="rId2793"/>
    <hyperlink ref="Q573" r:id="rId2794"/>
    <hyperlink ref="E571" r:id="rId2795"/>
    <hyperlink ref="Q571" r:id="rId2796"/>
    <hyperlink ref="Q574" r:id="rId2797"/>
    <hyperlink ref="Q570" r:id="rId2798"/>
    <hyperlink ref="E568" r:id="rId2799"/>
    <hyperlink ref="Q568" r:id="rId2800"/>
    <hyperlink ref="E566" r:id="rId2801"/>
    <hyperlink ref="Q566" r:id="rId2802"/>
    <hyperlink ref="Q567" r:id="rId2803"/>
    <hyperlink ref="Q564" r:id="rId2804"/>
    <hyperlink ref="Q565" r:id="rId2805"/>
    <hyperlink ref="Q563" r:id="rId2806"/>
    <hyperlink ref="E558" r:id="rId2807"/>
    <hyperlink ref="Q558" r:id="rId2808"/>
    <hyperlink ref="Q560" r:id="rId2809"/>
    <hyperlink ref="Q559" r:id="rId2810"/>
    <hyperlink ref="E562" r:id="rId2811"/>
    <hyperlink ref="Q562" r:id="rId2812"/>
    <hyperlink ref="Q561" r:id="rId2813"/>
    <hyperlink ref="E557" r:id="rId2814"/>
    <hyperlink ref="Q557" r:id="rId2815"/>
    <hyperlink ref="E550" r:id="rId2816"/>
    <hyperlink ref="Q550" r:id="rId2817"/>
    <hyperlink ref="Q549" r:id="rId2818"/>
    <hyperlink ref="E551" r:id="rId2819"/>
    <hyperlink ref="Q551" r:id="rId2820"/>
    <hyperlink ref="E548" r:id="rId2821"/>
    <hyperlink ref="Q548" r:id="rId2822"/>
    <hyperlink ref="E556" r:id="rId2823"/>
    <hyperlink ref="Q556" r:id="rId2824"/>
    <hyperlink ref="E553" r:id="rId2825"/>
    <hyperlink ref="Q553" r:id="rId2826"/>
    <hyperlink ref="E552" r:id="rId2827"/>
    <hyperlink ref="Q552" r:id="rId2828"/>
    <hyperlink ref="Q554" r:id="rId2829"/>
    <hyperlink ref="E555" r:id="rId2830"/>
    <hyperlink ref="Q555" r:id="rId2831"/>
    <hyperlink ref="Q547" r:id="rId2832"/>
    <hyperlink ref="E545" r:id="rId2833"/>
    <hyperlink ref="Q545" r:id="rId2834"/>
    <hyperlink ref="Q546" r:id="rId2835"/>
    <hyperlink ref="E543" r:id="rId2836"/>
    <hyperlink ref="Q543" r:id="rId2837"/>
    <hyperlink ref="E540" r:id="rId2838"/>
    <hyperlink ref="Q540" r:id="rId2839"/>
    <hyperlink ref="Q544" r:id="rId2840"/>
    <hyperlink ref="E541" r:id="rId2841"/>
    <hyperlink ref="Q541" r:id="rId2842"/>
    <hyperlink ref="Q542" r:id="rId2843"/>
    <hyperlink ref="Q538" r:id="rId2844"/>
    <hyperlink ref="Q539" r:id="rId2845"/>
    <hyperlink ref="Q536" r:id="rId2846"/>
    <hyperlink ref="Q535" r:id="rId2847"/>
    <hyperlink ref="Q537" r:id="rId2848"/>
    <hyperlink ref="Q532" r:id="rId2849"/>
    <hyperlink ref="Q534" r:id="rId2850"/>
    <hyperlink ref="Q528" r:id="rId2851"/>
    <hyperlink ref="Q530" r:id="rId2852"/>
    <hyperlink ref="Q529" r:id="rId2853"/>
    <hyperlink ref="Q531" r:id="rId2854"/>
    <hyperlink ref="Q527" r:id="rId2855"/>
    <hyperlink ref="E526" r:id="rId2856"/>
    <hyperlink ref="Q526" r:id="rId2857"/>
    <hyperlink ref="Q523" r:id="rId2858"/>
    <hyperlink ref="E525" r:id="rId2859"/>
    <hyperlink ref="Q525" r:id="rId2860"/>
    <hyperlink ref="E524" r:id="rId2861"/>
    <hyperlink ref="Q524" r:id="rId2862"/>
    <hyperlink ref="E522" r:id="rId2863"/>
    <hyperlink ref="Q522" r:id="rId2864"/>
    <hyperlink ref="E520" r:id="rId2865"/>
    <hyperlink ref="Q520" r:id="rId2866"/>
    <hyperlink ref="E521" r:id="rId2867"/>
    <hyperlink ref="Q521" r:id="rId2868"/>
    <hyperlink ref="Q511" r:id="rId2869"/>
    <hyperlink ref="Q518" r:id="rId2870"/>
    <hyperlink ref="Q519" r:id="rId2871"/>
    <hyperlink ref="Q514" r:id="rId2872"/>
    <hyperlink ref="E515" r:id="rId2873"/>
    <hyperlink ref="Q515" r:id="rId2874"/>
    <hyperlink ref="E512" r:id="rId2875"/>
    <hyperlink ref="Q512" r:id="rId2876"/>
    <hyperlink ref="Q513" r:id="rId2877"/>
    <hyperlink ref="Q516" r:id="rId2878"/>
    <hyperlink ref="Q517" r:id="rId2879"/>
    <hyperlink ref="Q510" r:id="rId2880"/>
    <hyperlink ref="E509" r:id="rId2881"/>
    <hyperlink ref="Q509" r:id="rId2882"/>
    <hyperlink ref="Q508" r:id="rId2883"/>
    <hyperlink ref="Q507" r:id="rId2884"/>
    <hyperlink ref="E506" r:id="rId2885"/>
    <hyperlink ref="Q506" r:id="rId2886"/>
    <hyperlink ref="Q505" r:id="rId2887"/>
    <hyperlink ref="Q503" r:id="rId2888"/>
    <hyperlink ref="Q502" r:id="rId2889"/>
    <hyperlink ref="E504" r:id="rId2890"/>
    <hyperlink ref="Q504" r:id="rId2891"/>
    <hyperlink ref="E500" r:id="rId2892"/>
    <hyperlink ref="Q500" r:id="rId2893"/>
    <hyperlink ref="E491" r:id="rId2894"/>
    <hyperlink ref="Q491" r:id="rId2895"/>
    <hyperlink ref="E498" r:id="rId2896"/>
    <hyperlink ref="Q498" r:id="rId2897"/>
    <hyperlink ref="Q499" r:id="rId2898"/>
    <hyperlink ref="Q494" r:id="rId2899"/>
    <hyperlink ref="E496" r:id="rId2900"/>
    <hyperlink ref="Q496" r:id="rId2901"/>
    <hyperlink ref="E495" r:id="rId2902"/>
    <hyperlink ref="Q495" r:id="rId2903"/>
    <hyperlink ref="Q501" r:id="rId2904"/>
    <hyperlink ref="Q493" r:id="rId2905"/>
    <hyperlink ref="E492" r:id="rId2906"/>
    <hyperlink ref="Q492" r:id="rId2907"/>
    <hyperlink ref="E490" r:id="rId2908"/>
    <hyperlink ref="Q490" r:id="rId2909"/>
    <hyperlink ref="E486" r:id="rId2910"/>
    <hyperlink ref="Q486" r:id="rId2911"/>
    <hyperlink ref="E489" r:id="rId2912"/>
    <hyperlink ref="Q489" r:id="rId2913"/>
    <hyperlink ref="Q487" r:id="rId2914"/>
    <hyperlink ref="E485" r:id="rId2915"/>
    <hyperlink ref="Q485" r:id="rId2916"/>
    <hyperlink ref="Q488" r:id="rId2917"/>
    <hyperlink ref="E484" r:id="rId2918"/>
    <hyperlink ref="Q484" r:id="rId2919"/>
    <hyperlink ref="E482" r:id="rId2920"/>
    <hyperlink ref="Q482" r:id="rId2921"/>
    <hyperlink ref="E481" r:id="rId2922"/>
    <hyperlink ref="Q481" r:id="rId2923"/>
    <hyperlink ref="Q477" r:id="rId2924"/>
    <hyperlink ref="E478" r:id="rId2925"/>
    <hyperlink ref="Q478" r:id="rId2926"/>
    <hyperlink ref="Q483" r:id="rId2927"/>
    <hyperlink ref="E479" r:id="rId2928"/>
    <hyperlink ref="Q479" r:id="rId2929"/>
    <hyperlink ref="Q480" r:id="rId2930"/>
    <hyperlink ref="E475" r:id="rId2931"/>
    <hyperlink ref="Q475" r:id="rId2932"/>
    <hyperlink ref="E476" r:id="rId2933"/>
    <hyperlink ref="Q476" r:id="rId2934"/>
    <hyperlink ref="Q473" r:id="rId2935"/>
    <hyperlink ref="E474" r:id="rId2936"/>
    <hyperlink ref="Q474" r:id="rId2937"/>
    <hyperlink ref="E472" r:id="rId2938"/>
    <hyperlink ref="Q472" r:id="rId2939"/>
    <hyperlink ref="E470" r:id="rId2940"/>
    <hyperlink ref="Q470" r:id="rId2941"/>
    <hyperlink ref="Q471" r:id="rId2942"/>
    <hyperlink ref="Q469" r:id="rId2943"/>
    <hyperlink ref="E468" r:id="rId2944"/>
    <hyperlink ref="Q468" r:id="rId2945"/>
    <hyperlink ref="E467" r:id="rId2946"/>
    <hyperlink ref="Q467" r:id="rId2947"/>
    <hyperlink ref="Q465" r:id="rId2948"/>
    <hyperlink ref="Q464" r:id="rId2949"/>
    <hyperlink ref="Q466" r:id="rId2950"/>
    <hyperlink ref="E462" r:id="rId2951"/>
    <hyperlink ref="Q462" r:id="rId2952"/>
    <hyperlink ref="E461" r:id="rId2953"/>
    <hyperlink ref="Q461" r:id="rId2954"/>
    <hyperlink ref="Q458" r:id="rId2955"/>
    <hyperlink ref="E459" r:id="rId2956"/>
    <hyperlink ref="Q459" r:id="rId2957"/>
    <hyperlink ref="Q460" r:id="rId2958"/>
    <hyperlink ref="E453" r:id="rId2959"/>
    <hyperlink ref="Q453" r:id="rId2960"/>
    <hyperlink ref="E455" r:id="rId2961"/>
    <hyperlink ref="Q455" r:id="rId2962"/>
    <hyperlink ref="Q454" r:id="rId2963"/>
    <hyperlink ref="Q456" r:id="rId2964"/>
    <hyperlink ref="E457" r:id="rId2965"/>
    <hyperlink ref="Q457" r:id="rId2966"/>
    <hyperlink ref="Q451" r:id="rId2967"/>
    <hyperlink ref="E452" r:id="rId2968"/>
    <hyperlink ref="Q452" r:id="rId2969"/>
    <hyperlink ref="Q450" r:id="rId2970"/>
    <hyperlink ref="E448" r:id="rId2971"/>
    <hyperlink ref="Q448" r:id="rId2972"/>
    <hyperlink ref="E447" r:id="rId2973"/>
    <hyperlink ref="Q447" r:id="rId2974"/>
    <hyperlink ref="E449" r:id="rId2975"/>
    <hyperlink ref="Q449" r:id="rId2976"/>
    <hyperlink ref="Q446" r:id="rId2977"/>
    <hyperlink ref="Q445" r:id="rId2978"/>
    <hyperlink ref="E444" r:id="rId2979"/>
    <hyperlink ref="Q444" r:id="rId2980"/>
    <hyperlink ref="E440" r:id="rId2981"/>
    <hyperlink ref="Q440" r:id="rId2982"/>
    <hyperlink ref="E439" r:id="rId2983"/>
    <hyperlink ref="Q439" r:id="rId2984"/>
    <hyperlink ref="E443" r:id="rId2985"/>
    <hyperlink ref="Q443" r:id="rId2986"/>
    <hyperlink ref="E441" r:id="rId2987"/>
    <hyperlink ref="Q441" r:id="rId2988"/>
    <hyperlink ref="E442" r:id="rId2989"/>
    <hyperlink ref="Q442" r:id="rId2990"/>
    <hyperlink ref="E436" r:id="rId2991"/>
    <hyperlink ref="Q436" r:id="rId2992"/>
    <hyperlink ref="E435" r:id="rId2993"/>
    <hyperlink ref="Q435" r:id="rId2994"/>
    <hyperlink ref="Q438" r:id="rId2995"/>
    <hyperlink ref="Q437" r:id="rId2996"/>
    <hyperlink ref="Q431" r:id="rId2997"/>
    <hyperlink ref="E433" r:id="rId2998"/>
    <hyperlink ref="Q433" r:id="rId2999"/>
    <hyperlink ref="E432" r:id="rId3000"/>
    <hyperlink ref="Q432" r:id="rId3001"/>
    <hyperlink ref="E430" r:id="rId3002"/>
    <hyperlink ref="Q430" r:id="rId3003"/>
    <hyperlink ref="Q434" r:id="rId3004"/>
    <hyperlink ref="Q425" r:id="rId3005"/>
    <hyperlink ref="Q428" r:id="rId3006"/>
    <hyperlink ref="E429" r:id="rId3007"/>
    <hyperlink ref="Q429" r:id="rId3008"/>
    <hyperlink ref="Q427" r:id="rId3009"/>
    <hyperlink ref="Q426" r:id="rId3010"/>
    <hyperlink ref="Q424" r:id="rId3011"/>
    <hyperlink ref="Q421" r:id="rId3012"/>
    <hyperlink ref="Q418" r:id="rId3013"/>
    <hyperlink ref="Q419" r:id="rId3014"/>
    <hyperlink ref="E420" r:id="rId3015"/>
    <hyperlink ref="Q420" r:id="rId3016"/>
    <hyperlink ref="Q422" r:id="rId3017"/>
    <hyperlink ref="Q417" r:id="rId3018"/>
    <hyperlink ref="E416" r:id="rId3019"/>
    <hyperlink ref="Q416" r:id="rId3020"/>
    <hyperlink ref="Q412" r:id="rId3021"/>
    <hyperlink ref="E413" r:id="rId3022"/>
    <hyperlink ref="Q413" r:id="rId3023"/>
    <hyperlink ref="E414" r:id="rId3024"/>
    <hyperlink ref="Q414" r:id="rId3025"/>
    <hyperlink ref="Q415" r:id="rId3026"/>
    <hyperlink ref="E410" r:id="rId3027"/>
    <hyperlink ref="Q410" r:id="rId3028"/>
    <hyperlink ref="Q411" r:id="rId3029"/>
    <hyperlink ref="E404" r:id="rId3030"/>
    <hyperlink ref="Q404" r:id="rId3031"/>
    <hyperlink ref="E409" r:id="rId3032"/>
    <hyperlink ref="Q409" r:id="rId3033"/>
    <hyperlink ref="Q405" r:id="rId3034"/>
    <hyperlink ref="Q406" r:id="rId3035"/>
    <hyperlink ref="Q408" r:id="rId3036"/>
    <hyperlink ref="E402" r:id="rId3037"/>
    <hyperlink ref="Q402" r:id="rId3038"/>
    <hyperlink ref="Q403" r:id="rId3039"/>
    <hyperlink ref="Q398" r:id="rId3040"/>
    <hyperlink ref="Q401" r:id="rId3041"/>
    <hyperlink ref="Q399" r:id="rId3042"/>
    <hyperlink ref="Q400" r:id="rId3043"/>
    <hyperlink ref="Q396" r:id="rId3044"/>
    <hyperlink ref="Q397" r:id="rId3045"/>
    <hyperlink ref="Q395" r:id="rId3046"/>
    <hyperlink ref="E394" r:id="rId3047"/>
    <hyperlink ref="Q394" r:id="rId3048"/>
    <hyperlink ref="E392" r:id="rId3049"/>
    <hyperlink ref="Q392" r:id="rId3050"/>
    <hyperlink ref="E391" r:id="rId3051"/>
    <hyperlink ref="Q391" r:id="rId3052"/>
    <hyperlink ref="E393" r:id="rId3053"/>
    <hyperlink ref="Q393" r:id="rId3054"/>
    <hyperlink ref="Q390" r:id="rId3055"/>
    <hyperlink ref="Q388" r:id="rId3056"/>
    <hyperlink ref="Q389" r:id="rId3057"/>
    <hyperlink ref="E387" r:id="rId3058"/>
    <hyperlink ref="Q387" r:id="rId3059"/>
    <hyperlink ref="E386" r:id="rId3060"/>
    <hyperlink ref="Q386" r:id="rId3061"/>
    <hyperlink ref="Q384" r:id="rId3062"/>
    <hyperlink ref="Q385" r:id="rId3063"/>
    <hyperlink ref="E382" r:id="rId3064"/>
    <hyperlink ref="Q382" r:id="rId3065"/>
    <hyperlink ref="Q381" r:id="rId3066"/>
    <hyperlink ref="Q379" r:id="rId3067" location="incart_m-rpt-1"/>
    <hyperlink ref="Q380" r:id="rId3068"/>
    <hyperlink ref="E374" r:id="rId3069"/>
    <hyperlink ref="Q374" r:id="rId3070"/>
    <hyperlink ref="E375" r:id="rId3071"/>
    <hyperlink ref="Q375" r:id="rId3072"/>
    <hyperlink ref="E373" r:id="rId3073"/>
    <hyperlink ref="Q373" r:id="rId3074"/>
    <hyperlink ref="E378" r:id="rId3075"/>
    <hyperlink ref="Q378" r:id="rId3076"/>
    <hyperlink ref="Q377" r:id="rId3077"/>
    <hyperlink ref="Q376" r:id="rId3078"/>
    <hyperlink ref="E372" r:id="rId3079"/>
    <hyperlink ref="Q372" r:id="rId3080"/>
    <hyperlink ref="E370" r:id="rId3081"/>
    <hyperlink ref="Q370" r:id="rId3082"/>
    <hyperlink ref="E371" r:id="rId3083"/>
    <hyperlink ref="Q371" r:id="rId3084"/>
    <hyperlink ref="E368" r:id="rId3085"/>
    <hyperlink ref="Q368" r:id="rId3086"/>
    <hyperlink ref="Q362" r:id="rId3087"/>
    <hyperlink ref="Q365" r:id="rId3088"/>
    <hyperlink ref="E367" r:id="rId3089"/>
    <hyperlink ref="Q367" r:id="rId3090"/>
    <hyperlink ref="E369" r:id="rId3091"/>
    <hyperlink ref="Q369" r:id="rId3092"/>
    <hyperlink ref="E366" r:id="rId3093"/>
    <hyperlink ref="Q366" r:id="rId3094"/>
    <hyperlink ref="E363" r:id="rId3095"/>
    <hyperlink ref="Q363" r:id="rId3096"/>
    <hyperlink ref="Q361" r:id="rId3097"/>
    <hyperlink ref="Q364" r:id="rId3098"/>
    <hyperlink ref="Q359" r:id="rId3099"/>
    <hyperlink ref="Q358" r:id="rId3100"/>
    <hyperlink ref="E360" r:id="rId3101"/>
    <hyperlink ref="Q360" r:id="rId3102"/>
    <hyperlink ref="Q356" r:id="rId3103"/>
    <hyperlink ref="E357" r:id="rId3104"/>
    <hyperlink ref="Q357" r:id="rId3105"/>
    <hyperlink ref="E383" r:id="rId3106"/>
    <hyperlink ref="Q383" r:id="rId3107"/>
    <hyperlink ref="Q354" r:id="rId3108"/>
    <hyperlink ref="Q351" r:id="rId3109"/>
    <hyperlink ref="E353" r:id="rId3110"/>
    <hyperlink ref="Q353" r:id="rId3111"/>
    <hyperlink ref="E350" r:id="rId3112"/>
    <hyperlink ref="Q350" r:id="rId3113"/>
    <hyperlink ref="E355" r:id="rId3114"/>
    <hyperlink ref="Q355" r:id="rId3115"/>
    <hyperlink ref="E352" r:id="rId3116"/>
    <hyperlink ref="Q352" r:id="rId3117"/>
    <hyperlink ref="Q348" r:id="rId3118"/>
    <hyperlink ref="Q349" r:id="rId3119"/>
    <hyperlink ref="E344" r:id="rId3120"/>
    <hyperlink ref="Q344" r:id="rId3121"/>
    <hyperlink ref="Q343" r:id="rId3122"/>
    <hyperlink ref="E346" r:id="rId3123"/>
    <hyperlink ref="Q346" r:id="rId3124"/>
    <hyperlink ref="Q337" r:id="rId3125"/>
    <hyperlink ref="Q339" r:id="rId3126"/>
    <hyperlink ref="Q342" r:id="rId3127"/>
    <hyperlink ref="Q341" r:id="rId3128"/>
    <hyperlink ref="Q338" r:id="rId3129"/>
    <hyperlink ref="Q332" r:id="rId3130"/>
    <hyperlink ref="E336" r:id="rId3131"/>
    <hyperlink ref="Q336" r:id="rId3132"/>
    <hyperlink ref="E334" r:id="rId3133"/>
    <hyperlink ref="Q334" r:id="rId3134"/>
    <hyperlink ref="E335" r:id="rId3135"/>
    <hyperlink ref="Q335" r:id="rId3136"/>
    <hyperlink ref="Q333" r:id="rId3137"/>
    <hyperlink ref="Q329" r:id="rId3138"/>
    <hyperlink ref="E330" r:id="rId3139"/>
    <hyperlink ref="Q330" r:id="rId3140"/>
    <hyperlink ref="Q331" r:id="rId3141"/>
    <hyperlink ref="Q326" r:id="rId3142"/>
    <hyperlink ref="E327" r:id="rId3143"/>
    <hyperlink ref="Q327" r:id="rId3144"/>
    <hyperlink ref="E328" r:id="rId3145"/>
    <hyperlink ref="Q328" r:id="rId3146"/>
    <hyperlink ref="E340" r:id="rId3147"/>
    <hyperlink ref="Q340" r:id="rId3148"/>
    <hyperlink ref="Q323" r:id="rId3149"/>
    <hyperlink ref="Q324" r:id="rId3150"/>
    <hyperlink ref="Q319" r:id="rId3151"/>
    <hyperlink ref="E317" r:id="rId3152"/>
    <hyperlink ref="Q317" r:id="rId3153"/>
    <hyperlink ref="Q320" r:id="rId3154"/>
    <hyperlink ref="Q322" r:id="rId3155"/>
    <hyperlink ref="E318" r:id="rId3156"/>
    <hyperlink ref="Q318" r:id="rId3157"/>
    <hyperlink ref="Q321" r:id="rId3158"/>
    <hyperlink ref="E315" r:id="rId3159"/>
    <hyperlink ref="Q315" r:id="rId3160"/>
    <hyperlink ref="Q314" r:id="rId3161"/>
    <hyperlink ref="Q313" r:id="rId3162"/>
    <hyperlink ref="Q311" r:id="rId3163"/>
    <hyperlink ref="Q312" r:id="rId3164"/>
    <hyperlink ref="Q309" r:id="rId3165"/>
    <hyperlink ref="E308" r:id="rId3166"/>
    <hyperlink ref="Q308" r:id="rId3167"/>
    <hyperlink ref="Q310" r:id="rId3168"/>
    <hyperlink ref="E307" r:id="rId3169"/>
    <hyperlink ref="Q307" r:id="rId3170"/>
    <hyperlink ref="Q302" r:id="rId3171"/>
    <hyperlink ref="E304" r:id="rId3172"/>
    <hyperlink ref="Q304" r:id="rId3173"/>
    <hyperlink ref="Q306" r:id="rId3174"/>
    <hyperlink ref="E301" r:id="rId3175"/>
    <hyperlink ref="Q301" r:id="rId3176"/>
    <hyperlink ref="Q305" r:id="rId3177"/>
    <hyperlink ref="E298" r:id="rId3178"/>
    <hyperlink ref="Q298" r:id="rId3179"/>
    <hyperlink ref="Q299" r:id="rId3180"/>
    <hyperlink ref="E300" r:id="rId3181"/>
    <hyperlink ref="Q300" r:id="rId3182"/>
    <hyperlink ref="Q297" r:id="rId3183"/>
    <hyperlink ref="E296" r:id="rId3184"/>
    <hyperlink ref="Q296" r:id="rId3185"/>
    <hyperlink ref="E295" r:id="rId3186"/>
    <hyperlink ref="Q295" r:id="rId3187"/>
    <hyperlink ref="Q294" r:id="rId3188"/>
    <hyperlink ref="E293" r:id="rId3189"/>
    <hyperlink ref="Q293" r:id="rId3190"/>
    <hyperlink ref="E292" r:id="rId3191"/>
    <hyperlink ref="Q292" r:id="rId3192"/>
    <hyperlink ref="Q290" r:id="rId3193"/>
    <hyperlink ref="Q291" r:id="rId3194"/>
    <hyperlink ref="Q288" r:id="rId3195"/>
    <hyperlink ref="Q287" r:id="rId3196"/>
    <hyperlink ref="Q289" r:id="rId3197"/>
    <hyperlink ref="E286" r:id="rId3198"/>
    <hyperlink ref="Q286" r:id="rId3199"/>
    <hyperlink ref="Q285" r:id="rId3200"/>
    <hyperlink ref="E281" r:id="rId3201"/>
    <hyperlink ref="Q281" r:id="rId3202"/>
    <hyperlink ref="E284" r:id="rId3203"/>
    <hyperlink ref="Q284" r:id="rId3204"/>
    <hyperlink ref="E283" r:id="rId3205"/>
    <hyperlink ref="Q283" r:id="rId3206"/>
    <hyperlink ref="E282" r:id="rId3207"/>
    <hyperlink ref="Q282" r:id="rId3208"/>
    <hyperlink ref="Q279" r:id="rId3209"/>
    <hyperlink ref="E280" r:id="rId3210"/>
    <hyperlink ref="Q280" r:id="rId3211"/>
    <hyperlink ref="Q276" r:id="rId3212"/>
    <hyperlink ref="Q278" r:id="rId3213"/>
    <hyperlink ref="Q277" r:id="rId3214"/>
    <hyperlink ref="E274" r:id="rId3215"/>
    <hyperlink ref="Q274" r:id="rId3216"/>
    <hyperlink ref="Q275" r:id="rId3217"/>
    <hyperlink ref="Q273" r:id="rId3218"/>
    <hyperlink ref="Q272" r:id="rId3219"/>
    <hyperlink ref="Q271" r:id="rId3220"/>
    <hyperlink ref="E270" r:id="rId3221"/>
    <hyperlink ref="Q270" r:id="rId3222"/>
    <hyperlink ref="E269" r:id="rId3223"/>
    <hyperlink ref="Q269" r:id="rId3224"/>
    <hyperlink ref="E266" r:id="rId3225"/>
    <hyperlink ref="Q266" r:id="rId3226"/>
    <hyperlink ref="E267" r:id="rId3227"/>
    <hyperlink ref="Q267" r:id="rId3228"/>
    <hyperlink ref="E265" r:id="rId3229"/>
    <hyperlink ref="Q265" r:id="rId3230"/>
    <hyperlink ref="Q264" r:id="rId3231"/>
    <hyperlink ref="Q262" r:id="rId3232"/>
    <hyperlink ref="Q268" r:id="rId3233"/>
    <hyperlink ref="Q263" r:id="rId3234"/>
    <hyperlink ref="Q261" r:id="rId3235"/>
    <hyperlink ref="Q259" r:id="rId3236"/>
    <hyperlink ref="E260" r:id="rId3237"/>
    <hyperlink ref="Q260" r:id="rId3238"/>
    <hyperlink ref="E258" r:id="rId3239"/>
    <hyperlink ref="Q258" r:id="rId3240"/>
    <hyperlink ref="Q257" r:id="rId3241"/>
    <hyperlink ref="Q253" r:id="rId3242"/>
    <hyperlink ref="Q254" r:id="rId3243"/>
    <hyperlink ref="E255" r:id="rId3244"/>
    <hyperlink ref="Q255" r:id="rId3245"/>
    <hyperlink ref="Q256" r:id="rId3246"/>
    <hyperlink ref="E252" r:id="rId3247"/>
    <hyperlink ref="Q252" r:id="rId3248"/>
    <hyperlink ref="Q247" r:id="rId3249"/>
    <hyperlink ref="E248" r:id="rId3250"/>
    <hyperlink ref="Q248" r:id="rId3251"/>
    <hyperlink ref="Q245" r:id="rId3252"/>
    <hyperlink ref="Q250" r:id="rId3253"/>
    <hyperlink ref="E246" r:id="rId3254"/>
    <hyperlink ref="Q246" r:id="rId3255"/>
    <hyperlink ref="E251" r:id="rId3256"/>
    <hyperlink ref="Q251" r:id="rId3257"/>
    <hyperlink ref="E243" r:id="rId3258"/>
    <hyperlink ref="Q243" r:id="rId3259"/>
    <hyperlink ref="E242" r:id="rId3260"/>
    <hyperlink ref="Q242" r:id="rId3261"/>
    <hyperlink ref="Q244" r:id="rId3262"/>
    <hyperlink ref="E240" r:id="rId3263"/>
    <hyperlink ref="Q240" r:id="rId3264"/>
    <hyperlink ref="Q241" r:id="rId3265"/>
    <hyperlink ref="Q238" r:id="rId3266"/>
    <hyperlink ref="E237" r:id="rId3267"/>
    <hyperlink ref="Q237" r:id="rId3268"/>
    <hyperlink ref="Q239" r:id="rId3269"/>
    <hyperlink ref="E234" r:id="rId3270"/>
    <hyperlink ref="Q234" r:id="rId3271"/>
    <hyperlink ref="E233" r:id="rId3272"/>
    <hyperlink ref="Q233" r:id="rId3273"/>
    <hyperlink ref="Q236" r:id="rId3274"/>
    <hyperlink ref="E232" r:id="rId3275"/>
    <hyperlink ref="Q232" r:id="rId3276"/>
    <hyperlink ref="Q235" r:id="rId3277"/>
    <hyperlink ref="Q228" r:id="rId3278"/>
    <hyperlink ref="Q231" r:id="rId3279"/>
    <hyperlink ref="Q229" r:id="rId3280"/>
    <hyperlink ref="E230" r:id="rId3281"/>
    <hyperlink ref="Q230" r:id="rId3282"/>
    <hyperlink ref="Q227" r:id="rId3283"/>
    <hyperlink ref="E225" r:id="rId3284"/>
    <hyperlink ref="Q225" r:id="rId3285"/>
    <hyperlink ref="E224" r:id="rId3286"/>
    <hyperlink ref="Q224" r:id="rId3287"/>
    <hyperlink ref="E219" r:id="rId3288"/>
    <hyperlink ref="Q219" r:id="rId3289"/>
    <hyperlink ref="Q221" r:id="rId3290"/>
    <hyperlink ref="E220" r:id="rId3291"/>
    <hyperlink ref="Q220" r:id="rId3292"/>
    <hyperlink ref="E222" r:id="rId3293"/>
    <hyperlink ref="Q222" r:id="rId3294"/>
    <hyperlink ref="Q223" r:id="rId3295"/>
    <hyperlink ref="Q217" r:id="rId3296"/>
    <hyperlink ref="Q218" r:id="rId3297"/>
    <hyperlink ref="Q216" r:id="rId3298"/>
    <hyperlink ref="E211" r:id="rId3299"/>
    <hyperlink ref="Q211" r:id="rId3300"/>
    <hyperlink ref="Q215" r:id="rId3301"/>
    <hyperlink ref="E210" r:id="rId3302"/>
    <hyperlink ref="Q210" r:id="rId3303"/>
    <hyperlink ref="E213" r:id="rId3304"/>
    <hyperlink ref="Q213" r:id="rId3305"/>
    <hyperlink ref="E207" r:id="rId3306"/>
    <hyperlink ref="Q207" r:id="rId3307"/>
    <hyperlink ref="E208" r:id="rId3308"/>
    <hyperlink ref="Q208" r:id="rId3309"/>
    <hyperlink ref="E209" r:id="rId3310"/>
    <hyperlink ref="Q209" r:id="rId3311"/>
    <hyperlink ref="Q205" r:id="rId3312"/>
    <hyperlink ref="Q206" r:id="rId3313"/>
    <hyperlink ref="E204" r:id="rId3314"/>
    <hyperlink ref="Q204" r:id="rId3315"/>
    <hyperlink ref="E201" r:id="rId3316"/>
    <hyperlink ref="Q201" r:id="rId3317"/>
    <hyperlink ref="Q202" r:id="rId3318"/>
    <hyperlink ref="E203" r:id="rId3319"/>
    <hyperlink ref="Q203" r:id="rId3320"/>
    <hyperlink ref="Q200" r:id="rId3321"/>
    <hyperlink ref="E196" r:id="rId3322"/>
    <hyperlink ref="Q196" r:id="rId3323"/>
    <hyperlink ref="Q198" r:id="rId3324"/>
    <hyperlink ref="Q199" r:id="rId3325"/>
    <hyperlink ref="Q197" r:id="rId3326"/>
    <hyperlink ref="E192" r:id="rId3327"/>
    <hyperlink ref="Q192" r:id="rId3328"/>
    <hyperlink ref="Q194" r:id="rId3329"/>
    <hyperlink ref="Q195" r:id="rId3330"/>
    <hyperlink ref="E189" r:id="rId3331"/>
    <hyperlink ref="Q189" r:id="rId3332"/>
    <hyperlink ref="E191" r:id="rId3333"/>
    <hyperlink ref="Q191" r:id="rId3334"/>
    <hyperlink ref="E188" r:id="rId3335"/>
    <hyperlink ref="Q188" r:id="rId3336"/>
    <hyperlink ref="Q190" r:id="rId3337"/>
    <hyperlink ref="Q186" r:id="rId3338"/>
    <hyperlink ref="Q187" r:id="rId3339"/>
    <hyperlink ref="Q183" r:id="rId3340"/>
    <hyperlink ref="Q182" r:id="rId3341"/>
    <hyperlink ref="Q184" r:id="rId3342"/>
    <hyperlink ref="Q179" r:id="rId3343"/>
    <hyperlink ref="Q181" r:id="rId3344"/>
    <hyperlink ref="Q180" r:id="rId3345"/>
    <hyperlink ref="E178" r:id="rId3346"/>
    <hyperlink ref="Q178" r:id="rId3347"/>
    <hyperlink ref="Q173" r:id="rId3348"/>
    <hyperlink ref="Q176" r:id="rId3349"/>
    <hyperlink ref="Q174" r:id="rId3350"/>
    <hyperlink ref="Q175" r:id="rId3351"/>
    <hyperlink ref="Q172" r:id="rId3352"/>
    <hyperlink ref="Q185" r:id="rId3353"/>
    <hyperlink ref="Q177" r:id="rId3354"/>
    <hyperlink ref="E171" r:id="rId3355"/>
    <hyperlink ref="Q171" r:id="rId3356"/>
    <hyperlink ref="E168" r:id="rId3357"/>
    <hyperlink ref="Q168" r:id="rId3358"/>
    <hyperlink ref="E169" r:id="rId3359"/>
    <hyperlink ref="Q169" r:id="rId3360"/>
    <hyperlink ref="Q170" r:id="rId3361"/>
    <hyperlink ref="Q167" r:id="rId3362"/>
    <hyperlink ref="Q166" r:id="rId3363"/>
    <hyperlink ref="Q164" r:id="rId3364"/>
    <hyperlink ref="Q165" r:id="rId3365"/>
    <hyperlink ref="Q163" r:id="rId3366"/>
    <hyperlink ref="E162" r:id="rId3367"/>
    <hyperlink ref="Q162" r:id="rId3368"/>
    <hyperlink ref="Q161" r:id="rId3369"/>
    <hyperlink ref="Q159" r:id="rId3370"/>
    <hyperlink ref="Q160" r:id="rId3371"/>
    <hyperlink ref="E157" r:id="rId3372"/>
    <hyperlink ref="Q157" r:id="rId3373"/>
    <hyperlink ref="E158" r:id="rId3374"/>
    <hyperlink ref="Q158" r:id="rId3375"/>
    <hyperlink ref="Q155" r:id="rId3376"/>
    <hyperlink ref="Q156" r:id="rId3377"/>
    <hyperlink ref="E153" r:id="rId3378"/>
    <hyperlink ref="Q153" r:id="rId3379"/>
    <hyperlink ref="Q154" r:id="rId3380"/>
    <hyperlink ref="Q149" r:id="rId3381"/>
    <hyperlink ref="Q151" r:id="rId3382"/>
    <hyperlink ref="E148" r:id="rId3383"/>
    <hyperlink ref="Q148" r:id="rId3384"/>
    <hyperlink ref="E150" r:id="rId3385"/>
    <hyperlink ref="Q150" r:id="rId3386"/>
    <hyperlink ref="Q152" r:id="rId3387"/>
    <hyperlink ref="E147" r:id="rId3388"/>
    <hyperlink ref="Q147" r:id="rId3389"/>
    <hyperlink ref="Q146" r:id="rId3390"/>
    <hyperlink ref="Q145" r:id="rId3391"/>
    <hyperlink ref="E144" r:id="rId3392"/>
    <hyperlink ref="Q144" r:id="rId3393"/>
    <hyperlink ref="E143" r:id="rId3394"/>
    <hyperlink ref="Q143" r:id="rId3395"/>
    <hyperlink ref="E139" r:id="rId3396"/>
    <hyperlink ref="Q139" r:id="rId3397"/>
    <hyperlink ref="E140" r:id="rId3398"/>
    <hyperlink ref="Q140" r:id="rId3399"/>
    <hyperlink ref="Q141" r:id="rId3400"/>
    <hyperlink ref="Q142" r:id="rId3401"/>
    <hyperlink ref="E138" r:id="rId3402"/>
    <hyperlink ref="Q138" r:id="rId3403"/>
    <hyperlink ref="Q137" r:id="rId3404"/>
    <hyperlink ref="Q136" r:id="rId3405"/>
    <hyperlink ref="E130" r:id="rId3406"/>
    <hyperlink ref="Q130" r:id="rId3407"/>
    <hyperlink ref="E132" r:id="rId3408"/>
    <hyperlink ref="Q132" r:id="rId3409"/>
    <hyperlink ref="Q134" r:id="rId3410"/>
    <hyperlink ref="Q135" r:id="rId3411"/>
    <hyperlink ref="Q131" r:id="rId3412"/>
    <hyperlink ref="Q133" r:id="rId3413"/>
    <hyperlink ref="Q127" r:id="rId3414"/>
    <hyperlink ref="Q128" r:id="rId3415"/>
    <hyperlink ref="E5195" r:id="rId3416"/>
    <hyperlink ref="Q5195" r:id="rId3417"/>
    <hyperlink ref="Q5010" r:id="rId3418"/>
    <hyperlink ref="Q5004" r:id="rId3419"/>
    <hyperlink ref="Q5000" r:id="rId3420"/>
    <hyperlink ref="Q4772" r:id="rId3421"/>
    <hyperlink ref="Q4400" r:id="rId3422"/>
    <hyperlink ref="Q4252" r:id="rId3423"/>
    <hyperlink ref="Q4132" r:id="rId3424"/>
    <hyperlink ref="E3977" r:id="rId3425"/>
    <hyperlink ref="Q3977" r:id="rId3426"/>
    <hyperlink ref="Q3609" r:id="rId3427"/>
    <hyperlink ref="Q3547" r:id="rId3428"/>
    <hyperlink ref="Q2917" r:id="rId3429"/>
    <hyperlink ref="E2747" r:id="rId3430"/>
    <hyperlink ref="Q2747" r:id="rId3431"/>
    <hyperlink ref="Q2663" r:id="rId3432"/>
    <hyperlink ref="Q2426" r:id="rId3433"/>
    <hyperlink ref="E1972" r:id="rId3434"/>
    <hyperlink ref="Q1972" r:id="rId3435"/>
    <hyperlink ref="E980" r:id="rId3436"/>
    <hyperlink ref="Q980" r:id="rId3437"/>
    <hyperlink ref="E908" r:id="rId3438"/>
    <hyperlink ref="Q908" r:id="rId3439"/>
    <hyperlink ref="Q2140" r:id="rId3440" display="http://www.pe.com/articles/camacho-780442-anda-police.html"/>
    <hyperlink ref="E2329" r:id="rId3441" display="http://www.killedbypolice.net/victims/2664.jpg"/>
    <hyperlink ref="Q2329" r:id="rId3442" display="http://www.wesh.com/news/bicyclist-struck-by-police-cruiser-has-died/34321568"/>
    <hyperlink ref="E2333" r:id="rId3443" display="http://www.killedbypolice.net/victims/150651.jpg"/>
    <hyperlink ref="E2370" r:id="rId3444" display="http://www.dispatch.com/content/graphics/2015/07/13/nyal-brown.jpg"/>
    <hyperlink ref="Q2370" r:id="rId3445" display="http://www.dispatch.com/content/stories/local/2015/07/13/fatal-crash-on-hilltop.html"/>
    <hyperlink ref="Q2432" r:id="rId3446" display="http://wfla.com/2015/07/09/tampa-hit-and-run-investigation-focuses-on-tpd-officer/"/>
    <hyperlink ref="E2471" r:id="rId3447" display="http://media.cmgdigital.com/shared/img/photos/2015/07/01/63/fb/jimmy_payne_alteredREV2.jpg"/>
    <hyperlink ref="Q2471" r:id="rId3448" display="http://www.whio.com/news/news/officer-on-leave-during-crash-investigation/nmjmX/"/>
    <hyperlink ref="A2500" r:id="rId3449" display="http://www.killedbypolice.net/victims/150488.jpg"/>
    <hyperlink ref="Q2500" r:id="rId3450" display="http://sanfrancisco.cbslocal.com/2015/06/05/bicyclist-fatally-struck-san-francisco-police-car-mclaren-park/"/>
    <hyperlink ref="Q3200" r:id="rId3451" display="http://www.thenewscenter.tv/home/headlines/One-Person-Dead-in-Marietta-Crash-281400271.html"/>
    <hyperlink ref="E3446" r:id="rId3452" display="http://homicides.suntimes.com/victims/wally-flex/"/>
    <hyperlink ref="Q3446" r:id="rId3453" display="http://homicides.suntimes.com/2014/08/18/gabriel-johnson-charged-with-reckless-homicide-in-crash-that-killed-wally-flex/"/>
    <hyperlink ref="E4277" r:id="rId3454" display="https://www.facebook.com/remembershia"/>
    <hyperlink ref="A2023" r:id="rId3455"/>
    <hyperlink ref="Q2023" r:id="rId3456"/>
    <hyperlink ref="A2058" r:id="rId3457"/>
    <hyperlink ref="Q2058" r:id="rId3458"/>
    <hyperlink ref="A1987" r:id="rId3459" display="Matthew Stephen Colligan, 28"/>
    <hyperlink ref="Q1987" r:id="rId3460"/>
    <hyperlink ref="Q1932" r:id="rId3461"/>
    <hyperlink ref="Q2333" r:id="rId3462" display="http://www.mlive.com/news/detroit/index.ssf/2015/07/st_clair_shores_police_car_tur.html"/>
    <hyperlink ref="Q2409" r:id="rId3463" display="http://patch.com/new-jersey/lacey/toms-river-man-struck-killed-lacey-police-cruiser-0?"/>
    <hyperlink ref="Q2111" r:id="rId3464"/>
    <hyperlink ref="Q2104" r:id="rId3465"/>
    <hyperlink ref="Q2131" r:id="rId3466"/>
    <hyperlink ref="Q2105" r:id="rId3467"/>
    <hyperlink ref="Q3070" r:id="rId3468"/>
    <hyperlink ref="Q3073" r:id="rId3469"/>
    <hyperlink ref="E1890" r:id="rId3470"/>
    <hyperlink ref="Q1890" r:id="rId3471"/>
    <hyperlink ref="E2087" r:id="rId3472"/>
    <hyperlink ref="E2470" r:id="rId3473" display="http://whns.images.worldnow.com/images/8077680_G.jpg"/>
    <hyperlink ref="Q2470" r:id="rId3474" display="http://www.greenvilleonline.com/story/news/local/2015/06/14/moped-driver-killed-crash-greenville-county-deputy/71207792/"/>
    <hyperlink ref="Q2586" r:id="rId3475" display="http://newyork.cbslocal.com/2015/05/06/nj-turnpike-pedestrians-killed-police-car/"/>
    <hyperlink ref="Q2585" r:id="rId3476" display="http://newyork.cbslocal.com/2015/05/06/nj-turnpike-pedestrians-killed-police-car/"/>
    <hyperlink ref="Q2626" r:id="rId3477" display="http://abc13.com/news/hpd-officer-hits-kills-bicyclist-in-southeast-houston/677753/"/>
    <hyperlink ref="Q2087" r:id="rId3478"/>
    <hyperlink ref="Q1994" r:id="rId3479"/>
    <hyperlink ref="Q2208" r:id="rId3480"/>
    <hyperlink ref="Q2190" r:id="rId3481"/>
    <hyperlink ref="E2609" r:id="rId3482"/>
    <hyperlink ref="Q2609" r:id="rId3483"/>
    <hyperlink ref="E1731" r:id="rId3484"/>
    <hyperlink ref="Q1783" r:id="rId3485"/>
    <hyperlink ref="Q1731" r:id="rId3486"/>
    <hyperlink ref="Q1727" r:id="rId3487"/>
    <hyperlink ref="E1724" r:id="rId3488"/>
    <hyperlink ref="E1635" r:id="rId3489"/>
    <hyperlink ref="Q1724" r:id="rId3490"/>
    <hyperlink ref="Q1635" r:id="rId3491"/>
    <hyperlink ref="Q1486" r:id="rId3492"/>
    <hyperlink ref="Q1385" r:id="rId3493"/>
    <hyperlink ref="E1290" r:id="rId3494"/>
    <hyperlink ref="Q1290" r:id="rId3495"/>
    <hyperlink ref="Q1216" r:id="rId3496"/>
    <hyperlink ref="E1156" r:id="rId3497"/>
    <hyperlink ref="Q1156" r:id="rId3498"/>
    <hyperlink ref="Q1150" r:id="rId3499"/>
    <hyperlink ref="E1137" r:id="rId3500"/>
    <hyperlink ref="Q1137" r:id="rId3501"/>
    <hyperlink ref="Q1116" r:id="rId3502"/>
    <hyperlink ref="Q1110" r:id="rId3503"/>
    <hyperlink ref="E1070" r:id="rId3504"/>
    <hyperlink ref="Q1070" r:id="rId3505" location="photo-10746995"/>
    <hyperlink ref="Q1065" r:id="rId3506"/>
    <hyperlink ref="Q921" r:id="rId3507"/>
    <hyperlink ref="E894" r:id="rId3508"/>
    <hyperlink ref="Q894" r:id="rId3509"/>
    <hyperlink ref="Q853" r:id="rId3510"/>
    <hyperlink ref="Q852" r:id="rId3511"/>
    <hyperlink ref="E851" r:id="rId3512"/>
    <hyperlink ref="Q851" r:id="rId3513"/>
    <hyperlink ref="E785" r:id="rId3514"/>
    <hyperlink ref="Q785" r:id="rId3515"/>
    <hyperlink ref="Q778" r:id="rId3516"/>
    <hyperlink ref="E734" r:id="rId3517"/>
    <hyperlink ref="Q734" r:id="rId3518"/>
    <hyperlink ref="E722" r:id="rId3519"/>
    <hyperlink ref="Q722" r:id="rId3520"/>
    <hyperlink ref="Q711" r:id="rId3521"/>
    <hyperlink ref="Q633" r:id="rId3522"/>
    <hyperlink ref="Q627" r:id="rId3523"/>
    <hyperlink ref="E608" r:id="rId3524"/>
    <hyperlink ref="E597" r:id="rId3525"/>
    <hyperlink ref="Q585" r:id="rId3526"/>
    <hyperlink ref="Q572" r:id="rId3527"/>
    <hyperlink ref="Q569" r:id="rId3528"/>
    <hyperlink ref="Q533" r:id="rId3529"/>
    <hyperlink ref="E497" r:id="rId3530"/>
    <hyperlink ref="Q497" r:id="rId3531"/>
    <hyperlink ref="Q407" r:id="rId3532"/>
    <hyperlink ref="Q347" r:id="rId3533"/>
    <hyperlink ref="Q345" r:id="rId3534"/>
    <hyperlink ref="Q325" r:id="rId3535"/>
    <hyperlink ref="E316" r:id="rId3536"/>
    <hyperlink ref="Q316" r:id="rId3537"/>
    <hyperlink ref="E303" r:id="rId3538"/>
    <hyperlink ref="Q303" r:id="rId3539"/>
    <hyperlink ref="E249" r:id="rId3540"/>
    <hyperlink ref="Q249" r:id="rId3541"/>
    <hyperlink ref="E226" r:id="rId3542"/>
    <hyperlink ref="Q226" r:id="rId3543"/>
    <hyperlink ref="E214" r:id="rId3544"/>
    <hyperlink ref="Q214" r:id="rId3545"/>
    <hyperlink ref="Q212" r:id="rId3546"/>
    <hyperlink ref="Q193" r:id="rId3547"/>
    <hyperlink ref="Q4489" r:id="rId3548"/>
    <hyperlink ref="E1359" r:id="rId3549"/>
    <hyperlink ref="Q1359" r:id="rId3550"/>
    <hyperlink ref="E1358" r:id="rId3551"/>
    <hyperlink ref="Q1358" r:id="rId3552"/>
    <hyperlink ref="Q129" r:id="rId3553"/>
    <hyperlink ref="E125" r:id="rId3554"/>
    <hyperlink ref="Q125" r:id="rId3555"/>
    <hyperlink ref="Q126" r:id="rId3556"/>
    <hyperlink ref="E123" r:id="rId3557"/>
    <hyperlink ref="Q123" r:id="rId3558"/>
    <hyperlink ref="E124" r:id="rId3559"/>
    <hyperlink ref="Q124" r:id="rId3560"/>
    <hyperlink ref="E122" r:id="rId3561"/>
    <hyperlink ref="Q122" r:id="rId3562"/>
    <hyperlink ref="Q116" r:id="rId3563"/>
    <hyperlink ref="Q121" r:id="rId3564"/>
    <hyperlink ref="Q119" r:id="rId3565"/>
    <hyperlink ref="Q115" r:id="rId3566"/>
    <hyperlink ref="Q120" r:id="rId3567"/>
    <hyperlink ref="Q117" r:id="rId3568"/>
    <hyperlink ref="E118" r:id="rId3569"/>
    <hyperlink ref="Q118" r:id="rId3570"/>
    <hyperlink ref="Q114" r:id="rId3571"/>
    <hyperlink ref="Q112" r:id="rId3572"/>
    <hyperlink ref="Q111" r:id="rId3573"/>
    <hyperlink ref="Q113" r:id="rId3574"/>
    <hyperlink ref="Q110" r:id="rId3575"/>
    <hyperlink ref="Q108" r:id="rId3576"/>
    <hyperlink ref="E106" r:id="rId3577"/>
    <hyperlink ref="Q106" r:id="rId3578"/>
    <hyperlink ref="E104" r:id="rId3579"/>
    <hyperlink ref="Q104" r:id="rId3580"/>
    <hyperlink ref="E105" r:id="rId3581"/>
    <hyperlink ref="Q105" r:id="rId3582"/>
    <hyperlink ref="E109" r:id="rId3583"/>
    <hyperlink ref="Q109" r:id="rId3584"/>
    <hyperlink ref="Q107" r:id="rId3585"/>
    <hyperlink ref="Q103" r:id="rId3586"/>
    <hyperlink ref="Q102" r:id="rId3587"/>
    <hyperlink ref="Q97" r:id="rId3588"/>
    <hyperlink ref="Q98" r:id="rId3589"/>
    <hyperlink ref="E99" r:id="rId3590"/>
    <hyperlink ref="Q99" r:id="rId3591"/>
    <hyperlink ref="E100" r:id="rId3592"/>
    <hyperlink ref="Q100" r:id="rId3593"/>
    <hyperlink ref="E101" r:id="rId3594"/>
    <hyperlink ref="Q101" r:id="rId3595"/>
    <hyperlink ref="E94" r:id="rId3596"/>
    <hyperlink ref="Q94" r:id="rId3597"/>
    <hyperlink ref="E92" r:id="rId3598"/>
    <hyperlink ref="Q92" r:id="rId3599"/>
    <hyperlink ref="Q95" r:id="rId3600"/>
    <hyperlink ref="E96" r:id="rId3601"/>
    <hyperlink ref="Q96" r:id="rId3602"/>
    <hyperlink ref="E91" r:id="rId3603"/>
    <hyperlink ref="Q91" r:id="rId3604"/>
    <hyperlink ref="E93" r:id="rId3605"/>
    <hyperlink ref="Q93" r:id="rId3606"/>
    <hyperlink ref="Q89" r:id="rId3607"/>
    <hyperlink ref="E90" r:id="rId3608"/>
    <hyperlink ref="Q90" r:id="rId3609"/>
    <hyperlink ref="Q88" r:id="rId3610"/>
    <hyperlink ref="Q86" r:id="rId3611"/>
    <hyperlink ref="Q87" r:id="rId3612"/>
    <hyperlink ref="Q85" r:id="rId3613"/>
    <hyperlink ref="Q82" r:id="rId3614"/>
    <hyperlink ref="Q84" r:id="rId3615"/>
    <hyperlink ref="Q83" r:id="rId3616"/>
    <hyperlink ref="E81" r:id="rId3617"/>
    <hyperlink ref="Q81" r:id="rId3618"/>
    <hyperlink ref="E79" r:id="rId3619"/>
    <hyperlink ref="Q79" r:id="rId3620"/>
    <hyperlink ref="E80" r:id="rId3621"/>
    <hyperlink ref="Q80" r:id="rId3622"/>
    <hyperlink ref="E76" r:id="rId3623"/>
    <hyperlink ref="Q76" r:id="rId3624"/>
    <hyperlink ref="Q75" r:id="rId3625"/>
    <hyperlink ref="E74" r:id="rId3626"/>
    <hyperlink ref="Q74" r:id="rId3627"/>
    <hyperlink ref="E73" r:id="rId3628"/>
    <hyperlink ref="Q73" r:id="rId3629"/>
    <hyperlink ref="E72" r:id="rId3630"/>
    <hyperlink ref="Q72" r:id="rId3631"/>
    <hyperlink ref="Q70" r:id="rId3632"/>
    <hyperlink ref="E66" r:id="rId3633"/>
    <hyperlink ref="Q66" r:id="rId3634"/>
    <hyperlink ref="E68" r:id="rId3635"/>
    <hyperlink ref="Q68" r:id="rId3636"/>
    <hyperlink ref="E71" r:id="rId3637"/>
    <hyperlink ref="Q71" r:id="rId3638"/>
    <hyperlink ref="E67" r:id="rId3639"/>
    <hyperlink ref="Q67" r:id="rId3640"/>
    <hyperlink ref="E69" r:id="rId3641"/>
    <hyperlink ref="Q69" r:id="rId3642"/>
    <hyperlink ref="Q64" r:id="rId3643"/>
    <hyperlink ref="Q63" r:id="rId3644"/>
    <hyperlink ref="E60" r:id="rId3645"/>
    <hyperlink ref="Q60" r:id="rId3646"/>
    <hyperlink ref="Q62" r:id="rId3647"/>
    <hyperlink ref="Q59" r:id="rId3648"/>
    <hyperlink ref="Q58" r:id="rId3649"/>
    <hyperlink ref="Q54" r:id="rId3650"/>
    <hyperlink ref="Q57" r:id="rId3651"/>
    <hyperlink ref="Q55" r:id="rId3652"/>
    <hyperlink ref="Q56" r:id="rId3653"/>
    <hyperlink ref="Q53" r:id="rId3654"/>
    <hyperlink ref="Q51" r:id="rId3655"/>
    <hyperlink ref="Q52" r:id="rId3656"/>
    <hyperlink ref="E49" r:id="rId3657"/>
    <hyperlink ref="Q49" r:id="rId3658"/>
    <hyperlink ref="E50" r:id="rId3659"/>
    <hyperlink ref="Q50" r:id="rId3660"/>
    <hyperlink ref="Q48" r:id="rId3661"/>
    <hyperlink ref="Q44" r:id="rId3662"/>
    <hyperlink ref="Q46" r:id="rId3663"/>
    <hyperlink ref="Q47" r:id="rId3664"/>
    <hyperlink ref="Q45" r:id="rId3665"/>
    <hyperlink ref="E40" r:id="rId3666"/>
    <hyperlink ref="Q40" r:id="rId3667"/>
    <hyperlink ref="Q42" r:id="rId3668"/>
    <hyperlink ref="Q43" r:id="rId3669"/>
    <hyperlink ref="Q41" r:id="rId3670"/>
    <hyperlink ref="Q38" r:id="rId3671"/>
    <hyperlink ref="E39" r:id="rId3672"/>
    <hyperlink ref="Q39" r:id="rId3673"/>
    <hyperlink ref="Q37" r:id="rId3674"/>
    <hyperlink ref="E34" r:id="rId3675"/>
    <hyperlink ref="Q34" r:id="rId3676"/>
    <hyperlink ref="Q35" r:id="rId3677"/>
    <hyperlink ref="E33" r:id="rId3678"/>
    <hyperlink ref="Q33" r:id="rId3679"/>
    <hyperlink ref="Q36" r:id="rId3680"/>
    <hyperlink ref="Q32" r:id="rId3681"/>
    <hyperlink ref="Q30" r:id="rId3682"/>
    <hyperlink ref="E27" r:id="rId3683"/>
    <hyperlink ref="Q27" r:id="rId3684"/>
    <hyperlink ref="Q28" r:id="rId3685"/>
    <hyperlink ref="E26" r:id="rId3686"/>
    <hyperlink ref="Q26" r:id="rId3687"/>
    <hyperlink ref="Q29" r:id="rId3688"/>
    <hyperlink ref="E22" r:id="rId3689"/>
    <hyperlink ref="Q22" r:id="rId3690"/>
    <hyperlink ref="Q23" r:id="rId3691"/>
    <hyperlink ref="E25" r:id="rId3692"/>
    <hyperlink ref="Q25" r:id="rId3693"/>
    <hyperlink ref="E24" r:id="rId3694"/>
    <hyperlink ref="Q24" r:id="rId3695"/>
    <hyperlink ref="Q19" r:id="rId3696"/>
    <hyperlink ref="Q65" r:id="rId3697"/>
    <hyperlink ref="Q18" r:id="rId3698"/>
    <hyperlink ref="Q20" r:id="rId3699"/>
    <hyperlink ref="E21" r:id="rId3700"/>
    <hyperlink ref="Q21" r:id="rId3701"/>
    <hyperlink ref="Q16" r:id="rId3702"/>
    <hyperlink ref="Q10" r:id="rId3703"/>
    <hyperlink ref="Q11" r:id="rId3704"/>
    <hyperlink ref="E13" r:id="rId3705"/>
    <hyperlink ref="Q13" r:id="rId3706"/>
    <hyperlink ref="Q12" r:id="rId3707"/>
    <hyperlink ref="Q15" r:id="rId3708"/>
    <hyperlink ref="Q31" r:id="rId3709"/>
    <hyperlink ref="E8" r:id="rId3710"/>
    <hyperlink ref="Q8" r:id="rId3711"/>
    <hyperlink ref="E4" r:id="rId3712"/>
    <hyperlink ref="Q4" r:id="rId3713"/>
    <hyperlink ref="Q9" r:id="rId3714"/>
    <hyperlink ref="Q5" r:id="rId3715"/>
    <hyperlink ref="Q6" r:id="rId3716"/>
    <hyperlink ref="Q7" r:id="rId3717"/>
    <hyperlink ref="E2" r:id="rId3718"/>
    <hyperlink ref="Q2" r:id="rId3719"/>
    <hyperlink ref="E65" r:id="rId3720"/>
    <hyperlink ref="E31" r:id="rId3721"/>
  </hyperlinks>
  <pageMargins left="0.75" right="0.75" top="1" bottom="1" header="0.5" footer="0.5"/>
  <pageSetup orientation="portrait" horizontalDpi="4294967292" verticalDpi="4294967292"/>
  <drawing r:id="rId37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7"/>
  <sheetViews>
    <sheetView topLeftCell="Q72" workbookViewId="0">
      <selection activeCell="S106" sqref="S106"/>
    </sheetView>
  </sheetViews>
  <sheetFormatPr baseColWidth="10" defaultRowHeight="13" x14ac:dyDescent="0.15"/>
  <cols>
    <col min="1" max="1" width="0" style="31" hidden="1" customWidth="1"/>
    <col min="2" max="2" width="23.1640625" style="26" customWidth="1"/>
    <col min="3" max="3" width="29.1640625" style="32" customWidth="1"/>
    <col min="4" max="13" width="10.83203125" style="26" customWidth="1"/>
    <col min="14" max="14" width="28.6640625" style="26" customWidth="1"/>
    <col min="15" max="15" width="10" style="26" customWidth="1"/>
    <col min="16" max="20" width="10.83203125" style="26" customWidth="1"/>
    <col min="21" max="22" width="13" style="26" customWidth="1"/>
    <col min="23" max="24" width="10.83203125" style="15" customWidth="1"/>
    <col min="25" max="25" width="10.83203125" style="12" customWidth="1"/>
    <col min="26" max="16384" width="10.83203125" style="15"/>
  </cols>
  <sheetData>
    <row r="1" spans="1:25" s="24" customFormat="1" ht="29" customHeight="1" x14ac:dyDescent="0.15">
      <c r="A1" s="27" t="s">
        <v>21206</v>
      </c>
      <c r="B1" s="28" t="s">
        <v>21207</v>
      </c>
      <c r="C1" s="29" t="s">
        <v>24957</v>
      </c>
      <c r="D1" s="24" t="s">
        <v>31430</v>
      </c>
      <c r="E1" s="24" t="s">
        <v>31429</v>
      </c>
      <c r="F1" s="19" t="s">
        <v>21208</v>
      </c>
      <c r="G1" s="20" t="s">
        <v>85</v>
      </c>
      <c r="H1" s="20" t="s">
        <v>37</v>
      </c>
      <c r="I1" s="21" t="s">
        <v>21209</v>
      </c>
      <c r="J1" s="22" t="s">
        <v>21</v>
      </c>
      <c r="K1" s="20" t="s">
        <v>21210</v>
      </c>
      <c r="L1" s="20" t="s">
        <v>21211</v>
      </c>
      <c r="M1" s="20" t="s">
        <v>21212</v>
      </c>
      <c r="N1" s="20" t="s">
        <v>21213</v>
      </c>
      <c r="O1" s="23" t="s">
        <v>48</v>
      </c>
      <c r="P1" s="28" t="s">
        <v>21200</v>
      </c>
      <c r="Q1" s="30" t="s">
        <v>21214</v>
      </c>
      <c r="R1" s="30" t="s">
        <v>21215</v>
      </c>
      <c r="S1" s="24" t="s">
        <v>21199</v>
      </c>
      <c r="T1" s="24" t="s">
        <v>21216</v>
      </c>
      <c r="U1" s="24" t="s">
        <v>21217</v>
      </c>
      <c r="V1" s="24" t="s">
        <v>21218</v>
      </c>
      <c r="W1" s="24" t="s">
        <v>22961</v>
      </c>
      <c r="X1" s="24" t="s">
        <v>22962</v>
      </c>
      <c r="Y1" s="24" t="s">
        <v>24958</v>
      </c>
    </row>
    <row r="2" spans="1:25" x14ac:dyDescent="0.15">
      <c r="A2" s="31" t="s">
        <v>20590</v>
      </c>
      <c r="B2" s="31" t="s">
        <v>922</v>
      </c>
      <c r="C2" s="32" t="s">
        <v>4961</v>
      </c>
      <c r="D2" s="32">
        <v>19</v>
      </c>
      <c r="E2" s="32">
        <v>3</v>
      </c>
      <c r="F2" s="34">
        <v>545852</v>
      </c>
      <c r="G2" s="35">
        <v>14878</v>
      </c>
      <c r="H2" s="35">
        <v>229933</v>
      </c>
      <c r="I2" s="35">
        <v>20627</v>
      </c>
      <c r="J2" s="35">
        <v>13674</v>
      </c>
      <c r="K2" s="36">
        <v>418</v>
      </c>
      <c r="L2" s="36">
        <f>J2+K2</f>
        <v>14092</v>
      </c>
      <c r="M2" s="35">
        <v>1224</v>
      </c>
      <c r="N2" s="35">
        <v>10043</v>
      </c>
      <c r="O2" s="37">
        <v>255055</v>
      </c>
      <c r="P2" s="33">
        <v>558874</v>
      </c>
      <c r="Q2" s="33">
        <v>4934</v>
      </c>
      <c r="R2" s="33">
        <v>30</v>
      </c>
      <c r="S2" s="25">
        <f>Q2/P2*1000</f>
        <v>8.8284658080354426</v>
      </c>
      <c r="T2" s="25">
        <f>R2/P2*100000</f>
        <v>5.3679362432319273</v>
      </c>
      <c r="U2" s="25">
        <f>D2/F2*1000000</f>
        <v>34.807969925913987</v>
      </c>
      <c r="V2" s="25">
        <f>E2/G2*1000000</f>
        <v>201.64000537706681</v>
      </c>
      <c r="W2" s="25">
        <f>V2/3</f>
        <v>67.213335125688943</v>
      </c>
      <c r="X2" s="25">
        <f>(W2*2)/10</f>
        <v>13.442667025137789</v>
      </c>
      <c r="Y2" s="50">
        <v>28.484186172485352</v>
      </c>
    </row>
    <row r="3" spans="1:25" x14ac:dyDescent="0.15">
      <c r="A3" s="31" t="s">
        <v>20575</v>
      </c>
      <c r="B3" s="31" t="s">
        <v>1879</v>
      </c>
      <c r="C3" s="32" t="s">
        <v>1881</v>
      </c>
      <c r="D3" s="32">
        <v>9</v>
      </c>
      <c r="E3" s="32">
        <v>2</v>
      </c>
      <c r="F3" s="34">
        <v>336265</v>
      </c>
      <c r="G3" s="35">
        <v>8209</v>
      </c>
      <c r="H3" s="35">
        <v>92362</v>
      </c>
      <c r="I3" s="36">
        <v>743</v>
      </c>
      <c r="J3" s="35">
        <v>49210</v>
      </c>
      <c r="K3" s="35">
        <v>1437</v>
      </c>
      <c r="L3" s="36">
        <f>J3+K3</f>
        <v>50647</v>
      </c>
      <c r="M3" s="36">
        <v>628</v>
      </c>
      <c r="N3" s="35">
        <v>6209</v>
      </c>
      <c r="O3" s="37">
        <v>177467</v>
      </c>
      <c r="P3" s="33">
        <v>346956</v>
      </c>
      <c r="Q3" s="33">
        <v>1101</v>
      </c>
      <c r="R3" s="33">
        <v>14</v>
      </c>
      <c r="S3" s="25">
        <f>Q3/P3*1000</f>
        <v>3.1733130425760039</v>
      </c>
      <c r="T3" s="25">
        <f>R3/P3*100000</f>
        <v>4.035093787108452</v>
      </c>
      <c r="U3" s="25">
        <f>D3/F3*1000000</f>
        <v>26.764605296418001</v>
      </c>
      <c r="V3" s="25">
        <f>E3/G3*1000000</f>
        <v>243.63503471799245</v>
      </c>
      <c r="W3" s="25">
        <f>V3/3</f>
        <v>81.211678239330823</v>
      </c>
      <c r="X3" s="25">
        <f>(W3*2)/10</f>
        <v>16.242335647866163</v>
      </c>
      <c r="Y3" s="50">
        <v>27.784099578857422</v>
      </c>
    </row>
    <row r="4" spans="1:25" x14ac:dyDescent="0.15">
      <c r="A4" s="31" t="s">
        <v>21220</v>
      </c>
      <c r="B4" s="31" t="s">
        <v>4417</v>
      </c>
      <c r="C4" s="32" t="s">
        <v>4419</v>
      </c>
      <c r="D4" s="32">
        <v>7</v>
      </c>
      <c r="E4" s="32">
        <v>0</v>
      </c>
      <c r="F4" s="34">
        <v>291826</v>
      </c>
      <c r="G4" s="35">
        <v>15308</v>
      </c>
      <c r="H4" s="35">
        <v>182814</v>
      </c>
      <c r="I4" s="35">
        <v>22047</v>
      </c>
      <c r="J4" s="35">
        <v>23208</v>
      </c>
      <c r="K4" s="35">
        <v>5776</v>
      </c>
      <c r="L4" s="36">
        <f>J4+K4</f>
        <v>28984</v>
      </c>
      <c r="M4" s="36">
        <v>562</v>
      </c>
      <c r="N4" s="35">
        <v>20050</v>
      </c>
      <c r="O4" s="37">
        <v>22061</v>
      </c>
      <c r="P4" s="33">
        <v>301306</v>
      </c>
      <c r="Q4" s="33">
        <v>2605</v>
      </c>
      <c r="R4" s="33">
        <v>12</v>
      </c>
      <c r="S4" s="25">
        <f>Q4/P4*1000</f>
        <v>8.6456957378877277</v>
      </c>
      <c r="T4" s="25">
        <f>R4/P4*100000</f>
        <v>3.9826621441325432</v>
      </c>
      <c r="U4" s="25">
        <f>D4/F4*1000000</f>
        <v>23.98689630122059</v>
      </c>
      <c r="V4" s="25">
        <f>E4/G4*1000000</f>
        <v>0</v>
      </c>
      <c r="W4" s="25">
        <f>V4/3</f>
        <v>0</v>
      </c>
      <c r="X4" s="25">
        <f>(W4*2)/10</f>
        <v>0</v>
      </c>
      <c r="Y4" s="50">
        <v>34.3250732421875</v>
      </c>
    </row>
    <row r="5" spans="1:25" x14ac:dyDescent="0.15">
      <c r="A5" s="31" t="s">
        <v>20580</v>
      </c>
      <c r="B5" s="31" t="s">
        <v>843</v>
      </c>
      <c r="C5" s="32" t="s">
        <v>844</v>
      </c>
      <c r="D5" s="32">
        <v>7</v>
      </c>
      <c r="E5" s="32">
        <v>4</v>
      </c>
      <c r="F5" s="34">
        <v>365438</v>
      </c>
      <c r="G5" s="35">
        <v>67087</v>
      </c>
      <c r="H5" s="35">
        <v>164022</v>
      </c>
      <c r="I5" s="35">
        <v>1338</v>
      </c>
      <c r="J5" s="35">
        <v>24564</v>
      </c>
      <c r="K5" s="36">
        <v>373</v>
      </c>
      <c r="L5" s="36">
        <f>J5+K5</f>
        <v>24937</v>
      </c>
      <c r="M5" s="36">
        <v>597</v>
      </c>
      <c r="N5" s="35">
        <v>7188</v>
      </c>
      <c r="O5" s="37">
        <v>100269</v>
      </c>
      <c r="P5" s="33">
        <v>382976</v>
      </c>
      <c r="Q5" s="33">
        <v>1854</v>
      </c>
      <c r="R5" s="33">
        <v>13</v>
      </c>
      <c r="S5" s="25">
        <f>Q5/P5*1000</f>
        <v>4.8410344251336896</v>
      </c>
      <c r="T5" s="25">
        <f>R5/P5*100000</f>
        <v>3.3944685828877006</v>
      </c>
      <c r="U5" s="25">
        <f>D5/F5*1000000</f>
        <v>19.155096076489034</v>
      </c>
      <c r="V5" s="25">
        <f>E5/G5*1000000</f>
        <v>59.62407023715474</v>
      </c>
      <c r="W5" s="25">
        <f>V5/3</f>
        <v>19.874690079051579</v>
      </c>
      <c r="X5" s="25">
        <f>(W5*2)/10</f>
        <v>3.9749380158103156</v>
      </c>
      <c r="Y5" s="50">
        <v>39.739589691162109</v>
      </c>
    </row>
    <row r="6" spans="1:25" x14ac:dyDescent="0.15">
      <c r="A6" s="31" t="s">
        <v>20583</v>
      </c>
      <c r="B6" s="31" t="s">
        <v>1916</v>
      </c>
      <c r="C6" s="32" t="s">
        <v>2540</v>
      </c>
      <c r="D6" s="32">
        <v>9</v>
      </c>
      <c r="E6" s="32">
        <v>7</v>
      </c>
      <c r="F6" s="34">
        <v>420003</v>
      </c>
      <c r="G6" s="35">
        <v>224316</v>
      </c>
      <c r="H6" s="35">
        <v>152377</v>
      </c>
      <c r="I6" s="36">
        <v>754</v>
      </c>
      <c r="J6" s="35">
        <v>13098</v>
      </c>
      <c r="K6" s="36">
        <v>115</v>
      </c>
      <c r="L6" s="36">
        <f>J6+K6</f>
        <v>13213</v>
      </c>
      <c r="M6" s="36">
        <v>739</v>
      </c>
      <c r="N6" s="35">
        <v>6789</v>
      </c>
      <c r="O6" s="37">
        <v>21815</v>
      </c>
      <c r="P6" s="33">
        <v>454363</v>
      </c>
      <c r="Q6" s="33">
        <v>5577</v>
      </c>
      <c r="R6" s="33">
        <v>93</v>
      </c>
      <c r="S6" s="25">
        <f>Q6/P6*1000</f>
        <v>12.274326914823609</v>
      </c>
      <c r="T6" s="25">
        <f>R6/P6*100000</f>
        <v>20.46821594187907</v>
      </c>
      <c r="U6" s="25">
        <f>D6/F6*1000000</f>
        <v>21.428418368440227</v>
      </c>
      <c r="V6" s="25">
        <f>E6/G6*1000000</f>
        <v>31.205977282048536</v>
      </c>
      <c r="W6" s="25">
        <f>V6/3</f>
        <v>10.401992427349512</v>
      </c>
      <c r="X6" s="25">
        <f>(W6*2)/10</f>
        <v>2.0803984854699022</v>
      </c>
      <c r="Y6" s="50">
        <v>74.119720458984375</v>
      </c>
    </row>
    <row r="7" spans="1:25" x14ac:dyDescent="0.15">
      <c r="A7" s="31" t="s">
        <v>20579</v>
      </c>
      <c r="B7" s="31" t="s">
        <v>3823</v>
      </c>
      <c r="C7" s="32" t="s">
        <v>3826</v>
      </c>
      <c r="D7" s="32">
        <v>10</v>
      </c>
      <c r="E7" s="32">
        <v>3</v>
      </c>
      <c r="F7" s="34">
        <v>325078</v>
      </c>
      <c r="G7" s="35">
        <v>49003</v>
      </c>
      <c r="H7" s="35">
        <v>153715</v>
      </c>
      <c r="I7" s="35">
        <v>1487</v>
      </c>
      <c r="J7" s="35">
        <v>15735</v>
      </c>
      <c r="K7" s="36">
        <v>919</v>
      </c>
      <c r="L7" s="36">
        <f>J7+K7</f>
        <v>16654</v>
      </c>
      <c r="M7" s="36">
        <v>677</v>
      </c>
      <c r="N7" s="35">
        <v>10279</v>
      </c>
      <c r="O7" s="37">
        <v>93263</v>
      </c>
      <c r="P7" s="33">
        <v>350948</v>
      </c>
      <c r="Q7" s="33">
        <v>1448</v>
      </c>
      <c r="R7" s="33">
        <v>11</v>
      </c>
      <c r="S7" s="25">
        <f>Q7/P7*1000</f>
        <v>4.1259673797827592</v>
      </c>
      <c r="T7" s="25">
        <f>R7/P7*100000</f>
        <v>3.1343674846415994</v>
      </c>
      <c r="U7" s="25">
        <f>D7/F7*1000000</f>
        <v>30.761847925728592</v>
      </c>
      <c r="V7" s="25">
        <f>E7/G7*1000000</f>
        <v>61.220741587249762</v>
      </c>
      <c r="W7" s="25">
        <f>V7/3</f>
        <v>20.406913862416587</v>
      </c>
      <c r="X7" s="25">
        <f>(W7*2)/10</f>
        <v>4.0813827724833178</v>
      </c>
      <c r="Y7" s="50">
        <v>28.717597961425781</v>
      </c>
    </row>
    <row r="8" spans="1:25" x14ac:dyDescent="0.15">
      <c r="A8" s="31" t="s">
        <v>20580</v>
      </c>
      <c r="B8" s="31" t="s">
        <v>1313</v>
      </c>
      <c r="C8" s="32" t="s">
        <v>1315</v>
      </c>
      <c r="D8" s="32">
        <v>22</v>
      </c>
      <c r="E8" s="32">
        <v>4</v>
      </c>
      <c r="F8" s="34">
        <v>790390</v>
      </c>
      <c r="G8" s="35">
        <v>60760</v>
      </c>
      <c r="H8" s="35">
        <v>385271</v>
      </c>
      <c r="I8" s="35">
        <v>1967</v>
      </c>
      <c r="J8" s="35">
        <v>49159</v>
      </c>
      <c r="K8" s="36">
        <v>401</v>
      </c>
      <c r="L8" s="36">
        <f>J8+K8</f>
        <v>49560</v>
      </c>
      <c r="M8" s="35">
        <v>1448</v>
      </c>
      <c r="N8" s="35">
        <v>13677</v>
      </c>
      <c r="O8" s="37">
        <v>277707</v>
      </c>
      <c r="P8" s="33">
        <v>903924</v>
      </c>
      <c r="Q8" s="33">
        <v>3581</v>
      </c>
      <c r="R8" s="33">
        <v>32</v>
      </c>
      <c r="S8" s="25">
        <f>Q8/P8*1000</f>
        <v>3.9616162420734482</v>
      </c>
      <c r="T8" s="25">
        <f>R8/P8*100000</f>
        <v>3.5401206296104535</v>
      </c>
      <c r="U8" s="25">
        <f>D8/F8*1000000</f>
        <v>27.83436025253356</v>
      </c>
      <c r="V8" s="25">
        <f>E8/G8*1000000</f>
        <v>65.832784726793932</v>
      </c>
      <c r="W8" s="25">
        <f>V8/3</f>
        <v>21.944261575597977</v>
      </c>
      <c r="X8" s="25">
        <f>(W8*2)/10</f>
        <v>4.3888523151195953</v>
      </c>
      <c r="Y8" s="50">
        <v>54.142200469970703</v>
      </c>
    </row>
    <row r="9" spans="1:25" x14ac:dyDescent="0.15">
      <c r="A9" s="31" t="s">
        <v>20575</v>
      </c>
      <c r="B9" s="31" t="s">
        <v>679</v>
      </c>
      <c r="C9" s="32" t="s">
        <v>681</v>
      </c>
      <c r="D9" s="32">
        <v>20</v>
      </c>
      <c r="E9" s="32">
        <v>1</v>
      </c>
      <c r="F9" s="34">
        <v>347483</v>
      </c>
      <c r="G9" s="35">
        <v>26677</v>
      </c>
      <c r="H9" s="35">
        <v>131311</v>
      </c>
      <c r="I9" s="35">
        <v>2265</v>
      </c>
      <c r="J9" s="35">
        <v>20496</v>
      </c>
      <c r="K9" s="36">
        <v>357</v>
      </c>
      <c r="L9" s="36">
        <f>J9+K9</f>
        <v>20853</v>
      </c>
      <c r="M9" s="36">
        <v>681</v>
      </c>
      <c r="N9" s="35">
        <v>7491</v>
      </c>
      <c r="O9" s="37">
        <v>158205</v>
      </c>
      <c r="P9" s="33">
        <v>367406</v>
      </c>
      <c r="Q9" s="33">
        <v>1678</v>
      </c>
      <c r="R9" s="33">
        <v>17</v>
      </c>
      <c r="S9" s="25">
        <f>Q9/P9*1000</f>
        <v>4.567154591922832</v>
      </c>
      <c r="T9" s="25">
        <f>R9/P9*100000</f>
        <v>4.6270338535571005</v>
      </c>
      <c r="U9" s="25">
        <f>D9/F9*1000000</f>
        <v>57.556772561535382</v>
      </c>
      <c r="V9" s="25">
        <f>E9/G9*1000000</f>
        <v>37.485474378678262</v>
      </c>
      <c r="W9" s="25">
        <f>V9/3</f>
        <v>12.495158126226087</v>
      </c>
      <c r="X9" s="25">
        <f>(W9*2)/10</f>
        <v>2.4990316252452174</v>
      </c>
      <c r="Y9" s="50">
        <v>43.388790130615234</v>
      </c>
    </row>
    <row r="10" spans="1:25" x14ac:dyDescent="0.15">
      <c r="A10" s="31" t="s">
        <v>20588</v>
      </c>
      <c r="B10" s="31" t="s">
        <v>1592</v>
      </c>
      <c r="C10" s="32" t="s">
        <v>2770</v>
      </c>
      <c r="D10" s="32">
        <v>28</v>
      </c>
      <c r="E10" s="32">
        <v>24</v>
      </c>
      <c r="F10" s="34">
        <v>620961</v>
      </c>
      <c r="G10" s="35">
        <v>392938</v>
      </c>
      <c r="H10" s="35">
        <v>174120</v>
      </c>
      <c r="I10" s="35">
        <v>1884</v>
      </c>
      <c r="J10" s="35">
        <v>14397</v>
      </c>
      <c r="K10" s="36">
        <v>192</v>
      </c>
      <c r="L10" s="36">
        <f>J10+K10</f>
        <v>14589</v>
      </c>
      <c r="M10" s="36">
        <v>942</v>
      </c>
      <c r="N10" s="35">
        <v>10528</v>
      </c>
      <c r="O10" s="37">
        <v>25960</v>
      </c>
      <c r="P10" s="33">
        <v>623513</v>
      </c>
      <c r="Q10" s="33">
        <v>8346</v>
      </c>
      <c r="R10" s="33">
        <v>211</v>
      </c>
      <c r="S10" s="25">
        <f>Q10/P10*1000</f>
        <v>13.385446654680816</v>
      </c>
      <c r="T10" s="25">
        <f>R10/P10*100000</f>
        <v>33.840513349360798</v>
      </c>
      <c r="U10" s="25">
        <f>D10/F10*1000000</f>
        <v>45.091398654665909</v>
      </c>
      <c r="V10" s="25">
        <f>E10/G10*1000000</f>
        <v>61.078338058421423</v>
      </c>
      <c r="W10" s="25">
        <f>V10/3</f>
        <v>20.359446019473808</v>
      </c>
      <c r="X10" s="25">
        <f>(W10*2)/10</f>
        <v>4.0718892038947612</v>
      </c>
      <c r="Y10" s="50">
        <v>68.903999328613281</v>
      </c>
    </row>
    <row r="11" spans="1:25" x14ac:dyDescent="0.15">
      <c r="A11" s="31" t="s">
        <v>20576</v>
      </c>
      <c r="B11" s="31" t="s">
        <v>189</v>
      </c>
      <c r="C11" s="32" t="s">
        <v>1683</v>
      </c>
      <c r="D11" s="32">
        <v>9</v>
      </c>
      <c r="E11" s="32">
        <v>8</v>
      </c>
      <c r="F11" s="34">
        <v>229493</v>
      </c>
      <c r="G11" s="35">
        <v>124542</v>
      </c>
      <c r="H11" s="35">
        <v>86679</v>
      </c>
      <c r="I11" s="36">
        <v>397</v>
      </c>
      <c r="J11" s="35">
        <v>7469</v>
      </c>
      <c r="K11" s="36">
        <v>39</v>
      </c>
      <c r="L11" s="36">
        <f>J11+K11</f>
        <v>7508</v>
      </c>
      <c r="M11" s="36">
        <v>332</v>
      </c>
      <c r="N11" s="35">
        <v>2382</v>
      </c>
      <c r="O11" s="37">
        <v>7653</v>
      </c>
      <c r="P11" s="33">
        <v>229387</v>
      </c>
      <c r="Q11" s="33">
        <v>2120</v>
      </c>
      <c r="R11" s="33">
        <v>53</v>
      </c>
      <c r="S11" s="25">
        <f>Q11/P11*1000</f>
        <v>9.2420233055927312</v>
      </c>
      <c r="T11" s="25">
        <f>R11/P11*100000</f>
        <v>23.105058263981828</v>
      </c>
      <c r="U11" s="25">
        <f>D11/F11*1000000</f>
        <v>39.216882432143905</v>
      </c>
      <c r="V11" s="25">
        <f>E11/G11*1000000</f>
        <v>64.23535835300541</v>
      </c>
      <c r="W11" s="25">
        <f>V11/3</f>
        <v>21.41178611766847</v>
      </c>
      <c r="X11" s="25">
        <f>(W11*2)/10</f>
        <v>4.282357223533694</v>
      </c>
      <c r="Y11" s="50">
        <v>66.938194274902344</v>
      </c>
    </row>
    <row r="12" spans="1:25" x14ac:dyDescent="0.15">
      <c r="A12" s="31" t="s">
        <v>21227</v>
      </c>
      <c r="B12" s="31" t="s">
        <v>4144</v>
      </c>
      <c r="C12" s="32" t="s">
        <v>4169</v>
      </c>
      <c r="D12" s="32">
        <v>6</v>
      </c>
      <c r="E12" s="32">
        <v>4</v>
      </c>
      <c r="F12" s="34">
        <v>212237</v>
      </c>
      <c r="G12" s="35">
        <v>155258</v>
      </c>
      <c r="H12" s="35">
        <v>44819</v>
      </c>
      <c r="I12" s="36">
        <v>361</v>
      </c>
      <c r="J12" s="35">
        <v>2132</v>
      </c>
      <c r="K12" s="36">
        <v>48</v>
      </c>
      <c r="L12" s="36">
        <f>J12+K12</f>
        <v>2180</v>
      </c>
      <c r="M12" s="36">
        <v>150</v>
      </c>
      <c r="N12" s="35">
        <v>1765</v>
      </c>
      <c r="O12" s="37">
        <v>7704</v>
      </c>
      <c r="P12" s="33">
        <v>212115</v>
      </c>
      <c r="Q12" s="33">
        <v>3369</v>
      </c>
      <c r="R12" s="33">
        <v>52</v>
      </c>
      <c r="S12" s="25">
        <f>Q12/P12*1000</f>
        <v>15.882893713315891</v>
      </c>
      <c r="T12" s="25">
        <f>R12/P12*100000</f>
        <v>24.515003653678431</v>
      </c>
      <c r="U12" s="25">
        <f>D12/F12*1000000</f>
        <v>28.270282749944638</v>
      </c>
      <c r="V12" s="25">
        <f>E12/G12*1000000</f>
        <v>25.763567738860477</v>
      </c>
      <c r="W12" s="25">
        <f>V12/3</f>
        <v>8.5878559129534917</v>
      </c>
      <c r="X12" s="25">
        <f>(W12*2)/10</f>
        <v>1.7175711825906983</v>
      </c>
      <c r="Y12" s="50">
        <v>62.555355072021484</v>
      </c>
    </row>
    <row r="13" spans="1:25" x14ac:dyDescent="0.15">
      <c r="A13" s="31" t="s">
        <v>20592</v>
      </c>
      <c r="B13" s="31" t="s">
        <v>1697</v>
      </c>
      <c r="C13" s="32" t="s">
        <v>3230</v>
      </c>
      <c r="D13" s="32">
        <v>9</v>
      </c>
      <c r="E13" s="32">
        <v>8</v>
      </c>
      <c r="F13" s="34">
        <v>617594</v>
      </c>
      <c r="G13" s="35">
        <v>138073</v>
      </c>
      <c r="H13" s="35">
        <v>290312</v>
      </c>
      <c r="I13" s="35">
        <v>1227</v>
      </c>
      <c r="J13" s="35">
        <v>54846</v>
      </c>
      <c r="K13" s="36">
        <v>182</v>
      </c>
      <c r="L13" s="36">
        <f>J13+K13</f>
        <v>55028</v>
      </c>
      <c r="M13" s="35">
        <v>10078</v>
      </c>
      <c r="N13" s="35">
        <v>14959</v>
      </c>
      <c r="O13" s="37">
        <v>107917</v>
      </c>
      <c r="P13" s="33">
        <v>654413</v>
      </c>
      <c r="Q13" s="33">
        <v>4749</v>
      </c>
      <c r="R13" s="33">
        <v>53</v>
      </c>
      <c r="S13" s="25">
        <f>Q13/P13*1000</f>
        <v>7.2568851780144961</v>
      </c>
      <c r="T13" s="25">
        <f>R13/P13*100000</f>
        <v>8.0988611167565434</v>
      </c>
      <c r="U13" s="25">
        <f>D13/F13*1000000</f>
        <v>14.572680434071575</v>
      </c>
      <c r="V13" s="25">
        <f>E13/G13*1000000</f>
        <v>57.940364879447827</v>
      </c>
      <c r="W13" s="25">
        <f>V13/3</f>
        <v>19.313454959815942</v>
      </c>
      <c r="X13" s="25">
        <f>(W13*2)/10</f>
        <v>3.8626909919631887</v>
      </c>
      <c r="Y13" s="50">
        <v>69.170494079589844</v>
      </c>
    </row>
    <row r="14" spans="1:25" x14ac:dyDescent="0.15">
      <c r="A14" s="31" t="s">
        <v>754</v>
      </c>
      <c r="B14" s="31" t="s">
        <v>13265</v>
      </c>
      <c r="C14" s="32" t="s">
        <v>21222</v>
      </c>
      <c r="D14" s="32">
        <v>2</v>
      </c>
      <c r="E14" s="32">
        <v>1</v>
      </c>
      <c r="F14" s="34">
        <v>261310</v>
      </c>
      <c r="G14" s="35">
        <v>97637</v>
      </c>
      <c r="H14" s="35">
        <v>119801</v>
      </c>
      <c r="I14" s="35">
        <v>1597</v>
      </c>
      <c r="J14" s="35">
        <v>8313</v>
      </c>
      <c r="K14" s="36">
        <v>79</v>
      </c>
      <c r="L14" s="36">
        <f>J14+K14</f>
        <v>8392</v>
      </c>
      <c r="M14" s="36">
        <v>445</v>
      </c>
      <c r="N14" s="35">
        <v>5919</v>
      </c>
      <c r="O14" s="37">
        <v>27519</v>
      </c>
      <c r="P14" s="33">
        <v>258419</v>
      </c>
      <c r="Q14" s="33">
        <v>3174</v>
      </c>
      <c r="R14" s="33">
        <v>60</v>
      </c>
      <c r="S14" s="25">
        <f>Q14/P14*1000</f>
        <v>12.282378617671302</v>
      </c>
      <c r="T14" s="25">
        <f>R14/P14*100000</f>
        <v>23.218107027734028</v>
      </c>
      <c r="U14" s="25">
        <f>D14/F14*1000000</f>
        <v>7.6537445945428795</v>
      </c>
      <c r="V14" s="25">
        <f>E14/G14*1000000</f>
        <v>10.242018906766901</v>
      </c>
      <c r="W14" s="25">
        <f>V14/3</f>
        <v>3.414006302255634</v>
      </c>
      <c r="X14" s="25">
        <f>(W14*2)/10</f>
        <v>0.68280126045112677</v>
      </c>
      <c r="Y14" s="50">
        <v>65.893440246582031</v>
      </c>
    </row>
    <row r="15" spans="1:25" x14ac:dyDescent="0.15">
      <c r="A15" s="31" t="s">
        <v>20578</v>
      </c>
      <c r="B15" s="31" t="s">
        <v>5105</v>
      </c>
      <c r="C15" s="32" t="s">
        <v>5107</v>
      </c>
      <c r="D15" s="32">
        <v>2</v>
      </c>
      <c r="E15" s="32">
        <v>0</v>
      </c>
      <c r="F15" s="34">
        <v>236123</v>
      </c>
      <c r="G15" s="35">
        <v>10580</v>
      </c>
      <c r="H15" s="35">
        <v>145724</v>
      </c>
      <c r="I15" s="35">
        <v>2715</v>
      </c>
      <c r="J15" s="35">
        <v>19119</v>
      </c>
      <c r="K15" s="36">
        <v>365</v>
      </c>
      <c r="L15" s="36">
        <f>J15+K15</f>
        <v>19484</v>
      </c>
      <c r="M15" s="36">
        <v>369</v>
      </c>
      <c r="N15" s="35">
        <v>5443</v>
      </c>
      <c r="O15" s="37">
        <v>51808</v>
      </c>
      <c r="P15" s="33">
        <v>252369</v>
      </c>
      <c r="Q15" s="33">
        <v>466</v>
      </c>
      <c r="R15" s="33">
        <v>1</v>
      </c>
      <c r="S15" s="25">
        <f>Q15/P15*1000</f>
        <v>1.8465025419128338</v>
      </c>
      <c r="T15" s="25">
        <f>R15/P15*100000</f>
        <v>0.39624518066799014</v>
      </c>
      <c r="U15" s="25">
        <f>D15/F15*1000000</f>
        <v>8.4701617377383833</v>
      </c>
      <c r="V15" s="25">
        <f>E15/G15*1000000</f>
        <v>0</v>
      </c>
      <c r="W15" s="25">
        <f>V15/3</f>
        <v>0</v>
      </c>
      <c r="X15" s="25">
        <f>(W15*2)/10</f>
        <v>0</v>
      </c>
      <c r="Y15" s="50">
        <v>17.242570877075195</v>
      </c>
    </row>
    <row r="16" spans="1:25" x14ac:dyDescent="0.15">
      <c r="A16" s="31" t="s">
        <v>20595</v>
      </c>
      <c r="B16" s="31" t="s">
        <v>4191</v>
      </c>
      <c r="C16" s="32" t="s">
        <v>4194</v>
      </c>
      <c r="D16" s="32">
        <v>14</v>
      </c>
      <c r="E16" s="32">
        <v>9</v>
      </c>
      <c r="F16" s="34">
        <v>731424</v>
      </c>
      <c r="G16" s="35">
        <v>252007</v>
      </c>
      <c r="H16" s="35">
        <v>329545</v>
      </c>
      <c r="I16" s="35">
        <v>2250</v>
      </c>
      <c r="J16" s="35">
        <v>36115</v>
      </c>
      <c r="K16" s="36">
        <v>436</v>
      </c>
      <c r="L16" s="36">
        <f>J16+K16</f>
        <v>36551</v>
      </c>
      <c r="M16" s="35">
        <v>1960</v>
      </c>
      <c r="N16" s="35">
        <v>13423</v>
      </c>
      <c r="O16" s="37">
        <v>95688</v>
      </c>
      <c r="P16" s="33">
        <v>856916</v>
      </c>
      <c r="Q16" s="33">
        <v>5054</v>
      </c>
      <c r="R16" s="33">
        <v>47</v>
      </c>
      <c r="S16" s="25">
        <f>Q16/P16*1000</f>
        <v>5.8978943093605443</v>
      </c>
      <c r="T16" s="25">
        <f>R16/P16*100000</f>
        <v>5.4847849730895444</v>
      </c>
      <c r="U16" s="25">
        <f>D16/F16*1000000</f>
        <v>19.140744629653938</v>
      </c>
      <c r="V16" s="25">
        <f>E16/G16*1000000</f>
        <v>35.713293678350205</v>
      </c>
      <c r="W16" s="25">
        <f>V16/3</f>
        <v>11.904431226116735</v>
      </c>
      <c r="X16" s="25">
        <f>(W16*2)/10</f>
        <v>2.3808862452233468</v>
      </c>
      <c r="Y16" s="50">
        <v>53.400146484375</v>
      </c>
    </row>
    <row r="17" spans="1:25" x14ac:dyDescent="0.15">
      <c r="A17" s="31" t="s">
        <v>20589</v>
      </c>
      <c r="B17" s="31" t="s">
        <v>4863</v>
      </c>
      <c r="C17" s="32" t="s">
        <v>4865</v>
      </c>
      <c r="D17" s="32">
        <v>2</v>
      </c>
      <c r="E17" s="32">
        <v>2</v>
      </c>
      <c r="F17" s="34">
        <v>222209</v>
      </c>
      <c r="G17" s="35">
        <v>65204</v>
      </c>
      <c r="H17" s="35">
        <v>134251</v>
      </c>
      <c r="I17" s="36">
        <v>720</v>
      </c>
      <c r="J17" s="35">
        <v>6289</v>
      </c>
      <c r="K17" s="36">
        <v>147</v>
      </c>
      <c r="L17" s="36">
        <f>J17+K17</f>
        <v>6436</v>
      </c>
      <c r="M17" s="36">
        <v>266</v>
      </c>
      <c r="N17" s="35">
        <v>5626</v>
      </c>
      <c r="O17" s="37">
        <v>9706</v>
      </c>
      <c r="P17" s="33">
        <v>232489</v>
      </c>
      <c r="Q17" s="33">
        <v>991</v>
      </c>
      <c r="R17" s="33">
        <v>10</v>
      </c>
      <c r="S17" s="25">
        <f>Q17/P17*1000</f>
        <v>4.262567261246768</v>
      </c>
      <c r="T17" s="25">
        <f>R17/P17*100000</f>
        <v>4.3012787701783735</v>
      </c>
      <c r="U17" s="25">
        <f>D17/F17*1000000</f>
        <v>9.0005355318641467</v>
      </c>
      <c r="V17" s="25">
        <f>E17/G17*1000000</f>
        <v>30.672964848782286</v>
      </c>
      <c r="W17" s="25">
        <f>V17/3</f>
        <v>10.224321616260761</v>
      </c>
      <c r="X17" s="25">
        <f>(W17*2)/10</f>
        <v>2.0448643232521522</v>
      </c>
      <c r="Y17" s="50">
        <v>41.662143707275391</v>
      </c>
    </row>
    <row r="18" spans="1:25" x14ac:dyDescent="0.15">
      <c r="A18" s="31" t="s">
        <v>20593</v>
      </c>
      <c r="B18" s="31" t="s">
        <v>87</v>
      </c>
      <c r="C18" s="32" t="s">
        <v>89</v>
      </c>
      <c r="D18" s="32">
        <v>66</v>
      </c>
      <c r="E18" s="32">
        <v>50</v>
      </c>
      <c r="F18" s="34">
        <v>2695598</v>
      </c>
      <c r="G18" s="35">
        <v>872286</v>
      </c>
      <c r="H18" s="35">
        <v>854717</v>
      </c>
      <c r="I18" s="35">
        <v>4097</v>
      </c>
      <c r="J18" s="35">
        <v>144903</v>
      </c>
      <c r="K18" s="36">
        <v>557</v>
      </c>
      <c r="L18" s="36">
        <f>J18+K18</f>
        <v>145460</v>
      </c>
      <c r="M18" s="35">
        <v>4227</v>
      </c>
      <c r="N18" s="35">
        <v>35949</v>
      </c>
      <c r="O18" s="37">
        <v>778862</v>
      </c>
      <c r="P18" s="33">
        <v>2724121</v>
      </c>
      <c r="Q18" s="33">
        <v>24089</v>
      </c>
      <c r="R18" s="33">
        <v>411</v>
      </c>
      <c r="S18" s="25">
        <f>Q18/P18*1000</f>
        <v>8.8428524283612955</v>
      </c>
      <c r="T18" s="25">
        <f>R18/P18*100000</f>
        <v>15.087435543428503</v>
      </c>
      <c r="U18" s="25">
        <f>D18/F18*1000000</f>
        <v>24.484363024456911</v>
      </c>
      <c r="V18" s="25">
        <f>E18/G18*1000000</f>
        <v>57.320649420029667</v>
      </c>
      <c r="W18" s="25">
        <f>V18/3</f>
        <v>19.106883140009888</v>
      </c>
      <c r="X18" s="25">
        <f>(W18*2)/10</f>
        <v>3.8213766280019774</v>
      </c>
      <c r="Y18" s="50">
        <v>82.477745056152344</v>
      </c>
    </row>
    <row r="19" spans="1:25" x14ac:dyDescent="0.15">
      <c r="A19" s="31" t="s">
        <v>20575</v>
      </c>
      <c r="B19" s="31" t="s">
        <v>6031</v>
      </c>
      <c r="C19" s="32" t="s">
        <v>6033</v>
      </c>
      <c r="D19" s="32">
        <v>1</v>
      </c>
      <c r="E19" s="32">
        <v>0</v>
      </c>
      <c r="F19" s="34">
        <v>243916</v>
      </c>
      <c r="G19" s="35">
        <v>9972</v>
      </c>
      <c r="H19" s="35">
        <v>49641</v>
      </c>
      <c r="I19" s="36">
        <v>600</v>
      </c>
      <c r="J19" s="35">
        <v>33581</v>
      </c>
      <c r="K19" s="35">
        <v>1105</v>
      </c>
      <c r="L19" s="36">
        <f>J19+K19</f>
        <v>34686</v>
      </c>
      <c r="M19" s="36">
        <v>360</v>
      </c>
      <c r="N19" s="35">
        <v>6591</v>
      </c>
      <c r="O19" s="37">
        <v>142066</v>
      </c>
      <c r="P19" s="33">
        <v>259894</v>
      </c>
      <c r="Q19" s="33">
        <v>612</v>
      </c>
      <c r="R19" s="33">
        <v>7</v>
      </c>
      <c r="S19" s="25">
        <f>Q19/P19*1000</f>
        <v>2.3548061902160109</v>
      </c>
      <c r="T19" s="25">
        <f>R19/P19*100000</f>
        <v>2.6934057731228886</v>
      </c>
      <c r="U19" s="25">
        <f>D19/F19*1000000</f>
        <v>4.0997720526738712</v>
      </c>
      <c r="V19" s="25">
        <f>E19/G19*1000000</f>
        <v>0</v>
      </c>
      <c r="W19" s="25">
        <f>V19/3</f>
        <v>0</v>
      </c>
      <c r="X19" s="25">
        <f>(W19*2)/10</f>
        <v>0</v>
      </c>
      <c r="Y19" s="50">
        <v>22.051408767700195</v>
      </c>
    </row>
    <row r="20" spans="1:25" x14ac:dyDescent="0.15">
      <c r="A20" s="31" t="s">
        <v>13797</v>
      </c>
      <c r="B20" s="31" t="s">
        <v>547</v>
      </c>
      <c r="C20" s="32" t="s">
        <v>22963</v>
      </c>
      <c r="D20" s="32">
        <v>10</v>
      </c>
      <c r="E20" s="32">
        <v>7</v>
      </c>
      <c r="F20" s="34">
        <v>296943</v>
      </c>
      <c r="G20" s="35">
        <v>132307</v>
      </c>
      <c r="H20" s="35">
        <v>142831</v>
      </c>
      <c r="I20" s="36">
        <v>549</v>
      </c>
      <c r="J20" s="35">
        <v>5434</v>
      </c>
      <c r="K20" s="36">
        <v>168</v>
      </c>
      <c r="L20" s="36">
        <f>J20+K20</f>
        <v>5602</v>
      </c>
      <c r="M20" s="36">
        <v>721</v>
      </c>
      <c r="N20" s="35">
        <v>6625</v>
      </c>
      <c r="O20" s="37">
        <v>8308</v>
      </c>
      <c r="P20" s="33">
        <v>297671</v>
      </c>
      <c r="Q20" s="33">
        <v>2695</v>
      </c>
      <c r="R20" s="33">
        <v>60</v>
      </c>
      <c r="S20" s="25">
        <f>Q20/P20*1000</f>
        <v>9.0536196001625964</v>
      </c>
      <c r="T20" s="25">
        <f>R20/P20*100000</f>
        <v>20.156481484592049</v>
      </c>
      <c r="U20" s="25">
        <f>D20/F20*1000000</f>
        <v>33.676496836093122</v>
      </c>
      <c r="V20" s="25">
        <f>E20/G20*1000000</f>
        <v>52.907253584466424</v>
      </c>
      <c r="W20" s="25">
        <f>V20/3</f>
        <v>17.635751194822141</v>
      </c>
      <c r="X20" s="25">
        <f>(W20*2)/10</f>
        <v>3.5271502389644285</v>
      </c>
      <c r="Y20" s="50">
        <v>53.417514801025391</v>
      </c>
    </row>
    <row r="21" spans="1:25" x14ac:dyDescent="0.15">
      <c r="A21" s="31" t="s">
        <v>13797</v>
      </c>
      <c r="B21" s="31" t="s">
        <v>984</v>
      </c>
      <c r="C21" s="32" t="s">
        <v>3452</v>
      </c>
      <c r="D21" s="32">
        <v>7</v>
      </c>
      <c r="E21" s="32">
        <v>6</v>
      </c>
      <c r="F21" s="34">
        <v>396815</v>
      </c>
      <c r="G21" s="35">
        <v>208208</v>
      </c>
      <c r="H21" s="35">
        <v>132710</v>
      </c>
      <c r="I21" s="36">
        <v>997</v>
      </c>
      <c r="J21" s="35">
        <v>7213</v>
      </c>
      <c r="K21" s="36">
        <v>70</v>
      </c>
      <c r="L21" s="36">
        <f>J21+K21</f>
        <v>7283</v>
      </c>
      <c r="M21" s="36">
        <v>599</v>
      </c>
      <c r="N21" s="35">
        <v>7484</v>
      </c>
      <c r="O21" s="37">
        <v>39534</v>
      </c>
      <c r="P21" s="33">
        <v>388655</v>
      </c>
      <c r="Q21" s="33">
        <v>5186</v>
      </c>
      <c r="R21" s="33">
        <v>63</v>
      </c>
      <c r="S21" s="25">
        <f>Q21/P21*1000</f>
        <v>13.343453705728731</v>
      </c>
      <c r="T21" s="25">
        <f>R21/P21*100000</f>
        <v>16.209749006188005</v>
      </c>
      <c r="U21" s="25">
        <f>D21/F21*1000000</f>
        <v>17.640462180109118</v>
      </c>
      <c r="V21" s="25">
        <f>E21/G21*1000000</f>
        <v>28.8173365096442</v>
      </c>
      <c r="W21" s="25">
        <f>V21/3</f>
        <v>9.6057788365480672</v>
      </c>
      <c r="X21" s="25">
        <f>(W21*2)/10</f>
        <v>1.9211557673096133</v>
      </c>
      <c r="Y21" s="50">
        <v>69.02178955078125</v>
      </c>
    </row>
    <row r="22" spans="1:25" x14ac:dyDescent="0.15">
      <c r="A22" s="31" t="s">
        <v>20579</v>
      </c>
      <c r="B22" s="31" t="s">
        <v>20068</v>
      </c>
      <c r="C22" s="32" t="s">
        <v>20070</v>
      </c>
      <c r="D22" s="32">
        <v>5</v>
      </c>
      <c r="E22" s="32">
        <v>1</v>
      </c>
      <c r="F22" s="34">
        <v>416427</v>
      </c>
      <c r="G22" s="35">
        <v>24391</v>
      </c>
      <c r="H22" s="35">
        <v>294598</v>
      </c>
      <c r="I22" s="35">
        <v>2403</v>
      </c>
      <c r="J22" s="35">
        <v>12206</v>
      </c>
      <c r="K22" s="35">
        <v>1092</v>
      </c>
      <c r="L22" s="36">
        <f>J22+K22</f>
        <v>13298</v>
      </c>
      <c r="M22" s="36">
        <v>768</v>
      </c>
      <c r="N22" s="35">
        <v>14103</v>
      </c>
      <c r="O22" s="37">
        <v>66866</v>
      </c>
      <c r="P22" s="33">
        <v>444949</v>
      </c>
      <c r="Q22" s="33">
        <v>2039</v>
      </c>
      <c r="R22" s="33">
        <v>20</v>
      </c>
      <c r="S22" s="25">
        <f>Q22/P22*1000</f>
        <v>4.5825476627658448</v>
      </c>
      <c r="T22" s="25">
        <f>R22/P22*100000</f>
        <v>4.4948971679900387</v>
      </c>
      <c r="U22" s="25">
        <f>D22/F22*1000000</f>
        <v>12.006906372545489</v>
      </c>
      <c r="V22" s="25">
        <f>E22/G22*1000000</f>
        <v>40.998729039399784</v>
      </c>
      <c r="W22" s="25">
        <f>V22/3</f>
        <v>13.666243013133261</v>
      </c>
      <c r="X22" s="25">
        <f>(W22*2)/10</f>
        <v>2.7332486026266523</v>
      </c>
      <c r="Y22" s="50">
        <v>34.708843231201172</v>
      </c>
    </row>
    <row r="23" spans="1:25" x14ac:dyDescent="0.15">
      <c r="A23" s="31" t="s">
        <v>13797</v>
      </c>
      <c r="B23" s="31" t="s">
        <v>1287</v>
      </c>
      <c r="C23" s="32" t="s">
        <v>12562</v>
      </c>
      <c r="D23" s="32">
        <v>24</v>
      </c>
      <c r="E23" s="32">
        <v>20</v>
      </c>
      <c r="F23" s="34">
        <v>787033</v>
      </c>
      <c r="G23" s="35">
        <v>217694</v>
      </c>
      <c r="H23" s="35">
        <v>466615</v>
      </c>
      <c r="I23" s="35">
        <v>1643</v>
      </c>
      <c r="J23" s="35">
        <v>31734</v>
      </c>
      <c r="K23" s="36">
        <v>462</v>
      </c>
      <c r="L23" s="36">
        <f>J23+K23</f>
        <v>32196</v>
      </c>
      <c r="M23" s="35">
        <v>2032</v>
      </c>
      <c r="N23" s="35">
        <v>22494</v>
      </c>
      <c r="O23" s="37">
        <v>44359</v>
      </c>
      <c r="P23" s="33">
        <v>830811</v>
      </c>
      <c r="Q23" s="33">
        <v>4563</v>
      </c>
      <c r="R23" s="33">
        <v>83</v>
      </c>
      <c r="S23" s="25">
        <f>Q23/P23*1000</f>
        <v>5.4922238631891007</v>
      </c>
      <c r="T23" s="25">
        <f>R23/P23*100000</f>
        <v>9.9902384537518145</v>
      </c>
      <c r="U23" s="25">
        <f>D23/F23*1000000</f>
        <v>30.494274064746968</v>
      </c>
      <c r="V23" s="25">
        <f>E23/G23*1000000</f>
        <v>91.872077319540267</v>
      </c>
      <c r="W23" s="25">
        <f>V23/3</f>
        <v>30.62402577318009</v>
      </c>
      <c r="X23" s="25">
        <f>(W23*2)/10</f>
        <v>6.124805154636018</v>
      </c>
      <c r="Y23" s="50">
        <v>53.800861358642578</v>
      </c>
    </row>
    <row r="24" spans="1:25" x14ac:dyDescent="0.15">
      <c r="A24" s="31" t="s">
        <v>20580</v>
      </c>
      <c r="B24" s="31" t="s">
        <v>12409</v>
      </c>
      <c r="C24" s="32" t="s">
        <v>12412</v>
      </c>
      <c r="D24" s="32">
        <v>4</v>
      </c>
      <c r="E24" s="32">
        <v>0</v>
      </c>
      <c r="F24" s="34">
        <v>305215</v>
      </c>
      <c r="G24" s="35">
        <v>11912</v>
      </c>
      <c r="H24" s="35">
        <v>101593</v>
      </c>
      <c r="I24" s="36">
        <v>792</v>
      </c>
      <c r="J24" s="35">
        <v>5398</v>
      </c>
      <c r="K24" s="36">
        <v>204</v>
      </c>
      <c r="L24" s="36">
        <f>J24+K24</f>
        <v>5602</v>
      </c>
      <c r="M24" s="36">
        <v>369</v>
      </c>
      <c r="N24" s="35">
        <v>2766</v>
      </c>
      <c r="O24" s="37">
        <v>182181</v>
      </c>
      <c r="P24" s="33">
        <v>319211</v>
      </c>
      <c r="Q24" s="33">
        <v>2094</v>
      </c>
      <c r="R24" s="33">
        <v>27</v>
      </c>
      <c r="S24" s="25">
        <f>Q24/P24*1000</f>
        <v>6.5599243133851903</v>
      </c>
      <c r="T24" s="25">
        <f>R24/P24*100000</f>
        <v>8.4583551318720218</v>
      </c>
      <c r="U24" s="25">
        <f>D24/F24*1000000</f>
        <v>13.105515783955573</v>
      </c>
      <c r="V24" s="25">
        <f>E24/G24*1000000</f>
        <v>0</v>
      </c>
      <c r="W24" s="25">
        <f>V24/3</f>
        <v>0</v>
      </c>
      <c r="X24" s="25">
        <f>(W24*2)/10</f>
        <v>0</v>
      </c>
      <c r="Y24" s="50">
        <v>40.151992797851562</v>
      </c>
    </row>
    <row r="25" spans="1:25" x14ac:dyDescent="0.15">
      <c r="A25" s="31" t="s">
        <v>20580</v>
      </c>
      <c r="B25" s="31" t="s">
        <v>285</v>
      </c>
      <c r="C25" s="32" t="s">
        <v>286</v>
      </c>
      <c r="D25" s="32">
        <v>32</v>
      </c>
      <c r="E25" s="32">
        <v>10</v>
      </c>
      <c r="F25" s="34">
        <v>1197816</v>
      </c>
      <c r="G25" s="35">
        <v>294159</v>
      </c>
      <c r="H25" s="35">
        <v>345205</v>
      </c>
      <c r="I25" s="35">
        <v>3167</v>
      </c>
      <c r="J25" s="35">
        <v>33609</v>
      </c>
      <c r="K25" s="36">
        <v>311</v>
      </c>
      <c r="L25" s="36">
        <f>J25+K25</f>
        <v>33920</v>
      </c>
      <c r="M25" s="35">
        <v>1824</v>
      </c>
      <c r="N25" s="35">
        <v>12232</v>
      </c>
      <c r="O25" s="37">
        <v>507309</v>
      </c>
      <c r="P25" s="33">
        <v>1272396</v>
      </c>
      <c r="Q25" s="33">
        <v>8457</v>
      </c>
      <c r="R25" s="33">
        <v>116</v>
      </c>
      <c r="S25" s="25">
        <f>Q25/P25*1000</f>
        <v>6.6465157073741201</v>
      </c>
      <c r="T25" s="25">
        <f>R25/P25*100000</f>
        <v>9.116658650294406</v>
      </c>
      <c r="U25" s="25">
        <f>D25/F25*1000000</f>
        <v>26.715288491721601</v>
      </c>
      <c r="V25" s="25">
        <f>E25/G25*1000000</f>
        <v>33.995220272029748</v>
      </c>
      <c r="W25" s="25">
        <f>V25/3</f>
        <v>11.331740090676583</v>
      </c>
      <c r="X25" s="25">
        <f>(W25*2)/10</f>
        <v>2.2663480181353166</v>
      </c>
      <c r="Y25" s="50">
        <v>66.134841918945312</v>
      </c>
    </row>
    <row r="26" spans="1:25" x14ac:dyDescent="0.15">
      <c r="A26" s="31" t="s">
        <v>20579</v>
      </c>
      <c r="B26" s="31" t="s">
        <v>1298</v>
      </c>
      <c r="C26" s="32" t="s">
        <v>1299</v>
      </c>
      <c r="D26" s="32">
        <v>17</v>
      </c>
      <c r="E26" s="32">
        <v>0</v>
      </c>
      <c r="F26" s="34">
        <v>600158</v>
      </c>
      <c r="G26" s="35">
        <v>58388</v>
      </c>
      <c r="H26" s="35">
        <v>313012</v>
      </c>
      <c r="I26" s="35">
        <v>3525</v>
      </c>
      <c r="J26" s="35">
        <v>19925</v>
      </c>
      <c r="K26" s="36">
        <v>495</v>
      </c>
      <c r="L26" s="36">
        <f>J26+K26</f>
        <v>20420</v>
      </c>
      <c r="M26" s="35">
        <v>1208</v>
      </c>
      <c r="N26" s="35">
        <v>12640</v>
      </c>
      <c r="O26" s="37">
        <v>190965</v>
      </c>
      <c r="P26" s="33">
        <v>665353</v>
      </c>
      <c r="Q26" s="33">
        <v>3983</v>
      </c>
      <c r="R26" s="33">
        <v>31</v>
      </c>
      <c r="S26" s="25">
        <f>Q26/P26*1000</f>
        <v>5.9862959962606315</v>
      </c>
      <c r="T26" s="25">
        <f>R26/P26*100000</f>
        <v>4.659180915994968</v>
      </c>
      <c r="U26" s="25">
        <f>D26/F26*1000000</f>
        <v>28.325874186464233</v>
      </c>
      <c r="V26" s="25">
        <f>E26/G26*1000000</f>
        <v>0</v>
      </c>
      <c r="W26" s="25">
        <f>V26/3</f>
        <v>0</v>
      </c>
      <c r="X26" s="25">
        <f>(W26*2)/10</f>
        <v>0</v>
      </c>
      <c r="Y26" s="50">
        <v>54.686649322509766</v>
      </c>
    </row>
    <row r="27" spans="1:25" x14ac:dyDescent="0.15">
      <c r="A27" s="31" t="s">
        <v>20597</v>
      </c>
      <c r="B27" s="31" t="s">
        <v>444</v>
      </c>
      <c r="C27" s="32" t="s">
        <v>2177</v>
      </c>
      <c r="D27" s="32">
        <v>13</v>
      </c>
      <c r="E27" s="32">
        <v>5</v>
      </c>
      <c r="F27" s="34">
        <v>713777</v>
      </c>
      <c r="G27" s="35">
        <v>586573</v>
      </c>
      <c r="H27" s="35">
        <v>55604</v>
      </c>
      <c r="I27" s="35">
        <v>1927</v>
      </c>
      <c r="J27" s="35">
        <v>7436</v>
      </c>
      <c r="K27" s="36">
        <v>82</v>
      </c>
      <c r="L27" s="36">
        <f>J27+K27</f>
        <v>7518</v>
      </c>
      <c r="M27" s="36">
        <v>994</v>
      </c>
      <c r="N27" s="35">
        <v>12482</v>
      </c>
      <c r="O27" s="37">
        <v>48679</v>
      </c>
      <c r="P27" s="33">
        <v>684694</v>
      </c>
      <c r="Q27" s="33">
        <v>13616</v>
      </c>
      <c r="R27" s="33">
        <v>298</v>
      </c>
      <c r="S27" s="25">
        <f>Q27/P27*1000</f>
        <v>19.886255758046659</v>
      </c>
      <c r="T27" s="25">
        <f>R27/P27*100000</f>
        <v>43.523092067405294</v>
      </c>
      <c r="U27" s="25">
        <f>D27/F27*1000000</f>
        <v>18.212971278144295</v>
      </c>
      <c r="V27" s="25">
        <f>E27/G27*1000000</f>
        <v>8.524088220903451</v>
      </c>
      <c r="W27" s="25">
        <f>V27/3</f>
        <v>2.8413627403011503</v>
      </c>
      <c r="X27" s="25">
        <f>(W27*2)/10</f>
        <v>0.56827254806023009</v>
      </c>
      <c r="Y27" s="50">
        <v>59.169761657714844</v>
      </c>
    </row>
    <row r="28" spans="1:25" x14ac:dyDescent="0.15">
      <c r="A28" s="31" t="s">
        <v>20595</v>
      </c>
      <c r="B28" s="31" t="s">
        <v>493</v>
      </c>
      <c r="C28" s="32" t="s">
        <v>495</v>
      </c>
      <c r="D28" s="32">
        <v>7</v>
      </c>
      <c r="E28" s="32">
        <v>4</v>
      </c>
      <c r="F28" s="34">
        <v>228330</v>
      </c>
      <c r="G28" s="35">
        <v>92285</v>
      </c>
      <c r="H28" s="35">
        <v>86519</v>
      </c>
      <c r="I28" s="36">
        <v>611</v>
      </c>
      <c r="J28" s="35">
        <v>11478</v>
      </c>
      <c r="K28" s="36">
        <v>129</v>
      </c>
      <c r="L28" s="36">
        <f>J28+K28</f>
        <v>11607</v>
      </c>
      <c r="M28" s="36">
        <v>616</v>
      </c>
      <c r="N28" s="35">
        <v>4233</v>
      </c>
      <c r="O28" s="37">
        <v>32459</v>
      </c>
      <c r="P28" s="33">
        <v>249738</v>
      </c>
      <c r="Q28" s="33">
        <v>1834</v>
      </c>
      <c r="R28" s="33">
        <v>21</v>
      </c>
      <c r="S28" s="25">
        <f>Q28/P28*1000</f>
        <v>7.3436961936109046</v>
      </c>
      <c r="T28" s="25">
        <f>R28/P28*100000</f>
        <v>8.408812435432333</v>
      </c>
      <c r="U28" s="25">
        <f>D28/F28*1000000</f>
        <v>30.65738185958919</v>
      </c>
      <c r="V28" s="25">
        <f>E28/G28*1000000</f>
        <v>43.343988730562934</v>
      </c>
      <c r="W28" s="25">
        <f>V28/3</f>
        <v>14.447996243520977</v>
      </c>
      <c r="X28" s="25">
        <f>(W28*2)/10</f>
        <v>2.8895992487041955</v>
      </c>
      <c r="Y28" s="50">
        <v>47.919090270996094</v>
      </c>
    </row>
    <row r="29" spans="1:25" x14ac:dyDescent="0.15">
      <c r="A29" s="31" t="s">
        <v>20580</v>
      </c>
      <c r="B29" s="31" t="s">
        <v>857</v>
      </c>
      <c r="C29" s="32" t="s">
        <v>858</v>
      </c>
      <c r="D29" s="32">
        <v>11</v>
      </c>
      <c r="E29" s="32">
        <v>2</v>
      </c>
      <c r="F29" s="34">
        <v>649121</v>
      </c>
      <c r="G29" s="35">
        <v>18155</v>
      </c>
      <c r="H29" s="35">
        <v>92426</v>
      </c>
      <c r="I29" s="35">
        <v>1633</v>
      </c>
      <c r="J29" s="35">
        <v>7092</v>
      </c>
      <c r="K29" s="36">
        <v>737</v>
      </c>
      <c r="L29" s="36">
        <f>J29+K29</f>
        <v>7829</v>
      </c>
      <c r="M29" s="36">
        <v>543</v>
      </c>
      <c r="N29" s="35">
        <v>4814</v>
      </c>
      <c r="O29" s="37">
        <v>523721</v>
      </c>
      <c r="P29" s="33">
        <v>680273</v>
      </c>
      <c r="Q29" s="33">
        <v>2671</v>
      </c>
      <c r="R29" s="33">
        <v>21</v>
      </c>
      <c r="S29" s="25">
        <f>Q29/P29*1000</f>
        <v>3.9263648564620381</v>
      </c>
      <c r="T29" s="25">
        <f>R29/P29*100000</f>
        <v>3.0869959560352975</v>
      </c>
      <c r="U29" s="25">
        <f>D29/F29*1000000</f>
        <v>16.945993119926793</v>
      </c>
      <c r="V29" s="25">
        <f>E29/G29*1000000</f>
        <v>110.1624896722666</v>
      </c>
      <c r="W29" s="25">
        <f>V29/3</f>
        <v>36.720829890755532</v>
      </c>
      <c r="X29" s="25">
        <f>(W29*2)/10</f>
        <v>7.3441659781511062</v>
      </c>
      <c r="Y29" s="50">
        <v>30.835353851318359</v>
      </c>
    </row>
    <row r="30" spans="1:25" x14ac:dyDescent="0.15">
      <c r="A30" s="31" t="s">
        <v>10381</v>
      </c>
      <c r="B30" s="31" t="s">
        <v>1801</v>
      </c>
      <c r="C30" s="32" t="s">
        <v>1804</v>
      </c>
      <c r="D30" s="32">
        <v>8</v>
      </c>
      <c r="E30" s="32">
        <v>4</v>
      </c>
      <c r="F30" s="34">
        <v>253691</v>
      </c>
      <c r="G30" s="35">
        <v>38514</v>
      </c>
      <c r="H30" s="35">
        <v>178436</v>
      </c>
      <c r="I30" s="36">
        <v>730</v>
      </c>
      <c r="J30" s="35">
        <v>8279</v>
      </c>
      <c r="K30" s="36">
        <v>91</v>
      </c>
      <c r="L30" s="36">
        <f>J30+K30</f>
        <v>8370</v>
      </c>
      <c r="M30" s="36">
        <v>542</v>
      </c>
      <c r="N30" s="35">
        <v>6899</v>
      </c>
      <c r="O30" s="37">
        <v>20200</v>
      </c>
      <c r="P30" s="33">
        <v>257172</v>
      </c>
      <c r="Q30" s="33">
        <v>816</v>
      </c>
      <c r="R30" s="33">
        <v>12</v>
      </c>
      <c r="S30" s="25">
        <f>Q30/P30*1000</f>
        <v>3.1729737296439735</v>
      </c>
      <c r="T30" s="25">
        <f>R30/P30*100000</f>
        <v>4.6661378377117266</v>
      </c>
      <c r="U30" s="25">
        <f>D30/F30*1000000</f>
        <v>31.534425738398291</v>
      </c>
      <c r="V30" s="25">
        <f>E30/G30*1000000</f>
        <v>103.85833722802097</v>
      </c>
      <c r="W30" s="25">
        <f>V30/3</f>
        <v>34.619445742673655</v>
      </c>
      <c r="X30" s="25">
        <f>(W30*2)/10</f>
        <v>6.9238891485347311</v>
      </c>
      <c r="Y30" s="50">
        <v>54.288715362548828</v>
      </c>
    </row>
    <row r="31" spans="1:25" x14ac:dyDescent="0.15">
      <c r="A31" s="31" t="s">
        <v>20580</v>
      </c>
      <c r="B31" s="31" t="s">
        <v>926</v>
      </c>
      <c r="C31" s="32" t="s">
        <v>927</v>
      </c>
      <c r="D31" s="32">
        <v>16</v>
      </c>
      <c r="E31" s="32">
        <v>4</v>
      </c>
      <c r="F31" s="34">
        <v>741206</v>
      </c>
      <c r="G31" s="35">
        <v>136941</v>
      </c>
      <c r="H31" s="35">
        <v>309312</v>
      </c>
      <c r="I31" s="35">
        <v>2481</v>
      </c>
      <c r="J31" s="35">
        <v>27095</v>
      </c>
      <c r="K31" s="36">
        <v>615</v>
      </c>
      <c r="L31" s="36">
        <f>J31+K31</f>
        <v>27710</v>
      </c>
      <c r="M31" s="36">
        <v>993</v>
      </c>
      <c r="N31" s="35">
        <v>11301</v>
      </c>
      <c r="O31" s="37">
        <v>252468</v>
      </c>
      <c r="P31" s="39">
        <v>789035</v>
      </c>
      <c r="Q31" s="33">
        <v>4420</v>
      </c>
      <c r="R31" s="33">
        <v>48</v>
      </c>
      <c r="S31" s="25">
        <f>Q31/P31*1000</f>
        <v>5.6017793887470138</v>
      </c>
      <c r="T31" s="25">
        <f>R31/P31*100000</f>
        <v>6.0833803316709654</v>
      </c>
      <c r="U31" s="25">
        <f>D31/F31*1000000</f>
        <v>21.586441556058642</v>
      </c>
      <c r="V31" s="25">
        <f>E31/G31*1000000</f>
        <v>29.20965963444111</v>
      </c>
      <c r="W31" s="25">
        <f>V31/3</f>
        <v>9.7365532114803699</v>
      </c>
      <c r="X31" s="25">
        <f>(W31*2)/10</f>
        <v>1.947310642296074</v>
      </c>
      <c r="Y31" s="50">
        <v>54.993923187255859</v>
      </c>
    </row>
    <row r="32" spans="1:25" x14ac:dyDescent="0.15">
      <c r="A32" s="31" t="s">
        <v>20575</v>
      </c>
      <c r="B32" s="31" t="s">
        <v>1141</v>
      </c>
      <c r="C32" s="32" t="s">
        <v>1142</v>
      </c>
      <c r="D32" s="32">
        <v>6</v>
      </c>
      <c r="E32" s="32">
        <v>2</v>
      </c>
      <c r="F32" s="34">
        <v>214089</v>
      </c>
      <c r="G32" s="35">
        <v>6743</v>
      </c>
      <c r="H32" s="35">
        <v>56766</v>
      </c>
      <c r="I32" s="36">
        <v>458</v>
      </c>
      <c r="J32" s="35">
        <v>107679</v>
      </c>
      <c r="K32" s="35">
        <v>1064</v>
      </c>
      <c r="L32" s="36">
        <f>J32+K32</f>
        <v>108743</v>
      </c>
      <c r="M32" s="36">
        <v>388</v>
      </c>
      <c r="N32" s="35">
        <v>9293</v>
      </c>
      <c r="O32" s="37">
        <v>31698</v>
      </c>
      <c r="P32" s="33">
        <v>227575</v>
      </c>
      <c r="Q32" s="33">
        <v>284</v>
      </c>
      <c r="R32" s="33">
        <v>1</v>
      </c>
      <c r="S32" s="25">
        <f>Q32/P32*1000</f>
        <v>1.2479402394814896</v>
      </c>
      <c r="T32" s="25">
        <f>R32/P32*100000</f>
        <v>0.43941557728221464</v>
      </c>
      <c r="U32" s="25">
        <f>D32/F32*1000000</f>
        <v>28.025727617953283</v>
      </c>
      <c r="V32" s="25">
        <f>E32/G32*1000000</f>
        <v>296.60388551090017</v>
      </c>
      <c r="W32" s="25">
        <f>V32/3</f>
        <v>98.867961836966728</v>
      </c>
      <c r="X32" s="25">
        <f>(W32*2)/10</f>
        <v>19.773592367393345</v>
      </c>
      <c r="Y32" s="50">
        <v>22.041610717773438</v>
      </c>
    </row>
    <row r="33" spans="1:25" x14ac:dyDescent="0.15">
      <c r="A33" s="31" t="s">
        <v>20575</v>
      </c>
      <c r="B33" s="31" t="s">
        <v>200</v>
      </c>
      <c r="C33" s="32" t="s">
        <v>201</v>
      </c>
      <c r="D33" s="32">
        <v>18</v>
      </c>
      <c r="E33" s="32">
        <v>1</v>
      </c>
      <c r="F33" s="34">
        <v>494665</v>
      </c>
      <c r="G33" s="35">
        <v>37885</v>
      </c>
      <c r="H33" s="35">
        <v>148598</v>
      </c>
      <c r="I33" s="35">
        <v>3127</v>
      </c>
      <c r="J33" s="35">
        <v>60939</v>
      </c>
      <c r="K33" s="36">
        <v>663</v>
      </c>
      <c r="L33" s="36">
        <f>J33+K33</f>
        <v>61602</v>
      </c>
      <c r="M33" s="36">
        <v>984</v>
      </c>
      <c r="N33" s="35">
        <v>10414</v>
      </c>
      <c r="O33" s="37">
        <v>232055</v>
      </c>
      <c r="P33" s="33">
        <v>513187</v>
      </c>
      <c r="Q33" s="33">
        <v>2382</v>
      </c>
      <c r="R33" s="33">
        <v>47</v>
      </c>
      <c r="S33" s="25">
        <f>Q33/P33*1000</f>
        <v>4.6415828927856708</v>
      </c>
      <c r="T33" s="25">
        <f>R33/P33*100000</f>
        <v>9.1584549101984276</v>
      </c>
      <c r="U33" s="25">
        <f>D33/F33*1000000</f>
        <v>36.388262763688559</v>
      </c>
      <c r="V33" s="25">
        <f>E33/G33*1000000</f>
        <v>26.395671109937972</v>
      </c>
      <c r="W33" s="25">
        <f>V33/3</f>
        <v>8.79855703664599</v>
      </c>
      <c r="X33" s="25">
        <f>(W33*2)/10</f>
        <v>1.759711407329198</v>
      </c>
      <c r="Y33" s="50">
        <v>42.013145446777344</v>
      </c>
    </row>
    <row r="34" spans="1:25" x14ac:dyDescent="0.15">
      <c r="A34" s="31" t="s">
        <v>20580</v>
      </c>
      <c r="B34" s="31" t="s">
        <v>2514</v>
      </c>
      <c r="C34" s="32" t="s">
        <v>2515</v>
      </c>
      <c r="D34" s="32">
        <v>4</v>
      </c>
      <c r="E34" s="32">
        <v>2</v>
      </c>
      <c r="F34" s="34">
        <v>226876</v>
      </c>
      <c r="G34" s="35">
        <v>32164</v>
      </c>
      <c r="H34" s="35">
        <v>83259</v>
      </c>
      <c r="I34" s="36">
        <v>789</v>
      </c>
      <c r="J34" s="35">
        <v>21162</v>
      </c>
      <c r="K34" s="36">
        <v>65</v>
      </c>
      <c r="L34" s="36">
        <f>J34+K34</f>
        <v>21227</v>
      </c>
      <c r="M34" s="36">
        <v>308</v>
      </c>
      <c r="N34" s="35">
        <v>3345</v>
      </c>
      <c r="O34" s="37">
        <v>85784</v>
      </c>
      <c r="P34" s="33">
        <v>236414</v>
      </c>
      <c r="Q34" s="33">
        <v>644</v>
      </c>
      <c r="R34" s="33">
        <v>5</v>
      </c>
      <c r="S34" s="25">
        <f>Q34/P34*1000</f>
        <v>2.7240349556286851</v>
      </c>
      <c r="T34" s="25">
        <f>R34/P34*100000</f>
        <v>2.1149339717614013</v>
      </c>
      <c r="U34" s="25">
        <f>D34/F34*1000000</f>
        <v>17.630776283079744</v>
      </c>
      <c r="V34" s="25">
        <f>E34/G34*1000000</f>
        <v>62.181320731252328</v>
      </c>
      <c r="W34" s="25">
        <f>V34/3</f>
        <v>20.727106910417444</v>
      </c>
      <c r="X34" s="25">
        <f>(W34*2)/10</f>
        <v>4.1454213820834891</v>
      </c>
      <c r="Y34" s="50">
        <v>25.046453475952148</v>
      </c>
    </row>
    <row r="35" spans="1:25" x14ac:dyDescent="0.15">
      <c r="A35" s="31" t="s">
        <v>20578</v>
      </c>
      <c r="B35" s="31" t="s">
        <v>3324</v>
      </c>
      <c r="C35" s="32" t="s">
        <v>3327</v>
      </c>
      <c r="D35" s="32">
        <v>7</v>
      </c>
      <c r="E35" s="32">
        <v>2</v>
      </c>
      <c r="F35" s="34">
        <v>226721</v>
      </c>
      <c r="G35" s="35">
        <v>12766</v>
      </c>
      <c r="H35" s="35">
        <v>116866</v>
      </c>
      <c r="I35" s="35">
        <v>2707</v>
      </c>
      <c r="J35" s="35">
        <v>8618</v>
      </c>
      <c r="K35" s="36">
        <v>355</v>
      </c>
      <c r="L35" s="36">
        <f>J35+K35</f>
        <v>8973</v>
      </c>
      <c r="M35" s="36">
        <v>329</v>
      </c>
      <c r="N35" s="35">
        <v>4579</v>
      </c>
      <c r="O35" s="37">
        <v>80501</v>
      </c>
      <c r="P35" s="39">
        <v>234006</v>
      </c>
      <c r="Q35" s="33">
        <v>905</v>
      </c>
      <c r="R35" s="33">
        <v>13</v>
      </c>
      <c r="S35" s="25">
        <f>Q35/P35*1000</f>
        <v>3.8674222028494993</v>
      </c>
      <c r="T35" s="25">
        <f>R35/P35*100000</f>
        <v>5.5554131090655794</v>
      </c>
      <c r="U35" s="25">
        <f>D35/F35*1000000</f>
        <v>30.87495203355666</v>
      </c>
      <c r="V35" s="25">
        <f>E35/G35*1000000</f>
        <v>156.66614444618517</v>
      </c>
      <c r="W35" s="25">
        <f>V35/3</f>
        <v>52.222048148728391</v>
      </c>
      <c r="X35" s="25">
        <f>(W35*2)/10</f>
        <v>10.444409629745678</v>
      </c>
      <c r="Y35" s="50">
        <v>39.138717651367188</v>
      </c>
    </row>
    <row r="36" spans="1:25" x14ac:dyDescent="0.15">
      <c r="A36" s="31" t="s">
        <v>20595</v>
      </c>
      <c r="B36" s="31" t="s">
        <v>6466</v>
      </c>
      <c r="C36" s="32" t="s">
        <v>10867</v>
      </c>
      <c r="D36" s="32">
        <v>4</v>
      </c>
      <c r="E36" s="32">
        <v>2</v>
      </c>
      <c r="F36" s="34">
        <v>269666</v>
      </c>
      <c r="G36" s="35">
        <v>108233</v>
      </c>
      <c r="H36" s="35">
        <v>122888</v>
      </c>
      <c r="I36" s="35">
        <v>1096</v>
      </c>
      <c r="J36" s="35">
        <v>10711</v>
      </c>
      <c r="K36" s="36">
        <v>128</v>
      </c>
      <c r="L36" s="36">
        <f>J36+K36</f>
        <v>10839</v>
      </c>
      <c r="M36" s="36">
        <v>703</v>
      </c>
      <c r="N36" s="35">
        <v>5571</v>
      </c>
      <c r="O36" s="37">
        <v>20336</v>
      </c>
      <c r="P36" s="33">
        <v>282203</v>
      </c>
      <c r="Q36" s="33">
        <v>1346</v>
      </c>
      <c r="R36" s="33">
        <v>23</v>
      </c>
      <c r="S36" s="25">
        <f>Q36/P36*1000</f>
        <v>4.769616198268622</v>
      </c>
      <c r="T36" s="25">
        <f>R36/P36*100000</f>
        <v>8.1501614086313765</v>
      </c>
      <c r="U36" s="25">
        <f>D36/F36*1000000</f>
        <v>14.833163988044468</v>
      </c>
      <c r="V36" s="25">
        <f>E36/G36*1000000</f>
        <v>18.478652536657027</v>
      </c>
      <c r="W36" s="25">
        <f>V36/3</f>
        <v>6.1595508455523422</v>
      </c>
      <c r="X36" s="25">
        <f>(W36*2)/10</f>
        <v>1.2319101691104684</v>
      </c>
      <c r="Y36" s="50">
        <v>56.617038726806641</v>
      </c>
    </row>
    <row r="37" spans="1:25" x14ac:dyDescent="0.15">
      <c r="A37" s="31" t="s">
        <v>20586</v>
      </c>
      <c r="B37" s="31" t="s">
        <v>1277</v>
      </c>
      <c r="C37" s="32" t="s">
        <v>1482</v>
      </c>
      <c r="D37" s="32">
        <v>4</v>
      </c>
      <c r="E37" s="32">
        <v>0</v>
      </c>
      <c r="F37" s="34">
        <v>257729</v>
      </c>
      <c r="G37" s="35">
        <v>12471</v>
      </c>
      <c r="H37" s="35">
        <v>177039</v>
      </c>
      <c r="I37" s="35">
        <v>1182</v>
      </c>
      <c r="J37" s="35">
        <v>18172</v>
      </c>
      <c r="K37" s="35">
        <v>1354</v>
      </c>
      <c r="L37" s="36">
        <f>J37+K37</f>
        <v>19526</v>
      </c>
      <c r="M37" s="36">
        <v>479</v>
      </c>
      <c r="N37" s="35">
        <v>8655</v>
      </c>
      <c r="O37" s="37">
        <v>38377</v>
      </c>
      <c r="P37" s="33">
        <v>274121</v>
      </c>
      <c r="Q37" s="33">
        <v>452</v>
      </c>
      <c r="R37" s="33">
        <v>3</v>
      </c>
      <c r="S37" s="25">
        <f>Q37/P37*1000</f>
        <v>1.6489068695940843</v>
      </c>
      <c r="T37" s="25">
        <f>R37/P37*100000</f>
        <v>1.0944072143323569</v>
      </c>
      <c r="U37" s="25">
        <f>D37/F37*1000000</f>
        <v>15.52017817164541</v>
      </c>
      <c r="V37" s="25">
        <f>E37/G37*1000000</f>
        <v>0</v>
      </c>
      <c r="W37" s="25">
        <f>V37/3</f>
        <v>0</v>
      </c>
      <c r="X37" s="25">
        <f>(W37*2)/10</f>
        <v>0</v>
      </c>
      <c r="Y37" s="50">
        <v>20.750635147094727</v>
      </c>
    </row>
    <row r="38" spans="1:25" x14ac:dyDescent="0.15">
      <c r="A38" s="31" t="s">
        <v>20581</v>
      </c>
      <c r="B38" s="31" t="s">
        <v>6443</v>
      </c>
      <c r="C38" s="32" t="s">
        <v>6444</v>
      </c>
      <c r="D38" s="32">
        <v>3</v>
      </c>
      <c r="E38" s="32">
        <v>1</v>
      </c>
      <c r="F38" s="34">
        <v>224669</v>
      </c>
      <c r="G38" s="35">
        <v>6066</v>
      </c>
      <c r="H38" s="35">
        <v>9511</v>
      </c>
      <c r="I38" s="36">
        <v>73</v>
      </c>
      <c r="J38" s="36">
        <v>697</v>
      </c>
      <c r="K38" s="36">
        <v>2</v>
      </c>
      <c r="L38" s="36">
        <f>J38+K38</f>
        <v>699</v>
      </c>
      <c r="M38" s="36">
        <v>119</v>
      </c>
      <c r="N38" s="36">
        <v>253</v>
      </c>
      <c r="O38" s="37">
        <v>69599</v>
      </c>
      <c r="P38" s="33">
        <v>235446</v>
      </c>
      <c r="Q38" s="33">
        <v>782</v>
      </c>
      <c r="R38" s="33">
        <v>6</v>
      </c>
      <c r="S38" s="25">
        <f>Q38/P38*1000</f>
        <v>3.3213560646602618</v>
      </c>
      <c r="T38" s="25">
        <f>R38/P38*100000</f>
        <v>2.5483550368237302</v>
      </c>
      <c r="U38" s="25">
        <f>D38/F38*1000000</f>
        <v>13.352977046232457</v>
      </c>
      <c r="V38" s="25">
        <f>E38/G38*1000000</f>
        <v>164.85328058028355</v>
      </c>
      <c r="W38" s="25">
        <f>V38/3</f>
        <v>54.951093526761184</v>
      </c>
      <c r="X38" s="25">
        <f>(W38*2)/10</f>
        <v>10.990218705352238</v>
      </c>
      <c r="Y38" s="50">
        <v>41.504783630371094</v>
      </c>
    </row>
    <row r="39" spans="1:25" x14ac:dyDescent="0.15">
      <c r="A39" s="31" t="s">
        <v>3943</v>
      </c>
      <c r="B39" s="31" t="s">
        <v>2362</v>
      </c>
      <c r="C39" s="32" t="s">
        <v>3582</v>
      </c>
      <c r="D39" s="32">
        <v>10</v>
      </c>
      <c r="E39" s="32">
        <v>0</v>
      </c>
      <c r="F39" s="34">
        <v>337256</v>
      </c>
      <c r="G39" s="35">
        <v>4642</v>
      </c>
      <c r="H39" s="35">
        <v>55762</v>
      </c>
      <c r="I39" s="36">
        <v>517</v>
      </c>
      <c r="J39" s="35">
        <v>182792</v>
      </c>
      <c r="K39" s="35">
        <v>27346</v>
      </c>
      <c r="L39" s="36">
        <f>J39+K39</f>
        <v>210138</v>
      </c>
      <c r="M39" s="36">
        <v>512</v>
      </c>
      <c r="N39" s="35">
        <v>47384</v>
      </c>
      <c r="O39" s="37">
        <v>18301</v>
      </c>
      <c r="P39" s="39">
        <v>337256</v>
      </c>
      <c r="Q39" s="39">
        <v>2605</v>
      </c>
      <c r="R39" s="33">
        <v>16</v>
      </c>
      <c r="S39" s="25">
        <f>Q39/P39*1000</f>
        <v>7.7241027587352038</v>
      </c>
      <c r="T39" s="25">
        <f>R39/P39*100000</f>
        <v>4.7441706003747894</v>
      </c>
      <c r="U39" s="25">
        <f>D39/F39*1000000</f>
        <v>29.651066252342432</v>
      </c>
      <c r="V39" s="25">
        <f>E39/G39*1000000</f>
        <v>0</v>
      </c>
      <c r="W39" s="25">
        <f>V39/3</f>
        <v>0</v>
      </c>
      <c r="X39" s="25">
        <f>(W39*2)/10</f>
        <v>0</v>
      </c>
      <c r="Y39" s="50">
        <v>30.276092529296875</v>
      </c>
    </row>
    <row r="40" spans="1:25" x14ac:dyDescent="0.15">
      <c r="A40" s="31" t="s">
        <v>20580</v>
      </c>
      <c r="B40" s="31" t="s">
        <v>723</v>
      </c>
      <c r="C40" s="32" t="s">
        <v>724</v>
      </c>
      <c r="D40" s="32">
        <v>48</v>
      </c>
      <c r="E40" s="32">
        <v>28</v>
      </c>
      <c r="F40" s="34">
        <v>2099451</v>
      </c>
      <c r="G40" s="35">
        <v>485956</v>
      </c>
      <c r="H40" s="35">
        <v>537901</v>
      </c>
      <c r="I40" s="35">
        <v>3528</v>
      </c>
      <c r="J40" s="35">
        <v>124859</v>
      </c>
      <c r="K40" s="36">
        <v>711</v>
      </c>
      <c r="L40" s="36">
        <f>J40+K40</f>
        <v>125570</v>
      </c>
      <c r="M40" s="35">
        <v>4128</v>
      </c>
      <c r="N40" s="35">
        <v>22700</v>
      </c>
      <c r="O40" s="37">
        <v>919668</v>
      </c>
      <c r="P40" s="33">
        <v>2219933</v>
      </c>
      <c r="Q40" s="33">
        <v>22008</v>
      </c>
      <c r="R40" s="33">
        <v>242</v>
      </c>
      <c r="S40" s="25">
        <f>Q40/P40*1000</f>
        <v>9.9138127141675003</v>
      </c>
      <c r="T40" s="25">
        <f>R40/P40*100000</f>
        <v>10.901229901983529</v>
      </c>
      <c r="U40" s="25">
        <f>D40/F40*1000000</f>
        <v>22.863119929924537</v>
      </c>
      <c r="V40" s="25">
        <f>E40/G40*1000000</f>
        <v>57.618385203598677</v>
      </c>
      <c r="W40" s="25">
        <f>V40/3</f>
        <v>19.20612840119956</v>
      </c>
      <c r="X40" s="25">
        <f>(W40*2)/10</f>
        <v>3.8412256802399121</v>
      </c>
      <c r="Y40" s="50">
        <v>68.565139770507812</v>
      </c>
    </row>
    <row r="41" spans="1:25" x14ac:dyDescent="0.15">
      <c r="A41" s="31" t="s">
        <v>10381</v>
      </c>
      <c r="B41" s="31" t="s">
        <v>216</v>
      </c>
      <c r="C41" s="32" t="s">
        <v>218</v>
      </c>
      <c r="D41" s="32">
        <v>25</v>
      </c>
      <c r="E41" s="32">
        <v>14</v>
      </c>
      <c r="F41" s="34">
        <v>820445</v>
      </c>
      <c r="G41" s="35">
        <v>223053</v>
      </c>
      <c r="H41" s="35">
        <v>480960</v>
      </c>
      <c r="I41" s="35">
        <v>1760</v>
      </c>
      <c r="J41" s="35">
        <v>17053</v>
      </c>
      <c r="K41" s="36">
        <v>274</v>
      </c>
      <c r="L41" s="36">
        <f>J41+K41</f>
        <v>17327</v>
      </c>
      <c r="M41" s="35">
        <v>2123</v>
      </c>
      <c r="N41" s="35">
        <v>17870</v>
      </c>
      <c r="O41" s="37">
        <v>77352</v>
      </c>
      <c r="P41" s="33">
        <v>858238</v>
      </c>
      <c r="Q41" s="33">
        <v>10768</v>
      </c>
      <c r="R41" s="33">
        <v>136</v>
      </c>
      <c r="S41" s="25">
        <f>Q41/P41*1000</f>
        <v>12.546636247754119</v>
      </c>
      <c r="T41" s="25">
        <f>R41/P41*100000</f>
        <v>15.846420223760774</v>
      </c>
      <c r="U41" s="25">
        <f>D41/F41*1000000</f>
        <v>30.471268640798591</v>
      </c>
      <c r="V41" s="25">
        <f>E41/G41*1000000</f>
        <v>62.76535173254787</v>
      </c>
      <c r="W41" s="25">
        <f>V41/3</f>
        <v>20.921783910849289</v>
      </c>
      <c r="X41" s="25">
        <f>(W41*2)/10</f>
        <v>4.184356782169858</v>
      </c>
      <c r="Y41" s="50">
        <v>55.86541748046875</v>
      </c>
    </row>
    <row r="42" spans="1:25" x14ac:dyDescent="0.15">
      <c r="A42" s="31" t="s">
        <v>20575</v>
      </c>
      <c r="B42" s="31" t="s">
        <v>21225</v>
      </c>
      <c r="C42" s="32" t="s">
        <v>21226</v>
      </c>
      <c r="D42" s="32">
        <v>0</v>
      </c>
      <c r="E42" s="32">
        <v>0</v>
      </c>
      <c r="F42" s="34">
        <v>212375</v>
      </c>
      <c r="G42" s="35">
        <v>3494</v>
      </c>
      <c r="H42" s="35">
        <v>95822</v>
      </c>
      <c r="I42" s="36">
        <v>199</v>
      </c>
      <c r="J42" s="35">
        <v>82722</v>
      </c>
      <c r="K42" s="36">
        <v>295</v>
      </c>
      <c r="L42" s="36">
        <f>J42+K42</f>
        <v>83017</v>
      </c>
      <c r="M42" s="36">
        <v>554</v>
      </c>
      <c r="N42" s="35">
        <v>9668</v>
      </c>
      <c r="O42" s="37">
        <v>19621</v>
      </c>
      <c r="P42" s="38">
        <v>242971</v>
      </c>
      <c r="Q42" s="33">
        <v>120</v>
      </c>
      <c r="R42" s="33">
        <v>0</v>
      </c>
      <c r="S42" s="25">
        <f>Q42/P42*1000</f>
        <v>0.49388610163352831</v>
      </c>
      <c r="T42" s="25">
        <f>R42/P42*100000</f>
        <v>0</v>
      </c>
      <c r="U42" s="25">
        <f>D42/F42*1000000</f>
        <v>0</v>
      </c>
      <c r="V42" s="25">
        <f>E42/G42*1000000</f>
        <v>0</v>
      </c>
      <c r="W42" s="25">
        <f>V42/3</f>
        <v>0</v>
      </c>
      <c r="X42" s="25">
        <f>(W42*2)/10</f>
        <v>0</v>
      </c>
      <c r="Y42" s="50">
        <v>18.74896240234375</v>
      </c>
    </row>
    <row r="43" spans="1:25" x14ac:dyDescent="0.15">
      <c r="A43" s="31" t="s">
        <v>20580</v>
      </c>
      <c r="B43" s="31" t="s">
        <v>6133</v>
      </c>
      <c r="C43" s="32" t="s">
        <v>6135</v>
      </c>
      <c r="D43" s="32">
        <v>6</v>
      </c>
      <c r="E43" s="32">
        <v>2</v>
      </c>
      <c r="F43" s="34">
        <v>216290</v>
      </c>
      <c r="G43" s="35">
        <v>25550</v>
      </c>
      <c r="H43" s="35">
        <v>66559</v>
      </c>
      <c r="I43" s="36">
        <v>807</v>
      </c>
      <c r="J43" s="35">
        <v>30161</v>
      </c>
      <c r="K43" s="36">
        <v>221</v>
      </c>
      <c r="L43" s="36">
        <f>J43+K43</f>
        <v>30382</v>
      </c>
      <c r="M43" s="36">
        <v>434</v>
      </c>
      <c r="N43" s="35">
        <v>3591</v>
      </c>
      <c r="O43" s="37">
        <v>88967</v>
      </c>
      <c r="P43" s="33">
        <v>231708</v>
      </c>
      <c r="Q43" s="33">
        <v>512</v>
      </c>
      <c r="R43" s="33">
        <v>5</v>
      </c>
      <c r="S43" s="25">
        <f>Q43/P43*1000</f>
        <v>2.2096776977920487</v>
      </c>
      <c r="T43" s="25">
        <f>R43/P43*100000</f>
        <v>2.1578883767500474</v>
      </c>
      <c r="U43" s="25">
        <f>D43/F43*1000000</f>
        <v>27.740533542928475</v>
      </c>
      <c r="V43" s="25">
        <f>E43/G43*1000000</f>
        <v>78.277886497064586</v>
      </c>
      <c r="W43" s="25">
        <f>V43/3</f>
        <v>26.092628832354862</v>
      </c>
      <c r="X43" s="25">
        <f>(W43*2)/10</f>
        <v>5.2185257664709725</v>
      </c>
      <c r="Y43" s="50">
        <v>36.652626037597656</v>
      </c>
    </row>
    <row r="44" spans="1:25" x14ac:dyDescent="0.15">
      <c r="A44" s="31" t="s">
        <v>20581</v>
      </c>
      <c r="B44" s="31" t="s">
        <v>651</v>
      </c>
      <c r="C44" s="32" t="s">
        <v>653</v>
      </c>
      <c r="D44" s="32">
        <v>27</v>
      </c>
      <c r="E44" s="32">
        <v>16</v>
      </c>
      <c r="F44" s="34">
        <v>821784</v>
      </c>
      <c r="G44" s="35">
        <v>247516</v>
      </c>
      <c r="H44" s="35">
        <v>452525</v>
      </c>
      <c r="I44" s="35">
        <v>2687</v>
      </c>
      <c r="J44" s="35">
        <v>34731</v>
      </c>
      <c r="K44" s="36">
        <v>668</v>
      </c>
      <c r="L44" s="36">
        <f>J44+K44</f>
        <v>35399</v>
      </c>
      <c r="M44" s="35">
        <v>1949</v>
      </c>
      <c r="N44" s="35">
        <v>18223</v>
      </c>
      <c r="O44" s="37">
        <v>63485</v>
      </c>
      <c r="P44" s="33">
        <v>856021</v>
      </c>
      <c r="Q44" s="33">
        <v>5853</v>
      </c>
      <c r="R44" s="33">
        <v>96</v>
      </c>
      <c r="S44" s="25">
        <f>Q44/P44*1000</f>
        <v>6.8374490812725393</v>
      </c>
      <c r="T44" s="25">
        <f>R44/P44*100000</f>
        <v>11.21467814457823</v>
      </c>
      <c r="U44" s="25">
        <f>D44/F44*1000000</f>
        <v>32.855348850792907</v>
      </c>
      <c r="V44" s="25">
        <f>E44/G44*1000000</f>
        <v>64.642285751224165</v>
      </c>
      <c r="W44" s="25">
        <f>V44/3</f>
        <v>21.547428583741389</v>
      </c>
      <c r="X44" s="25">
        <f>(W44*2)/10</f>
        <v>4.3094857167482781</v>
      </c>
      <c r="Y44" s="50">
        <v>47.544624328613281</v>
      </c>
    </row>
    <row r="45" spans="1:25" x14ac:dyDescent="0.15">
      <c r="A45" s="31" t="s">
        <v>21221</v>
      </c>
      <c r="B45" s="31" t="s">
        <v>8564</v>
      </c>
      <c r="C45" s="32" t="s">
        <v>8566</v>
      </c>
      <c r="D45" s="32">
        <v>4</v>
      </c>
      <c r="E45" s="32">
        <v>3</v>
      </c>
      <c r="F45" s="34">
        <v>247597</v>
      </c>
      <c r="G45" s="35">
        <v>59060</v>
      </c>
      <c r="H45" s="35">
        <v>53236</v>
      </c>
      <c r="I45" s="36">
        <v>586</v>
      </c>
      <c r="J45" s="35">
        <v>58106</v>
      </c>
      <c r="K45" s="36">
        <v>95</v>
      </c>
      <c r="L45" s="36">
        <f>J45+K45</f>
        <v>58201</v>
      </c>
      <c r="M45" s="35">
        <v>2423</v>
      </c>
      <c r="N45" s="35">
        <v>5835</v>
      </c>
      <c r="O45" s="37">
        <v>68256</v>
      </c>
      <c r="P45" s="33">
        <v>260005</v>
      </c>
      <c r="Q45" s="33">
        <v>1381</v>
      </c>
      <c r="R45" s="33">
        <v>24</v>
      </c>
      <c r="S45" s="25">
        <f>Q45/P45*1000</f>
        <v>5.3114363185323361</v>
      </c>
      <c r="T45" s="25">
        <f>R45/P45*100000</f>
        <v>9.2305917193900111</v>
      </c>
      <c r="U45" s="25">
        <f>D45/F45*1000000</f>
        <v>16.155284595532258</v>
      </c>
      <c r="V45" s="25">
        <f>E45/G45*1000000</f>
        <v>50.795800880460547</v>
      </c>
      <c r="W45" s="25">
        <f>V45/3</f>
        <v>16.931933626820182</v>
      </c>
      <c r="X45" s="25">
        <f>(W45*2)/10</f>
        <v>3.3863867253640363</v>
      </c>
      <c r="Y45" s="50">
        <v>58.689491271972656</v>
      </c>
    </row>
    <row r="46" spans="1:25" x14ac:dyDescent="0.15">
      <c r="A46" s="31" t="s">
        <v>20577</v>
      </c>
      <c r="B46" s="31" t="s">
        <v>21219</v>
      </c>
      <c r="C46" s="32" t="s">
        <v>434</v>
      </c>
      <c r="D46" s="32">
        <v>17</v>
      </c>
      <c r="E46" s="32">
        <v>10</v>
      </c>
      <c r="F46" s="34">
        <v>459787</v>
      </c>
      <c r="G46" s="35">
        <v>135916</v>
      </c>
      <c r="H46" s="35">
        <v>252257</v>
      </c>
      <c r="I46" s="35">
        <v>1823</v>
      </c>
      <c r="J46" s="35">
        <v>11275</v>
      </c>
      <c r="K46" s="36">
        <v>787</v>
      </c>
      <c r="L46" s="36">
        <f>J46+K46</f>
        <v>12062</v>
      </c>
      <c r="M46" s="36">
        <v>709</v>
      </c>
      <c r="N46" s="35">
        <v>11067</v>
      </c>
      <c r="O46" s="37">
        <v>45953</v>
      </c>
      <c r="P46" s="33">
        <v>468417</v>
      </c>
      <c r="Q46" s="33">
        <v>5862</v>
      </c>
      <c r="R46" s="33">
        <v>78</v>
      </c>
      <c r="S46" s="25">
        <f>Q46/P46*1000</f>
        <v>12.514490293904791</v>
      </c>
      <c r="T46" s="25">
        <f>R46/P46*100000</f>
        <v>16.651829459648134</v>
      </c>
      <c r="U46" s="25">
        <f>D46/F46*1000000</f>
        <v>36.973642142992297</v>
      </c>
      <c r="V46" s="25">
        <f>E46/G46*1000000</f>
        <v>73.574855057535544</v>
      </c>
      <c r="W46" s="25">
        <f>V46/3</f>
        <v>24.524951685845181</v>
      </c>
      <c r="X46" s="25">
        <f>(W46*2)/10</f>
        <v>4.9049903371690364</v>
      </c>
      <c r="Y46" s="50">
        <v>62.232200622558594</v>
      </c>
    </row>
    <row r="47" spans="1:25" x14ac:dyDescent="0.15">
      <c r="A47" s="31" t="s">
        <v>20580</v>
      </c>
      <c r="B47" s="31" t="s">
        <v>4279</v>
      </c>
      <c r="C47" s="32" t="s">
        <v>4282</v>
      </c>
      <c r="D47" s="32">
        <v>6</v>
      </c>
      <c r="E47" s="32">
        <v>0</v>
      </c>
      <c r="F47" s="34">
        <v>236091</v>
      </c>
      <c r="G47" s="36">
        <v>478</v>
      </c>
      <c r="H47" s="35">
        <v>8086</v>
      </c>
      <c r="I47" s="36">
        <v>87</v>
      </c>
      <c r="J47" s="35">
        <v>1313</v>
      </c>
      <c r="K47" s="36">
        <v>11</v>
      </c>
      <c r="L47" s="36">
        <f>J47+K47</f>
        <v>1324</v>
      </c>
      <c r="M47" s="36">
        <v>121</v>
      </c>
      <c r="N47" s="36">
        <v>245</v>
      </c>
      <c r="O47" s="37">
        <v>225750</v>
      </c>
      <c r="P47" s="33">
        <v>250994</v>
      </c>
      <c r="Q47" s="33">
        <v>976</v>
      </c>
      <c r="R47" s="33">
        <v>14</v>
      </c>
      <c r="S47" s="25">
        <f>Q47/P47*1000</f>
        <v>3.8885391682669708</v>
      </c>
      <c r="T47" s="25">
        <f>R47/P47*100000</f>
        <v>5.5778225774321299</v>
      </c>
      <c r="U47" s="25">
        <f>D47/F47*1000000</f>
        <v>25.413929374690269</v>
      </c>
      <c r="V47" s="25">
        <f>E47/G47*1000000</f>
        <v>0</v>
      </c>
      <c r="W47" s="25">
        <f>V47/3</f>
        <v>0</v>
      </c>
      <c r="X47" s="25">
        <f>(W47*2)/10</f>
        <v>0</v>
      </c>
      <c r="Y47" s="50">
        <v>29.016326904296875</v>
      </c>
    </row>
    <row r="48" spans="1:25" x14ac:dyDescent="0.15">
      <c r="A48" s="31" t="s">
        <v>20586</v>
      </c>
      <c r="B48" s="31" t="s">
        <v>655</v>
      </c>
      <c r="C48" s="32" t="s">
        <v>571</v>
      </c>
      <c r="D48" s="32">
        <v>36</v>
      </c>
      <c r="E48" s="32">
        <v>5</v>
      </c>
      <c r="F48" s="34">
        <v>2027868</v>
      </c>
      <c r="G48" s="35">
        <v>62008</v>
      </c>
      <c r="H48" s="35">
        <v>279703</v>
      </c>
      <c r="I48" s="35">
        <v>2391</v>
      </c>
      <c r="J48" s="35">
        <v>34606</v>
      </c>
      <c r="K48" s="35">
        <v>3103</v>
      </c>
      <c r="L48" s="36">
        <f>J48+K48</f>
        <v>37709</v>
      </c>
      <c r="M48" s="35">
        <v>1101</v>
      </c>
      <c r="N48" s="35">
        <v>16985</v>
      </c>
      <c r="O48" s="37">
        <v>183859</v>
      </c>
      <c r="P48" s="33">
        <v>1530899</v>
      </c>
      <c r="Q48" s="33">
        <v>12876</v>
      </c>
      <c r="R48" s="33">
        <v>122</v>
      </c>
      <c r="S48" s="25">
        <f>Q48/P48*1000</f>
        <v>8.4107442750958743</v>
      </c>
      <c r="T48" s="25">
        <f>R48/P48*100000</f>
        <v>7.9691736685437773</v>
      </c>
      <c r="U48" s="25">
        <f>D48/F48*1000000</f>
        <v>17.752634786879618</v>
      </c>
      <c r="V48" s="25">
        <f>E48/G48*1000000</f>
        <v>80.634756805573474</v>
      </c>
      <c r="W48" s="25">
        <f>V48/3</f>
        <v>26.878252268524491</v>
      </c>
      <c r="X48" s="25">
        <f>(W48*2)/10</f>
        <v>5.3756504537048979</v>
      </c>
      <c r="Y48" s="50">
        <v>32.4434814453125</v>
      </c>
    </row>
    <row r="49" spans="1:25" x14ac:dyDescent="0.15">
      <c r="A49" s="31" t="s">
        <v>20591</v>
      </c>
      <c r="B49" s="31" t="s">
        <v>1007</v>
      </c>
      <c r="C49" s="32" t="s">
        <v>15777</v>
      </c>
      <c r="D49" s="32">
        <v>2</v>
      </c>
      <c r="E49" s="32">
        <v>1</v>
      </c>
      <c r="F49" s="34">
        <v>295803</v>
      </c>
      <c r="G49" s="35">
        <v>42336</v>
      </c>
      <c r="H49" s="35">
        <v>216072</v>
      </c>
      <c r="I49" s="36">
        <v>599</v>
      </c>
      <c r="J49" s="35">
        <v>9506</v>
      </c>
      <c r="K49" s="36">
        <v>107</v>
      </c>
      <c r="L49" s="36">
        <f>J49+K49</f>
        <v>9613</v>
      </c>
      <c r="M49" s="36">
        <v>546</v>
      </c>
      <c r="N49" s="35">
        <v>6163</v>
      </c>
      <c r="O49" s="37">
        <v>20474</v>
      </c>
      <c r="P49" s="33">
        <v>311848</v>
      </c>
      <c r="Q49" s="33">
        <v>1041</v>
      </c>
      <c r="R49" s="33">
        <v>20</v>
      </c>
      <c r="S49" s="25">
        <f>Q49/P49*1000</f>
        <v>3.3381647469279905</v>
      </c>
      <c r="T49" s="25">
        <f>R49/P49*100000</f>
        <v>6.4133808778635739</v>
      </c>
      <c r="U49" s="25">
        <f>D49/F49*1000000</f>
        <v>6.7612566471604412</v>
      </c>
      <c r="V49" s="25">
        <f>E49/G49*1000000</f>
        <v>23.620559334845051</v>
      </c>
      <c r="W49" s="25">
        <f>V49/3</f>
        <v>7.8735197782816835</v>
      </c>
      <c r="X49" s="25">
        <f>(W49*2)/10</f>
        <v>1.5747039556563367</v>
      </c>
      <c r="Y49" s="50">
        <v>40.926422119140625</v>
      </c>
    </row>
    <row r="50" spans="1:25" x14ac:dyDescent="0.15">
      <c r="A50" s="31" t="s">
        <v>20582</v>
      </c>
      <c r="B50" s="31" t="s">
        <v>2316</v>
      </c>
      <c r="C50" s="32" t="s">
        <v>10291</v>
      </c>
      <c r="D50" s="32">
        <v>2</v>
      </c>
      <c r="E50" s="32">
        <v>1</v>
      </c>
      <c r="F50" s="34">
        <v>258379</v>
      </c>
      <c r="G50" s="35">
        <v>9541</v>
      </c>
      <c r="H50" s="35">
        <v>214739</v>
      </c>
      <c r="I50" s="35">
        <v>1611</v>
      </c>
      <c r="J50" s="35">
        <v>9711</v>
      </c>
      <c r="K50" s="36">
        <v>128</v>
      </c>
      <c r="L50" s="36">
        <f>J50+K50</f>
        <v>9839</v>
      </c>
      <c r="M50" s="36">
        <v>353</v>
      </c>
      <c r="N50" s="35">
        <v>6114</v>
      </c>
      <c r="O50" s="37">
        <v>16182</v>
      </c>
      <c r="P50" s="33">
        <v>271208</v>
      </c>
      <c r="Q50" s="33">
        <v>918</v>
      </c>
      <c r="R50" s="33">
        <v>7</v>
      </c>
      <c r="S50" s="25">
        <f>Q50/P50*1000</f>
        <v>3.3848559039556356</v>
      </c>
      <c r="T50" s="25">
        <f>R50/P50*100000</f>
        <v>2.5810448069378484</v>
      </c>
      <c r="U50" s="25">
        <f>D50/F50*1000000</f>
        <v>7.7405671513551804</v>
      </c>
      <c r="V50" s="25">
        <f>E50/G50*1000000</f>
        <v>104.81081647626034</v>
      </c>
      <c r="W50" s="25">
        <f>V50/3</f>
        <v>34.936938825420114</v>
      </c>
      <c r="X50" s="25">
        <f>(W50*2)/10</f>
        <v>6.9873877650840228</v>
      </c>
      <c r="Y50" s="50">
        <v>32.158992767333984</v>
      </c>
    </row>
    <row r="51" spans="1:25" x14ac:dyDescent="0.15">
      <c r="A51" s="31" t="s">
        <v>20575</v>
      </c>
      <c r="B51" s="31" t="s">
        <v>489</v>
      </c>
      <c r="C51" s="32" t="s">
        <v>490</v>
      </c>
      <c r="D51" s="32">
        <v>21</v>
      </c>
      <c r="E51" s="32">
        <v>5</v>
      </c>
      <c r="F51" s="34">
        <v>462257</v>
      </c>
      <c r="G51" s="35">
        <v>59925</v>
      </c>
      <c r="H51" s="35">
        <v>135698</v>
      </c>
      <c r="I51" s="35">
        <v>1349</v>
      </c>
      <c r="J51" s="35">
        <v>58268</v>
      </c>
      <c r="K51" s="35">
        <v>4915</v>
      </c>
      <c r="L51" s="36">
        <f>J51+K51</f>
        <v>63183</v>
      </c>
      <c r="M51" s="35">
        <v>1118</v>
      </c>
      <c r="N51" s="35">
        <v>12572</v>
      </c>
      <c r="O51" s="37">
        <v>188412</v>
      </c>
      <c r="P51" s="33">
        <v>471123</v>
      </c>
      <c r="Q51" s="33">
        <v>2304</v>
      </c>
      <c r="R51" s="33">
        <v>23</v>
      </c>
      <c r="S51" s="25">
        <f>Q51/P51*1000</f>
        <v>4.8904426232639882</v>
      </c>
      <c r="T51" s="25">
        <f>R51/P51*100000</f>
        <v>4.8819522714874886</v>
      </c>
      <c r="U51" s="25">
        <f>D51/F51*1000000</f>
        <v>45.429274191629332</v>
      </c>
      <c r="V51" s="25">
        <f>E51/G51*1000000</f>
        <v>83.437630371297459</v>
      </c>
      <c r="W51" s="25">
        <f>V51/3</f>
        <v>27.812543457099153</v>
      </c>
      <c r="X51" s="25">
        <f>(W51*2)/10</f>
        <v>5.562508691419831</v>
      </c>
      <c r="Y51" s="50">
        <v>57.354034423828125</v>
      </c>
    </row>
    <row r="52" spans="1:25" x14ac:dyDescent="0.15">
      <c r="A52" s="31" t="s">
        <v>20575</v>
      </c>
      <c r="B52" s="31" t="s">
        <v>98</v>
      </c>
      <c r="C52" s="32" t="s">
        <v>99</v>
      </c>
      <c r="D52" s="32">
        <v>93</v>
      </c>
      <c r="E52" s="32">
        <v>23</v>
      </c>
      <c r="F52" s="34">
        <v>3792621</v>
      </c>
      <c r="G52" s="35">
        <v>347380</v>
      </c>
      <c r="H52" s="35">
        <v>1086908</v>
      </c>
      <c r="I52" s="35">
        <v>6589</v>
      </c>
      <c r="J52" s="35">
        <v>420212</v>
      </c>
      <c r="K52" s="35">
        <v>4300</v>
      </c>
      <c r="L52" s="36">
        <f>J52+K52</f>
        <v>424512</v>
      </c>
      <c r="M52" s="35">
        <v>12057</v>
      </c>
      <c r="N52" s="35">
        <v>76353</v>
      </c>
      <c r="O52" s="37">
        <v>1838822</v>
      </c>
      <c r="P52" s="33">
        <v>3906772</v>
      </c>
      <c r="Q52" s="33">
        <v>19171</v>
      </c>
      <c r="R52" s="33">
        <v>260</v>
      </c>
      <c r="S52" s="25">
        <f>Q52/P52*1000</f>
        <v>4.907120251706524</v>
      </c>
      <c r="T52" s="25">
        <f>R52/P52*100000</f>
        <v>6.6551106642517146</v>
      </c>
      <c r="U52" s="25">
        <f>D52/F52*1000000</f>
        <v>24.521300704710544</v>
      </c>
      <c r="V52" s="25">
        <f>E52/G52*1000000</f>
        <v>66.209914214980714</v>
      </c>
      <c r="W52" s="25">
        <f>V52/3</f>
        <v>22.06997140499357</v>
      </c>
      <c r="X52" s="25">
        <f>(W52*2)/10</f>
        <v>4.4139942809987138</v>
      </c>
      <c r="Y52" s="50">
        <v>66.91314697265625</v>
      </c>
    </row>
    <row r="53" spans="1:25" x14ac:dyDescent="0.15">
      <c r="A53" s="31" t="s">
        <v>20591</v>
      </c>
      <c r="B53" s="31" t="s">
        <v>890</v>
      </c>
      <c r="C53" s="32" t="s">
        <v>891</v>
      </c>
      <c r="D53" s="32">
        <v>12</v>
      </c>
      <c r="E53" s="32">
        <v>6</v>
      </c>
      <c r="F53" s="34">
        <v>597337</v>
      </c>
      <c r="G53" s="35">
        <v>135138</v>
      </c>
      <c r="H53" s="35">
        <v>408157</v>
      </c>
      <c r="I53" s="35">
        <v>1289</v>
      </c>
      <c r="J53" s="35">
        <v>12764</v>
      </c>
      <c r="K53" s="36">
        <v>347</v>
      </c>
      <c r="L53" s="36">
        <f>J53+K53</f>
        <v>13111</v>
      </c>
      <c r="M53" s="35">
        <v>1018</v>
      </c>
      <c r="N53" s="35">
        <v>11834</v>
      </c>
      <c r="O53" s="37">
        <v>26790</v>
      </c>
      <c r="P53" s="33">
        <v>677710</v>
      </c>
      <c r="Q53" s="33">
        <v>4005</v>
      </c>
      <c r="R53" s="33">
        <v>56</v>
      </c>
      <c r="S53" s="25">
        <f>Q53/P53*1000</f>
        <v>5.9096073541780409</v>
      </c>
      <c r="T53" s="25">
        <f>R53/P53*100000</f>
        <v>8.2631213941066246</v>
      </c>
      <c r="U53" s="25">
        <f>D53/F53*1000000</f>
        <v>20.089162399114738</v>
      </c>
      <c r="V53" s="25">
        <f>E53/G53*1000000</f>
        <v>44.399058739954711</v>
      </c>
      <c r="W53" s="25">
        <f>V53/3</f>
        <v>14.79968624665157</v>
      </c>
      <c r="X53" s="25">
        <f>(W53*2)/10</f>
        <v>2.9599372493303138</v>
      </c>
      <c r="Y53" s="50">
        <v>55.443042755126953</v>
      </c>
    </row>
    <row r="54" spans="1:25" x14ac:dyDescent="0.15">
      <c r="A54" s="31" t="s">
        <v>20580</v>
      </c>
      <c r="B54" s="31" t="s">
        <v>6636</v>
      </c>
      <c r="C54" s="32" t="s">
        <v>7627</v>
      </c>
      <c r="D54" s="32">
        <v>3</v>
      </c>
      <c r="E54" s="32">
        <v>0</v>
      </c>
      <c r="F54" s="34">
        <v>229573</v>
      </c>
      <c r="G54" s="35">
        <v>18744</v>
      </c>
      <c r="H54" s="35">
        <v>127915</v>
      </c>
      <c r="I54" s="36">
        <v>845</v>
      </c>
      <c r="J54" s="35">
        <v>5471</v>
      </c>
      <c r="K54" s="36">
        <v>147</v>
      </c>
      <c r="L54" s="36">
        <f>J54+K54</f>
        <v>5618</v>
      </c>
      <c r="M54" s="36">
        <v>241</v>
      </c>
      <c r="N54" s="35">
        <v>2585</v>
      </c>
      <c r="O54" s="37">
        <v>73625</v>
      </c>
      <c r="P54" s="33">
        <v>241826</v>
      </c>
      <c r="Q54" s="33">
        <v>2084</v>
      </c>
      <c r="R54" s="33">
        <v>12</v>
      </c>
      <c r="S54" s="25">
        <f>Q54/P54*1000</f>
        <v>8.6177664932637512</v>
      </c>
      <c r="T54" s="25">
        <f>R54/P54*100000</f>
        <v>4.9622455815338302</v>
      </c>
      <c r="U54" s="25">
        <f>D54/F54*1000000</f>
        <v>13.067738802036825</v>
      </c>
      <c r="V54" s="25">
        <f>E54/G54*1000000</f>
        <v>0</v>
      </c>
      <c r="W54" s="25">
        <f>V54/3</f>
        <v>0</v>
      </c>
      <c r="X54" s="25">
        <f>(W54*2)/10</f>
        <v>0</v>
      </c>
      <c r="Y54" s="50">
        <v>47.234573364257812</v>
      </c>
    </row>
    <row r="55" spans="1:25" x14ac:dyDescent="0.15">
      <c r="A55" s="31" t="s">
        <v>20596</v>
      </c>
      <c r="B55" s="31" t="s">
        <v>2160</v>
      </c>
      <c r="C55" s="32" t="s">
        <v>3839</v>
      </c>
      <c r="D55" s="32">
        <v>6</v>
      </c>
      <c r="E55" s="32">
        <v>2</v>
      </c>
      <c r="F55" s="34">
        <v>233209</v>
      </c>
      <c r="G55" s="35">
        <v>16507</v>
      </c>
      <c r="H55" s="35">
        <v>176463</v>
      </c>
      <c r="I55" s="36">
        <v>763</v>
      </c>
      <c r="J55" s="35">
        <v>17126</v>
      </c>
      <c r="K55" s="36">
        <v>67</v>
      </c>
      <c r="L55" s="36">
        <f>J55+K55</f>
        <v>17193</v>
      </c>
      <c r="M55" s="36">
        <v>374</v>
      </c>
      <c r="N55" s="35">
        <v>5961</v>
      </c>
      <c r="O55" s="37">
        <v>15948</v>
      </c>
      <c r="P55" s="33">
        <v>245788</v>
      </c>
      <c r="Q55" s="33">
        <v>846</v>
      </c>
      <c r="R55" s="33">
        <v>7</v>
      </c>
      <c r="S55" s="25">
        <f>Q55/P55*1000</f>
        <v>3.4419906586163687</v>
      </c>
      <c r="T55" s="25">
        <f>R55/P55*100000</f>
        <v>2.8479828144579882</v>
      </c>
      <c r="U55" s="25">
        <f>D55/F55*1000000</f>
        <v>25.727995060224949</v>
      </c>
      <c r="V55" s="25">
        <f>E55/G55*1000000</f>
        <v>121.160719694675</v>
      </c>
      <c r="W55" s="25">
        <f>V55/3</f>
        <v>40.386906564891667</v>
      </c>
      <c r="X55" s="25">
        <f>(W55*2)/10</f>
        <v>8.0773813129783338</v>
      </c>
      <c r="Y55" s="50">
        <v>36.639423370361328</v>
      </c>
    </row>
    <row r="56" spans="1:25" x14ac:dyDescent="0.15">
      <c r="A56" s="31" t="s">
        <v>20584</v>
      </c>
      <c r="B56" s="31" t="s">
        <v>1192</v>
      </c>
      <c r="C56" s="32" t="s">
        <v>1194</v>
      </c>
      <c r="D56" s="32">
        <v>17</v>
      </c>
      <c r="E56" s="32">
        <v>10</v>
      </c>
      <c r="F56" s="34">
        <v>646889</v>
      </c>
      <c r="G56" s="35">
        <v>408075</v>
      </c>
      <c r="H56" s="35">
        <v>177735</v>
      </c>
      <c r="I56" s="35">
        <v>1186</v>
      </c>
      <c r="J56" s="35">
        <v>10067</v>
      </c>
      <c r="K56" s="36">
        <v>159</v>
      </c>
      <c r="L56" s="36">
        <f>J56+K56</f>
        <v>10226</v>
      </c>
      <c r="M56" s="36">
        <v>742</v>
      </c>
      <c r="N56" s="35">
        <v>6931</v>
      </c>
      <c r="O56" s="37">
        <v>41994</v>
      </c>
      <c r="P56" s="33">
        <v>654922</v>
      </c>
      <c r="Q56" s="33">
        <v>11399</v>
      </c>
      <c r="R56" s="33">
        <v>140</v>
      </c>
      <c r="S56" s="25">
        <f>Q56/P56*1000</f>
        <v>17.40512610662033</v>
      </c>
      <c r="T56" s="25">
        <f>R56/P56*100000</f>
        <v>21.37659141088557</v>
      </c>
      <c r="U56" s="25">
        <f>D56/F56*1000000</f>
        <v>26.27962447962479</v>
      </c>
      <c r="V56" s="25">
        <f>E56/G56*1000000</f>
        <v>24.505299270967345</v>
      </c>
      <c r="W56" s="25">
        <f>V56/3</f>
        <v>8.1684330903224485</v>
      </c>
      <c r="X56" s="25">
        <f>(W56*2)/10</f>
        <v>1.6336866180644898</v>
      </c>
      <c r="Y56" s="50">
        <v>67.858688354492188</v>
      </c>
    </row>
    <row r="57" spans="1:25" x14ac:dyDescent="0.15">
      <c r="A57" s="31" t="s">
        <v>20578</v>
      </c>
      <c r="B57" s="31" t="s">
        <v>1428</v>
      </c>
      <c r="C57" s="32" t="s">
        <v>1429</v>
      </c>
      <c r="D57" s="32">
        <v>12</v>
      </c>
      <c r="E57" s="32">
        <v>0</v>
      </c>
      <c r="F57" s="34">
        <v>439041</v>
      </c>
      <c r="G57" s="35">
        <v>14101</v>
      </c>
      <c r="H57" s="35">
        <v>282505</v>
      </c>
      <c r="I57" s="35">
        <v>8359</v>
      </c>
      <c r="J57" s="35">
        <v>8174</v>
      </c>
      <c r="K57" s="35">
        <v>1532</v>
      </c>
      <c r="L57" s="36">
        <f>J57+K57</f>
        <v>9706</v>
      </c>
      <c r="M57" s="36">
        <v>555</v>
      </c>
      <c r="N57" s="35">
        <v>8062</v>
      </c>
      <c r="O57" s="37">
        <v>115753</v>
      </c>
      <c r="P57" s="33">
        <v>462092</v>
      </c>
      <c r="Q57" s="33">
        <v>2119</v>
      </c>
      <c r="R57" s="33">
        <v>13</v>
      </c>
      <c r="S57" s="25">
        <f>Q57/P57*1000</f>
        <v>4.5856669234697858</v>
      </c>
      <c r="T57" s="25">
        <f>R57/P57*100000</f>
        <v>2.8132925910857578</v>
      </c>
      <c r="U57" s="25">
        <f>D57/F57*1000000</f>
        <v>27.332299261344613</v>
      </c>
      <c r="V57" s="25">
        <f>E57/G57*1000000</f>
        <v>0</v>
      </c>
      <c r="W57" s="25">
        <f>V57/3</f>
        <v>0</v>
      </c>
      <c r="X57" s="25">
        <f>(W57*2)/10</f>
        <v>0</v>
      </c>
      <c r="Y57" s="50">
        <v>29.538684844970703</v>
      </c>
    </row>
    <row r="58" spans="1:25" x14ac:dyDescent="0.15">
      <c r="A58" s="31" t="s">
        <v>20581</v>
      </c>
      <c r="B58" s="31" t="s">
        <v>213</v>
      </c>
      <c r="C58" s="32" t="s">
        <v>456</v>
      </c>
      <c r="D58" s="32">
        <v>7</v>
      </c>
      <c r="E58" s="32">
        <v>2</v>
      </c>
      <c r="F58" s="34">
        <v>399457</v>
      </c>
      <c r="G58" s="35">
        <v>64993</v>
      </c>
      <c r="H58" s="35">
        <v>47622</v>
      </c>
      <c r="I58" s="36">
        <v>361</v>
      </c>
      <c r="J58" s="35">
        <v>3649</v>
      </c>
      <c r="K58" s="36">
        <v>58</v>
      </c>
      <c r="L58" s="36">
        <f>J58+K58</f>
        <v>3707</v>
      </c>
      <c r="M58" s="36">
        <v>676</v>
      </c>
      <c r="N58" s="35">
        <v>2642</v>
      </c>
      <c r="O58" s="37">
        <v>279456</v>
      </c>
      <c r="P58" s="33">
        <v>421996</v>
      </c>
      <c r="Q58" s="33">
        <v>4473</v>
      </c>
      <c r="R58" s="33">
        <v>81</v>
      </c>
      <c r="S58" s="25">
        <f>Q58/P58*1000</f>
        <v>10.599626536744424</v>
      </c>
      <c r="T58" s="25">
        <f>R58/P58*100000</f>
        <v>19.194494734547245</v>
      </c>
      <c r="U58" s="25">
        <f>D58/F58*1000000</f>
        <v>17.523788542947052</v>
      </c>
      <c r="V58" s="25">
        <f>E58/G58*1000000</f>
        <v>30.772544735586909</v>
      </c>
      <c r="W58" s="25">
        <f>V58/3</f>
        <v>10.257514911862303</v>
      </c>
      <c r="X58" s="25">
        <f>(W58*2)/10</f>
        <v>2.0515029823724609</v>
      </c>
      <c r="Y58" s="50">
        <v>75.532684326171875</v>
      </c>
    </row>
    <row r="59" spans="1:25" x14ac:dyDescent="0.15">
      <c r="A59" s="31" t="s">
        <v>20596</v>
      </c>
      <c r="B59" s="31" t="s">
        <v>887</v>
      </c>
      <c r="C59" s="32" t="s">
        <v>3865</v>
      </c>
      <c r="D59" s="32">
        <v>12</v>
      </c>
      <c r="E59" s="32">
        <v>11</v>
      </c>
      <c r="F59" s="34">
        <v>594833</v>
      </c>
      <c r="G59" s="35">
        <v>233325</v>
      </c>
      <c r="H59" s="35">
        <v>220219</v>
      </c>
      <c r="I59" s="35">
        <v>3408</v>
      </c>
      <c r="J59" s="35">
        <v>20553</v>
      </c>
      <c r="K59" s="36">
        <v>195</v>
      </c>
      <c r="L59" s="36">
        <f>J59+K59</f>
        <v>20748</v>
      </c>
      <c r="M59" s="36">
        <v>819</v>
      </c>
      <c r="N59" s="35">
        <v>13307</v>
      </c>
      <c r="O59" s="37">
        <v>103007</v>
      </c>
      <c r="P59" s="33">
        <v>600374</v>
      </c>
      <c r="Q59" s="33">
        <v>8864</v>
      </c>
      <c r="R59" s="33">
        <v>90</v>
      </c>
      <c r="S59" s="25">
        <f>Q59/P59*1000</f>
        <v>14.764130358743049</v>
      </c>
      <c r="T59" s="25">
        <f>R59/P59*100000</f>
        <v>14.99065582453604</v>
      </c>
      <c r="U59" s="25">
        <f>D59/F59*1000000</f>
        <v>20.17372943330313</v>
      </c>
      <c r="V59" s="25">
        <f>E59/G59*1000000</f>
        <v>47.144540876459871</v>
      </c>
      <c r="W59" s="25">
        <f>V59/3</f>
        <v>15.714846958819956</v>
      </c>
      <c r="X59" s="25">
        <f>(W59*2)/10</f>
        <v>3.1429693917639914</v>
      </c>
      <c r="Y59" s="50">
        <v>70.111480712890625</v>
      </c>
    </row>
    <row r="60" spans="1:25" x14ac:dyDescent="0.15">
      <c r="A60" s="31" t="s">
        <v>6779</v>
      </c>
      <c r="B60" s="31" t="s">
        <v>6779</v>
      </c>
      <c r="C60" s="32" t="s">
        <v>16779</v>
      </c>
      <c r="D60" s="32">
        <v>5</v>
      </c>
      <c r="E60" s="32">
        <v>3</v>
      </c>
      <c r="F60" s="34">
        <v>382578</v>
      </c>
      <c r="G60" s="35">
        <v>69971</v>
      </c>
      <c r="H60" s="35">
        <v>230650</v>
      </c>
      <c r="I60" s="35">
        <v>6351</v>
      </c>
      <c r="J60" s="35">
        <v>21399</v>
      </c>
      <c r="K60" s="36">
        <v>168</v>
      </c>
      <c r="L60" s="36">
        <f>J60+K60</f>
        <v>21567</v>
      </c>
      <c r="M60" s="36">
        <v>962</v>
      </c>
      <c r="N60" s="35">
        <v>13004</v>
      </c>
      <c r="O60" s="37">
        <v>40073</v>
      </c>
      <c r="P60" s="33">
        <v>404461</v>
      </c>
      <c r="Q60" s="33">
        <v>4093</v>
      </c>
      <c r="R60" s="33">
        <v>31</v>
      </c>
      <c r="S60" s="25">
        <f>Q60/P60*1000</f>
        <v>10.119640707015016</v>
      </c>
      <c r="T60" s="25">
        <f>R60/P60*100000</f>
        <v>7.6645214248098084</v>
      </c>
      <c r="U60" s="25">
        <f>D60/F60*1000000</f>
        <v>13.06923032688759</v>
      </c>
      <c r="V60" s="25">
        <f>E60/G60*1000000</f>
        <v>42.874905317917424</v>
      </c>
      <c r="W60" s="25">
        <f>V60/3</f>
        <v>14.291635105972475</v>
      </c>
      <c r="X60" s="25">
        <f>(W60*2)/10</f>
        <v>2.8583270211944951</v>
      </c>
      <c r="Y60" s="50">
        <v>50.918025970458984</v>
      </c>
    </row>
    <row r="61" spans="1:25" x14ac:dyDescent="0.15">
      <c r="A61" s="31" t="s">
        <v>20584</v>
      </c>
      <c r="B61" s="31" t="s">
        <v>2028</v>
      </c>
      <c r="C61" s="32" t="s">
        <v>880</v>
      </c>
      <c r="D61" s="32">
        <v>8</v>
      </c>
      <c r="E61" s="32">
        <v>3</v>
      </c>
      <c r="F61" s="34">
        <v>601222</v>
      </c>
      <c r="G61" s="35">
        <v>169272</v>
      </c>
      <c r="H61" s="35">
        <v>338782</v>
      </c>
      <c r="I61" s="35">
        <v>1418</v>
      </c>
      <c r="J61" s="35">
        <v>18497</v>
      </c>
      <c r="K61" s="36">
        <v>275</v>
      </c>
      <c r="L61" s="36">
        <f>J61+K61</f>
        <v>18772</v>
      </c>
      <c r="M61" s="35">
        <v>1155</v>
      </c>
      <c r="N61" s="35">
        <v>11433</v>
      </c>
      <c r="O61" s="37">
        <v>60390</v>
      </c>
      <c r="P61" s="33">
        <v>647689</v>
      </c>
      <c r="Q61" s="33">
        <v>7270</v>
      </c>
      <c r="R61" s="33">
        <v>41</v>
      </c>
      <c r="S61" s="25">
        <f>Q61/P61*1000</f>
        <v>11.224522880580031</v>
      </c>
      <c r="T61" s="25">
        <f>R61/P61*100000</f>
        <v>6.3301985984013927</v>
      </c>
      <c r="U61" s="25">
        <f>D61/F61*1000000</f>
        <v>13.306232972179995</v>
      </c>
      <c r="V61" s="25">
        <f>E61/G61*1000000</f>
        <v>17.722954771019424</v>
      </c>
      <c r="W61" s="25">
        <f>V61/3</f>
        <v>5.9076515903398077</v>
      </c>
      <c r="X61" s="25">
        <f>(W61*2)/10</f>
        <v>1.1815303180679615</v>
      </c>
      <c r="Y61" s="50">
        <v>49.157066345214844</v>
      </c>
    </row>
    <row r="62" spans="1:25" x14ac:dyDescent="0.15">
      <c r="A62" s="31" t="s">
        <v>20576</v>
      </c>
      <c r="B62" s="31" t="s">
        <v>1039</v>
      </c>
      <c r="C62" s="32" t="s">
        <v>1041</v>
      </c>
      <c r="D62" s="32">
        <v>9</v>
      </c>
      <c r="E62" s="32">
        <v>7</v>
      </c>
      <c r="F62" s="34">
        <v>343829</v>
      </c>
      <c r="G62" s="35">
        <v>204866</v>
      </c>
      <c r="H62" s="35">
        <v>104770</v>
      </c>
      <c r="I62" s="36">
        <v>827</v>
      </c>
      <c r="J62" s="35">
        <v>9883</v>
      </c>
      <c r="K62" s="36">
        <v>105</v>
      </c>
      <c r="L62" s="36">
        <f>J62+K62</f>
        <v>9988</v>
      </c>
      <c r="M62" s="36">
        <v>967</v>
      </c>
      <c r="N62" s="35">
        <v>4360</v>
      </c>
      <c r="O62" s="37">
        <v>18051</v>
      </c>
      <c r="P62" s="33">
        <v>387113</v>
      </c>
      <c r="Q62" s="33">
        <v>3770</v>
      </c>
      <c r="R62" s="33">
        <v>150</v>
      </c>
      <c r="S62" s="25">
        <f>Q62/P62*1000</f>
        <v>9.738758450374954</v>
      </c>
      <c r="T62" s="25">
        <f>R62/P62*100000</f>
        <v>38.748375797247832</v>
      </c>
      <c r="U62" s="25">
        <f>D62/F62*1000000</f>
        <v>26.175802506478512</v>
      </c>
      <c r="V62" s="25">
        <f>E62/G62*1000000</f>
        <v>34.168676110237911</v>
      </c>
      <c r="W62" s="25">
        <f>V62/3</f>
        <v>11.389558703412638</v>
      </c>
      <c r="X62" s="25">
        <f>(W62*2)/10</f>
        <v>2.2779117406825273</v>
      </c>
      <c r="Y62" s="50">
        <v>67.626632690429688</v>
      </c>
    </row>
    <row r="63" spans="1:25" x14ac:dyDescent="0.15">
      <c r="A63" s="31" t="s">
        <v>754</v>
      </c>
      <c r="B63" s="31" t="s">
        <v>754</v>
      </c>
      <c r="C63" s="32" t="s">
        <v>582</v>
      </c>
      <c r="D63" s="32">
        <v>65</v>
      </c>
      <c r="E63" s="32">
        <v>40</v>
      </c>
      <c r="F63" s="34">
        <v>8175133</v>
      </c>
      <c r="G63" s="35">
        <v>1861295</v>
      </c>
      <c r="H63" s="35">
        <v>2722904</v>
      </c>
      <c r="I63" s="35">
        <v>17427</v>
      </c>
      <c r="J63" s="35">
        <v>1028119</v>
      </c>
      <c r="K63" s="35">
        <v>2795</v>
      </c>
      <c r="L63" s="36">
        <f>J63+K63</f>
        <v>1030914</v>
      </c>
      <c r="M63" s="35">
        <v>57841</v>
      </c>
      <c r="N63" s="35">
        <v>148676</v>
      </c>
      <c r="O63" s="37">
        <v>2336076</v>
      </c>
      <c r="P63" s="33">
        <v>8473938</v>
      </c>
      <c r="Q63" s="33">
        <v>50564</v>
      </c>
      <c r="R63" s="33">
        <v>333</v>
      </c>
      <c r="S63" s="25">
        <f>Q63/P63*1000</f>
        <v>5.9670014106782467</v>
      </c>
      <c r="T63" s="25">
        <f>R63/P63*100000</f>
        <v>3.9296959689815996</v>
      </c>
      <c r="U63" s="25">
        <f>D63/F63*1000000</f>
        <v>7.950940981632959</v>
      </c>
      <c r="V63" s="25">
        <f>E63/G63*1000000</f>
        <v>21.490413932235352</v>
      </c>
      <c r="W63" s="25">
        <f>V63/3</f>
        <v>7.1634713107451171</v>
      </c>
      <c r="X63" s="25">
        <f>(W63*2)/10</f>
        <v>1.4326942621490235</v>
      </c>
      <c r="Y63" s="50">
        <v>81.406463623046875</v>
      </c>
    </row>
    <row r="64" spans="1:25" x14ac:dyDescent="0.15">
      <c r="A64" s="31" t="s">
        <v>21221</v>
      </c>
      <c r="B64" s="31" t="s">
        <v>526</v>
      </c>
      <c r="C64" s="32" t="s">
        <v>529</v>
      </c>
      <c r="D64" s="32">
        <v>8</v>
      </c>
      <c r="E64" s="32">
        <v>5</v>
      </c>
      <c r="F64" s="34">
        <v>277140</v>
      </c>
      <c r="G64" s="35">
        <v>138074</v>
      </c>
      <c r="H64" s="35">
        <v>32122</v>
      </c>
      <c r="I64" s="36">
        <v>713</v>
      </c>
      <c r="J64" s="35">
        <v>4318</v>
      </c>
      <c r="K64" s="36">
        <v>68</v>
      </c>
      <c r="L64" s="36">
        <f>J64+K64</f>
        <v>4386</v>
      </c>
      <c r="M64" s="35">
        <v>3899</v>
      </c>
      <c r="N64" s="35">
        <v>4200</v>
      </c>
      <c r="O64" s="37">
        <v>93746</v>
      </c>
      <c r="P64" s="33">
        <v>279110</v>
      </c>
      <c r="Q64" s="33">
        <v>3008</v>
      </c>
      <c r="R64" s="33">
        <v>93</v>
      </c>
      <c r="S64" s="25">
        <f>Q64/P64*1000</f>
        <v>10.777112966214037</v>
      </c>
      <c r="T64" s="25">
        <f>R64/P64*100000</f>
        <v>33.320196338361221</v>
      </c>
      <c r="U64" s="25">
        <f>D64/F64*1000000</f>
        <v>28.866276971927544</v>
      </c>
      <c r="V64" s="25">
        <f>E64/G64*1000000</f>
        <v>36.212465779219841</v>
      </c>
      <c r="W64" s="25">
        <f>V64/3</f>
        <v>12.070821926406614</v>
      </c>
      <c r="X64" s="25">
        <f>(W64*2)/10</f>
        <v>2.4141643852813228</v>
      </c>
      <c r="Y64" s="50">
        <v>71.190437316894531</v>
      </c>
    </row>
    <row r="65" spans="1:25" x14ac:dyDescent="0.15">
      <c r="A65" s="31" t="s">
        <v>20589</v>
      </c>
      <c r="B65" s="31" t="s">
        <v>3317</v>
      </c>
      <c r="C65" s="32" t="s">
        <v>5050</v>
      </c>
      <c r="D65" s="32">
        <v>10</v>
      </c>
      <c r="E65" s="32">
        <v>6</v>
      </c>
      <c r="F65" s="34">
        <v>242803</v>
      </c>
      <c r="G65" s="35">
        <v>102452</v>
      </c>
      <c r="H65" s="35">
        <v>107463</v>
      </c>
      <c r="I65" s="36">
        <v>935</v>
      </c>
      <c r="J65" s="35">
        <v>7861</v>
      </c>
      <c r="K65" s="36">
        <v>359</v>
      </c>
      <c r="L65" s="36">
        <f>J65+K65</f>
        <v>8220</v>
      </c>
      <c r="M65" s="36">
        <v>471</v>
      </c>
      <c r="N65" s="35">
        <v>7118</v>
      </c>
      <c r="O65" s="37">
        <v>16144</v>
      </c>
      <c r="P65" s="33">
        <v>247078</v>
      </c>
      <c r="Q65" s="33">
        <v>1280</v>
      </c>
      <c r="R65" s="33">
        <v>31</v>
      </c>
      <c r="S65" s="25">
        <f>Q65/P65*1000</f>
        <v>5.1805502715741589</v>
      </c>
      <c r="T65" s="25">
        <f>R65/P65*100000</f>
        <v>12.546645188968666</v>
      </c>
      <c r="U65" s="25">
        <f>D65/F65*1000000</f>
        <v>41.185652566072079</v>
      </c>
      <c r="V65" s="25">
        <f>E65/G65*1000000</f>
        <v>58.564010463436539</v>
      </c>
      <c r="W65" s="25">
        <f>V65/3</f>
        <v>19.521336821145514</v>
      </c>
      <c r="X65" s="25">
        <f>(W65*2)/10</f>
        <v>3.9042673642291028</v>
      </c>
      <c r="Y65" s="50">
        <v>50.799514770507812</v>
      </c>
    </row>
    <row r="66" spans="1:25" x14ac:dyDescent="0.15">
      <c r="A66" s="31" t="s">
        <v>20586</v>
      </c>
      <c r="B66" s="31" t="s">
        <v>268</v>
      </c>
      <c r="C66" s="32" t="s">
        <v>270</v>
      </c>
      <c r="D66" s="32">
        <v>5</v>
      </c>
      <c r="E66" s="32">
        <v>2</v>
      </c>
      <c r="F66" s="34">
        <v>216961</v>
      </c>
      <c r="G66" s="35">
        <v>41561</v>
      </c>
      <c r="H66" s="35">
        <v>67687</v>
      </c>
      <c r="I66" s="36">
        <v>871</v>
      </c>
      <c r="J66" s="35">
        <v>13122</v>
      </c>
      <c r="K66" s="35">
        <v>1684</v>
      </c>
      <c r="L66" s="36">
        <f>J66+K66</f>
        <v>14806</v>
      </c>
      <c r="M66" s="36">
        <v>377</v>
      </c>
      <c r="N66" s="35">
        <v>7525</v>
      </c>
      <c r="O66" s="37">
        <v>84134</v>
      </c>
      <c r="P66" s="33">
        <v>229436</v>
      </c>
      <c r="Q66" s="33">
        <v>1782</v>
      </c>
      <c r="R66" s="33">
        <v>12</v>
      </c>
      <c r="S66" s="25">
        <f>Q66/P66*1000</f>
        <v>7.7668718073885525</v>
      </c>
      <c r="T66" s="25">
        <f>R66/P66*100000</f>
        <v>5.2302167053121567</v>
      </c>
      <c r="U66" s="25">
        <f>D66/F66*1000000</f>
        <v>23.045616493286815</v>
      </c>
      <c r="V66" s="25">
        <f>E66/G66*1000000</f>
        <v>48.122037487067203</v>
      </c>
      <c r="W66" s="25">
        <f>V66/3</f>
        <v>16.040679162355733</v>
      </c>
      <c r="X66" s="25">
        <f>(W66*2)/10</f>
        <v>3.2081358324711466</v>
      </c>
      <c r="Y66" s="50">
        <v>27.104583740234375</v>
      </c>
    </row>
    <row r="67" spans="1:25" x14ac:dyDescent="0.15">
      <c r="A67" s="31" t="s">
        <v>20575</v>
      </c>
      <c r="B67" s="31" t="s">
        <v>601</v>
      </c>
      <c r="C67" s="32" t="s">
        <v>603</v>
      </c>
      <c r="D67" s="32">
        <v>9</v>
      </c>
      <c r="E67" s="32">
        <v>6</v>
      </c>
      <c r="F67" s="34">
        <v>390724</v>
      </c>
      <c r="G67" s="35">
        <v>106637</v>
      </c>
      <c r="H67" s="35">
        <v>101308</v>
      </c>
      <c r="I67" s="35">
        <v>1214</v>
      </c>
      <c r="J67" s="35">
        <v>65127</v>
      </c>
      <c r="K67" s="35">
        <v>2081</v>
      </c>
      <c r="L67" s="36">
        <f>J67+K67</f>
        <v>67208</v>
      </c>
      <c r="M67" s="35">
        <v>1213</v>
      </c>
      <c r="N67" s="35">
        <v>14076</v>
      </c>
      <c r="O67" s="37">
        <v>99068</v>
      </c>
      <c r="P67" s="33">
        <v>409994</v>
      </c>
      <c r="Q67" s="33">
        <v>6910</v>
      </c>
      <c r="R67" s="33">
        <v>80</v>
      </c>
      <c r="S67" s="25">
        <f>Q67/P67*1000</f>
        <v>16.853905179100181</v>
      </c>
      <c r="T67" s="25">
        <f>R67/P67*100000</f>
        <v>19.512480670448838</v>
      </c>
      <c r="U67" s="25">
        <f>D67/F67*1000000</f>
        <v>23.034162221926476</v>
      </c>
      <c r="V67" s="25">
        <f>E67/G67*1000000</f>
        <v>56.265648883595752</v>
      </c>
      <c r="W67" s="25">
        <f>V67/3</f>
        <v>18.755216294531916</v>
      </c>
      <c r="X67" s="25">
        <f>(W67*2)/10</f>
        <v>3.7510432589063831</v>
      </c>
      <c r="Y67" s="50">
        <v>51.889305114746094</v>
      </c>
    </row>
    <row r="68" spans="1:25" x14ac:dyDescent="0.15">
      <c r="A68" s="31" t="s">
        <v>1095</v>
      </c>
      <c r="B68" s="31" t="s">
        <v>1094</v>
      </c>
      <c r="C68" s="32" t="s">
        <v>1096</v>
      </c>
      <c r="D68" s="32">
        <v>35</v>
      </c>
      <c r="E68" s="32">
        <v>16</v>
      </c>
      <c r="F68" s="34">
        <v>579999</v>
      </c>
      <c r="G68" s="35">
        <v>85744</v>
      </c>
      <c r="H68" s="35">
        <v>328582</v>
      </c>
      <c r="I68" s="35">
        <v>18208</v>
      </c>
      <c r="J68" s="35">
        <v>23051</v>
      </c>
      <c r="K68" s="36">
        <v>464</v>
      </c>
      <c r="L68" s="36">
        <f>J68+K68</f>
        <v>23515</v>
      </c>
      <c r="M68" s="36">
        <v>700</v>
      </c>
      <c r="N68" s="35">
        <v>23212</v>
      </c>
      <c r="O68" s="37">
        <v>100038</v>
      </c>
      <c r="P68" s="33">
        <v>617975</v>
      </c>
      <c r="Q68" s="33">
        <v>4782</v>
      </c>
      <c r="R68" s="33">
        <v>45</v>
      </c>
      <c r="S68" s="25">
        <f>Q68/P68*1000</f>
        <v>7.7381771107245436</v>
      </c>
      <c r="T68" s="25">
        <f>R68/P68*100000</f>
        <v>7.281847971196246</v>
      </c>
      <c r="U68" s="25">
        <f>D68/F68*1000000</f>
        <v>60.344931629192459</v>
      </c>
      <c r="V68" s="25">
        <f>E68/G68*1000000</f>
        <v>186.60197798096661</v>
      </c>
      <c r="W68" s="25">
        <f>V68/3</f>
        <v>62.20065932698887</v>
      </c>
      <c r="X68" s="25">
        <f>(W68*2)/10</f>
        <v>12.440131865397774</v>
      </c>
      <c r="Y68" s="50">
        <v>46.731357574462891</v>
      </c>
    </row>
    <row r="69" spans="1:25" x14ac:dyDescent="0.15">
      <c r="A69" s="31" t="s">
        <v>20582</v>
      </c>
      <c r="B69" s="31" t="s">
        <v>1627</v>
      </c>
      <c r="C69" s="32" t="s">
        <v>2253</v>
      </c>
      <c r="D69" s="32">
        <v>15</v>
      </c>
      <c r="E69" s="32">
        <v>4</v>
      </c>
      <c r="F69" s="34">
        <v>408958</v>
      </c>
      <c r="G69" s="35">
        <v>55128</v>
      </c>
      <c r="H69" s="35">
        <v>278172</v>
      </c>
      <c r="I69" s="35">
        <v>2263</v>
      </c>
      <c r="J69" s="35">
        <v>9889</v>
      </c>
      <c r="K69" s="36">
        <v>253</v>
      </c>
      <c r="L69" s="36">
        <f>J69+K69</f>
        <v>10142</v>
      </c>
      <c r="M69" s="36">
        <v>806</v>
      </c>
      <c r="N69" s="35">
        <v>8894</v>
      </c>
      <c r="O69" s="37">
        <v>53553</v>
      </c>
      <c r="P69" s="33">
        <v>438465</v>
      </c>
      <c r="Q69" s="33">
        <v>2458</v>
      </c>
      <c r="R69" s="33">
        <v>32</v>
      </c>
      <c r="S69" s="25">
        <f>Q69/P69*1000</f>
        <v>5.6059206550123726</v>
      </c>
      <c r="T69" s="25">
        <f>R69/P69*100000</f>
        <v>7.2981879967614294</v>
      </c>
      <c r="U69" s="25">
        <f>D69/F69*1000000</f>
        <v>36.678583130786045</v>
      </c>
      <c r="V69" s="25">
        <f>E69/G69*1000000</f>
        <v>72.558409519663329</v>
      </c>
      <c r="W69" s="25">
        <f>V69/3</f>
        <v>24.186136506554444</v>
      </c>
      <c r="X69" s="25">
        <f>(W69*2)/10</f>
        <v>4.8372273013108886</v>
      </c>
      <c r="Y69" s="50">
        <v>58.031440734863281</v>
      </c>
    </row>
    <row r="70" spans="1:25" x14ac:dyDescent="0.15">
      <c r="A70" s="31" t="s">
        <v>20581</v>
      </c>
      <c r="B70" s="31" t="s">
        <v>1060</v>
      </c>
      <c r="C70" s="32" t="s">
        <v>1062</v>
      </c>
      <c r="D70" s="32">
        <v>15</v>
      </c>
      <c r="E70" s="32">
        <v>7</v>
      </c>
      <c r="F70" s="34">
        <v>238300</v>
      </c>
      <c r="G70" s="35">
        <v>63584</v>
      </c>
      <c r="H70" s="35">
        <v>98533</v>
      </c>
      <c r="I70" s="36">
        <v>483</v>
      </c>
      <c r="J70" s="35">
        <v>8756</v>
      </c>
      <c r="K70" s="36">
        <v>130</v>
      </c>
      <c r="L70" s="36">
        <f>J70+K70</f>
        <v>8886</v>
      </c>
      <c r="M70" s="35">
        <v>1688</v>
      </c>
      <c r="N70" s="35">
        <v>4643</v>
      </c>
      <c r="O70" s="37">
        <v>60483</v>
      </c>
      <c r="P70" s="33">
        <v>259675</v>
      </c>
      <c r="Q70" s="33">
        <v>2340</v>
      </c>
      <c r="R70" s="33">
        <v>15</v>
      </c>
      <c r="S70" s="25">
        <f>Q70/P70*1000</f>
        <v>9.0112640801001263</v>
      </c>
      <c r="T70" s="25">
        <f>R70/P70*100000</f>
        <v>5.7764513333975156</v>
      </c>
      <c r="U70" s="25">
        <f>D70/F70*1000000</f>
        <v>62.945866554762894</v>
      </c>
      <c r="V70" s="25">
        <f>E70/G70*1000000</f>
        <v>110.09058882737796</v>
      </c>
      <c r="W70" s="25">
        <f>V70/3</f>
        <v>36.696862942459319</v>
      </c>
      <c r="X70" s="25">
        <f>(W70*2)/10</f>
        <v>7.3393725884918641</v>
      </c>
      <c r="Y70" s="50">
        <v>60.988384246826172</v>
      </c>
    </row>
    <row r="71" spans="1:25" x14ac:dyDescent="0.15">
      <c r="A71" s="31" t="s">
        <v>20598</v>
      </c>
      <c r="B71" s="31" t="s">
        <v>1100</v>
      </c>
      <c r="C71" s="32" t="s">
        <v>1101</v>
      </c>
      <c r="D71" s="32">
        <v>27</v>
      </c>
      <c r="E71" s="32">
        <v>14</v>
      </c>
      <c r="F71" s="34">
        <v>1526006</v>
      </c>
      <c r="G71" s="35">
        <v>644287</v>
      </c>
      <c r="H71" s="35">
        <v>562585</v>
      </c>
      <c r="I71" s="35">
        <v>3498</v>
      </c>
      <c r="J71" s="35">
        <v>95521</v>
      </c>
      <c r="K71" s="36">
        <v>457</v>
      </c>
      <c r="L71" s="36">
        <f>J71+K71</f>
        <v>95978</v>
      </c>
      <c r="M71" s="35">
        <v>4105</v>
      </c>
      <c r="N71" s="35">
        <v>27942</v>
      </c>
      <c r="O71" s="37">
        <v>187611</v>
      </c>
      <c r="P71" s="33">
        <v>1559062</v>
      </c>
      <c r="Q71" s="33">
        <v>15925</v>
      </c>
      <c r="R71" s="33">
        <v>248</v>
      </c>
      <c r="S71" s="25">
        <f>Q71/P71*1000</f>
        <v>10.214475113882578</v>
      </c>
      <c r="T71" s="25">
        <f>R71/P71*100000</f>
        <v>15.907000491321064</v>
      </c>
      <c r="U71" s="25">
        <f>D71/F71*1000000</f>
        <v>17.693246291298987</v>
      </c>
      <c r="V71" s="25">
        <f>E71/G71*1000000</f>
        <v>21.729446659640811</v>
      </c>
      <c r="W71" s="25">
        <f>V71/3</f>
        <v>7.2431488865469369</v>
      </c>
      <c r="X71" s="25">
        <f>(W71*2)/10</f>
        <v>1.4486297773093875</v>
      </c>
      <c r="Y71" s="50">
        <v>73.347763061523438</v>
      </c>
    </row>
    <row r="72" spans="1:25" x14ac:dyDescent="0.15">
      <c r="A72" s="31" t="s">
        <v>20578</v>
      </c>
      <c r="B72" s="31" t="s">
        <v>632</v>
      </c>
      <c r="C72" s="32" t="s">
        <v>634</v>
      </c>
      <c r="D72" s="32">
        <v>70</v>
      </c>
      <c r="E72" s="32">
        <v>8</v>
      </c>
      <c r="F72" s="34">
        <v>1445632</v>
      </c>
      <c r="G72" s="35">
        <v>86788</v>
      </c>
      <c r="H72" s="35">
        <v>672573</v>
      </c>
      <c r="I72" s="35">
        <v>23327</v>
      </c>
      <c r="J72" s="35">
        <v>43894</v>
      </c>
      <c r="K72" s="35">
        <v>2055</v>
      </c>
      <c r="L72" s="36">
        <f>J72+K72</f>
        <v>45949</v>
      </c>
      <c r="M72" s="35">
        <v>2242</v>
      </c>
      <c r="N72" s="35">
        <v>24876</v>
      </c>
      <c r="O72" s="37">
        <v>589877</v>
      </c>
      <c r="P72" s="33">
        <v>1529852</v>
      </c>
      <c r="Q72" s="33">
        <v>8749</v>
      </c>
      <c r="R72" s="33">
        <v>114</v>
      </c>
      <c r="S72" s="25">
        <f>Q72/P72*1000</f>
        <v>5.7188538499148942</v>
      </c>
      <c r="T72" s="25">
        <f>R72/P72*100000</f>
        <v>7.4517012103131544</v>
      </c>
      <c r="U72" s="25">
        <f>D72/F72*1000000</f>
        <v>48.421728351336995</v>
      </c>
      <c r="V72" s="25">
        <f>E72/G72*1000000</f>
        <v>92.178642208600266</v>
      </c>
      <c r="W72" s="25">
        <f>V72/3</f>
        <v>30.726214069533423</v>
      </c>
      <c r="X72" s="25">
        <f>(W72*2)/10</f>
        <v>6.1452428139066848</v>
      </c>
      <c r="Y72" s="50">
        <v>49.885498046875</v>
      </c>
    </row>
    <row r="73" spans="1:25" x14ac:dyDescent="0.15">
      <c r="A73" s="31" t="s">
        <v>20598</v>
      </c>
      <c r="B73" s="31" t="s">
        <v>1633</v>
      </c>
      <c r="C73" s="32" t="s">
        <v>1636</v>
      </c>
      <c r="D73" s="32">
        <v>5</v>
      </c>
      <c r="E73" s="32">
        <v>4</v>
      </c>
      <c r="F73" s="34">
        <v>305704</v>
      </c>
      <c r="G73" s="35">
        <v>78847</v>
      </c>
      <c r="H73" s="35">
        <v>198186</v>
      </c>
      <c r="I73" s="36">
        <v>505</v>
      </c>
      <c r="J73" s="35">
        <v>13393</v>
      </c>
      <c r="K73" s="36">
        <v>76</v>
      </c>
      <c r="L73" s="36">
        <f>J73+K73</f>
        <v>13469</v>
      </c>
      <c r="M73" s="36">
        <v>843</v>
      </c>
      <c r="N73" s="35">
        <v>6890</v>
      </c>
      <c r="O73" s="37">
        <v>6964</v>
      </c>
      <c r="P73" s="33">
        <v>307613</v>
      </c>
      <c r="Q73" s="33">
        <v>2455</v>
      </c>
      <c r="R73" s="33">
        <v>69</v>
      </c>
      <c r="S73" s="25">
        <f>Q73/P73*1000</f>
        <v>7.9808070530179158</v>
      </c>
      <c r="T73" s="25">
        <f>R73/P73*100000</f>
        <v>22.430781533940372</v>
      </c>
      <c r="U73" s="25">
        <f>D73/F73*1000000</f>
        <v>16.355690471828957</v>
      </c>
      <c r="V73" s="25">
        <f>E73/G73*1000000</f>
        <v>50.731162885081233</v>
      </c>
      <c r="W73" s="25">
        <f>V73/3</f>
        <v>16.910387628360411</v>
      </c>
      <c r="X73" s="25">
        <f>(W73*2)/10</f>
        <v>3.3820775256720821</v>
      </c>
      <c r="Y73" s="50">
        <v>56.552970886230469</v>
      </c>
    </row>
    <row r="74" spans="1:25" x14ac:dyDescent="0.15">
      <c r="A74" s="31" t="s">
        <v>20580</v>
      </c>
      <c r="B74" s="31" t="s">
        <v>21223</v>
      </c>
      <c r="C74" s="32" t="s">
        <v>21224</v>
      </c>
      <c r="D74" s="32">
        <v>1</v>
      </c>
      <c r="E74" s="32">
        <v>0</v>
      </c>
      <c r="F74" s="34">
        <v>259841</v>
      </c>
      <c r="G74" s="35">
        <v>19199</v>
      </c>
      <c r="H74" s="35">
        <v>151629</v>
      </c>
      <c r="I74" s="36">
        <v>831</v>
      </c>
      <c r="J74" s="35">
        <v>43659</v>
      </c>
      <c r="K74" s="36">
        <v>121</v>
      </c>
      <c r="L74" s="36">
        <f>J74+K74</f>
        <v>43780</v>
      </c>
      <c r="M74" s="36">
        <v>449</v>
      </c>
      <c r="N74" s="35">
        <v>5779</v>
      </c>
      <c r="O74" s="37">
        <v>38174</v>
      </c>
      <c r="P74" s="33">
        <v>277822</v>
      </c>
      <c r="Q74" s="33">
        <v>459</v>
      </c>
      <c r="R74" s="33">
        <v>4</v>
      </c>
      <c r="S74" s="25">
        <f>Q74/P74*1000</f>
        <v>1.6521369797928169</v>
      </c>
      <c r="T74" s="25">
        <f>R74/P74*100000</f>
        <v>1.4397707884904725</v>
      </c>
      <c r="U74" s="25">
        <f>D74/F74*1000000</f>
        <v>3.8485073564218117</v>
      </c>
      <c r="V74" s="25">
        <f>E74/G74*1000000</f>
        <v>0</v>
      </c>
      <c r="W74" s="25">
        <f>V74/3</f>
        <v>0</v>
      </c>
      <c r="X74" s="25">
        <f>(W74*2)/10</f>
        <v>0</v>
      </c>
      <c r="Y74" s="50">
        <v>26.404220581054688</v>
      </c>
    </row>
    <row r="75" spans="1:25" x14ac:dyDescent="0.15">
      <c r="A75" s="31" t="s">
        <v>20587</v>
      </c>
      <c r="B75" s="31" t="s">
        <v>1561</v>
      </c>
      <c r="C75" s="32" t="s">
        <v>17750</v>
      </c>
      <c r="D75" s="32">
        <v>10</v>
      </c>
      <c r="E75" s="32">
        <v>2</v>
      </c>
      <c r="F75" s="34">
        <v>583776</v>
      </c>
      <c r="G75" s="35">
        <v>35462</v>
      </c>
      <c r="H75" s="35">
        <v>421773</v>
      </c>
      <c r="I75" s="35">
        <v>4381</v>
      </c>
      <c r="J75" s="35">
        <v>41335</v>
      </c>
      <c r="K75" s="35">
        <v>2978</v>
      </c>
      <c r="L75" s="36">
        <f>J75+K75</f>
        <v>44313</v>
      </c>
      <c r="M75" s="35">
        <v>1299</v>
      </c>
      <c r="N75" s="35">
        <v>21708</v>
      </c>
      <c r="O75" s="37">
        <v>54840</v>
      </c>
      <c r="P75" s="33">
        <v>615672</v>
      </c>
      <c r="Q75" s="33">
        <v>2911</v>
      </c>
      <c r="R75" s="33">
        <v>26</v>
      </c>
      <c r="S75" s="25">
        <f>Q75/P75*1000</f>
        <v>4.7281669460362012</v>
      </c>
      <c r="T75" s="25">
        <f>R75/P75*100000</f>
        <v>4.2230278459959196</v>
      </c>
      <c r="U75" s="25">
        <f>D75/F75*1000000</f>
        <v>17.129858027736663</v>
      </c>
      <c r="V75" s="25">
        <f>E75/G75*1000000</f>
        <v>56.398398285488696</v>
      </c>
      <c r="W75" s="25">
        <f>V75/3</f>
        <v>18.799466095162899</v>
      </c>
      <c r="X75" s="25">
        <f>(W75*2)/10</f>
        <v>3.7598932190325796</v>
      </c>
      <c r="Y75" s="50">
        <v>38.6396484375</v>
      </c>
    </row>
    <row r="76" spans="1:25" x14ac:dyDescent="0.15">
      <c r="A76" s="31" t="s">
        <v>20595</v>
      </c>
      <c r="B76" s="31" t="s">
        <v>151</v>
      </c>
      <c r="C76" s="32" t="s">
        <v>17337</v>
      </c>
      <c r="D76" s="32">
        <v>4</v>
      </c>
      <c r="E76" s="32">
        <v>3</v>
      </c>
      <c r="F76" s="34">
        <v>403892</v>
      </c>
      <c r="G76" s="35">
        <v>115976</v>
      </c>
      <c r="H76" s="35">
        <v>215204</v>
      </c>
      <c r="I76" s="35">
        <v>1019</v>
      </c>
      <c r="J76" s="35">
        <v>17309</v>
      </c>
      <c r="K76" s="36">
        <v>139</v>
      </c>
      <c r="L76" s="36">
        <f>J76+K76</f>
        <v>17448</v>
      </c>
      <c r="M76" s="36">
        <v>828</v>
      </c>
      <c r="N76" s="35">
        <v>7549</v>
      </c>
      <c r="O76" s="37">
        <v>45868</v>
      </c>
      <c r="P76" s="39">
        <v>428993</v>
      </c>
      <c r="Q76" s="33">
        <v>1683</v>
      </c>
      <c r="R76" s="33">
        <v>12</v>
      </c>
      <c r="S76" s="25">
        <f>Q76/P76*1000</f>
        <v>3.9231409370316062</v>
      </c>
      <c r="T76" s="25">
        <f>R76/P76*100000</f>
        <v>2.7972484399512347</v>
      </c>
      <c r="U76" s="25">
        <f>D76/F76*1000000</f>
        <v>9.9036376060927189</v>
      </c>
      <c r="V76" s="25">
        <f>E76/G76*1000000</f>
        <v>25.867420845692212</v>
      </c>
      <c r="W76" s="25">
        <f>V76/3</f>
        <v>8.6224736152307369</v>
      </c>
      <c r="X76" s="25">
        <f>(W76*2)/10</f>
        <v>1.7244947230461474</v>
      </c>
      <c r="Y76" s="50">
        <v>50.263767242431641</v>
      </c>
    </row>
    <row r="77" spans="1:25" x14ac:dyDescent="0.15">
      <c r="A77" s="31" t="s">
        <v>20586</v>
      </c>
      <c r="B77" s="31" t="s">
        <v>1611</v>
      </c>
      <c r="C77" s="32" t="s">
        <v>7469</v>
      </c>
      <c r="D77" s="32">
        <v>10</v>
      </c>
      <c r="E77" s="32">
        <v>3</v>
      </c>
      <c r="F77" s="34">
        <v>225221</v>
      </c>
      <c r="G77" s="35">
        <v>5990</v>
      </c>
      <c r="H77" s="35">
        <v>140752</v>
      </c>
      <c r="I77" s="35">
        <v>2066</v>
      </c>
      <c r="J77" s="35">
        <v>13913</v>
      </c>
      <c r="K77" s="35">
        <v>1505</v>
      </c>
      <c r="L77" s="36">
        <f>J77+K77</f>
        <v>15418</v>
      </c>
      <c r="M77" s="36">
        <v>441</v>
      </c>
      <c r="N77" s="35">
        <v>5914</v>
      </c>
      <c r="O77" s="37">
        <v>54640</v>
      </c>
      <c r="P77" s="33">
        <v>235055</v>
      </c>
      <c r="Q77" s="33">
        <v>1147</v>
      </c>
      <c r="R77" s="33">
        <v>15</v>
      </c>
      <c r="S77" s="25">
        <f>Q77/P77*1000</f>
        <v>4.8797090042755951</v>
      </c>
      <c r="T77" s="25">
        <f>R77/P77*100000</f>
        <v>6.3814851843185636</v>
      </c>
      <c r="U77" s="25">
        <f>D77/F77*1000000</f>
        <v>44.400832959626321</v>
      </c>
      <c r="V77" s="25">
        <f>E77/G77*1000000</f>
        <v>500.83472454090145</v>
      </c>
      <c r="W77" s="25">
        <f>V77/3</f>
        <v>166.94490818030047</v>
      </c>
      <c r="X77" s="25">
        <f>(W77*2)/10</f>
        <v>33.388981636060095</v>
      </c>
      <c r="Y77" s="50">
        <v>32.082550048828125</v>
      </c>
    </row>
    <row r="78" spans="1:25" x14ac:dyDescent="0.15">
      <c r="A78" s="31" t="s">
        <v>20575</v>
      </c>
      <c r="B78" s="31" t="s">
        <v>783</v>
      </c>
      <c r="C78" s="32" t="s">
        <v>5936</v>
      </c>
      <c r="D78" s="32">
        <v>6</v>
      </c>
      <c r="E78" s="32">
        <v>2</v>
      </c>
      <c r="F78" s="34">
        <v>303871</v>
      </c>
      <c r="G78" s="35">
        <v>19917</v>
      </c>
      <c r="H78" s="35">
        <v>103398</v>
      </c>
      <c r="I78" s="35">
        <v>1297</v>
      </c>
      <c r="J78" s="35">
        <v>21934</v>
      </c>
      <c r="K78" s="35">
        <v>1019</v>
      </c>
      <c r="L78" s="36">
        <f>J78+K78</f>
        <v>22953</v>
      </c>
      <c r="M78" s="36">
        <v>617</v>
      </c>
      <c r="N78" s="35">
        <v>6736</v>
      </c>
      <c r="O78" s="37">
        <v>148953</v>
      </c>
      <c r="P78" s="33">
        <v>319453</v>
      </c>
      <c r="Q78" s="33">
        <v>1384</v>
      </c>
      <c r="R78" s="33">
        <v>12</v>
      </c>
      <c r="S78" s="25">
        <f>Q78/P78*1000</f>
        <v>4.3324057060037005</v>
      </c>
      <c r="T78" s="25">
        <f>R78/P78*100000</f>
        <v>3.7564211323731507</v>
      </c>
      <c r="U78" s="25">
        <f>D78/F78*1000000</f>
        <v>19.745220833840676</v>
      </c>
      <c r="V78" s="25">
        <f>E78/G78*1000000</f>
        <v>100.41672942712255</v>
      </c>
      <c r="W78" s="25">
        <f>V78/3</f>
        <v>33.472243142374182</v>
      </c>
      <c r="X78" s="25">
        <f>(W78*2)/10</f>
        <v>6.6944486284748361</v>
      </c>
      <c r="Y78" s="50">
        <v>25.409904479980469</v>
      </c>
    </row>
    <row r="79" spans="1:25" x14ac:dyDescent="0.15">
      <c r="A79" s="31" t="s">
        <v>754</v>
      </c>
      <c r="B79" s="31" t="s">
        <v>2003</v>
      </c>
      <c r="C79" s="32" t="s">
        <v>2016</v>
      </c>
      <c r="D79" s="32">
        <v>3</v>
      </c>
      <c r="E79" s="32">
        <v>2</v>
      </c>
      <c r="F79" s="34">
        <v>210565</v>
      </c>
      <c r="G79" s="35">
        <v>83346</v>
      </c>
      <c r="H79" s="35">
        <v>79178</v>
      </c>
      <c r="I79" s="36">
        <v>666</v>
      </c>
      <c r="J79" s="35">
        <v>6350</v>
      </c>
      <c r="K79" s="36">
        <v>77</v>
      </c>
      <c r="L79" s="36">
        <f>J79+K79</f>
        <v>6427</v>
      </c>
      <c r="M79" s="36">
        <v>392</v>
      </c>
      <c r="N79" s="35">
        <v>6100</v>
      </c>
      <c r="O79" s="37">
        <v>34456</v>
      </c>
      <c r="P79" s="33">
        <v>210347</v>
      </c>
      <c r="Q79" s="33">
        <v>1765</v>
      </c>
      <c r="R79" s="33">
        <v>27</v>
      </c>
      <c r="S79" s="25">
        <f>Q79/P79*1000</f>
        <v>8.3908969464741592</v>
      </c>
      <c r="T79" s="25">
        <f>R79/P79*100000</f>
        <v>12.835933005937809</v>
      </c>
      <c r="U79" s="25">
        <f>D79/F79*1000000</f>
        <v>14.247382043549498</v>
      </c>
      <c r="V79" s="25">
        <f>E79/G79*1000000</f>
        <v>23.996352554411729</v>
      </c>
      <c r="W79" s="25">
        <f>V79/3</f>
        <v>7.9987841848039096</v>
      </c>
      <c r="X79" s="25">
        <f>(W79*2)/10</f>
        <v>1.599756836960782</v>
      </c>
      <c r="Y79" s="50">
        <v>51.594287872314453</v>
      </c>
    </row>
    <row r="80" spans="1:25" x14ac:dyDescent="0.15">
      <c r="A80" s="31" t="s">
        <v>20575</v>
      </c>
      <c r="B80" s="31" t="s">
        <v>1642</v>
      </c>
      <c r="C80" s="32" t="s">
        <v>2323</v>
      </c>
      <c r="D80" s="32">
        <v>9</v>
      </c>
      <c r="E80" s="32">
        <v>2</v>
      </c>
      <c r="F80" s="34">
        <v>466488</v>
      </c>
      <c r="G80" s="35">
        <v>64967</v>
      </c>
      <c r="H80" s="35">
        <v>161062</v>
      </c>
      <c r="I80" s="35">
        <v>2586</v>
      </c>
      <c r="J80" s="35">
        <v>83841</v>
      </c>
      <c r="K80" s="35">
        <v>6392</v>
      </c>
      <c r="L80" s="36">
        <f>J80+K80</f>
        <v>90233</v>
      </c>
      <c r="M80" s="35">
        <v>1253</v>
      </c>
      <c r="N80" s="35">
        <v>21111</v>
      </c>
      <c r="O80" s="37">
        <v>125276</v>
      </c>
      <c r="P80" s="33">
        <v>482767</v>
      </c>
      <c r="Q80" s="33">
        <v>2968</v>
      </c>
      <c r="R80" s="33">
        <v>28</v>
      </c>
      <c r="S80" s="25">
        <f>Q80/P80*1000</f>
        <v>6.1478932901378922</v>
      </c>
      <c r="T80" s="25">
        <f>R80/P80*100000</f>
        <v>5.799899330318766</v>
      </c>
      <c r="U80" s="25">
        <f>D80/F80*1000000</f>
        <v>19.293100787158512</v>
      </c>
      <c r="V80" s="25">
        <f>E80/G80*1000000</f>
        <v>30.784860005849122</v>
      </c>
      <c r="W80" s="25">
        <f>V80/3</f>
        <v>10.261620001949707</v>
      </c>
      <c r="X80" s="25">
        <f>(W80*2)/10</f>
        <v>2.0523240003899414</v>
      </c>
      <c r="Y80" s="50">
        <v>40.570213317871094</v>
      </c>
    </row>
    <row r="81" spans="1:25" x14ac:dyDescent="0.15">
      <c r="A81" s="31" t="s">
        <v>20580</v>
      </c>
      <c r="B81" s="31" t="s">
        <v>575</v>
      </c>
      <c r="C81" s="32" t="s">
        <v>577</v>
      </c>
      <c r="D81" s="32">
        <v>31</v>
      </c>
      <c r="E81" s="32">
        <v>7</v>
      </c>
      <c r="F81" s="34">
        <v>1327407</v>
      </c>
      <c r="G81" s="35">
        <v>83365</v>
      </c>
      <c r="H81" s="35">
        <v>353106</v>
      </c>
      <c r="I81" s="35">
        <v>2771</v>
      </c>
      <c r="J81" s="35">
        <v>30596</v>
      </c>
      <c r="K81" s="35">
        <v>1097</v>
      </c>
      <c r="L81" s="36">
        <f>J81+K81</f>
        <v>31693</v>
      </c>
      <c r="M81" s="35">
        <v>2105</v>
      </c>
      <c r="N81" s="35">
        <v>15415</v>
      </c>
      <c r="O81" s="37">
        <v>838952</v>
      </c>
      <c r="P81" s="33">
        <v>1428465</v>
      </c>
      <c r="Q81" s="33">
        <v>7704</v>
      </c>
      <c r="R81" s="33">
        <v>103</v>
      </c>
      <c r="S81" s="25">
        <f>Q81/P81*1000</f>
        <v>5.3932017935336187</v>
      </c>
      <c r="T81" s="25">
        <f>R81/P81*100000</f>
        <v>7.210537185020284</v>
      </c>
      <c r="U81" s="25">
        <f>D81/F81*1000000</f>
        <v>23.353801810597655</v>
      </c>
      <c r="V81" s="25">
        <f>E81/G81*1000000</f>
        <v>83.968092124992495</v>
      </c>
      <c r="W81" s="25">
        <f>V81/3</f>
        <v>27.989364041664164</v>
      </c>
      <c r="X81" s="25">
        <f>(W81*2)/10</f>
        <v>5.5978728083328324</v>
      </c>
      <c r="Y81" s="50">
        <v>43.077556610107422</v>
      </c>
    </row>
    <row r="82" spans="1:25" x14ac:dyDescent="0.15">
      <c r="A82" s="31" t="s">
        <v>20575</v>
      </c>
      <c r="B82" s="31" t="s">
        <v>309</v>
      </c>
      <c r="C82" s="32" t="s">
        <v>4320</v>
      </c>
      <c r="D82" s="32">
        <v>9</v>
      </c>
      <c r="E82" s="32">
        <v>0</v>
      </c>
      <c r="F82" s="34">
        <v>209924</v>
      </c>
      <c r="G82" s="35">
        <v>29897</v>
      </c>
      <c r="H82" s="35">
        <v>39977</v>
      </c>
      <c r="I82" s="36">
        <v>867</v>
      </c>
      <c r="J82" s="35">
        <v>8027</v>
      </c>
      <c r="K82" s="36">
        <v>704</v>
      </c>
      <c r="L82" s="36">
        <f>J82+K82</f>
        <v>8731</v>
      </c>
      <c r="M82" s="36">
        <v>361</v>
      </c>
      <c r="N82" s="35">
        <v>4097</v>
      </c>
      <c r="O82" s="37">
        <v>125994</v>
      </c>
      <c r="P82" s="38">
        <v>214588</v>
      </c>
      <c r="Q82" s="33">
        <v>2128</v>
      </c>
      <c r="R82" s="33">
        <v>43</v>
      </c>
      <c r="S82" s="25">
        <f>Q82/P82*1000</f>
        <v>9.9166775402166003</v>
      </c>
      <c r="T82" s="25">
        <f>R82/P82*100000</f>
        <v>20.038399164911365</v>
      </c>
      <c r="U82" s="25">
        <f>D82/F82*1000000</f>
        <v>42.872658676473392</v>
      </c>
      <c r="V82" s="25">
        <f>E82/G82*1000000</f>
        <v>0</v>
      </c>
      <c r="W82" s="25">
        <f>V82/3</f>
        <v>0</v>
      </c>
      <c r="X82" s="25">
        <f>(W82*2)/10</f>
        <v>0</v>
      </c>
      <c r="Y82" s="50">
        <v>33.098663330078125</v>
      </c>
    </row>
    <row r="83" spans="1:25" x14ac:dyDescent="0.15">
      <c r="A83" s="31" t="s">
        <v>20575</v>
      </c>
      <c r="B83" s="31" t="s">
        <v>156</v>
      </c>
      <c r="C83" s="32" t="s">
        <v>157</v>
      </c>
      <c r="D83" s="32">
        <v>23</v>
      </c>
      <c r="E83" s="32">
        <v>1</v>
      </c>
      <c r="F83" s="34">
        <v>1307402</v>
      </c>
      <c r="G83" s="35">
        <v>82497</v>
      </c>
      <c r="H83" s="35">
        <v>589702</v>
      </c>
      <c r="I83" s="35">
        <v>3545</v>
      </c>
      <c r="J83" s="35">
        <v>204347</v>
      </c>
      <c r="K83" s="35">
        <v>5178</v>
      </c>
      <c r="L83" s="36">
        <f>J83+K83</f>
        <v>209525</v>
      </c>
      <c r="M83" s="35">
        <v>3293</v>
      </c>
      <c r="N83" s="35">
        <v>42820</v>
      </c>
      <c r="O83" s="37">
        <v>376020</v>
      </c>
      <c r="P83" s="33">
        <v>1368690</v>
      </c>
      <c r="Q83" s="33">
        <v>5214</v>
      </c>
      <c r="R83" s="33">
        <v>32</v>
      </c>
      <c r="S83" s="25">
        <f>Q83/P83*1000</f>
        <v>3.8094820594875394</v>
      </c>
      <c r="T83" s="25">
        <f>R83/P83*100000</f>
        <v>2.3380020311392649</v>
      </c>
      <c r="U83" s="25">
        <f>D83/F83*1000000</f>
        <v>17.592140749364006</v>
      </c>
      <c r="V83" s="25">
        <f>E83/G83*1000000</f>
        <v>12.121652908590615</v>
      </c>
      <c r="W83" s="25">
        <f>V83/3</f>
        <v>4.0405509695302051</v>
      </c>
      <c r="X83" s="25">
        <f>(W83*2)/10</f>
        <v>0.808110193906041</v>
      </c>
      <c r="Y83" s="50">
        <v>54.567657470703125</v>
      </c>
    </row>
    <row r="84" spans="1:25" x14ac:dyDescent="0.15">
      <c r="A84" s="31" t="s">
        <v>20575</v>
      </c>
      <c r="B84" s="31" t="s">
        <v>945</v>
      </c>
      <c r="C84" s="32" t="s">
        <v>946</v>
      </c>
      <c r="D84" s="32">
        <v>16</v>
      </c>
      <c r="E84" s="32">
        <v>3</v>
      </c>
      <c r="F84" s="34">
        <v>805235</v>
      </c>
      <c r="G84" s="35">
        <v>46781</v>
      </c>
      <c r="H84" s="35">
        <v>337451</v>
      </c>
      <c r="I84" s="35">
        <v>1828</v>
      </c>
      <c r="J84" s="35">
        <v>265700</v>
      </c>
      <c r="K84" s="35">
        <v>3128</v>
      </c>
      <c r="L84" s="36">
        <f>J84+K84</f>
        <v>268828</v>
      </c>
      <c r="M84" s="35">
        <v>2494</v>
      </c>
      <c r="N84" s="35">
        <v>26079</v>
      </c>
      <c r="O84" s="37">
        <v>121774</v>
      </c>
      <c r="P84" s="33">
        <v>850294</v>
      </c>
      <c r="Q84" s="33">
        <v>6761</v>
      </c>
      <c r="R84" s="33">
        <v>45</v>
      </c>
      <c r="S84" s="25">
        <f>Q84/P84*1000</f>
        <v>7.951367409390163</v>
      </c>
      <c r="T84" s="25">
        <f>R84/P84*100000</f>
        <v>5.2922871383309769</v>
      </c>
      <c r="U84" s="25">
        <f>D84/F84*1000000</f>
        <v>19.869975845560614</v>
      </c>
      <c r="V84" s="25">
        <f>E84/G84*1000000</f>
        <v>64.128599217631091</v>
      </c>
      <c r="W84" s="25">
        <f>V84/3</f>
        <v>21.376199739210364</v>
      </c>
      <c r="X84" s="25">
        <f>(W84*2)/10</f>
        <v>4.2752399478420724</v>
      </c>
      <c r="Y84" s="50">
        <v>52.759510040283203</v>
      </c>
    </row>
    <row r="85" spans="1:25" x14ac:dyDescent="0.15">
      <c r="A85" s="31" t="s">
        <v>20575</v>
      </c>
      <c r="B85" s="31" t="s">
        <v>606</v>
      </c>
      <c r="C85" s="32" t="s">
        <v>727</v>
      </c>
      <c r="D85" s="32">
        <v>15</v>
      </c>
      <c r="E85" s="32">
        <v>1</v>
      </c>
      <c r="F85" s="34">
        <v>945942</v>
      </c>
      <c r="G85" s="35">
        <v>27508</v>
      </c>
      <c r="H85" s="35">
        <v>271382</v>
      </c>
      <c r="I85" s="35">
        <v>2255</v>
      </c>
      <c r="J85" s="35">
        <v>300022</v>
      </c>
      <c r="K85" s="35">
        <v>3492</v>
      </c>
      <c r="L85" s="36">
        <f>J85+K85</f>
        <v>303514</v>
      </c>
      <c r="M85" s="35">
        <v>1820</v>
      </c>
      <c r="N85" s="35">
        <v>25827</v>
      </c>
      <c r="O85" s="37">
        <v>313636</v>
      </c>
      <c r="P85" s="33">
        <v>1009679</v>
      </c>
      <c r="Q85" s="33">
        <v>3242</v>
      </c>
      <c r="R85" s="33">
        <v>32</v>
      </c>
      <c r="S85" s="25">
        <f>Q85/P85*1000</f>
        <v>3.210921490889679</v>
      </c>
      <c r="T85" s="25">
        <f>R85/P85*100000</f>
        <v>3.1693241119207189</v>
      </c>
      <c r="U85" s="25">
        <f>D85/F85*1000000</f>
        <v>15.857209004357561</v>
      </c>
      <c r="V85" s="25">
        <f>E85/G85*1000000</f>
        <v>36.353060927730112</v>
      </c>
      <c r="W85" s="25">
        <f>V85/3</f>
        <v>12.117686975910038</v>
      </c>
      <c r="X85" s="25">
        <f>(W85*2)/10</f>
        <v>2.4235373951820076</v>
      </c>
      <c r="Y85" s="50">
        <v>36.757720947265625</v>
      </c>
    </row>
    <row r="86" spans="1:25" x14ac:dyDescent="0.15">
      <c r="A86" s="31" t="s">
        <v>20575</v>
      </c>
      <c r="B86" s="31" t="s">
        <v>3690</v>
      </c>
      <c r="C86" s="32" t="s">
        <v>3692</v>
      </c>
      <c r="D86" s="32">
        <v>13</v>
      </c>
      <c r="E86" s="32">
        <v>1</v>
      </c>
      <c r="F86" s="34">
        <v>324528</v>
      </c>
      <c r="G86" s="35">
        <v>3177</v>
      </c>
      <c r="H86" s="35">
        <v>29950</v>
      </c>
      <c r="I86" s="36">
        <v>507</v>
      </c>
      <c r="J86" s="35">
        <v>33618</v>
      </c>
      <c r="K86" s="36">
        <v>826</v>
      </c>
      <c r="L86" s="36">
        <f>J86+K86</f>
        <v>34444</v>
      </c>
      <c r="M86" s="36">
        <v>375</v>
      </c>
      <c r="N86" s="35">
        <v>2147</v>
      </c>
      <c r="O86" s="37">
        <v>253928</v>
      </c>
      <c r="P86" s="33">
        <v>336462</v>
      </c>
      <c r="Q86" s="33">
        <v>1260</v>
      </c>
      <c r="R86" s="33">
        <v>18</v>
      </c>
      <c r="S86" s="25">
        <f>Q86/P86*1000</f>
        <v>3.744850830108601</v>
      </c>
      <c r="T86" s="25">
        <f>R86/P86*100000</f>
        <v>5.3497869001551432</v>
      </c>
      <c r="U86" s="25">
        <f>D86/F86*1000000</f>
        <v>40.058176798303997</v>
      </c>
      <c r="V86" s="25">
        <f>E86/G86*1000000</f>
        <v>314.76235442241108</v>
      </c>
      <c r="W86" s="25">
        <f>V86/3</f>
        <v>104.92078480747035</v>
      </c>
      <c r="X86" s="25">
        <f>(W86*2)/10</f>
        <v>20.984156961494072</v>
      </c>
      <c r="Y86" s="50">
        <v>24.480152130126953</v>
      </c>
    </row>
    <row r="87" spans="1:25" x14ac:dyDescent="0.15">
      <c r="A87" s="31" t="s">
        <v>20578</v>
      </c>
      <c r="B87" s="31" t="s">
        <v>687</v>
      </c>
      <c r="C87" s="32" t="s">
        <v>4878</v>
      </c>
      <c r="D87" s="32">
        <v>6</v>
      </c>
      <c r="E87" s="32">
        <v>1</v>
      </c>
      <c r="F87" s="34">
        <v>217385</v>
      </c>
      <c r="G87" s="35">
        <v>3484</v>
      </c>
      <c r="H87" s="35">
        <v>182011</v>
      </c>
      <c r="I87" s="35">
        <v>1462</v>
      </c>
      <c r="J87" s="35">
        <v>7128</v>
      </c>
      <c r="K87" s="36">
        <v>189</v>
      </c>
      <c r="L87" s="36">
        <f>J87+K87</f>
        <v>7317</v>
      </c>
      <c r="M87" s="36">
        <v>276</v>
      </c>
      <c r="N87" s="35">
        <v>3610</v>
      </c>
      <c r="O87" s="37">
        <v>19225</v>
      </c>
      <c r="P87" s="39">
        <v>225523</v>
      </c>
      <c r="Q87" s="33">
        <v>337</v>
      </c>
      <c r="R87" s="33">
        <v>4</v>
      </c>
      <c r="S87" s="25">
        <f>Q87/P87*1000</f>
        <v>1.4943043503323385</v>
      </c>
      <c r="T87" s="25">
        <f>R87/P87*100000</f>
        <v>1.7736550152312622</v>
      </c>
      <c r="U87" s="25">
        <f>D87/F87*1000000</f>
        <v>27.600800423212274</v>
      </c>
      <c r="V87" s="25">
        <f>E87/G87*1000000</f>
        <v>287.0264064293915</v>
      </c>
      <c r="W87" s="25">
        <f>V87/3</f>
        <v>95.675468809797167</v>
      </c>
      <c r="X87" s="25">
        <f>(W87*2)/10</f>
        <v>19.135093761959432</v>
      </c>
      <c r="Y87" s="50">
        <v>23.463048934936523</v>
      </c>
    </row>
    <row r="88" spans="1:25" x14ac:dyDescent="0.15">
      <c r="A88" s="31" t="s">
        <v>118</v>
      </c>
      <c r="B88" s="31" t="s">
        <v>1208</v>
      </c>
      <c r="C88" s="32" t="s">
        <v>1210</v>
      </c>
      <c r="D88" s="32">
        <v>18</v>
      </c>
      <c r="E88" s="32">
        <v>4</v>
      </c>
      <c r="F88" s="34">
        <v>608660</v>
      </c>
      <c r="G88" s="35">
        <v>47113</v>
      </c>
      <c r="H88" s="35">
        <v>403578</v>
      </c>
      <c r="I88" s="35">
        <v>3881</v>
      </c>
      <c r="J88" s="35">
        <v>83537</v>
      </c>
      <c r="K88" s="35">
        <v>2246</v>
      </c>
      <c r="L88" s="36">
        <f>J88+K88</f>
        <v>85783</v>
      </c>
      <c r="M88" s="35">
        <v>1464</v>
      </c>
      <c r="N88" s="35">
        <v>26512</v>
      </c>
      <c r="O88" s="37">
        <v>40329</v>
      </c>
      <c r="P88" s="33">
        <v>663410</v>
      </c>
      <c r="Q88" s="33">
        <v>4001</v>
      </c>
      <c r="R88" s="33">
        <v>26</v>
      </c>
      <c r="S88" s="25">
        <f>Q88/P88*1000</f>
        <v>6.0309612456851722</v>
      </c>
      <c r="T88" s="25">
        <f>R88/P88*100000</f>
        <v>3.9191450234395018</v>
      </c>
      <c r="U88" s="25">
        <f>D88/F88*1000000</f>
        <v>29.573160713698943</v>
      </c>
      <c r="V88" s="25">
        <f>E88/G88*1000000</f>
        <v>84.90225627746058</v>
      </c>
      <c r="W88" s="25">
        <f>V88/3</f>
        <v>28.30075209248686</v>
      </c>
      <c r="X88" s="25">
        <f>(W88*2)/10</f>
        <v>5.6601504184973717</v>
      </c>
      <c r="Y88" s="50">
        <v>51.675041198730469</v>
      </c>
    </row>
    <row r="89" spans="1:25" x14ac:dyDescent="0.15">
      <c r="A89" s="31" t="s">
        <v>118</v>
      </c>
      <c r="B89" s="31" t="s">
        <v>838</v>
      </c>
      <c r="C89" s="32" t="s">
        <v>839</v>
      </c>
      <c r="D89" s="32">
        <v>9</v>
      </c>
      <c r="E89" s="32">
        <v>1</v>
      </c>
      <c r="F89" s="34">
        <v>208916</v>
      </c>
      <c r="G89" s="35">
        <v>4643</v>
      </c>
      <c r="H89" s="35">
        <v>175482</v>
      </c>
      <c r="I89" s="35">
        <v>3663</v>
      </c>
      <c r="J89" s="35">
        <v>5266</v>
      </c>
      <c r="K89" s="35">
        <v>1152</v>
      </c>
      <c r="L89" s="36">
        <f>J89+K89</f>
        <v>6418</v>
      </c>
      <c r="M89" s="36">
        <v>281</v>
      </c>
      <c r="N89" s="35">
        <v>7962</v>
      </c>
      <c r="O89" s="37">
        <v>10467</v>
      </c>
      <c r="P89" s="33">
        <v>211025</v>
      </c>
      <c r="Q89" s="33">
        <v>1156</v>
      </c>
      <c r="R89" s="33">
        <v>10</v>
      </c>
      <c r="S89" s="25">
        <f>Q89/P89*1000</f>
        <v>5.4780239308138849</v>
      </c>
      <c r="T89" s="25">
        <f>R89/P89*100000</f>
        <v>4.7387750266556097</v>
      </c>
      <c r="U89" s="25">
        <f>D89/F89*1000000</f>
        <v>43.079515211855487</v>
      </c>
      <c r="V89" s="25">
        <f>E89/G89*1000000</f>
        <v>215.37798836958865</v>
      </c>
      <c r="W89" s="25">
        <f>V89/3</f>
        <v>71.792662789862888</v>
      </c>
      <c r="X89" s="25">
        <f>(W89*2)/10</f>
        <v>14.358532557972577</v>
      </c>
      <c r="Y89" s="50">
        <v>21.734701156616211</v>
      </c>
    </row>
    <row r="90" spans="1:25" x14ac:dyDescent="0.15">
      <c r="A90" s="31" t="s">
        <v>20577</v>
      </c>
      <c r="B90" s="31" t="s">
        <v>709</v>
      </c>
      <c r="C90" s="32" t="s">
        <v>4516</v>
      </c>
      <c r="D90" s="32">
        <v>28</v>
      </c>
      <c r="E90" s="32">
        <v>22</v>
      </c>
      <c r="F90" s="34">
        <v>319294</v>
      </c>
      <c r="G90" s="35">
        <v>156389</v>
      </c>
      <c r="H90" s="35">
        <v>134702</v>
      </c>
      <c r="I90" s="36">
        <v>684</v>
      </c>
      <c r="J90" s="35">
        <v>9233</v>
      </c>
      <c r="K90" s="36">
        <v>62</v>
      </c>
      <c r="L90" s="36">
        <f>J90+K90</f>
        <v>9295</v>
      </c>
      <c r="M90" s="36">
        <v>478</v>
      </c>
      <c r="N90" s="35">
        <v>6616</v>
      </c>
      <c r="O90" s="37">
        <v>11130</v>
      </c>
      <c r="P90" s="33">
        <v>318574</v>
      </c>
      <c r="Q90" s="33">
        <v>5348</v>
      </c>
      <c r="R90" s="33">
        <v>159</v>
      </c>
      <c r="S90" s="25">
        <f>Q90/P90*1000</f>
        <v>16.787308443250232</v>
      </c>
      <c r="T90" s="25">
        <f>R90/P90*100000</f>
        <v>49.909911041076803</v>
      </c>
      <c r="U90" s="25">
        <f>D90/F90*1000000</f>
        <v>87.693473726408897</v>
      </c>
      <c r="V90" s="25">
        <f>E90/G90*1000000</f>
        <v>140.67485564841516</v>
      </c>
      <c r="W90" s="25">
        <f>V90/3</f>
        <v>46.891618549471723</v>
      </c>
      <c r="X90" s="25">
        <f>(W90*2)/10</f>
        <v>9.3783237098943442</v>
      </c>
      <c r="Y90" s="50">
        <v>65.280593872070312</v>
      </c>
    </row>
    <row r="91" spans="1:25" x14ac:dyDescent="0.15">
      <c r="A91" s="31" t="s">
        <v>20594</v>
      </c>
      <c r="B91" s="31" t="s">
        <v>3592</v>
      </c>
      <c r="C91" s="32" t="s">
        <v>4914</v>
      </c>
      <c r="D91" s="32">
        <v>11</v>
      </c>
      <c r="E91" s="32">
        <v>4</v>
      </c>
      <c r="F91" s="34">
        <v>285068</v>
      </c>
      <c r="G91" s="35">
        <v>43620</v>
      </c>
      <c r="H91" s="35">
        <v>159437</v>
      </c>
      <c r="I91" s="35">
        <v>2316</v>
      </c>
      <c r="J91" s="35">
        <v>42494</v>
      </c>
      <c r="K91" s="36">
        <v>120</v>
      </c>
      <c r="L91" s="36">
        <f>J91+K91</f>
        <v>42614</v>
      </c>
      <c r="M91" s="36">
        <v>494</v>
      </c>
      <c r="N91" s="35">
        <v>9276</v>
      </c>
      <c r="O91" s="37">
        <v>27311</v>
      </c>
      <c r="P91" s="33">
        <v>297984</v>
      </c>
      <c r="Q91" s="33">
        <v>1974</v>
      </c>
      <c r="R91" s="33">
        <v>11</v>
      </c>
      <c r="S91" s="25">
        <f>Q91/P91*1000</f>
        <v>6.6245167525773194</v>
      </c>
      <c r="T91" s="25">
        <f>R91/P91*100000</f>
        <v>3.6914733676975944</v>
      </c>
      <c r="U91" s="25">
        <f>D91/F91*1000000</f>
        <v>38.587284437397393</v>
      </c>
      <c r="V91" s="25">
        <f>E91/G91*1000000</f>
        <v>91.701054562127467</v>
      </c>
      <c r="W91" s="25">
        <f>V91/3</f>
        <v>30.567018187375822</v>
      </c>
      <c r="X91" s="25">
        <f>(W91*2)/10</f>
        <v>6.1134036374751641</v>
      </c>
      <c r="Y91" s="50">
        <v>43.442752838134766</v>
      </c>
    </row>
    <row r="92" spans="1:25" x14ac:dyDescent="0.15">
      <c r="A92" s="31" t="s">
        <v>20581</v>
      </c>
      <c r="B92" s="31" t="s">
        <v>13437</v>
      </c>
      <c r="C92" s="32" t="s">
        <v>14047</v>
      </c>
      <c r="D92" s="32">
        <v>10</v>
      </c>
      <c r="E92" s="32">
        <v>2</v>
      </c>
      <c r="F92" s="34">
        <v>244769</v>
      </c>
      <c r="G92" s="35">
        <v>57489</v>
      </c>
      <c r="H92" s="35">
        <v>157409</v>
      </c>
      <c r="I92" s="36">
        <v>567</v>
      </c>
      <c r="J92" s="35">
        <v>7672</v>
      </c>
      <c r="K92" s="36">
        <v>106</v>
      </c>
      <c r="L92" s="36">
        <f>J92+K92</f>
        <v>7778</v>
      </c>
      <c r="M92" s="36">
        <v>539</v>
      </c>
      <c r="N92" s="35">
        <v>4773</v>
      </c>
      <c r="O92" s="37">
        <v>16214</v>
      </c>
      <c r="P92" s="33">
        <v>250772</v>
      </c>
      <c r="Q92" s="33">
        <v>2169</v>
      </c>
      <c r="R92" s="33">
        <v>19</v>
      </c>
      <c r="S92" s="25">
        <f>Q92/P92*1000</f>
        <v>8.6492909894246566</v>
      </c>
      <c r="T92" s="25">
        <f>R92/P92*100000</f>
        <v>7.5766034485508751</v>
      </c>
      <c r="U92" s="25">
        <f>D92/F92*1000000</f>
        <v>40.854846814751873</v>
      </c>
      <c r="V92" s="25">
        <f>E92/G92*1000000</f>
        <v>34.78926403311938</v>
      </c>
      <c r="W92" s="25">
        <f>V92/3</f>
        <v>11.596421344373127</v>
      </c>
      <c r="X92" s="25">
        <f>(W92*2)/10</f>
        <v>2.3192842688746254</v>
      </c>
      <c r="Y92" s="50">
        <v>65.700477600097656</v>
      </c>
    </row>
    <row r="93" spans="1:25" x14ac:dyDescent="0.15">
      <c r="A93" s="31" t="s">
        <v>20575</v>
      </c>
      <c r="B93" s="31" t="s">
        <v>1760</v>
      </c>
      <c r="C93" s="32" t="s">
        <v>1763</v>
      </c>
      <c r="D93" s="32">
        <v>17</v>
      </c>
      <c r="E93" s="32">
        <v>4</v>
      </c>
      <c r="F93" s="34">
        <v>291707</v>
      </c>
      <c r="G93" s="35">
        <v>33507</v>
      </c>
      <c r="H93" s="35">
        <v>66836</v>
      </c>
      <c r="I93" s="35">
        <v>1237</v>
      </c>
      <c r="J93" s="35">
        <v>60323</v>
      </c>
      <c r="K93" s="35">
        <v>1622</v>
      </c>
      <c r="L93" s="36">
        <f>J93+K93</f>
        <v>61945</v>
      </c>
      <c r="M93" s="36">
        <v>470</v>
      </c>
      <c r="N93" s="35">
        <v>10122</v>
      </c>
      <c r="O93" s="37">
        <v>117590</v>
      </c>
      <c r="P93" s="33">
        <v>299519</v>
      </c>
      <c r="Q93" s="33">
        <v>3988</v>
      </c>
      <c r="R93" s="33">
        <v>49</v>
      </c>
      <c r="S93" s="25">
        <f>Q93/P93*1000</f>
        <v>13.314681205532871</v>
      </c>
      <c r="T93" s="25">
        <f>R93/P93*100000</f>
        <v>16.359563166276597</v>
      </c>
      <c r="U93" s="25">
        <f>D93/F93*1000000</f>
        <v>58.277655318521667</v>
      </c>
      <c r="V93" s="25">
        <f>E93/G93*1000000</f>
        <v>119.37804040946668</v>
      </c>
      <c r="W93" s="25">
        <f>V93/3</f>
        <v>39.79268013648889</v>
      </c>
      <c r="X93" s="25">
        <f>(W93*2)/10</f>
        <v>7.9585360272977779</v>
      </c>
      <c r="Y93" s="50">
        <v>37.252235412597656</v>
      </c>
    </row>
    <row r="94" spans="1:25" x14ac:dyDescent="0.15">
      <c r="A94" s="31" t="s">
        <v>20581</v>
      </c>
      <c r="B94" s="31" t="s">
        <v>1567</v>
      </c>
      <c r="C94" s="32" t="s">
        <v>1569</v>
      </c>
      <c r="D94" s="32">
        <v>7</v>
      </c>
      <c r="E94" s="32">
        <v>2</v>
      </c>
      <c r="F94" s="40">
        <v>335709</v>
      </c>
      <c r="G94" s="35">
        <v>83032</v>
      </c>
      <c r="H94" s="35">
        <v>155552</v>
      </c>
      <c r="I94" s="36">
        <v>755</v>
      </c>
      <c r="J94" s="35">
        <v>11362</v>
      </c>
      <c r="K94" s="36">
        <v>207</v>
      </c>
      <c r="L94" s="36">
        <f>J94+K94</f>
        <v>11569</v>
      </c>
      <c r="M94" s="36">
        <v>794</v>
      </c>
      <c r="N94" s="35">
        <v>6535</v>
      </c>
      <c r="O94" s="37">
        <v>77472</v>
      </c>
      <c r="P94" s="33">
        <v>357124</v>
      </c>
      <c r="Q94" s="33">
        <v>2080</v>
      </c>
      <c r="R94" s="33">
        <v>28</v>
      </c>
      <c r="S94" s="25">
        <f>Q94/P94*1000</f>
        <v>5.8243075234372368</v>
      </c>
      <c r="T94" s="25">
        <f>R94/P94*100000</f>
        <v>7.84041397385782</v>
      </c>
      <c r="U94" s="25">
        <f>D94/F94*1000000</f>
        <v>20.851392128301594</v>
      </c>
      <c r="V94" s="25">
        <f>E94/G94*1000000</f>
        <v>24.087098949802485</v>
      </c>
      <c r="W94" s="25">
        <f>V94/3</f>
        <v>8.0290329832674949</v>
      </c>
      <c r="X94" s="25">
        <f>(W94*2)/10</f>
        <v>1.6058065966534989</v>
      </c>
      <c r="Y94" s="50">
        <v>58.694190979003906</v>
      </c>
    </row>
    <row r="95" spans="1:25" x14ac:dyDescent="0.15">
      <c r="A95" s="31" t="s">
        <v>13797</v>
      </c>
      <c r="B95" s="31" t="s">
        <v>775</v>
      </c>
      <c r="C95" s="32" t="s">
        <v>777</v>
      </c>
      <c r="D95" s="32">
        <v>4</v>
      </c>
      <c r="E95" s="32">
        <v>2</v>
      </c>
      <c r="F95" s="34">
        <v>287208</v>
      </c>
      <c r="G95" s="35">
        <v>76820</v>
      </c>
      <c r="H95" s="35">
        <v>176468</v>
      </c>
      <c r="I95" s="36">
        <v>755</v>
      </c>
      <c r="J95" s="35">
        <v>3204</v>
      </c>
      <c r="K95" s="36">
        <v>64</v>
      </c>
      <c r="L95" s="36">
        <f>J95+K95</f>
        <v>3268</v>
      </c>
      <c r="M95" s="36">
        <v>522</v>
      </c>
      <c r="N95" s="35">
        <v>8144</v>
      </c>
      <c r="O95" s="37">
        <v>21231</v>
      </c>
      <c r="P95" s="33">
        <v>281150</v>
      </c>
      <c r="Q95" s="33">
        <v>3068</v>
      </c>
      <c r="R95" s="33">
        <v>24</v>
      </c>
      <c r="S95" s="25">
        <f>Q95/P95*1000</f>
        <v>10.91232438200249</v>
      </c>
      <c r="T95" s="25">
        <f>R95/P95*100000</f>
        <v>8.5363684865730036</v>
      </c>
      <c r="U95" s="25">
        <f>D95/F95*1000000</f>
        <v>13.927188657697558</v>
      </c>
      <c r="V95" s="25">
        <f>E95/G95*1000000</f>
        <v>26.034886748242645</v>
      </c>
      <c r="W95" s="25">
        <f>V95/3</f>
        <v>8.6782955827475483</v>
      </c>
      <c r="X95" s="25">
        <f>(W95*2)/10</f>
        <v>1.7356591165495097</v>
      </c>
      <c r="Y95" s="50">
        <v>53.452949523925781</v>
      </c>
    </row>
    <row r="96" spans="1:25" x14ac:dyDescent="0.15">
      <c r="A96" s="31" t="s">
        <v>20578</v>
      </c>
      <c r="B96" s="31" t="s">
        <v>561</v>
      </c>
      <c r="C96" s="32" t="s">
        <v>563</v>
      </c>
      <c r="D96" s="32">
        <v>19</v>
      </c>
      <c r="E96" s="32">
        <v>2</v>
      </c>
      <c r="F96" s="34">
        <v>520116</v>
      </c>
      <c r="G96" s="35">
        <v>23362</v>
      </c>
      <c r="H96" s="35">
        <v>245323</v>
      </c>
      <c r="I96" s="35">
        <v>8776</v>
      </c>
      <c r="J96" s="35">
        <v>14211</v>
      </c>
      <c r="K96" s="36">
        <v>951</v>
      </c>
      <c r="L96" s="36">
        <f>J96+K96</f>
        <v>15162</v>
      </c>
      <c r="M96" s="36">
        <v>792</v>
      </c>
      <c r="N96" s="35">
        <v>10393</v>
      </c>
      <c r="O96" s="37">
        <v>216308</v>
      </c>
      <c r="P96" s="39">
        <v>525486</v>
      </c>
      <c r="Q96" s="33">
        <v>3368</v>
      </c>
      <c r="R96" s="33">
        <v>47</v>
      </c>
      <c r="S96" s="25">
        <f>Q96/P96*1000</f>
        <v>6.4093049101212971</v>
      </c>
      <c r="T96" s="25">
        <f>R96/P96*100000</f>
        <v>8.9441012700623812</v>
      </c>
      <c r="U96" s="25">
        <f>D96/F96*1000000</f>
        <v>36.530312468756968</v>
      </c>
      <c r="V96" s="25">
        <f>E96/G96*1000000</f>
        <v>85.6091088091773</v>
      </c>
      <c r="W96" s="25">
        <f>V96/3</f>
        <v>28.5363696030591</v>
      </c>
      <c r="X96" s="25">
        <f>(W96*2)/10</f>
        <v>5.7072739206118204</v>
      </c>
      <c r="Y96" s="50">
        <v>25.654352188110352</v>
      </c>
    </row>
    <row r="97" spans="1:25" x14ac:dyDescent="0.15">
      <c r="A97" s="31" t="s">
        <v>1095</v>
      </c>
      <c r="B97" s="31" t="s">
        <v>2487</v>
      </c>
      <c r="C97" s="32" t="s">
        <v>3379</v>
      </c>
      <c r="D97" s="32">
        <v>18</v>
      </c>
      <c r="E97" s="32">
        <v>4</v>
      </c>
      <c r="F97" s="34">
        <v>391906</v>
      </c>
      <c r="G97" s="35">
        <v>61230</v>
      </c>
      <c r="H97" s="35">
        <v>227021</v>
      </c>
      <c r="I97" s="35">
        <v>19473</v>
      </c>
      <c r="J97" s="35">
        <v>8926</v>
      </c>
      <c r="K97" s="36">
        <v>278</v>
      </c>
      <c r="L97" s="36">
        <f>J97+K97</f>
        <v>9204</v>
      </c>
      <c r="M97" s="36">
        <v>473</v>
      </c>
      <c r="N97" s="35">
        <v>19239</v>
      </c>
      <c r="O97" s="37">
        <v>55266</v>
      </c>
      <c r="P97" s="33">
        <v>399556</v>
      </c>
      <c r="Q97" s="33">
        <v>3217</v>
      </c>
      <c r="R97" s="33">
        <v>46</v>
      </c>
      <c r="S97" s="25">
        <f>Q97/P97*1000</f>
        <v>8.0514370951756451</v>
      </c>
      <c r="T97" s="25">
        <f>R97/P97*100000</f>
        <v>11.512779184895233</v>
      </c>
      <c r="U97" s="25">
        <f>D97/F97*1000000</f>
        <v>45.929381025041721</v>
      </c>
      <c r="V97" s="25">
        <f>E97/G97*1000000</f>
        <v>65.327453862485712</v>
      </c>
      <c r="W97" s="25">
        <f>V97/3</f>
        <v>21.775817954161905</v>
      </c>
      <c r="X97" s="25">
        <f>(W97*2)/10</f>
        <v>4.3551635908323814</v>
      </c>
      <c r="Y97" s="50">
        <v>49.789894104003906</v>
      </c>
    </row>
    <row r="98" spans="1:25" x14ac:dyDescent="0.15">
      <c r="A98" s="31" t="s">
        <v>20589</v>
      </c>
      <c r="B98" s="31" t="s">
        <v>477</v>
      </c>
      <c r="C98" s="32" t="s">
        <v>479</v>
      </c>
      <c r="D98" s="32">
        <v>3</v>
      </c>
      <c r="E98" s="32">
        <v>2</v>
      </c>
      <c r="F98" s="40">
        <v>437994</v>
      </c>
      <c r="G98" s="35">
        <v>83210</v>
      </c>
      <c r="H98" s="35">
        <v>282470</v>
      </c>
      <c r="I98" s="35">
        <v>1349</v>
      </c>
      <c r="J98" s="35">
        <v>26312</v>
      </c>
      <c r="K98" s="36">
        <v>602</v>
      </c>
      <c r="L98" s="36">
        <f>J98+K98</f>
        <v>26914</v>
      </c>
      <c r="M98" s="36">
        <v>863</v>
      </c>
      <c r="N98" s="35">
        <v>14201</v>
      </c>
      <c r="O98" s="37">
        <v>28987</v>
      </c>
      <c r="P98" s="33">
        <v>451102</v>
      </c>
      <c r="Q98" s="33">
        <v>660</v>
      </c>
      <c r="R98" s="33">
        <v>17</v>
      </c>
      <c r="S98" s="25">
        <f>Q98/P98*1000</f>
        <v>1.4630837371592234</v>
      </c>
      <c r="T98" s="25">
        <f>R98/P98*100000</f>
        <v>3.7685490199555756</v>
      </c>
      <c r="U98" s="25">
        <f>D98/F98*1000000</f>
        <v>6.8494088960122745</v>
      </c>
      <c r="V98" s="25">
        <f>E98/G98*1000000</f>
        <v>24.035572647518329</v>
      </c>
      <c r="W98" s="25">
        <f>V98/3</f>
        <v>8.0118575491727757</v>
      </c>
      <c r="X98" s="25">
        <f>(W98*2)/10</f>
        <v>1.6023715098345552</v>
      </c>
      <c r="Y98" s="50">
        <v>36.355953216552734</v>
      </c>
    </row>
    <row r="99" spans="1:25" x14ac:dyDescent="0.15">
      <c r="A99" s="31" t="s">
        <v>3666</v>
      </c>
      <c r="B99" s="31" t="s">
        <v>118</v>
      </c>
      <c r="C99" s="32" t="s">
        <v>19405</v>
      </c>
      <c r="D99" s="32">
        <v>16</v>
      </c>
      <c r="E99" s="32">
        <v>14</v>
      </c>
      <c r="F99" s="34">
        <v>601723</v>
      </c>
      <c r="G99" s="35">
        <v>301053</v>
      </c>
      <c r="H99" s="35">
        <v>209464</v>
      </c>
      <c r="I99" s="35">
        <v>1322</v>
      </c>
      <c r="J99" s="35">
        <v>20818</v>
      </c>
      <c r="K99" s="36">
        <v>216</v>
      </c>
      <c r="L99" s="36">
        <f>J99+K99</f>
        <v>21034</v>
      </c>
      <c r="M99" s="35">
        <v>1451</v>
      </c>
      <c r="N99" s="35">
        <v>12650</v>
      </c>
      <c r="O99" s="37">
        <v>54749</v>
      </c>
      <c r="P99" s="38">
        <v>658893</v>
      </c>
      <c r="Q99" s="33">
        <v>7810</v>
      </c>
      <c r="R99" s="33">
        <v>105</v>
      </c>
      <c r="S99" s="25">
        <f>Q99/P99*1000</f>
        <v>11.85321440658802</v>
      </c>
      <c r="T99" s="25">
        <f>R99/P99*100000</f>
        <v>15.935819624734211</v>
      </c>
      <c r="U99" s="25">
        <f>D99/F99*1000000</f>
        <v>26.59030816505269</v>
      </c>
      <c r="V99" s="25">
        <f>E99/G99*1000000</f>
        <v>46.503439593692804</v>
      </c>
      <c r="W99" s="25">
        <f>V99/3</f>
        <v>15.501146531230935</v>
      </c>
      <c r="X99" s="25">
        <f>(W99*2)/10</f>
        <v>3.1002293062461872</v>
      </c>
      <c r="Y99" s="50">
        <v>72.177276611328125</v>
      </c>
    </row>
    <row r="100" spans="1:25" x14ac:dyDescent="0.15">
      <c r="A100" s="31" t="s">
        <v>20585</v>
      </c>
      <c r="B100" s="31" t="s">
        <v>683</v>
      </c>
      <c r="C100" s="32" t="s">
        <v>685</v>
      </c>
      <c r="D100" s="32">
        <v>8</v>
      </c>
      <c r="E100" s="32">
        <v>1</v>
      </c>
      <c r="F100" s="34">
        <v>382368</v>
      </c>
      <c r="G100" s="35">
        <v>42676</v>
      </c>
      <c r="H100" s="35">
        <v>246744</v>
      </c>
      <c r="I100" s="35">
        <v>3424</v>
      </c>
      <c r="J100" s="35">
        <v>18272</v>
      </c>
      <c r="K100" s="36">
        <v>311</v>
      </c>
      <c r="L100" s="36">
        <f>J100+K100</f>
        <v>18583</v>
      </c>
      <c r="M100" s="36">
        <v>472</v>
      </c>
      <c r="N100" s="35">
        <v>12121</v>
      </c>
      <c r="O100" s="37">
        <v>58348</v>
      </c>
      <c r="P100" s="97">
        <v>386486</v>
      </c>
      <c r="Q100" s="33">
        <v>3065</v>
      </c>
      <c r="R100" s="33">
        <v>15</v>
      </c>
      <c r="S100" s="25">
        <f>Q100/P100*1000</f>
        <v>7.9304295627784702</v>
      </c>
      <c r="T100" s="25">
        <f>R100/P100*100000</f>
        <v>3.881123766449496</v>
      </c>
      <c r="U100" s="25">
        <f>D100/F100*1000000</f>
        <v>20.922252908193155</v>
      </c>
      <c r="V100" s="25">
        <f>E100/G100*1000000</f>
        <v>23.432374168150716</v>
      </c>
      <c r="W100" s="25">
        <f>V100/3</f>
        <v>7.8107913893835716</v>
      </c>
      <c r="X100" s="25">
        <f>(W100*2)/10</f>
        <v>1.5621582778767142</v>
      </c>
      <c r="Y100" s="50">
        <v>49.265998840332031</v>
      </c>
    </row>
    <row r="101" spans="1:25" x14ac:dyDescent="0.15">
      <c r="A101" s="31" t="s">
        <v>20595</v>
      </c>
      <c r="B101" s="31" t="s">
        <v>20419</v>
      </c>
      <c r="C101" s="32" t="s">
        <v>20416</v>
      </c>
      <c r="D101" s="32">
        <v>3</v>
      </c>
      <c r="E101" s="32">
        <v>2</v>
      </c>
      <c r="F101" s="40">
        <v>229617</v>
      </c>
      <c r="G101" s="35">
        <v>78065</v>
      </c>
      <c r="H101" s="35">
        <v>108222</v>
      </c>
      <c r="I101" s="36">
        <v>567</v>
      </c>
      <c r="J101" s="35">
        <v>4536</v>
      </c>
      <c r="K101" s="36">
        <v>138</v>
      </c>
      <c r="L101" s="36">
        <f>J101+K101</f>
        <v>4674</v>
      </c>
      <c r="M101" s="36">
        <v>535</v>
      </c>
      <c r="N101" s="35">
        <v>3801</v>
      </c>
      <c r="O101" s="37">
        <v>33753</v>
      </c>
      <c r="P101" s="33">
        <v>238082</v>
      </c>
      <c r="Q101" s="33">
        <v>1696</v>
      </c>
      <c r="R101" s="33">
        <v>13</v>
      </c>
      <c r="S101" s="25">
        <f>Q101/P101*1000</f>
        <v>7.1235960719415994</v>
      </c>
      <c r="T101" s="25">
        <f>R101/P101*100000</f>
        <v>5.4603035928797645</v>
      </c>
      <c r="U101" s="25">
        <f>D101/F101*1000000</f>
        <v>13.06523471694169</v>
      </c>
      <c r="V101" s="25">
        <f>E101/G101*1000000</f>
        <v>25.619675911099723</v>
      </c>
      <c r="W101" s="25">
        <f>V101/3</f>
        <v>8.5398919703665737</v>
      </c>
      <c r="X101" s="25">
        <f>(W101*2)/10</f>
        <v>1.7079783940733146</v>
      </c>
      <c r="Y101" s="50">
        <v>50.440143585205078</v>
      </c>
    </row>
    <row r="102" spans="1:25" x14ac:dyDescent="0.15">
      <c r="A102" s="31" t="s">
        <v>21228</v>
      </c>
      <c r="B102" s="31" t="s">
        <v>31427</v>
      </c>
      <c r="C102" s="31" t="s">
        <v>31427</v>
      </c>
      <c r="D102" s="26">
        <f>SUM(D1:D101)</f>
        <v>1421</v>
      </c>
      <c r="E102" s="26">
        <f>SUM(E1:E101)</f>
        <v>561</v>
      </c>
      <c r="F102" s="34">
        <f>SUM(F1:F101)</f>
        <v>61294011</v>
      </c>
      <c r="G102" s="35">
        <f>SUM(G1:G101)</f>
        <v>12640609</v>
      </c>
      <c r="H102" s="35">
        <f>SUM(H1:H101)</f>
        <v>24001646</v>
      </c>
      <c r="I102" s="41"/>
      <c r="J102" s="35"/>
      <c r="K102" s="35"/>
      <c r="L102" s="36"/>
      <c r="M102" s="36"/>
      <c r="N102" s="35"/>
      <c r="O102" s="37"/>
      <c r="P102" s="33">
        <f>SUM(P1:P101)</f>
        <v>63509834</v>
      </c>
      <c r="Q102" s="33">
        <f>SUM(Q1:Q101)</f>
        <v>453051</v>
      </c>
      <c r="R102" s="33">
        <f>SUM(R1:R101)</f>
        <v>5731</v>
      </c>
      <c r="S102" s="25">
        <f>Q102/P102*1000</f>
        <v>7.1335566709243805</v>
      </c>
      <c r="T102" s="25">
        <f>R102/P102*100000</f>
        <v>9.0237993694015959</v>
      </c>
      <c r="U102" s="25">
        <f>D102/F102*1000000</f>
        <v>23.18334168080467</v>
      </c>
      <c r="V102" s="25">
        <f>E102/G102*1000000</f>
        <v>44.380773109903167</v>
      </c>
      <c r="W102" s="25">
        <f>V102/3</f>
        <v>14.793591036634389</v>
      </c>
      <c r="X102" s="25">
        <f>(W102*2)/10</f>
        <v>2.9587182073268776</v>
      </c>
    </row>
    <row r="103" spans="1:25" x14ac:dyDescent="0.15">
      <c r="A103" s="31" t="s">
        <v>21228</v>
      </c>
      <c r="B103" s="31" t="s">
        <v>31428</v>
      </c>
      <c r="C103" s="32" t="s">
        <v>31428</v>
      </c>
      <c r="D103" s="26">
        <v>5289</v>
      </c>
      <c r="E103" s="26">
        <v>1437</v>
      </c>
      <c r="F103" s="49">
        <v>318900000</v>
      </c>
      <c r="G103" s="26">
        <v>42094800</v>
      </c>
      <c r="P103" s="96">
        <v>318900000</v>
      </c>
      <c r="Q103" s="31"/>
      <c r="R103" s="39"/>
      <c r="S103" s="25">
        <v>3.66</v>
      </c>
      <c r="T103" s="26">
        <v>4.5</v>
      </c>
      <c r="U103" s="25">
        <f>D103/F103*1000000</f>
        <v>16.585136406396987</v>
      </c>
      <c r="V103" s="25">
        <f>E103/G103*1000000</f>
        <v>34.137233102425952</v>
      </c>
      <c r="W103" s="25">
        <f>V103/3</f>
        <v>11.379077700808651</v>
      </c>
      <c r="X103" s="25">
        <f>(W103*2)/10</f>
        <v>2.2758155401617302</v>
      </c>
    </row>
    <row r="104" spans="1:25" x14ac:dyDescent="0.15">
      <c r="Q104" s="31"/>
      <c r="R104" s="39"/>
    </row>
    <row r="105" spans="1:25" x14ac:dyDescent="0.15">
      <c r="S105" s="42" t="s">
        <v>20599</v>
      </c>
    </row>
    <row r="107" spans="1:25" x14ac:dyDescent="0.15">
      <c r="B107" s="32" t="s">
        <v>31426</v>
      </c>
      <c r="F107" s="49"/>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topLeftCell="A37" workbookViewId="0">
      <selection activeCell="F66" sqref="F66"/>
    </sheetView>
  </sheetViews>
  <sheetFormatPr baseColWidth="10" defaultRowHeight="13" x14ac:dyDescent="0.15"/>
  <sheetData>
    <row r="1" spans="1:10" ht="16" x14ac:dyDescent="0.2">
      <c r="A1" s="81" t="s">
        <v>21206</v>
      </c>
      <c r="B1" s="81" t="s">
        <v>21200</v>
      </c>
      <c r="C1" s="81" t="s">
        <v>31009</v>
      </c>
      <c r="D1" s="81" t="s">
        <v>31010</v>
      </c>
      <c r="E1" s="81" t="s">
        <v>31011</v>
      </c>
      <c r="F1" s="81" t="s">
        <v>20574</v>
      </c>
      <c r="G1" s="81" t="s">
        <v>31012</v>
      </c>
      <c r="H1" s="81" t="s">
        <v>31013</v>
      </c>
      <c r="I1" s="81" t="s">
        <v>31014</v>
      </c>
      <c r="J1" s="81" t="s">
        <v>31015</v>
      </c>
    </row>
    <row r="2" spans="1:10" ht="16" x14ac:dyDescent="0.2">
      <c r="A2" s="82" t="s">
        <v>21227</v>
      </c>
      <c r="B2" s="82">
        <v>4779736</v>
      </c>
      <c r="C2" s="82">
        <v>1251311</v>
      </c>
      <c r="D2" s="83">
        <f t="shared" ref="D2:D52" si="0">C2/B2</f>
        <v>0.2617950029039261</v>
      </c>
      <c r="E2" s="84">
        <f t="shared" ref="E2:E52" si="1">G2/H2</f>
        <v>0.40425531914893614</v>
      </c>
      <c r="F2" s="84">
        <f t="shared" ref="F2:F52" si="2">E2-D2</f>
        <v>0.14246031624501004</v>
      </c>
      <c r="G2" s="85">
        <v>38</v>
      </c>
      <c r="H2" s="86">
        <v>94</v>
      </c>
      <c r="I2" s="87">
        <f t="shared" ref="I2:I52" si="3">G2/C2*1000000</f>
        <v>30.368149884401241</v>
      </c>
      <c r="J2" s="87">
        <f t="shared" ref="J2:J52" si="4">H2/B2*1000000</f>
        <v>19.666358141955957</v>
      </c>
    </row>
    <row r="3" spans="1:10" ht="16" x14ac:dyDescent="0.2">
      <c r="A3" s="82" t="s">
        <v>21220</v>
      </c>
      <c r="B3" s="82">
        <v>710231</v>
      </c>
      <c r="C3" s="82">
        <v>23263</v>
      </c>
      <c r="D3" s="83">
        <f t="shared" si="0"/>
        <v>3.2754132106314705E-2</v>
      </c>
      <c r="E3" s="84">
        <f t="shared" si="1"/>
        <v>0.1111111111111111</v>
      </c>
      <c r="F3" s="84">
        <f t="shared" si="2"/>
        <v>7.8356979004796407E-2</v>
      </c>
      <c r="G3" s="85">
        <v>2</v>
      </c>
      <c r="H3" s="86">
        <v>18</v>
      </c>
      <c r="I3" s="87">
        <f t="shared" si="3"/>
        <v>85.973434208829474</v>
      </c>
      <c r="J3" s="87">
        <f t="shared" si="4"/>
        <v>25.343866995386009</v>
      </c>
    </row>
    <row r="4" spans="1:10" ht="16" x14ac:dyDescent="0.2">
      <c r="A4" s="82" t="s">
        <v>20578</v>
      </c>
      <c r="B4" s="82">
        <v>6392017</v>
      </c>
      <c r="C4" s="82">
        <v>259008</v>
      </c>
      <c r="D4" s="83">
        <f t="shared" si="0"/>
        <v>4.052054304611518E-2</v>
      </c>
      <c r="E4" s="84">
        <f t="shared" si="1"/>
        <v>8.8082901554404139E-2</v>
      </c>
      <c r="F4" s="84">
        <f t="shared" si="2"/>
        <v>4.7562358508288959E-2</v>
      </c>
      <c r="G4" s="88">
        <v>17</v>
      </c>
      <c r="H4" s="86">
        <v>193</v>
      </c>
      <c r="I4" s="87">
        <f t="shared" si="3"/>
        <v>65.635038299975292</v>
      </c>
      <c r="J4" s="87">
        <f t="shared" si="4"/>
        <v>30.193912187655322</v>
      </c>
    </row>
    <row r="5" spans="1:10" ht="16" x14ac:dyDescent="0.2">
      <c r="A5" s="82" t="s">
        <v>31016</v>
      </c>
      <c r="B5" s="82">
        <v>2915918</v>
      </c>
      <c r="C5" s="82">
        <v>449895</v>
      </c>
      <c r="D5" s="83">
        <f t="shared" si="0"/>
        <v>0.15428931814955016</v>
      </c>
      <c r="E5" s="84">
        <f t="shared" si="1"/>
        <v>0.25</v>
      </c>
      <c r="F5" s="84">
        <f t="shared" si="2"/>
        <v>9.5710681850449841E-2</v>
      </c>
      <c r="G5" s="88">
        <v>13</v>
      </c>
      <c r="H5" s="86">
        <v>52</v>
      </c>
      <c r="I5" s="87">
        <f t="shared" si="3"/>
        <v>28.895631202836217</v>
      </c>
      <c r="J5" s="87">
        <f t="shared" si="4"/>
        <v>17.833148943145861</v>
      </c>
    </row>
    <row r="6" spans="1:10" ht="16" x14ac:dyDescent="0.2">
      <c r="A6" s="82" t="s">
        <v>20575</v>
      </c>
      <c r="B6" s="82">
        <v>37253956</v>
      </c>
      <c r="C6" s="82">
        <v>2299072</v>
      </c>
      <c r="D6" s="83">
        <f t="shared" si="0"/>
        <v>6.1713499634777041E-2</v>
      </c>
      <c r="E6" s="84">
        <f t="shared" si="1"/>
        <v>0.16470588235294117</v>
      </c>
      <c r="F6" s="84">
        <f t="shared" si="2"/>
        <v>0.10299238271816413</v>
      </c>
      <c r="G6" s="85">
        <v>126</v>
      </c>
      <c r="H6" s="86">
        <v>765</v>
      </c>
      <c r="I6" s="87">
        <f t="shared" si="3"/>
        <v>54.804721209253124</v>
      </c>
      <c r="J6" s="87">
        <f t="shared" si="4"/>
        <v>20.534731935582897</v>
      </c>
    </row>
    <row r="7" spans="1:10" ht="16" x14ac:dyDescent="0.2">
      <c r="A7" s="82" t="s">
        <v>20579</v>
      </c>
      <c r="B7" s="82">
        <v>5029196</v>
      </c>
      <c r="C7" s="82">
        <v>201737</v>
      </c>
      <c r="D7" s="83">
        <f t="shared" si="0"/>
        <v>4.0113171170898888E-2</v>
      </c>
      <c r="E7" s="84">
        <f t="shared" si="1"/>
        <v>0.10576923076923077</v>
      </c>
      <c r="F7" s="84">
        <f t="shared" si="2"/>
        <v>6.5656059598331873E-2</v>
      </c>
      <c r="G7" s="85">
        <v>11</v>
      </c>
      <c r="H7" s="86">
        <v>104</v>
      </c>
      <c r="I7" s="87">
        <f t="shared" si="3"/>
        <v>54.526437886951825</v>
      </c>
      <c r="J7" s="87">
        <f t="shared" si="4"/>
        <v>20.679249725005747</v>
      </c>
    </row>
    <row r="8" spans="1:10" ht="16" x14ac:dyDescent="0.2">
      <c r="A8" s="82" t="s">
        <v>31017</v>
      </c>
      <c r="B8" s="82">
        <v>3574097</v>
      </c>
      <c r="C8" s="82">
        <v>362296</v>
      </c>
      <c r="D8" s="83">
        <f t="shared" si="0"/>
        <v>0.10136714252579043</v>
      </c>
      <c r="E8" s="84">
        <f t="shared" si="1"/>
        <v>0.16</v>
      </c>
      <c r="F8" s="84">
        <f t="shared" si="2"/>
        <v>5.8632857474209571E-2</v>
      </c>
      <c r="G8" s="85">
        <v>4</v>
      </c>
      <c r="H8" s="86">
        <v>25</v>
      </c>
      <c r="I8" s="87">
        <f t="shared" si="3"/>
        <v>11.040696005476185</v>
      </c>
      <c r="J8" s="87">
        <f t="shared" si="4"/>
        <v>6.9947737848189346</v>
      </c>
    </row>
    <row r="9" spans="1:10" ht="16" x14ac:dyDescent="0.2">
      <c r="A9" s="82" t="s">
        <v>906</v>
      </c>
      <c r="B9" s="82">
        <v>897934</v>
      </c>
      <c r="C9" s="82">
        <v>191814</v>
      </c>
      <c r="D9" s="83">
        <f t="shared" si="0"/>
        <v>0.2136170364414311</v>
      </c>
      <c r="E9" s="84">
        <f t="shared" si="1"/>
        <v>0.36363636363636365</v>
      </c>
      <c r="F9" s="84">
        <f t="shared" si="2"/>
        <v>0.15001932719493255</v>
      </c>
      <c r="G9" s="85">
        <v>4</v>
      </c>
      <c r="H9" s="86">
        <v>11</v>
      </c>
      <c r="I9" s="87">
        <f t="shared" si="3"/>
        <v>20.853535195554027</v>
      </c>
      <c r="J9" s="87">
        <f t="shared" si="4"/>
        <v>12.25034356645366</v>
      </c>
    </row>
    <row r="10" spans="1:10" ht="16" x14ac:dyDescent="0.2">
      <c r="A10" s="82" t="s">
        <v>3666</v>
      </c>
      <c r="B10" s="82">
        <v>601723</v>
      </c>
      <c r="C10" s="82">
        <v>300000</v>
      </c>
      <c r="D10" s="83">
        <f t="shared" si="0"/>
        <v>0.49856827809473797</v>
      </c>
      <c r="E10" s="84">
        <f t="shared" si="1"/>
        <v>0.95238095238095233</v>
      </c>
      <c r="F10" s="84">
        <f t="shared" si="2"/>
        <v>0.45381267428621436</v>
      </c>
      <c r="G10" s="85">
        <v>20</v>
      </c>
      <c r="H10" s="82">
        <v>21</v>
      </c>
      <c r="I10" s="87">
        <f t="shared" si="3"/>
        <v>66.666666666666671</v>
      </c>
      <c r="J10" s="87">
        <f t="shared" si="4"/>
        <v>34.899779466631657</v>
      </c>
    </row>
    <row r="11" spans="1:10" ht="16" x14ac:dyDescent="0.2">
      <c r="A11" s="82" t="s">
        <v>20581</v>
      </c>
      <c r="B11" s="82">
        <v>18801310</v>
      </c>
      <c r="C11" s="82">
        <v>2999862</v>
      </c>
      <c r="D11" s="83">
        <f t="shared" si="0"/>
        <v>0.15955600966102895</v>
      </c>
      <c r="E11" s="84">
        <f t="shared" si="1"/>
        <v>0.35106382978723405</v>
      </c>
      <c r="F11" s="84">
        <f t="shared" si="2"/>
        <v>0.1915078201262051</v>
      </c>
      <c r="G11" s="85">
        <v>132</v>
      </c>
      <c r="H11" s="86">
        <v>376</v>
      </c>
      <c r="I11" s="87">
        <f t="shared" si="3"/>
        <v>44.002024093108282</v>
      </c>
      <c r="J11" s="87">
        <f t="shared" si="4"/>
        <v>19.998606480080376</v>
      </c>
    </row>
    <row r="12" spans="1:10" ht="16" x14ac:dyDescent="0.2">
      <c r="A12" s="82" t="s">
        <v>20583</v>
      </c>
      <c r="B12" s="82">
        <v>9687653</v>
      </c>
      <c r="C12" s="82">
        <v>3150435</v>
      </c>
      <c r="D12" s="83">
        <f t="shared" si="0"/>
        <v>0.32520105746975042</v>
      </c>
      <c r="E12" s="84">
        <f t="shared" si="1"/>
        <v>0.41666666666666669</v>
      </c>
      <c r="F12" s="84">
        <f t="shared" si="2"/>
        <v>9.1465609196916264E-2</v>
      </c>
      <c r="G12" s="85">
        <v>55</v>
      </c>
      <c r="H12" s="86">
        <v>132</v>
      </c>
      <c r="I12" s="87">
        <f t="shared" si="3"/>
        <v>17.457906606547986</v>
      </c>
      <c r="J12" s="87">
        <f t="shared" si="4"/>
        <v>13.625591255178112</v>
      </c>
    </row>
    <row r="13" spans="1:10" ht="16" x14ac:dyDescent="0.2">
      <c r="A13" s="82" t="s">
        <v>3943</v>
      </c>
      <c r="B13" s="82">
        <v>1360301</v>
      </c>
      <c r="C13" s="82">
        <v>21424</v>
      </c>
      <c r="D13" s="83">
        <f t="shared" si="0"/>
        <v>1.5749455451403771E-2</v>
      </c>
      <c r="E13" s="84">
        <f t="shared" si="1"/>
        <v>0.05</v>
      </c>
      <c r="F13" s="84">
        <f t="shared" si="2"/>
        <v>3.4250544548596232E-2</v>
      </c>
      <c r="G13" s="85">
        <v>1</v>
      </c>
      <c r="H13" s="86">
        <v>20</v>
      </c>
      <c r="I13" s="87">
        <f t="shared" si="3"/>
        <v>46.676624346527262</v>
      </c>
      <c r="J13" s="87">
        <f t="shared" si="4"/>
        <v>14.702628315350793</v>
      </c>
    </row>
    <row r="14" spans="1:10" ht="16" x14ac:dyDescent="0.2">
      <c r="A14" s="82" t="s">
        <v>31018</v>
      </c>
      <c r="B14" s="82">
        <v>1567582</v>
      </c>
      <c r="C14" s="82">
        <v>9810</v>
      </c>
      <c r="D14" s="83">
        <f t="shared" si="0"/>
        <v>6.2580458310952788E-3</v>
      </c>
      <c r="E14" s="84">
        <f t="shared" si="1"/>
        <v>0</v>
      </c>
      <c r="F14" s="84">
        <f t="shared" si="2"/>
        <v>-6.2580458310952788E-3</v>
      </c>
      <c r="G14" s="85">
        <v>0</v>
      </c>
      <c r="H14" s="86">
        <v>22</v>
      </c>
      <c r="I14" s="87">
        <f t="shared" si="3"/>
        <v>0</v>
      </c>
      <c r="J14" s="87">
        <f t="shared" si="4"/>
        <v>14.034353545779425</v>
      </c>
    </row>
    <row r="15" spans="1:10" ht="16" x14ac:dyDescent="0.2">
      <c r="A15" s="82" t="s">
        <v>20593</v>
      </c>
      <c r="B15" s="82">
        <v>12830632</v>
      </c>
      <c r="C15" s="82">
        <v>1866414</v>
      </c>
      <c r="D15" s="83">
        <f t="shared" si="0"/>
        <v>0.14546547668111751</v>
      </c>
      <c r="E15" s="84">
        <f t="shared" si="1"/>
        <v>0.52845528455284552</v>
      </c>
      <c r="F15" s="84">
        <f t="shared" si="2"/>
        <v>0.38298980787172798</v>
      </c>
      <c r="G15" s="85">
        <v>65</v>
      </c>
      <c r="H15" s="86">
        <v>123</v>
      </c>
      <c r="I15" s="87">
        <f t="shared" si="3"/>
        <v>34.826142538579333</v>
      </c>
      <c r="J15" s="87">
        <f t="shared" si="4"/>
        <v>9.5864334664106945</v>
      </c>
    </row>
    <row r="16" spans="1:10" ht="16" x14ac:dyDescent="0.2">
      <c r="A16" s="82" t="s">
        <v>10381</v>
      </c>
      <c r="B16" s="82">
        <v>6483802</v>
      </c>
      <c r="C16" s="82">
        <v>591397</v>
      </c>
      <c r="D16" s="83">
        <f t="shared" si="0"/>
        <v>9.1211452786497796E-2</v>
      </c>
      <c r="E16" s="84">
        <f t="shared" si="1"/>
        <v>0.32894736842105265</v>
      </c>
      <c r="F16" s="84">
        <f t="shared" si="2"/>
        <v>0.23773591563455487</v>
      </c>
      <c r="G16" s="85">
        <v>25</v>
      </c>
      <c r="H16" s="86">
        <v>76</v>
      </c>
      <c r="I16" s="87">
        <f t="shared" si="3"/>
        <v>42.272787991822753</v>
      </c>
      <c r="J16" s="87">
        <f t="shared" si="4"/>
        <v>11.721517714452107</v>
      </c>
    </row>
    <row r="17" spans="1:10" ht="16" x14ac:dyDescent="0.2">
      <c r="A17" s="82" t="s">
        <v>30769</v>
      </c>
      <c r="B17" s="82">
        <v>3046355</v>
      </c>
      <c r="C17" s="82">
        <v>89148</v>
      </c>
      <c r="D17" s="83">
        <f t="shared" si="0"/>
        <v>2.9263825128719403E-2</v>
      </c>
      <c r="E17" s="84">
        <f t="shared" si="1"/>
        <v>0.11538461538461539</v>
      </c>
      <c r="F17" s="84">
        <f t="shared" si="2"/>
        <v>8.6120790255895988E-2</v>
      </c>
      <c r="G17" s="85">
        <v>3</v>
      </c>
      <c r="H17" s="86">
        <v>26</v>
      </c>
      <c r="I17" s="87">
        <f t="shared" si="3"/>
        <v>33.651904697805897</v>
      </c>
      <c r="J17" s="87">
        <f t="shared" si="4"/>
        <v>8.5347899374826639</v>
      </c>
    </row>
    <row r="18" spans="1:10" ht="16" x14ac:dyDescent="0.2">
      <c r="A18" s="82" t="s">
        <v>20585</v>
      </c>
      <c r="B18" s="82">
        <v>2853118</v>
      </c>
      <c r="C18" s="82">
        <v>167864</v>
      </c>
      <c r="D18" s="83">
        <f t="shared" si="0"/>
        <v>5.8835281260711962E-2</v>
      </c>
      <c r="E18" s="84">
        <f t="shared" si="1"/>
        <v>0.19148936170212766</v>
      </c>
      <c r="F18" s="84">
        <f t="shared" si="2"/>
        <v>0.13265408044141569</v>
      </c>
      <c r="G18" s="85">
        <v>9</v>
      </c>
      <c r="H18" s="86">
        <v>47</v>
      </c>
      <c r="I18" s="87">
        <f t="shared" si="3"/>
        <v>53.614831053710148</v>
      </c>
      <c r="J18" s="87">
        <f t="shared" si="4"/>
        <v>16.473205805017528</v>
      </c>
    </row>
    <row r="19" spans="1:10" ht="16" x14ac:dyDescent="0.2">
      <c r="A19" s="82" t="s">
        <v>20591</v>
      </c>
      <c r="B19" s="82">
        <v>4339367</v>
      </c>
      <c r="C19" s="82">
        <v>337520</v>
      </c>
      <c r="D19" s="83">
        <f t="shared" si="0"/>
        <v>7.7780929799208046E-2</v>
      </c>
      <c r="E19" s="84">
        <f t="shared" si="1"/>
        <v>0.16901408450704225</v>
      </c>
      <c r="F19" s="84">
        <f t="shared" si="2"/>
        <v>9.1233154707834205E-2</v>
      </c>
      <c r="G19" s="85">
        <v>12</v>
      </c>
      <c r="H19" s="82">
        <v>71</v>
      </c>
      <c r="I19" s="87">
        <f t="shared" si="3"/>
        <v>35.553448684522401</v>
      </c>
      <c r="J19" s="87">
        <f t="shared" si="4"/>
        <v>16.361833419482611</v>
      </c>
    </row>
    <row r="20" spans="1:10" ht="16" x14ac:dyDescent="0.2">
      <c r="A20" s="82" t="s">
        <v>20576</v>
      </c>
      <c r="B20" s="82">
        <v>4533372</v>
      </c>
      <c r="C20" s="82">
        <v>1452396</v>
      </c>
      <c r="D20" s="83">
        <f t="shared" si="0"/>
        <v>0.3203787379460587</v>
      </c>
      <c r="E20" s="84">
        <f t="shared" si="1"/>
        <v>0.49484536082474229</v>
      </c>
      <c r="F20" s="84">
        <f t="shared" si="2"/>
        <v>0.17446662287868359</v>
      </c>
      <c r="G20" s="85">
        <v>48</v>
      </c>
      <c r="H20" s="86">
        <v>97</v>
      </c>
      <c r="I20" s="87">
        <f t="shared" si="3"/>
        <v>33.048837920236629</v>
      </c>
      <c r="J20" s="87">
        <f t="shared" si="4"/>
        <v>21.396876320760793</v>
      </c>
    </row>
    <row r="21" spans="1:10" ht="16" x14ac:dyDescent="0.2">
      <c r="A21" s="82" t="s">
        <v>31019</v>
      </c>
      <c r="B21" s="82">
        <v>1328361</v>
      </c>
      <c r="C21" s="82">
        <v>15707</v>
      </c>
      <c r="D21" s="83">
        <f t="shared" si="0"/>
        <v>1.1824345942104594E-2</v>
      </c>
      <c r="E21" s="84">
        <f t="shared" si="1"/>
        <v>0</v>
      </c>
      <c r="F21" s="84">
        <f t="shared" si="2"/>
        <v>-1.1824345942104594E-2</v>
      </c>
      <c r="G21" s="85">
        <v>0</v>
      </c>
      <c r="H21" s="86">
        <v>16</v>
      </c>
      <c r="I21" s="87">
        <f t="shared" si="3"/>
        <v>0</v>
      </c>
      <c r="J21" s="87">
        <f t="shared" si="4"/>
        <v>12.044918512362226</v>
      </c>
    </row>
    <row r="22" spans="1:10" ht="16" x14ac:dyDescent="0.2">
      <c r="A22" s="82" t="s">
        <v>20588</v>
      </c>
      <c r="B22" s="82">
        <v>5773552</v>
      </c>
      <c r="C22" s="82">
        <v>1700298</v>
      </c>
      <c r="D22" s="83">
        <f t="shared" si="0"/>
        <v>0.29449773726814965</v>
      </c>
      <c r="E22" s="84">
        <f t="shared" si="1"/>
        <v>0.65591397849462363</v>
      </c>
      <c r="F22" s="84">
        <f t="shared" si="2"/>
        <v>0.36141624122647398</v>
      </c>
      <c r="G22" s="85">
        <v>61</v>
      </c>
      <c r="H22" s="86">
        <v>93</v>
      </c>
      <c r="I22" s="87">
        <f t="shared" si="3"/>
        <v>35.87606407817924</v>
      </c>
      <c r="J22" s="87">
        <f t="shared" si="4"/>
        <v>16.107934941956007</v>
      </c>
    </row>
    <row r="23" spans="1:10" ht="16" x14ac:dyDescent="0.2">
      <c r="A23" s="82" t="s">
        <v>20592</v>
      </c>
      <c r="B23" s="82">
        <v>6547629</v>
      </c>
      <c r="C23" s="82">
        <v>434398</v>
      </c>
      <c r="D23" s="83">
        <f t="shared" si="0"/>
        <v>6.6344320974813936E-2</v>
      </c>
      <c r="E23" s="84">
        <f t="shared" si="1"/>
        <v>0.3125</v>
      </c>
      <c r="F23" s="84">
        <f t="shared" si="2"/>
        <v>0.24615567902518606</v>
      </c>
      <c r="G23" s="85">
        <v>15</v>
      </c>
      <c r="H23" s="86">
        <v>48</v>
      </c>
      <c r="I23" s="87">
        <f t="shared" si="3"/>
        <v>34.53054572074457</v>
      </c>
      <c r="J23" s="87">
        <f t="shared" si="4"/>
        <v>7.3308979479442105</v>
      </c>
    </row>
    <row r="24" spans="1:10" ht="16" x14ac:dyDescent="0.2">
      <c r="A24" s="82" t="s">
        <v>20597</v>
      </c>
      <c r="B24" s="82">
        <v>9883640</v>
      </c>
      <c r="C24" s="82">
        <v>1400362</v>
      </c>
      <c r="D24" s="83">
        <f t="shared" si="0"/>
        <v>0.14168484485472962</v>
      </c>
      <c r="E24" s="84">
        <f t="shared" si="1"/>
        <v>0.36249999999999999</v>
      </c>
      <c r="F24" s="84">
        <f t="shared" si="2"/>
        <v>0.22081515514527036</v>
      </c>
      <c r="G24" s="85">
        <v>29</v>
      </c>
      <c r="H24" s="86">
        <v>80</v>
      </c>
      <c r="I24" s="87">
        <f t="shared" si="3"/>
        <v>20.708930976418955</v>
      </c>
      <c r="J24" s="87">
        <f t="shared" si="4"/>
        <v>8.0941839241413085</v>
      </c>
    </row>
    <row r="25" spans="1:10" ht="16" x14ac:dyDescent="0.2">
      <c r="A25" s="82" t="s">
        <v>20594</v>
      </c>
      <c r="B25" s="82">
        <v>5303925</v>
      </c>
      <c r="C25" s="82">
        <v>274412</v>
      </c>
      <c r="D25" s="83">
        <f t="shared" si="0"/>
        <v>5.1737533996050092E-2</v>
      </c>
      <c r="E25" s="84">
        <f t="shared" si="1"/>
        <v>0.2</v>
      </c>
      <c r="F25" s="84">
        <f t="shared" si="2"/>
        <v>0.14826246600394993</v>
      </c>
      <c r="G25" s="85">
        <v>11</v>
      </c>
      <c r="H25" s="86">
        <v>55</v>
      </c>
      <c r="I25" s="87">
        <f t="shared" si="3"/>
        <v>40.085710537440058</v>
      </c>
      <c r="J25" s="87">
        <f t="shared" si="4"/>
        <v>10.369679058433141</v>
      </c>
    </row>
    <row r="26" spans="1:10" ht="16" x14ac:dyDescent="0.2">
      <c r="A26" s="82" t="s">
        <v>979</v>
      </c>
      <c r="B26" s="82">
        <v>2967297</v>
      </c>
      <c r="C26" s="82">
        <v>1074200</v>
      </c>
      <c r="D26" s="83">
        <f t="shared" si="0"/>
        <v>0.36201297005321681</v>
      </c>
      <c r="E26" s="84">
        <f t="shared" si="1"/>
        <v>0.45098039215686275</v>
      </c>
      <c r="F26" s="84">
        <f t="shared" si="2"/>
        <v>8.8967422103645943E-2</v>
      </c>
      <c r="G26" s="85">
        <v>23</v>
      </c>
      <c r="H26" s="86">
        <v>51</v>
      </c>
      <c r="I26" s="87">
        <f t="shared" si="3"/>
        <v>21.411282815118227</v>
      </c>
      <c r="J26" s="87">
        <f t="shared" si="4"/>
        <v>17.187359404872513</v>
      </c>
    </row>
    <row r="27" spans="1:10" ht="16" x14ac:dyDescent="0.2">
      <c r="A27" s="82" t="s">
        <v>20577</v>
      </c>
      <c r="B27" s="82">
        <v>5988927</v>
      </c>
      <c r="C27" s="82">
        <v>704043</v>
      </c>
      <c r="D27" s="83">
        <f t="shared" si="0"/>
        <v>0.11755745227817938</v>
      </c>
      <c r="E27" s="84">
        <f t="shared" si="1"/>
        <v>0.41904761904761906</v>
      </c>
      <c r="F27" s="84">
        <f t="shared" si="2"/>
        <v>0.30149016676943968</v>
      </c>
      <c r="G27" s="85">
        <v>44</v>
      </c>
      <c r="H27" s="86">
        <v>105</v>
      </c>
      <c r="I27" s="87">
        <f t="shared" si="3"/>
        <v>62.496182761564285</v>
      </c>
      <c r="J27" s="87">
        <f t="shared" si="4"/>
        <v>17.532355962929586</v>
      </c>
    </row>
    <row r="28" spans="1:10" ht="16" x14ac:dyDescent="0.2">
      <c r="A28" s="82" t="s">
        <v>31020</v>
      </c>
      <c r="B28" s="82">
        <v>989415</v>
      </c>
      <c r="C28" s="82">
        <v>4027</v>
      </c>
      <c r="D28" s="83">
        <f t="shared" si="0"/>
        <v>4.070081816022599E-3</v>
      </c>
      <c r="E28" s="84">
        <f t="shared" si="1"/>
        <v>0</v>
      </c>
      <c r="F28" s="84">
        <f t="shared" si="2"/>
        <v>-4.070081816022599E-3</v>
      </c>
      <c r="G28" s="85">
        <v>0</v>
      </c>
      <c r="H28" s="86">
        <v>24</v>
      </c>
      <c r="I28" s="87">
        <f t="shared" si="3"/>
        <v>0</v>
      </c>
      <c r="J28" s="87">
        <f t="shared" si="4"/>
        <v>24.256757781113084</v>
      </c>
    </row>
    <row r="29" spans="1:10" ht="16" x14ac:dyDescent="0.2">
      <c r="A29" s="82" t="s">
        <v>20582</v>
      </c>
      <c r="B29" s="82">
        <v>1826341</v>
      </c>
      <c r="C29" s="82">
        <v>82885</v>
      </c>
      <c r="D29" s="83">
        <f t="shared" si="0"/>
        <v>4.5383091109491604E-2</v>
      </c>
      <c r="E29" s="84">
        <f t="shared" si="1"/>
        <v>0.2</v>
      </c>
      <c r="F29" s="84">
        <f t="shared" si="2"/>
        <v>0.15461690889050841</v>
      </c>
      <c r="G29" s="85">
        <v>6</v>
      </c>
      <c r="H29" s="86">
        <v>30</v>
      </c>
      <c r="I29" s="87">
        <f t="shared" si="3"/>
        <v>72.389455269349099</v>
      </c>
      <c r="J29" s="87">
        <f t="shared" si="4"/>
        <v>16.426286219276683</v>
      </c>
    </row>
    <row r="30" spans="1:10" ht="16" x14ac:dyDescent="0.2">
      <c r="A30" s="82" t="s">
        <v>20586</v>
      </c>
      <c r="B30" s="82">
        <v>2700551</v>
      </c>
      <c r="C30" s="82">
        <v>218626</v>
      </c>
      <c r="D30" s="83">
        <f t="shared" si="0"/>
        <v>8.0956071557248876E-2</v>
      </c>
      <c r="E30" s="84">
        <f t="shared" si="1"/>
        <v>0.14285714285714285</v>
      </c>
      <c r="F30" s="84">
        <f t="shared" si="2"/>
        <v>6.1901071299893973E-2</v>
      </c>
      <c r="G30" s="85">
        <v>10</v>
      </c>
      <c r="H30" s="86">
        <v>70</v>
      </c>
      <c r="I30" s="87">
        <f t="shared" si="3"/>
        <v>45.740213881240109</v>
      </c>
      <c r="J30" s="87">
        <f t="shared" si="4"/>
        <v>25.920636196094797</v>
      </c>
    </row>
    <row r="31" spans="1:10" ht="16" x14ac:dyDescent="0.2">
      <c r="A31" s="82" t="s">
        <v>31021</v>
      </c>
      <c r="B31" s="82">
        <v>1316470</v>
      </c>
      <c r="C31" s="82">
        <v>15035</v>
      </c>
      <c r="D31" s="83">
        <f t="shared" si="0"/>
        <v>1.1420693217467925E-2</v>
      </c>
      <c r="E31" s="84">
        <f t="shared" si="1"/>
        <v>0</v>
      </c>
      <c r="F31" s="84">
        <f t="shared" si="2"/>
        <v>-1.1420693217467925E-2</v>
      </c>
      <c r="G31" s="85">
        <v>0</v>
      </c>
      <c r="H31" s="86">
        <v>10</v>
      </c>
      <c r="I31" s="87">
        <f t="shared" si="3"/>
        <v>0</v>
      </c>
      <c r="J31" s="87">
        <f t="shared" si="4"/>
        <v>7.5960713119174761</v>
      </c>
    </row>
    <row r="32" spans="1:10" ht="16" x14ac:dyDescent="0.2">
      <c r="A32" s="82" t="s">
        <v>21221</v>
      </c>
      <c r="B32" s="82">
        <v>8791894</v>
      </c>
      <c r="C32" s="82">
        <v>1204826</v>
      </c>
      <c r="D32" s="83">
        <f t="shared" si="0"/>
        <v>0.13703827639414215</v>
      </c>
      <c r="E32" s="84">
        <f t="shared" si="1"/>
        <v>0.46666666666666667</v>
      </c>
      <c r="F32" s="84">
        <f t="shared" si="2"/>
        <v>0.32962839027252455</v>
      </c>
      <c r="G32" s="85">
        <v>35</v>
      </c>
      <c r="H32" s="86">
        <v>75</v>
      </c>
      <c r="I32" s="87">
        <f t="shared" si="3"/>
        <v>29.049837901904507</v>
      </c>
      <c r="J32" s="87">
        <f t="shared" si="4"/>
        <v>8.5305851048704628</v>
      </c>
    </row>
    <row r="33" spans="1:10" ht="16" x14ac:dyDescent="0.2">
      <c r="A33" s="82" t="s">
        <v>20590</v>
      </c>
      <c r="B33" s="82">
        <v>2059179</v>
      </c>
      <c r="C33" s="82">
        <v>42550</v>
      </c>
      <c r="D33" s="83">
        <f t="shared" si="0"/>
        <v>2.0663575143297402E-2</v>
      </c>
      <c r="E33" s="84">
        <f t="shared" si="1"/>
        <v>3.896103896103896E-2</v>
      </c>
      <c r="F33" s="84">
        <f t="shared" si="2"/>
        <v>1.8297463817741558E-2</v>
      </c>
      <c r="G33" s="85">
        <v>3</v>
      </c>
      <c r="H33" s="86">
        <v>77</v>
      </c>
      <c r="I33" s="87">
        <f t="shared" si="3"/>
        <v>70.50528789659225</v>
      </c>
      <c r="J33" s="87">
        <f t="shared" si="4"/>
        <v>37.393543737576969</v>
      </c>
    </row>
    <row r="34" spans="1:10" ht="16" x14ac:dyDescent="0.2">
      <c r="A34" s="82" t="s">
        <v>754</v>
      </c>
      <c r="B34" s="82">
        <v>19378102</v>
      </c>
      <c r="C34" s="82">
        <v>3073800</v>
      </c>
      <c r="D34" s="83">
        <f t="shared" si="0"/>
        <v>0.1586223459862065</v>
      </c>
      <c r="E34" s="84">
        <f t="shared" si="1"/>
        <v>0.47457627118644069</v>
      </c>
      <c r="F34" s="84">
        <f t="shared" si="2"/>
        <v>0.31595392520023419</v>
      </c>
      <c r="G34" s="85">
        <v>56</v>
      </c>
      <c r="H34" s="86">
        <v>118</v>
      </c>
      <c r="I34" s="87">
        <f t="shared" si="3"/>
        <v>18.218491769145682</v>
      </c>
      <c r="J34" s="87">
        <f t="shared" si="4"/>
        <v>6.0893476564423086</v>
      </c>
    </row>
    <row r="35" spans="1:10" ht="16" x14ac:dyDescent="0.2">
      <c r="A35" s="82" t="s">
        <v>20595</v>
      </c>
      <c r="B35" s="82">
        <v>9535483</v>
      </c>
      <c r="C35" s="82">
        <v>2048628</v>
      </c>
      <c r="D35" s="83">
        <f t="shared" si="0"/>
        <v>0.21484260419739618</v>
      </c>
      <c r="E35" s="84">
        <f t="shared" si="1"/>
        <v>0.41549295774647887</v>
      </c>
      <c r="F35" s="84">
        <f t="shared" si="2"/>
        <v>0.2006503535490827</v>
      </c>
      <c r="G35" s="85">
        <v>59</v>
      </c>
      <c r="H35" s="86">
        <v>142</v>
      </c>
      <c r="I35" s="87">
        <f t="shared" si="3"/>
        <v>28.799762572804823</v>
      </c>
      <c r="J35" s="87">
        <f t="shared" si="4"/>
        <v>14.891746962372016</v>
      </c>
    </row>
    <row r="36" spans="1:10" ht="16" x14ac:dyDescent="0.2">
      <c r="A36" s="82" t="s">
        <v>31022</v>
      </c>
      <c r="B36" s="82">
        <v>672591</v>
      </c>
      <c r="C36" s="82">
        <v>7960</v>
      </c>
      <c r="D36" s="83">
        <f t="shared" si="0"/>
        <v>1.1834829785114579E-2</v>
      </c>
      <c r="E36" s="84">
        <f t="shared" si="1"/>
        <v>0</v>
      </c>
      <c r="F36" s="84">
        <f t="shared" si="2"/>
        <v>-1.1834829785114579E-2</v>
      </c>
      <c r="G36" s="85">
        <v>0</v>
      </c>
      <c r="H36" s="86">
        <v>6</v>
      </c>
      <c r="I36" s="87">
        <f t="shared" si="3"/>
        <v>0</v>
      </c>
      <c r="J36" s="87">
        <f t="shared" si="4"/>
        <v>8.9207259686793314</v>
      </c>
    </row>
    <row r="37" spans="1:10" ht="16" x14ac:dyDescent="0.2">
      <c r="A37" s="82" t="s">
        <v>13797</v>
      </c>
      <c r="B37" s="82">
        <v>11536504</v>
      </c>
      <c r="C37" s="82">
        <v>1407681</v>
      </c>
      <c r="D37" s="83">
        <f t="shared" si="0"/>
        <v>0.12201972105240895</v>
      </c>
      <c r="E37" s="84">
        <f t="shared" si="1"/>
        <v>0.40441176470588236</v>
      </c>
      <c r="F37" s="84">
        <f t="shared" si="2"/>
        <v>0.28239204365347342</v>
      </c>
      <c r="G37" s="85">
        <v>55</v>
      </c>
      <c r="H37" s="86">
        <v>136</v>
      </c>
      <c r="I37" s="87">
        <f t="shared" si="3"/>
        <v>39.071352103210884</v>
      </c>
      <c r="J37" s="87">
        <f t="shared" si="4"/>
        <v>11.788666653259947</v>
      </c>
    </row>
    <row r="38" spans="1:10" ht="16" x14ac:dyDescent="0.2">
      <c r="A38" s="82" t="s">
        <v>1095</v>
      </c>
      <c r="B38" s="82">
        <v>3751351</v>
      </c>
      <c r="C38" s="82">
        <v>277644</v>
      </c>
      <c r="D38" s="83">
        <f t="shared" si="0"/>
        <v>7.4011736038563175E-2</v>
      </c>
      <c r="E38" s="84">
        <f t="shared" si="1"/>
        <v>0.28688524590163933</v>
      </c>
      <c r="F38" s="84">
        <f t="shared" si="2"/>
        <v>0.21287350986307615</v>
      </c>
      <c r="G38" s="85">
        <v>35</v>
      </c>
      <c r="H38" s="86">
        <v>122</v>
      </c>
      <c r="I38" s="87">
        <f t="shared" si="3"/>
        <v>126.06071083833974</v>
      </c>
      <c r="J38" s="87">
        <f t="shared" si="4"/>
        <v>32.521616878825789</v>
      </c>
    </row>
    <row r="39" spans="1:10" ht="16" x14ac:dyDescent="0.2">
      <c r="A39" s="82" t="s">
        <v>20587</v>
      </c>
      <c r="B39" s="82">
        <v>3831074</v>
      </c>
      <c r="C39" s="82">
        <v>69206</v>
      </c>
      <c r="D39" s="83">
        <f t="shared" si="0"/>
        <v>1.8064386122533787E-2</v>
      </c>
      <c r="E39" s="84">
        <f t="shared" si="1"/>
        <v>4.3478260869565216E-2</v>
      </c>
      <c r="F39" s="84">
        <f t="shared" si="2"/>
        <v>2.5413874747031429E-2</v>
      </c>
      <c r="G39" s="85">
        <v>3</v>
      </c>
      <c r="H39" s="86">
        <v>69</v>
      </c>
      <c r="I39" s="87">
        <f t="shared" si="3"/>
        <v>43.348842585902958</v>
      </c>
      <c r="J39" s="87">
        <f t="shared" si="4"/>
        <v>18.010615300043799</v>
      </c>
    </row>
    <row r="40" spans="1:10" ht="16" x14ac:dyDescent="0.2">
      <c r="A40" s="82" t="s">
        <v>20598</v>
      </c>
      <c r="B40" s="82">
        <v>12702379</v>
      </c>
      <c r="C40" s="82">
        <v>1377689</v>
      </c>
      <c r="D40" s="83">
        <f t="shared" si="0"/>
        <v>0.10845913194685815</v>
      </c>
      <c r="E40" s="84">
        <f t="shared" si="1"/>
        <v>0.30973451327433627</v>
      </c>
      <c r="F40" s="84">
        <f t="shared" si="2"/>
        <v>0.20127538132747813</v>
      </c>
      <c r="G40" s="85">
        <v>35</v>
      </c>
      <c r="H40" s="86">
        <v>113</v>
      </c>
      <c r="I40" s="87">
        <f t="shared" si="3"/>
        <v>25.404862781077586</v>
      </c>
      <c r="J40" s="87">
        <f t="shared" si="4"/>
        <v>8.8959713767003805</v>
      </c>
    </row>
    <row r="41" spans="1:10" ht="16" x14ac:dyDescent="0.2">
      <c r="A41" s="82" t="s">
        <v>31023</v>
      </c>
      <c r="B41" s="82">
        <v>1052567</v>
      </c>
      <c r="C41" s="82">
        <v>60189</v>
      </c>
      <c r="D41" s="83">
        <f t="shared" si="0"/>
        <v>5.7183058180619382E-2</v>
      </c>
      <c r="E41" s="84">
        <f t="shared" si="1"/>
        <v>0.4</v>
      </c>
      <c r="F41" s="84">
        <f t="shared" si="2"/>
        <v>0.34281694181938066</v>
      </c>
      <c r="G41" s="85">
        <v>2</v>
      </c>
      <c r="H41" s="86">
        <v>5</v>
      </c>
      <c r="I41" s="87">
        <f t="shared" si="3"/>
        <v>33.228663044742397</v>
      </c>
      <c r="J41" s="87">
        <f t="shared" si="4"/>
        <v>4.7502914303792538</v>
      </c>
    </row>
    <row r="42" spans="1:10" ht="16" x14ac:dyDescent="0.2">
      <c r="A42" s="82" t="s">
        <v>31024</v>
      </c>
      <c r="B42" s="82">
        <v>4625364</v>
      </c>
      <c r="C42" s="82">
        <v>1290684</v>
      </c>
      <c r="D42" s="83">
        <f t="shared" si="0"/>
        <v>0.2790448492270014</v>
      </c>
      <c r="E42" s="84">
        <f t="shared" si="1"/>
        <v>0.33750000000000002</v>
      </c>
      <c r="F42" s="84">
        <f t="shared" si="2"/>
        <v>5.8455150772998621E-2</v>
      </c>
      <c r="G42" s="85">
        <v>27</v>
      </c>
      <c r="H42" s="86">
        <v>80</v>
      </c>
      <c r="I42" s="87">
        <f t="shared" si="3"/>
        <v>20.919140548732301</v>
      </c>
      <c r="J42" s="87">
        <f t="shared" si="4"/>
        <v>17.295936060383571</v>
      </c>
    </row>
    <row r="43" spans="1:10" ht="16" x14ac:dyDescent="0.2">
      <c r="A43" s="82" t="s">
        <v>31025</v>
      </c>
      <c r="B43" s="82">
        <v>814180</v>
      </c>
      <c r="C43" s="82">
        <v>10207</v>
      </c>
      <c r="D43" s="83">
        <f t="shared" si="0"/>
        <v>1.2536539831486894E-2</v>
      </c>
      <c r="E43" s="84">
        <f t="shared" si="1"/>
        <v>0</v>
      </c>
      <c r="F43" s="84">
        <f t="shared" si="2"/>
        <v>-1.2536539831486894E-2</v>
      </c>
      <c r="G43" s="85">
        <v>0</v>
      </c>
      <c r="H43" s="86">
        <v>14</v>
      </c>
      <c r="I43" s="87">
        <f t="shared" si="3"/>
        <v>0</v>
      </c>
      <c r="J43" s="87">
        <f t="shared" si="4"/>
        <v>17.195214817362253</v>
      </c>
    </row>
    <row r="44" spans="1:10" ht="16" x14ac:dyDescent="0.2">
      <c r="A44" s="82" t="s">
        <v>20584</v>
      </c>
      <c r="B44" s="82">
        <v>6346105</v>
      </c>
      <c r="C44" s="82">
        <v>1055689</v>
      </c>
      <c r="D44" s="83">
        <f t="shared" si="0"/>
        <v>0.16635227434780861</v>
      </c>
      <c r="E44" s="84">
        <f t="shared" si="1"/>
        <v>0.21649484536082475</v>
      </c>
      <c r="F44" s="84">
        <f t="shared" si="2"/>
        <v>5.0142571013016141E-2</v>
      </c>
      <c r="G44" s="85">
        <v>21</v>
      </c>
      <c r="H44" s="86">
        <v>97</v>
      </c>
      <c r="I44" s="87">
        <f t="shared" si="3"/>
        <v>19.892222046454968</v>
      </c>
      <c r="J44" s="87">
        <f t="shared" si="4"/>
        <v>15.284966132769627</v>
      </c>
    </row>
    <row r="45" spans="1:10" ht="16" x14ac:dyDescent="0.2">
      <c r="A45" s="82" t="s">
        <v>20580</v>
      </c>
      <c r="B45" s="82">
        <v>25145561</v>
      </c>
      <c r="C45" s="82">
        <v>2979598</v>
      </c>
      <c r="D45" s="83">
        <f t="shared" si="0"/>
        <v>0.11849399581898372</v>
      </c>
      <c r="E45" s="84">
        <f t="shared" si="1"/>
        <v>0.23277909738717339</v>
      </c>
      <c r="F45" s="84">
        <f t="shared" si="2"/>
        <v>0.11428510156818968</v>
      </c>
      <c r="G45" s="85">
        <v>98</v>
      </c>
      <c r="H45" s="86">
        <v>421</v>
      </c>
      <c r="I45" s="87">
        <f t="shared" si="3"/>
        <v>32.890342925455045</v>
      </c>
      <c r="J45" s="87">
        <f t="shared" si="4"/>
        <v>16.742517695270351</v>
      </c>
    </row>
    <row r="46" spans="1:10" ht="16" x14ac:dyDescent="0.2">
      <c r="A46" s="82" t="s">
        <v>590</v>
      </c>
      <c r="B46" s="82">
        <v>2763885</v>
      </c>
      <c r="C46" s="82">
        <v>29287</v>
      </c>
      <c r="D46" s="83">
        <f t="shared" si="0"/>
        <v>1.0596316416927622E-2</v>
      </c>
      <c r="E46" s="84">
        <f t="shared" si="1"/>
        <v>6.5217391304347824E-2</v>
      </c>
      <c r="F46" s="84">
        <f t="shared" si="2"/>
        <v>5.4621074887420198E-2</v>
      </c>
      <c r="G46" s="85">
        <v>3</v>
      </c>
      <c r="H46" s="82">
        <v>46</v>
      </c>
      <c r="I46" s="87">
        <f t="shared" si="3"/>
        <v>102.43452726465668</v>
      </c>
      <c r="J46" s="87">
        <f t="shared" si="4"/>
        <v>16.643239498025427</v>
      </c>
    </row>
    <row r="47" spans="1:10" ht="16" x14ac:dyDescent="0.2">
      <c r="A47" s="82" t="s">
        <v>31026</v>
      </c>
      <c r="B47" s="82">
        <v>625741</v>
      </c>
      <c r="C47" s="82">
        <v>6277</v>
      </c>
      <c r="D47" s="83">
        <f t="shared" si="0"/>
        <v>1.0031306882560037E-2</v>
      </c>
      <c r="E47" s="84">
        <f t="shared" si="1"/>
        <v>0</v>
      </c>
      <c r="F47" s="84">
        <f t="shared" si="2"/>
        <v>-1.0031306882560037E-2</v>
      </c>
      <c r="G47" s="85">
        <v>0</v>
      </c>
      <c r="H47" s="82">
        <v>5</v>
      </c>
      <c r="I47" s="87">
        <f t="shared" si="3"/>
        <v>0</v>
      </c>
      <c r="J47" s="87">
        <f t="shared" si="4"/>
        <v>7.9905264318623841</v>
      </c>
    </row>
    <row r="48" spans="1:10" ht="16" x14ac:dyDescent="0.2">
      <c r="A48" s="82" t="s">
        <v>20589</v>
      </c>
      <c r="B48" s="82">
        <v>8001024</v>
      </c>
      <c r="C48" s="82">
        <v>1551399</v>
      </c>
      <c r="D48" s="83">
        <f t="shared" si="0"/>
        <v>0.19390005579285852</v>
      </c>
      <c r="E48" s="84">
        <f t="shared" si="1"/>
        <v>0.43661971830985913</v>
      </c>
      <c r="F48" s="84">
        <f t="shared" si="2"/>
        <v>0.24271966251700061</v>
      </c>
      <c r="G48" s="85">
        <v>31</v>
      </c>
      <c r="H48" s="86">
        <v>71</v>
      </c>
      <c r="I48" s="87">
        <f t="shared" si="3"/>
        <v>19.981964665440675</v>
      </c>
      <c r="J48" s="87">
        <f t="shared" si="4"/>
        <v>8.8738641453893905</v>
      </c>
    </row>
    <row r="49" spans="1:10" ht="16" x14ac:dyDescent="0.2">
      <c r="A49" s="82" t="s">
        <v>118</v>
      </c>
      <c r="B49" s="82">
        <v>6724540</v>
      </c>
      <c r="C49" s="82">
        <v>240042</v>
      </c>
      <c r="D49" s="83">
        <f t="shared" si="0"/>
        <v>3.5696419383333282E-2</v>
      </c>
      <c r="E49" s="84">
        <f t="shared" si="1"/>
        <v>0.10344827586206896</v>
      </c>
      <c r="F49" s="84">
        <f t="shared" si="2"/>
        <v>6.7751856478735689E-2</v>
      </c>
      <c r="G49" s="85">
        <v>12</v>
      </c>
      <c r="H49" s="86">
        <v>116</v>
      </c>
      <c r="I49" s="87">
        <f t="shared" si="3"/>
        <v>49.991251530982083</v>
      </c>
      <c r="J49" s="87">
        <f t="shared" si="4"/>
        <v>17.250250574760503</v>
      </c>
    </row>
    <row r="50" spans="1:10" ht="16" x14ac:dyDescent="0.2">
      <c r="A50" s="82" t="s">
        <v>31027</v>
      </c>
      <c r="B50" s="82">
        <v>1852994</v>
      </c>
      <c r="C50" s="82">
        <v>63124</v>
      </c>
      <c r="D50" s="83">
        <f t="shared" si="0"/>
        <v>3.4065949484995632E-2</v>
      </c>
      <c r="E50" s="84">
        <f t="shared" si="1"/>
        <v>0.11904761904761904</v>
      </c>
      <c r="F50" s="84">
        <f t="shared" si="2"/>
        <v>8.4981669562623402E-2</v>
      </c>
      <c r="G50" s="85">
        <v>5</v>
      </c>
      <c r="H50" s="86">
        <v>42</v>
      </c>
      <c r="I50" s="87">
        <f t="shared" si="3"/>
        <v>79.209175590900458</v>
      </c>
      <c r="J50" s="87">
        <f t="shared" si="4"/>
        <v>22.666020505193217</v>
      </c>
    </row>
    <row r="51" spans="1:10" ht="16" x14ac:dyDescent="0.2">
      <c r="A51" s="82" t="s">
        <v>20596</v>
      </c>
      <c r="B51" s="82">
        <v>5686986</v>
      </c>
      <c r="C51" s="82">
        <v>359148</v>
      </c>
      <c r="D51" s="83">
        <f t="shared" si="0"/>
        <v>6.3152608429139792E-2</v>
      </c>
      <c r="E51" s="84">
        <f t="shared" si="1"/>
        <v>0.30357142857142855</v>
      </c>
      <c r="F51" s="84">
        <f t="shared" si="2"/>
        <v>0.24041882014228877</v>
      </c>
      <c r="G51" s="85">
        <v>17</v>
      </c>
      <c r="H51" s="86">
        <v>56</v>
      </c>
      <c r="I51" s="87">
        <f t="shared" si="3"/>
        <v>47.33424660585608</v>
      </c>
      <c r="J51" s="87">
        <f t="shared" si="4"/>
        <v>9.8470437592074251</v>
      </c>
    </row>
    <row r="52" spans="1:10" ht="16" x14ac:dyDescent="0.2">
      <c r="A52" s="82" t="s">
        <v>4439</v>
      </c>
      <c r="B52" s="82">
        <v>563626</v>
      </c>
      <c r="C52" s="82">
        <v>4748</v>
      </c>
      <c r="D52" s="83">
        <f t="shared" si="0"/>
        <v>8.4240258611206729E-3</v>
      </c>
      <c r="E52" s="84">
        <f t="shared" si="1"/>
        <v>0</v>
      </c>
      <c r="F52" s="84">
        <f t="shared" si="2"/>
        <v>-8.4240258611206729E-3</v>
      </c>
      <c r="G52" s="85">
        <v>0</v>
      </c>
      <c r="H52" s="86">
        <v>14</v>
      </c>
      <c r="I52" s="87">
        <f t="shared" si="3"/>
        <v>0</v>
      </c>
      <c r="J52" s="87">
        <f t="shared" si="4"/>
        <v>24.839166397575699</v>
      </c>
    </row>
    <row r="55" spans="1:10" x14ac:dyDescent="0.15">
      <c r="A55" s="32" t="s">
        <v>27748</v>
      </c>
    </row>
  </sheetData>
  <hyperlinks>
    <hyperlink ref="A26" r:id="rId1" tooltip="Mississippi"/>
    <hyperlink ref="A20" r:id="rId2" tooltip="Louisiana"/>
    <hyperlink ref="A12" r:id="rId3" tooltip="Georgia (U.S. state)"/>
    <hyperlink ref="A22" r:id="rId4" tooltip="Maryland"/>
    <hyperlink ref="A42" r:id="rId5" tooltip="South Carolina"/>
    <hyperlink ref="A2" r:id="rId6" tooltip="Alabama"/>
    <hyperlink ref="A35" r:id="rId7" tooltip="North Carolina"/>
    <hyperlink ref="A9" r:id="rId8" tooltip="Delaware"/>
    <hyperlink ref="A48" r:id="rId9" tooltip="Virginia"/>
    <hyperlink ref="A44" r:id="rId10" tooltip="Tennessee"/>
    <hyperlink ref="A11" r:id="rId11" tooltip="Florida"/>
    <hyperlink ref="A5" r:id="rId12" tooltip="Arkansas"/>
    <hyperlink ref="A34" r:id="rId13" tooltip="New York"/>
    <hyperlink ref="A15" r:id="rId14" tooltip="Illinois"/>
    <hyperlink ref="A32" r:id="rId15" tooltip="New Jersey"/>
    <hyperlink ref="A24" r:id="rId16" tooltip="Michigan"/>
    <hyperlink ref="A37" r:id="rId17" tooltip="Ohio"/>
    <hyperlink ref="A45" r:id="rId18" tooltip="Texas"/>
    <hyperlink ref="A27" r:id="rId19" tooltip="Missouri"/>
    <hyperlink ref="A40" r:id="rId20" tooltip="Pennsylvania"/>
    <hyperlink ref="A8" r:id="rId21" tooltip="Connecticut"/>
    <hyperlink ref="A16" r:id="rId22" tooltip="Indiana"/>
    <hyperlink ref="A30" r:id="rId23" tooltip="Nevada"/>
    <hyperlink ref="A38" r:id="rId24" tooltip="Oklahoma"/>
    <hyperlink ref="A23" r:id="rId25" tooltip="Massachusetts"/>
    <hyperlink ref="A6" r:id="rId26" tooltip="California"/>
    <hyperlink ref="A41" r:id="rId27" tooltip="Rhode Island"/>
    <hyperlink ref="A18" r:id="rId28" tooltip="Kansas"/>
    <hyperlink ref="A51" r:id="rId29" tooltip="Wisconsin"/>
    <hyperlink ref="A25" r:id="rId30" tooltip="Minnesota"/>
    <hyperlink ref="A29" r:id="rId31" tooltip="Nebraska"/>
    <hyperlink ref="A7" r:id="rId32" tooltip="Colorado"/>
    <hyperlink ref="A3" r:id="rId33" tooltip="Alaska"/>
    <hyperlink ref="A4" r:id="rId34" tooltip="Arizona"/>
    <hyperlink ref="A49" r:id="rId35" tooltip="Washington (U.S. state)"/>
    <hyperlink ref="A50" r:id="rId36" tooltip="West Virginia"/>
    <hyperlink ref="A13" r:id="rId37" tooltip="Hawaii"/>
    <hyperlink ref="A33" r:id="rId38" tooltip="New Mexico"/>
    <hyperlink ref="A17" r:id="rId39" tooltip="Iowa"/>
    <hyperlink ref="A39" r:id="rId40" tooltip="Oregon"/>
    <hyperlink ref="A52" r:id="rId41" tooltip="Wyoming"/>
    <hyperlink ref="A46" r:id="rId42" tooltip="Utah"/>
    <hyperlink ref="A31" r:id="rId43" tooltip="New Hampshire"/>
    <hyperlink ref="A43" r:id="rId44" tooltip="South Dakota"/>
    <hyperlink ref="A36" r:id="rId45" tooltip="North Dakota"/>
    <hyperlink ref="A21" r:id="rId46" tooltip="Maine"/>
    <hyperlink ref="A14" r:id="rId47" tooltip="Idaho"/>
    <hyperlink ref="A28" r:id="rId48" tooltip="Montan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topLeftCell="B3" zoomScale="107" workbookViewId="0">
      <selection activeCell="H62" sqref="H62"/>
    </sheetView>
  </sheetViews>
  <sheetFormatPr baseColWidth="10" defaultRowHeight="13" x14ac:dyDescent="0.15"/>
  <cols>
    <col min="1" max="1" width="0" style="31" hidden="1" customWidth="1"/>
    <col min="2" max="2" width="23.1640625" style="26" customWidth="1"/>
    <col min="3" max="3" width="29.1640625" style="32" customWidth="1"/>
    <col min="4" max="6" width="10" style="32" customWidth="1"/>
    <col min="7" max="9" width="10.33203125" style="32" customWidth="1"/>
    <col min="10" max="12" width="10.83203125" style="26" customWidth="1"/>
    <col min="13" max="17" width="10.33203125" style="32" customWidth="1"/>
    <col min="18" max="25" width="10.83203125" style="26" customWidth="1"/>
    <col min="26" max="26" width="12.83203125" style="26" customWidth="1"/>
    <col min="27" max="27" width="10" style="26" customWidth="1"/>
    <col min="28" max="28" width="10.83203125" style="26" customWidth="1"/>
    <col min="29" max="30" width="10.83203125" style="26"/>
    <col min="31" max="32" width="10.83203125" style="26" customWidth="1"/>
    <col min="33" max="33" width="13" style="26" bestFit="1" customWidth="1"/>
    <col min="34" max="34" width="13" style="26" customWidth="1"/>
    <col min="35" max="36" width="10.83203125" style="15"/>
    <col min="37" max="37" width="10.83203125" style="12"/>
    <col min="38" max="16384" width="10.83203125" style="15"/>
  </cols>
  <sheetData>
    <row r="1" spans="1:40" s="24" customFormat="1" ht="29" customHeight="1" x14ac:dyDescent="0.15">
      <c r="A1" s="27" t="s">
        <v>21206</v>
      </c>
      <c r="B1" s="28" t="s">
        <v>21207</v>
      </c>
      <c r="C1" s="29" t="s">
        <v>20573</v>
      </c>
      <c r="D1" s="29" t="s">
        <v>27616</v>
      </c>
      <c r="E1" s="29" t="s">
        <v>27617</v>
      </c>
      <c r="F1" s="29" t="s">
        <v>27618</v>
      </c>
      <c r="G1" s="29" t="s">
        <v>27619</v>
      </c>
      <c r="H1" s="24" t="s">
        <v>27627</v>
      </c>
      <c r="I1" s="29" t="s">
        <v>27624</v>
      </c>
      <c r="J1" s="24" t="s">
        <v>27626</v>
      </c>
      <c r="K1" s="24" t="s">
        <v>27749</v>
      </c>
      <c r="L1" s="24" t="s">
        <v>27750</v>
      </c>
      <c r="M1" s="29" t="s">
        <v>27620</v>
      </c>
      <c r="N1" s="29" t="s">
        <v>27621</v>
      </c>
      <c r="O1" s="29" t="s">
        <v>27622</v>
      </c>
      <c r="P1" s="29" t="s">
        <v>27623</v>
      </c>
      <c r="Q1" s="29" t="s">
        <v>27615</v>
      </c>
      <c r="R1" s="19" t="s">
        <v>21208</v>
      </c>
      <c r="S1" s="20" t="s">
        <v>85</v>
      </c>
      <c r="T1" s="20" t="s">
        <v>37</v>
      </c>
      <c r="U1" s="21" t="s">
        <v>21209</v>
      </c>
      <c r="V1" s="22" t="s">
        <v>21</v>
      </c>
      <c r="W1" s="20" t="s">
        <v>21210</v>
      </c>
      <c r="X1" s="20" t="s">
        <v>21211</v>
      </c>
      <c r="Y1" s="20" t="s">
        <v>21212</v>
      </c>
      <c r="Z1" s="20" t="s">
        <v>21213</v>
      </c>
      <c r="AA1" s="23" t="s">
        <v>48</v>
      </c>
      <c r="AB1" s="28" t="s">
        <v>21200</v>
      </c>
      <c r="AC1" s="30" t="s">
        <v>21214</v>
      </c>
      <c r="AD1" s="30" t="s">
        <v>21215</v>
      </c>
      <c r="AE1" s="24" t="s">
        <v>21199</v>
      </c>
      <c r="AF1" s="24" t="s">
        <v>21216</v>
      </c>
      <c r="AG1" s="24" t="s">
        <v>21217</v>
      </c>
      <c r="AH1" s="24" t="s">
        <v>21218</v>
      </c>
      <c r="AI1" s="24" t="s">
        <v>22961</v>
      </c>
      <c r="AJ1" s="24" t="s">
        <v>22962</v>
      </c>
      <c r="AK1" s="24" t="s">
        <v>24958</v>
      </c>
      <c r="AL1" s="24" t="s">
        <v>27629</v>
      </c>
      <c r="AM1" s="24" t="s">
        <v>27628</v>
      </c>
      <c r="AN1" s="24" t="s">
        <v>27630</v>
      </c>
    </row>
    <row r="2" spans="1:40" x14ac:dyDescent="0.15">
      <c r="A2" s="31" t="s">
        <v>20590</v>
      </c>
      <c r="B2" s="31" t="s">
        <v>922</v>
      </c>
      <c r="C2" s="32" t="s">
        <v>4961</v>
      </c>
      <c r="D2" s="32">
        <v>4</v>
      </c>
      <c r="E2" s="32">
        <v>6</v>
      </c>
      <c r="F2" s="32">
        <v>3</v>
      </c>
      <c r="G2" s="32">
        <v>2</v>
      </c>
      <c r="H2" s="32">
        <v>0</v>
      </c>
      <c r="I2" s="32">
        <f>D2+E2+F2+G2</f>
        <v>15</v>
      </c>
      <c r="J2" s="32">
        <v>3</v>
      </c>
      <c r="K2" s="32">
        <v>0</v>
      </c>
      <c r="L2" s="58">
        <f>K2/I2</f>
        <v>0</v>
      </c>
      <c r="M2" s="56">
        <f t="shared" ref="M2:M33" si="0">D2/R2*1000000</f>
        <v>7.3279936686134706</v>
      </c>
      <c r="N2" s="56">
        <f t="shared" ref="N2:N33" si="1">E2/R2*1000000</f>
        <v>10.991990502920205</v>
      </c>
      <c r="O2" s="56">
        <f t="shared" ref="O2:O33" si="2">F2/R2*1000000</f>
        <v>5.4959952514601023</v>
      </c>
      <c r="P2" s="56">
        <f t="shared" ref="P2:P33" si="3">G2/R2*1000000</f>
        <v>3.6639968343067353</v>
      </c>
      <c r="Q2" s="56">
        <f>(M2+N2+O2+P2)/4</f>
        <v>6.8699940643251285</v>
      </c>
      <c r="R2" s="34">
        <v>545852</v>
      </c>
      <c r="S2" s="35">
        <v>14878</v>
      </c>
      <c r="T2" s="35">
        <v>229933</v>
      </c>
      <c r="U2" s="35">
        <v>20627</v>
      </c>
      <c r="V2" s="35">
        <v>13674</v>
      </c>
      <c r="W2" s="36">
        <v>418</v>
      </c>
      <c r="X2" s="36">
        <f t="shared" ref="X2:X33" si="4">V2+W2</f>
        <v>14092</v>
      </c>
      <c r="Y2" s="35">
        <v>1224</v>
      </c>
      <c r="Z2" s="35">
        <v>10043</v>
      </c>
      <c r="AA2" s="37">
        <v>255055</v>
      </c>
      <c r="AB2" s="33">
        <v>558874</v>
      </c>
      <c r="AC2" s="33">
        <v>4934</v>
      </c>
      <c r="AD2" s="33">
        <v>30</v>
      </c>
      <c r="AE2" s="25">
        <f t="shared" ref="AE2:AE33" si="5">AC2/AB2*1000</f>
        <v>8.8284658080354426</v>
      </c>
      <c r="AF2" s="25">
        <f t="shared" ref="AF2:AF33" si="6">AD2/AB2*100000</f>
        <v>5.3679362432319273</v>
      </c>
      <c r="AG2" s="25">
        <f t="shared" ref="AG2:AG33" si="7">I2/R2*1000000</f>
        <v>27.479976257300514</v>
      </c>
      <c r="AH2" s="25">
        <f t="shared" ref="AH2:AH33" si="8">J2/S2*1000000</f>
        <v>201.64000537706681</v>
      </c>
      <c r="AI2" s="25">
        <f t="shared" ref="AI2:AI33" si="9">AH2/3</f>
        <v>67.213335125688943</v>
      </c>
      <c r="AJ2" s="25">
        <f t="shared" ref="AJ2:AJ33" si="10">(AI2*2)/10</f>
        <v>13.442667025137789</v>
      </c>
      <c r="AK2" s="50">
        <v>28.484186172485352</v>
      </c>
      <c r="AL2" s="15">
        <f t="shared" ref="AL2:AL33" si="11">H2/G2*100</f>
        <v>0</v>
      </c>
      <c r="AN2" s="15">
        <v>5</v>
      </c>
    </row>
    <row r="3" spans="1:40" x14ac:dyDescent="0.15">
      <c r="A3" s="31" t="s">
        <v>20575</v>
      </c>
      <c r="B3" s="31" t="s">
        <v>1879</v>
      </c>
      <c r="C3" s="32" t="s">
        <v>1881</v>
      </c>
      <c r="D3" s="32">
        <v>0</v>
      </c>
      <c r="E3" s="32">
        <v>2</v>
      </c>
      <c r="F3" s="32">
        <v>3</v>
      </c>
      <c r="G3" s="32">
        <v>4</v>
      </c>
      <c r="H3" s="32">
        <v>0</v>
      </c>
      <c r="I3" s="32">
        <f t="shared" ref="I3:I61" si="12">D3+E3+F3+G3</f>
        <v>9</v>
      </c>
      <c r="J3" s="32">
        <v>2</v>
      </c>
      <c r="K3" s="32">
        <v>2</v>
      </c>
      <c r="L3" s="58">
        <f t="shared" ref="L3:L62" si="13">K3/I3</f>
        <v>0.22222222222222221</v>
      </c>
      <c r="M3" s="56">
        <f t="shared" si="0"/>
        <v>0</v>
      </c>
      <c r="N3" s="56">
        <f t="shared" si="1"/>
        <v>5.9476900658706677</v>
      </c>
      <c r="O3" s="56">
        <f t="shared" si="2"/>
        <v>8.921535098806002</v>
      </c>
      <c r="P3" s="56">
        <f t="shared" si="3"/>
        <v>11.895380131741335</v>
      </c>
      <c r="Q3" s="56">
        <f t="shared" ref="Q3:Q61" si="14">(M3+N3+O3+P3)/4</f>
        <v>6.6911513241045011</v>
      </c>
      <c r="R3" s="34">
        <v>336265</v>
      </c>
      <c r="S3" s="35">
        <v>8209</v>
      </c>
      <c r="T3" s="35">
        <v>92362</v>
      </c>
      <c r="U3" s="36">
        <v>743</v>
      </c>
      <c r="V3" s="35">
        <v>49210</v>
      </c>
      <c r="W3" s="35">
        <v>1437</v>
      </c>
      <c r="X3" s="36">
        <f t="shared" si="4"/>
        <v>50647</v>
      </c>
      <c r="Y3" s="36">
        <v>628</v>
      </c>
      <c r="Z3" s="35">
        <v>6209</v>
      </c>
      <c r="AA3" s="37">
        <v>177467</v>
      </c>
      <c r="AB3" s="33">
        <v>346956</v>
      </c>
      <c r="AC3" s="33">
        <v>1101</v>
      </c>
      <c r="AD3" s="33">
        <v>14</v>
      </c>
      <c r="AE3" s="25">
        <f t="shared" si="5"/>
        <v>3.1733130425760039</v>
      </c>
      <c r="AF3" s="25">
        <f t="shared" si="6"/>
        <v>4.035093787108452</v>
      </c>
      <c r="AG3" s="25">
        <f t="shared" si="7"/>
        <v>26.764605296418001</v>
      </c>
      <c r="AH3" s="25">
        <f t="shared" si="8"/>
        <v>243.63503471799245</v>
      </c>
      <c r="AI3" s="25">
        <f t="shared" si="9"/>
        <v>81.211678239330823</v>
      </c>
      <c r="AJ3" s="25">
        <f t="shared" si="10"/>
        <v>16.242335647866163</v>
      </c>
      <c r="AK3" s="50">
        <v>27.784099578857422</v>
      </c>
      <c r="AL3" s="15">
        <f t="shared" si="11"/>
        <v>0</v>
      </c>
      <c r="AN3" s="15">
        <v>3</v>
      </c>
    </row>
    <row r="4" spans="1:40" x14ac:dyDescent="0.15">
      <c r="A4" s="31" t="s">
        <v>20580</v>
      </c>
      <c r="B4" s="31" t="s">
        <v>843</v>
      </c>
      <c r="C4" s="32" t="s">
        <v>844</v>
      </c>
      <c r="D4" s="32">
        <v>1</v>
      </c>
      <c r="E4" s="32">
        <v>1</v>
      </c>
      <c r="F4" s="32">
        <v>3</v>
      </c>
      <c r="G4" s="32">
        <v>0</v>
      </c>
      <c r="H4" s="32">
        <v>0</v>
      </c>
      <c r="I4" s="32">
        <f t="shared" si="12"/>
        <v>5</v>
      </c>
      <c r="J4" s="32">
        <v>3</v>
      </c>
      <c r="K4" s="32">
        <v>2</v>
      </c>
      <c r="L4" s="58">
        <f t="shared" si="13"/>
        <v>0.4</v>
      </c>
      <c r="M4" s="56">
        <f t="shared" si="0"/>
        <v>2.7364422966412905</v>
      </c>
      <c r="N4" s="56">
        <f t="shared" si="1"/>
        <v>2.7364422966412905</v>
      </c>
      <c r="O4" s="56">
        <f t="shared" si="2"/>
        <v>8.2093268899238723</v>
      </c>
      <c r="P4" s="56">
        <f t="shared" si="3"/>
        <v>0</v>
      </c>
      <c r="Q4" s="56">
        <f t="shared" si="14"/>
        <v>3.4205528708016133</v>
      </c>
      <c r="R4" s="34">
        <v>365438</v>
      </c>
      <c r="S4" s="35">
        <v>67087</v>
      </c>
      <c r="T4" s="35">
        <v>164022</v>
      </c>
      <c r="U4" s="35">
        <v>1338</v>
      </c>
      <c r="V4" s="35">
        <v>24564</v>
      </c>
      <c r="W4" s="36">
        <v>373</v>
      </c>
      <c r="X4" s="36">
        <f t="shared" si="4"/>
        <v>24937</v>
      </c>
      <c r="Y4" s="36">
        <v>597</v>
      </c>
      <c r="Z4" s="35">
        <v>7188</v>
      </c>
      <c r="AA4" s="37">
        <v>100269</v>
      </c>
      <c r="AB4" s="33">
        <v>382976</v>
      </c>
      <c r="AC4" s="33">
        <v>1854</v>
      </c>
      <c r="AD4" s="33">
        <v>13</v>
      </c>
      <c r="AE4" s="25">
        <f t="shared" si="5"/>
        <v>4.8410344251336896</v>
      </c>
      <c r="AF4" s="25">
        <f t="shared" si="6"/>
        <v>3.3944685828877006</v>
      </c>
      <c r="AG4" s="25">
        <f t="shared" si="7"/>
        <v>13.682211483206455</v>
      </c>
      <c r="AH4" s="25">
        <f t="shared" si="8"/>
        <v>44.718052677866048</v>
      </c>
      <c r="AI4" s="25">
        <f t="shared" si="9"/>
        <v>14.906017559288683</v>
      </c>
      <c r="AJ4" s="25">
        <f t="shared" si="10"/>
        <v>2.9812035118577365</v>
      </c>
      <c r="AK4" s="50">
        <v>39.739589691162109</v>
      </c>
      <c r="AL4" s="15" t="e">
        <f t="shared" si="11"/>
        <v>#DIV/0!</v>
      </c>
      <c r="AN4" s="15">
        <v>4</v>
      </c>
    </row>
    <row r="5" spans="1:40" x14ac:dyDescent="0.15">
      <c r="A5" s="31" t="s">
        <v>20583</v>
      </c>
      <c r="B5" s="31" t="s">
        <v>1916</v>
      </c>
      <c r="C5" s="32" t="s">
        <v>2540</v>
      </c>
      <c r="D5" s="32">
        <v>1</v>
      </c>
      <c r="E5" s="32">
        <v>2</v>
      </c>
      <c r="F5" s="32">
        <v>3</v>
      </c>
      <c r="G5" s="32">
        <v>1</v>
      </c>
      <c r="H5" s="32">
        <v>1</v>
      </c>
      <c r="I5" s="32">
        <f t="shared" si="12"/>
        <v>7</v>
      </c>
      <c r="J5" s="32">
        <v>5</v>
      </c>
      <c r="K5" s="32">
        <v>3</v>
      </c>
      <c r="L5" s="58">
        <f t="shared" si="13"/>
        <v>0.42857142857142855</v>
      </c>
      <c r="M5" s="56">
        <f t="shared" si="0"/>
        <v>2.3809353742711363</v>
      </c>
      <c r="N5" s="56">
        <f t="shared" si="1"/>
        <v>4.7618707485422727</v>
      </c>
      <c r="O5" s="56">
        <f t="shared" si="2"/>
        <v>7.1428061228134085</v>
      </c>
      <c r="P5" s="56">
        <f t="shared" si="3"/>
        <v>2.3809353742711363</v>
      </c>
      <c r="Q5" s="56">
        <f t="shared" si="14"/>
        <v>4.1666369049744887</v>
      </c>
      <c r="R5" s="34">
        <v>420003</v>
      </c>
      <c r="S5" s="35">
        <v>224316</v>
      </c>
      <c r="T5" s="35">
        <v>152377</v>
      </c>
      <c r="U5" s="36">
        <v>754</v>
      </c>
      <c r="V5" s="35">
        <v>13098</v>
      </c>
      <c r="W5" s="36">
        <v>115</v>
      </c>
      <c r="X5" s="36">
        <f t="shared" si="4"/>
        <v>13213</v>
      </c>
      <c r="Y5" s="36">
        <v>739</v>
      </c>
      <c r="Z5" s="35">
        <v>6789</v>
      </c>
      <c r="AA5" s="37">
        <v>21815</v>
      </c>
      <c r="AB5" s="33">
        <v>454363</v>
      </c>
      <c r="AC5" s="33">
        <v>5577</v>
      </c>
      <c r="AD5" s="33">
        <v>93</v>
      </c>
      <c r="AE5" s="25">
        <f t="shared" si="5"/>
        <v>12.274326914823609</v>
      </c>
      <c r="AF5" s="25">
        <f t="shared" si="6"/>
        <v>20.46821594187907</v>
      </c>
      <c r="AG5" s="25">
        <f t="shared" si="7"/>
        <v>16.666547619897955</v>
      </c>
      <c r="AH5" s="25">
        <f t="shared" si="8"/>
        <v>22.289983772891812</v>
      </c>
      <c r="AI5" s="25">
        <f t="shared" si="9"/>
        <v>7.4299945909639371</v>
      </c>
      <c r="AJ5" s="25">
        <f t="shared" si="10"/>
        <v>1.4859989181927875</v>
      </c>
      <c r="AK5" s="50">
        <v>74.119720458984375</v>
      </c>
      <c r="AL5" s="15">
        <f t="shared" si="11"/>
        <v>100</v>
      </c>
      <c r="AN5" s="15">
        <v>2</v>
      </c>
    </row>
    <row r="6" spans="1:40" x14ac:dyDescent="0.15">
      <c r="A6" s="31" t="s">
        <v>20579</v>
      </c>
      <c r="B6" s="31" t="s">
        <v>3823</v>
      </c>
      <c r="C6" s="32" t="s">
        <v>3826</v>
      </c>
      <c r="D6" s="32">
        <v>1</v>
      </c>
      <c r="E6" s="32">
        <v>2</v>
      </c>
      <c r="F6" s="32">
        <v>5</v>
      </c>
      <c r="G6" s="32">
        <v>2</v>
      </c>
      <c r="H6" s="32">
        <v>0</v>
      </c>
      <c r="I6" s="32">
        <f>D6+E6+F6+G6</f>
        <v>10</v>
      </c>
      <c r="J6" s="32">
        <v>3</v>
      </c>
      <c r="K6" s="32">
        <v>1</v>
      </c>
      <c r="L6" s="58">
        <f t="shared" si="13"/>
        <v>0.1</v>
      </c>
      <c r="M6" s="56">
        <f t="shared" si="0"/>
        <v>3.0761847925728594</v>
      </c>
      <c r="N6" s="56">
        <f t="shared" si="1"/>
        <v>6.1523695851457187</v>
      </c>
      <c r="O6" s="56">
        <f t="shared" si="2"/>
        <v>15.380923962864296</v>
      </c>
      <c r="P6" s="56">
        <f t="shared" si="3"/>
        <v>6.1523695851457187</v>
      </c>
      <c r="Q6" s="56">
        <f t="shared" si="14"/>
        <v>7.6904619814321489</v>
      </c>
      <c r="R6" s="34">
        <v>325078</v>
      </c>
      <c r="S6" s="35">
        <v>49003</v>
      </c>
      <c r="T6" s="35">
        <v>153715</v>
      </c>
      <c r="U6" s="35">
        <v>1487</v>
      </c>
      <c r="V6" s="35">
        <v>15735</v>
      </c>
      <c r="W6" s="36">
        <v>919</v>
      </c>
      <c r="X6" s="36">
        <f t="shared" si="4"/>
        <v>16654</v>
      </c>
      <c r="Y6" s="36">
        <v>677</v>
      </c>
      <c r="Z6" s="35">
        <v>10279</v>
      </c>
      <c r="AA6" s="37">
        <v>93263</v>
      </c>
      <c r="AB6" s="33">
        <v>350948</v>
      </c>
      <c r="AC6" s="33">
        <v>1448</v>
      </c>
      <c r="AD6" s="33">
        <v>11</v>
      </c>
      <c r="AE6" s="25">
        <f t="shared" si="5"/>
        <v>4.1259673797827592</v>
      </c>
      <c r="AF6" s="25">
        <f t="shared" si="6"/>
        <v>3.1343674846415994</v>
      </c>
      <c r="AG6" s="25">
        <f t="shared" si="7"/>
        <v>30.761847925728592</v>
      </c>
      <c r="AH6" s="25">
        <f t="shared" si="8"/>
        <v>61.220741587249762</v>
      </c>
      <c r="AI6" s="25">
        <f t="shared" si="9"/>
        <v>20.406913862416587</v>
      </c>
      <c r="AJ6" s="25">
        <f t="shared" si="10"/>
        <v>4.0813827724833178</v>
      </c>
      <c r="AK6" s="50">
        <v>28.717597961425781</v>
      </c>
      <c r="AL6" s="15">
        <f t="shared" si="11"/>
        <v>0</v>
      </c>
      <c r="AN6" s="15">
        <v>3</v>
      </c>
    </row>
    <row r="7" spans="1:40" x14ac:dyDescent="0.15">
      <c r="A7" s="31" t="s">
        <v>20580</v>
      </c>
      <c r="B7" s="31" t="s">
        <v>1313</v>
      </c>
      <c r="C7" s="32" t="s">
        <v>1315</v>
      </c>
      <c r="D7" s="32">
        <v>3</v>
      </c>
      <c r="E7" s="32">
        <v>3</v>
      </c>
      <c r="F7" s="32">
        <v>6</v>
      </c>
      <c r="G7" s="32">
        <v>6</v>
      </c>
      <c r="H7" s="32">
        <v>1</v>
      </c>
      <c r="I7" s="32">
        <f t="shared" si="12"/>
        <v>18</v>
      </c>
      <c r="J7" s="32">
        <v>2</v>
      </c>
      <c r="K7" s="32">
        <v>4</v>
      </c>
      <c r="L7" s="58">
        <f t="shared" si="13"/>
        <v>0.22222222222222221</v>
      </c>
      <c r="M7" s="56">
        <f t="shared" si="0"/>
        <v>3.7955945798909396</v>
      </c>
      <c r="N7" s="56">
        <f t="shared" si="1"/>
        <v>3.7955945798909396</v>
      </c>
      <c r="O7" s="56">
        <f t="shared" si="2"/>
        <v>7.5911891597818792</v>
      </c>
      <c r="P7" s="56">
        <f t="shared" si="3"/>
        <v>7.5911891597818792</v>
      </c>
      <c r="Q7" s="56">
        <f t="shared" si="14"/>
        <v>5.6933918698364092</v>
      </c>
      <c r="R7" s="34">
        <v>790390</v>
      </c>
      <c r="S7" s="35">
        <v>60760</v>
      </c>
      <c r="T7" s="35">
        <v>385271</v>
      </c>
      <c r="U7" s="35">
        <v>1967</v>
      </c>
      <c r="V7" s="35">
        <v>49159</v>
      </c>
      <c r="W7" s="36">
        <v>401</v>
      </c>
      <c r="X7" s="36">
        <f t="shared" si="4"/>
        <v>49560</v>
      </c>
      <c r="Y7" s="35">
        <v>1448</v>
      </c>
      <c r="Z7" s="35">
        <v>13677</v>
      </c>
      <c r="AA7" s="37">
        <v>277707</v>
      </c>
      <c r="AB7" s="33">
        <v>903924</v>
      </c>
      <c r="AC7" s="33">
        <v>3581</v>
      </c>
      <c r="AD7" s="33">
        <v>32</v>
      </c>
      <c r="AE7" s="25">
        <f t="shared" si="5"/>
        <v>3.9616162420734482</v>
      </c>
      <c r="AF7" s="25">
        <f t="shared" si="6"/>
        <v>3.5401206296104535</v>
      </c>
      <c r="AG7" s="25">
        <f t="shared" si="7"/>
        <v>22.77356747934564</v>
      </c>
      <c r="AH7" s="25">
        <f t="shared" si="8"/>
        <v>32.916392363396966</v>
      </c>
      <c r="AI7" s="25">
        <f t="shared" si="9"/>
        <v>10.972130787798989</v>
      </c>
      <c r="AJ7" s="25">
        <f t="shared" si="10"/>
        <v>2.1944261575597976</v>
      </c>
      <c r="AK7" s="50">
        <v>54.142200469970703</v>
      </c>
      <c r="AL7" s="15">
        <f t="shared" si="11"/>
        <v>16.666666666666664</v>
      </c>
      <c r="AN7" s="15">
        <v>3</v>
      </c>
    </row>
    <row r="8" spans="1:40" x14ac:dyDescent="0.15">
      <c r="A8" s="31" t="s">
        <v>20575</v>
      </c>
      <c r="B8" s="31" t="s">
        <v>679</v>
      </c>
      <c r="C8" s="32" t="s">
        <v>681</v>
      </c>
      <c r="D8" s="32">
        <v>5</v>
      </c>
      <c r="E8" s="32">
        <v>2</v>
      </c>
      <c r="F8" s="32">
        <v>6</v>
      </c>
      <c r="G8" s="32">
        <v>5</v>
      </c>
      <c r="H8" s="32">
        <v>0</v>
      </c>
      <c r="I8" s="32">
        <f t="shared" si="12"/>
        <v>18</v>
      </c>
      <c r="J8" s="32">
        <v>1</v>
      </c>
      <c r="K8" s="32">
        <v>5</v>
      </c>
      <c r="L8" s="58">
        <f t="shared" si="13"/>
        <v>0.27777777777777779</v>
      </c>
      <c r="M8" s="56">
        <f t="shared" si="0"/>
        <v>14.389193140383846</v>
      </c>
      <c r="N8" s="56">
        <f t="shared" si="1"/>
        <v>5.7556772561535388</v>
      </c>
      <c r="O8" s="56">
        <f t="shared" si="2"/>
        <v>17.267031768460615</v>
      </c>
      <c r="P8" s="56">
        <f t="shared" si="3"/>
        <v>14.389193140383846</v>
      </c>
      <c r="Q8" s="56">
        <f t="shared" si="14"/>
        <v>12.950273826345461</v>
      </c>
      <c r="R8" s="34">
        <v>347483</v>
      </c>
      <c r="S8" s="35">
        <v>26677</v>
      </c>
      <c r="T8" s="35">
        <v>131311</v>
      </c>
      <c r="U8" s="35">
        <v>2265</v>
      </c>
      <c r="V8" s="35">
        <v>20496</v>
      </c>
      <c r="W8" s="36">
        <v>357</v>
      </c>
      <c r="X8" s="36">
        <f t="shared" si="4"/>
        <v>20853</v>
      </c>
      <c r="Y8" s="36">
        <v>681</v>
      </c>
      <c r="Z8" s="35">
        <v>7491</v>
      </c>
      <c r="AA8" s="37">
        <v>158205</v>
      </c>
      <c r="AB8" s="33">
        <v>367406</v>
      </c>
      <c r="AC8" s="33">
        <v>1678</v>
      </c>
      <c r="AD8" s="33">
        <v>17</v>
      </c>
      <c r="AE8" s="25">
        <f t="shared" si="5"/>
        <v>4.567154591922832</v>
      </c>
      <c r="AF8" s="25">
        <f t="shared" si="6"/>
        <v>4.6270338535571005</v>
      </c>
      <c r="AG8" s="25">
        <f t="shared" si="7"/>
        <v>51.80109530538185</v>
      </c>
      <c r="AH8" s="25">
        <f t="shared" si="8"/>
        <v>37.485474378678262</v>
      </c>
      <c r="AI8" s="25">
        <f t="shared" si="9"/>
        <v>12.495158126226087</v>
      </c>
      <c r="AJ8" s="25">
        <f t="shared" si="10"/>
        <v>2.4990316252452174</v>
      </c>
      <c r="AK8" s="50">
        <v>43.388790130615234</v>
      </c>
      <c r="AL8" s="15">
        <f t="shared" si="11"/>
        <v>0</v>
      </c>
      <c r="AN8" s="15">
        <v>1</v>
      </c>
    </row>
    <row r="9" spans="1:40" x14ac:dyDescent="0.15">
      <c r="A9" s="31" t="s">
        <v>20588</v>
      </c>
      <c r="B9" s="31" t="s">
        <v>1592</v>
      </c>
      <c r="C9" s="32" t="s">
        <v>2770</v>
      </c>
      <c r="D9" s="32">
        <v>11</v>
      </c>
      <c r="E9" s="32">
        <v>5</v>
      </c>
      <c r="F9" s="32">
        <v>4</v>
      </c>
      <c r="G9" s="32">
        <v>6</v>
      </c>
      <c r="H9" s="32">
        <v>6</v>
      </c>
      <c r="I9" s="32">
        <f t="shared" si="12"/>
        <v>26</v>
      </c>
      <c r="J9" s="32">
        <v>22</v>
      </c>
      <c r="K9" s="32">
        <v>8</v>
      </c>
      <c r="L9" s="58">
        <f t="shared" si="13"/>
        <v>0.30769230769230771</v>
      </c>
      <c r="M9" s="56">
        <f t="shared" si="0"/>
        <v>17.714478042904467</v>
      </c>
      <c r="N9" s="56">
        <f t="shared" si="1"/>
        <v>8.052035474047484</v>
      </c>
      <c r="O9" s="56">
        <f t="shared" si="2"/>
        <v>6.4416283792379874</v>
      </c>
      <c r="P9" s="56">
        <f t="shared" si="3"/>
        <v>9.6624425688569815</v>
      </c>
      <c r="Q9" s="56">
        <f t="shared" si="14"/>
        <v>10.467646116261731</v>
      </c>
      <c r="R9" s="34">
        <v>620961</v>
      </c>
      <c r="S9" s="35">
        <v>392938</v>
      </c>
      <c r="T9" s="35">
        <v>174120</v>
      </c>
      <c r="U9" s="35">
        <v>1884</v>
      </c>
      <c r="V9" s="35">
        <v>14397</v>
      </c>
      <c r="W9" s="36">
        <v>192</v>
      </c>
      <c r="X9" s="36">
        <f t="shared" si="4"/>
        <v>14589</v>
      </c>
      <c r="Y9" s="36">
        <v>942</v>
      </c>
      <c r="Z9" s="35">
        <v>10528</v>
      </c>
      <c r="AA9" s="37">
        <v>25960</v>
      </c>
      <c r="AB9" s="33">
        <v>623513</v>
      </c>
      <c r="AC9" s="33">
        <v>8346</v>
      </c>
      <c r="AD9" s="33">
        <v>211</v>
      </c>
      <c r="AE9" s="25">
        <f t="shared" si="5"/>
        <v>13.385446654680816</v>
      </c>
      <c r="AF9" s="25">
        <f t="shared" si="6"/>
        <v>33.840513349360798</v>
      </c>
      <c r="AG9" s="25">
        <f t="shared" si="7"/>
        <v>41.870584465046917</v>
      </c>
      <c r="AH9" s="25">
        <f t="shared" si="8"/>
        <v>55.988476553552978</v>
      </c>
      <c r="AI9" s="25">
        <f t="shared" si="9"/>
        <v>18.662825517850994</v>
      </c>
      <c r="AJ9" s="25">
        <f t="shared" si="10"/>
        <v>3.7325651035701988</v>
      </c>
      <c r="AK9" s="50">
        <v>68.903999328613281</v>
      </c>
      <c r="AL9" s="15">
        <f t="shared" si="11"/>
        <v>100</v>
      </c>
      <c r="AN9" s="15">
        <v>5</v>
      </c>
    </row>
    <row r="10" spans="1:40" x14ac:dyDescent="0.15">
      <c r="A10" s="31" t="s">
        <v>20592</v>
      </c>
      <c r="B10" s="31" t="s">
        <v>1697</v>
      </c>
      <c r="C10" s="32" t="s">
        <v>3230</v>
      </c>
      <c r="D10" s="32">
        <v>3</v>
      </c>
      <c r="E10" s="32">
        <v>1</v>
      </c>
      <c r="F10" s="32">
        <v>2</v>
      </c>
      <c r="G10" s="32">
        <v>3</v>
      </c>
      <c r="H10" s="32">
        <v>3</v>
      </c>
      <c r="I10" s="32">
        <f t="shared" si="12"/>
        <v>9</v>
      </c>
      <c r="J10" s="57">
        <v>8</v>
      </c>
      <c r="K10" s="32">
        <v>0</v>
      </c>
      <c r="L10" s="58">
        <f t="shared" si="13"/>
        <v>0</v>
      </c>
      <c r="M10" s="56">
        <f t="shared" si="0"/>
        <v>4.8575601446905248</v>
      </c>
      <c r="N10" s="56">
        <f t="shared" si="1"/>
        <v>1.6191867148968417</v>
      </c>
      <c r="O10" s="56">
        <f t="shared" si="2"/>
        <v>3.2383734297936835</v>
      </c>
      <c r="P10" s="56">
        <f t="shared" si="3"/>
        <v>4.8575601446905248</v>
      </c>
      <c r="Q10" s="56">
        <f t="shared" si="14"/>
        <v>3.6431701085178938</v>
      </c>
      <c r="R10" s="34">
        <v>617594</v>
      </c>
      <c r="S10" s="35">
        <v>138073</v>
      </c>
      <c r="T10" s="35">
        <v>290312</v>
      </c>
      <c r="U10" s="35">
        <v>1227</v>
      </c>
      <c r="V10" s="35">
        <v>54846</v>
      </c>
      <c r="W10" s="36">
        <v>182</v>
      </c>
      <c r="X10" s="36">
        <f t="shared" si="4"/>
        <v>55028</v>
      </c>
      <c r="Y10" s="35">
        <v>10078</v>
      </c>
      <c r="Z10" s="35">
        <v>14959</v>
      </c>
      <c r="AA10" s="37">
        <v>107917</v>
      </c>
      <c r="AB10" s="33">
        <v>654413</v>
      </c>
      <c r="AC10" s="33">
        <v>4749</v>
      </c>
      <c r="AD10" s="33">
        <v>53</v>
      </c>
      <c r="AE10" s="25">
        <f t="shared" si="5"/>
        <v>7.2568851780144961</v>
      </c>
      <c r="AF10" s="25">
        <f t="shared" si="6"/>
        <v>8.0988611167565434</v>
      </c>
      <c r="AG10" s="25">
        <f t="shared" si="7"/>
        <v>14.572680434071575</v>
      </c>
      <c r="AH10" s="25">
        <f t="shared" si="8"/>
        <v>57.940364879447827</v>
      </c>
      <c r="AI10" s="25">
        <f t="shared" si="9"/>
        <v>19.313454959815942</v>
      </c>
      <c r="AJ10" s="25">
        <f t="shared" si="10"/>
        <v>3.8626909919631887</v>
      </c>
      <c r="AK10" s="50">
        <v>69.170494079589844</v>
      </c>
      <c r="AL10" s="15">
        <f t="shared" si="11"/>
        <v>100</v>
      </c>
      <c r="AN10" s="15">
        <v>4</v>
      </c>
    </row>
    <row r="11" spans="1:40" x14ac:dyDescent="0.15">
      <c r="A11" s="31" t="s">
        <v>20595</v>
      </c>
      <c r="B11" s="31" t="s">
        <v>4191</v>
      </c>
      <c r="C11" s="32" t="s">
        <v>4194</v>
      </c>
      <c r="D11" s="32">
        <v>4</v>
      </c>
      <c r="E11" s="32">
        <v>1</v>
      </c>
      <c r="F11" s="32">
        <v>2</v>
      </c>
      <c r="G11" s="32">
        <v>5</v>
      </c>
      <c r="H11" s="32">
        <v>4</v>
      </c>
      <c r="I11" s="32">
        <f t="shared" si="12"/>
        <v>12</v>
      </c>
      <c r="J11" s="57">
        <v>9</v>
      </c>
      <c r="K11" s="32">
        <v>1</v>
      </c>
      <c r="L11" s="58">
        <f t="shared" si="13"/>
        <v>8.3333333333333329E-2</v>
      </c>
      <c r="M11" s="56">
        <f t="shared" si="0"/>
        <v>5.4687841799011236</v>
      </c>
      <c r="N11" s="56">
        <f t="shared" si="1"/>
        <v>1.3671960449752809</v>
      </c>
      <c r="O11" s="56">
        <f t="shared" si="2"/>
        <v>2.7343920899505618</v>
      </c>
      <c r="P11" s="56">
        <f t="shared" si="3"/>
        <v>6.8359802248764048</v>
      </c>
      <c r="Q11" s="56">
        <f t="shared" si="14"/>
        <v>4.1015881349258425</v>
      </c>
      <c r="R11" s="34">
        <v>731424</v>
      </c>
      <c r="S11" s="35">
        <v>252007</v>
      </c>
      <c r="T11" s="35">
        <v>329545</v>
      </c>
      <c r="U11" s="35">
        <v>2250</v>
      </c>
      <c r="V11" s="35">
        <v>36115</v>
      </c>
      <c r="W11" s="36">
        <v>436</v>
      </c>
      <c r="X11" s="36">
        <f t="shared" si="4"/>
        <v>36551</v>
      </c>
      <c r="Y11" s="35">
        <v>1960</v>
      </c>
      <c r="Z11" s="35">
        <v>13423</v>
      </c>
      <c r="AA11" s="37">
        <v>95688</v>
      </c>
      <c r="AB11" s="33">
        <v>856916</v>
      </c>
      <c r="AC11" s="33">
        <v>5054</v>
      </c>
      <c r="AD11" s="33">
        <v>47</v>
      </c>
      <c r="AE11" s="25">
        <f t="shared" si="5"/>
        <v>5.8978943093605443</v>
      </c>
      <c r="AF11" s="25">
        <f t="shared" si="6"/>
        <v>5.4847849730895444</v>
      </c>
      <c r="AG11" s="25">
        <f t="shared" si="7"/>
        <v>16.406352539703374</v>
      </c>
      <c r="AH11" s="25">
        <f t="shared" si="8"/>
        <v>35.713293678350205</v>
      </c>
      <c r="AI11" s="25">
        <f t="shared" si="9"/>
        <v>11.904431226116735</v>
      </c>
      <c r="AJ11" s="25">
        <f t="shared" si="10"/>
        <v>2.3808862452233468</v>
      </c>
      <c r="AK11" s="50">
        <v>53.400146484375</v>
      </c>
      <c r="AL11" s="15">
        <f t="shared" si="11"/>
        <v>80</v>
      </c>
      <c r="AN11" s="15">
        <v>2</v>
      </c>
    </row>
    <row r="12" spans="1:40" x14ac:dyDescent="0.15">
      <c r="A12" s="31" t="s">
        <v>20593</v>
      </c>
      <c r="B12" s="31" t="s">
        <v>87</v>
      </c>
      <c r="C12" s="32" t="s">
        <v>89</v>
      </c>
      <c r="D12" s="32">
        <v>13</v>
      </c>
      <c r="E12" s="32">
        <v>22</v>
      </c>
      <c r="F12" s="32">
        <v>11</v>
      </c>
      <c r="G12" s="32">
        <v>14</v>
      </c>
      <c r="H12" s="32">
        <v>14</v>
      </c>
      <c r="I12" s="32">
        <f t="shared" si="12"/>
        <v>60</v>
      </c>
      <c r="J12" s="32">
        <v>48</v>
      </c>
      <c r="K12" s="32">
        <v>9</v>
      </c>
      <c r="L12" s="58">
        <f t="shared" si="13"/>
        <v>0.15</v>
      </c>
      <c r="M12" s="56">
        <f t="shared" si="0"/>
        <v>4.8226775654233309</v>
      </c>
      <c r="N12" s="56">
        <f t="shared" si="1"/>
        <v>8.1614543414856353</v>
      </c>
      <c r="O12" s="56">
        <f t="shared" si="2"/>
        <v>4.0807271707428177</v>
      </c>
      <c r="P12" s="56">
        <f t="shared" si="3"/>
        <v>5.1936527627635867</v>
      </c>
      <c r="Q12" s="56">
        <f t="shared" si="14"/>
        <v>5.5646279601038433</v>
      </c>
      <c r="R12" s="34">
        <v>2695598</v>
      </c>
      <c r="S12" s="35">
        <v>872286</v>
      </c>
      <c r="T12" s="35">
        <v>854717</v>
      </c>
      <c r="U12" s="35">
        <v>4097</v>
      </c>
      <c r="V12" s="35">
        <v>144903</v>
      </c>
      <c r="W12" s="36">
        <v>557</v>
      </c>
      <c r="X12" s="36">
        <f t="shared" si="4"/>
        <v>145460</v>
      </c>
      <c r="Y12" s="35">
        <v>4227</v>
      </c>
      <c r="Z12" s="35">
        <v>35949</v>
      </c>
      <c r="AA12" s="37">
        <v>778862</v>
      </c>
      <c r="AB12" s="33">
        <v>2724121</v>
      </c>
      <c r="AC12" s="33">
        <v>24089</v>
      </c>
      <c r="AD12" s="33">
        <v>411</v>
      </c>
      <c r="AE12" s="25">
        <f t="shared" si="5"/>
        <v>8.8428524283612955</v>
      </c>
      <c r="AF12" s="25">
        <f t="shared" si="6"/>
        <v>15.087435543428503</v>
      </c>
      <c r="AG12" s="25">
        <f t="shared" si="7"/>
        <v>22.258511840415373</v>
      </c>
      <c r="AH12" s="25">
        <f t="shared" si="8"/>
        <v>55.027823443228478</v>
      </c>
      <c r="AI12" s="25">
        <f t="shared" si="9"/>
        <v>18.342607814409494</v>
      </c>
      <c r="AJ12" s="25">
        <f t="shared" si="10"/>
        <v>3.6685215628818986</v>
      </c>
      <c r="AK12" s="50">
        <v>82.477745056152344</v>
      </c>
      <c r="AL12" s="15">
        <f t="shared" si="11"/>
        <v>100</v>
      </c>
      <c r="AN12" s="15">
        <v>3</v>
      </c>
    </row>
    <row r="13" spans="1:40" x14ac:dyDescent="0.15">
      <c r="A13" s="31" t="s">
        <v>13797</v>
      </c>
      <c r="B13" s="31" t="s">
        <v>984</v>
      </c>
      <c r="C13" s="32" t="s">
        <v>3452</v>
      </c>
      <c r="D13" s="32">
        <v>1</v>
      </c>
      <c r="E13" s="32">
        <v>3</v>
      </c>
      <c r="F13" s="32">
        <v>2</v>
      </c>
      <c r="G13" s="32">
        <v>0</v>
      </c>
      <c r="H13" s="32">
        <v>0</v>
      </c>
      <c r="I13" s="32">
        <f t="shared" si="12"/>
        <v>6</v>
      </c>
      <c r="J13" s="32">
        <v>6</v>
      </c>
      <c r="K13" s="32">
        <v>4</v>
      </c>
      <c r="L13" s="58">
        <f t="shared" si="13"/>
        <v>0.66666666666666663</v>
      </c>
      <c r="M13" s="56">
        <f t="shared" si="0"/>
        <v>2.5200660257298741</v>
      </c>
      <c r="N13" s="56">
        <f t="shared" si="1"/>
        <v>7.5601980771896224</v>
      </c>
      <c r="O13" s="56">
        <f t="shared" si="2"/>
        <v>5.0401320514597483</v>
      </c>
      <c r="P13" s="56">
        <f t="shared" si="3"/>
        <v>0</v>
      </c>
      <c r="Q13" s="56">
        <f t="shared" si="14"/>
        <v>3.7800990385948112</v>
      </c>
      <c r="R13" s="34">
        <v>396815</v>
      </c>
      <c r="S13" s="35">
        <v>208208</v>
      </c>
      <c r="T13" s="35">
        <v>132710</v>
      </c>
      <c r="U13" s="36">
        <v>997</v>
      </c>
      <c r="V13" s="35">
        <v>7213</v>
      </c>
      <c r="W13" s="36">
        <v>70</v>
      </c>
      <c r="X13" s="36">
        <f t="shared" si="4"/>
        <v>7283</v>
      </c>
      <c r="Y13" s="36">
        <v>599</v>
      </c>
      <c r="Z13" s="35">
        <v>7484</v>
      </c>
      <c r="AA13" s="37">
        <v>39534</v>
      </c>
      <c r="AB13" s="33">
        <v>388655</v>
      </c>
      <c r="AC13" s="33">
        <v>5186</v>
      </c>
      <c r="AD13" s="33">
        <v>63</v>
      </c>
      <c r="AE13" s="25">
        <f t="shared" si="5"/>
        <v>13.343453705728731</v>
      </c>
      <c r="AF13" s="25">
        <f t="shared" si="6"/>
        <v>16.209749006188005</v>
      </c>
      <c r="AG13" s="25">
        <f t="shared" si="7"/>
        <v>15.120396154379245</v>
      </c>
      <c r="AH13" s="25">
        <f t="shared" si="8"/>
        <v>28.8173365096442</v>
      </c>
      <c r="AI13" s="25">
        <f t="shared" si="9"/>
        <v>9.6057788365480672</v>
      </c>
      <c r="AJ13" s="25">
        <f t="shared" si="10"/>
        <v>1.9211557673096133</v>
      </c>
      <c r="AK13" s="50">
        <v>69.02178955078125</v>
      </c>
      <c r="AL13" s="15" t="e">
        <f t="shared" si="11"/>
        <v>#DIV/0!</v>
      </c>
      <c r="AN13" s="15">
        <v>5</v>
      </c>
    </row>
    <row r="14" spans="1:40" x14ac:dyDescent="0.15">
      <c r="A14" s="31" t="s">
        <v>20579</v>
      </c>
      <c r="B14" s="31" t="s">
        <v>20068</v>
      </c>
      <c r="C14" s="32" t="s">
        <v>20070</v>
      </c>
      <c r="D14" s="32">
        <v>0</v>
      </c>
      <c r="E14" s="32">
        <v>0</v>
      </c>
      <c r="F14" s="32">
        <v>2</v>
      </c>
      <c r="G14" s="32">
        <v>2</v>
      </c>
      <c r="H14" s="32">
        <v>1</v>
      </c>
      <c r="I14" s="32">
        <v>4</v>
      </c>
      <c r="J14" s="32">
        <v>1</v>
      </c>
      <c r="K14" s="32">
        <v>1</v>
      </c>
      <c r="L14" s="58">
        <f t="shared" si="13"/>
        <v>0.25</v>
      </c>
      <c r="M14" s="56">
        <f t="shared" si="0"/>
        <v>0</v>
      </c>
      <c r="N14" s="56">
        <f t="shared" si="1"/>
        <v>0</v>
      </c>
      <c r="O14" s="56">
        <f t="shared" si="2"/>
        <v>4.8027625490181958</v>
      </c>
      <c r="P14" s="56">
        <f t="shared" si="3"/>
        <v>4.8027625490181958</v>
      </c>
      <c r="Q14" s="56">
        <f t="shared" si="14"/>
        <v>2.4013812745090979</v>
      </c>
      <c r="R14" s="34">
        <v>416427</v>
      </c>
      <c r="S14" s="35">
        <v>24391</v>
      </c>
      <c r="T14" s="35">
        <v>294598</v>
      </c>
      <c r="U14" s="35">
        <v>2403</v>
      </c>
      <c r="V14" s="35">
        <v>12206</v>
      </c>
      <c r="W14" s="35">
        <v>1092</v>
      </c>
      <c r="X14" s="36">
        <f t="shared" si="4"/>
        <v>13298</v>
      </c>
      <c r="Y14" s="36">
        <v>768</v>
      </c>
      <c r="Z14" s="35">
        <v>14103</v>
      </c>
      <c r="AA14" s="37">
        <v>66866</v>
      </c>
      <c r="AB14" s="33">
        <v>444949</v>
      </c>
      <c r="AC14" s="33">
        <v>2039</v>
      </c>
      <c r="AD14" s="33">
        <v>20</v>
      </c>
      <c r="AE14" s="25">
        <f t="shared" si="5"/>
        <v>4.5825476627658448</v>
      </c>
      <c r="AF14" s="25">
        <f t="shared" si="6"/>
        <v>4.4948971679900387</v>
      </c>
      <c r="AG14" s="25">
        <f t="shared" si="7"/>
        <v>9.6055250980363915</v>
      </c>
      <c r="AH14" s="25">
        <f t="shared" si="8"/>
        <v>40.998729039399784</v>
      </c>
      <c r="AI14" s="25">
        <f t="shared" si="9"/>
        <v>13.666243013133261</v>
      </c>
      <c r="AJ14" s="25">
        <f t="shared" si="10"/>
        <v>2.7332486026266523</v>
      </c>
      <c r="AK14" s="50">
        <v>34.708843231201172</v>
      </c>
      <c r="AL14" s="15">
        <f t="shared" si="11"/>
        <v>50</v>
      </c>
    </row>
    <row r="15" spans="1:40" x14ac:dyDescent="0.15">
      <c r="A15" s="31" t="s">
        <v>13797</v>
      </c>
      <c r="B15" s="31" t="s">
        <v>1287</v>
      </c>
      <c r="C15" s="32" t="s">
        <v>12562</v>
      </c>
      <c r="D15" s="32">
        <v>7</v>
      </c>
      <c r="E15" s="32">
        <v>5</v>
      </c>
      <c r="F15" s="32">
        <v>6</v>
      </c>
      <c r="G15" s="32">
        <v>6</v>
      </c>
      <c r="H15" s="32">
        <v>6</v>
      </c>
      <c r="I15" s="32">
        <f t="shared" si="12"/>
        <v>24</v>
      </c>
      <c r="J15" s="32">
        <v>20</v>
      </c>
      <c r="K15" s="32">
        <v>1</v>
      </c>
      <c r="L15" s="58">
        <f t="shared" si="13"/>
        <v>4.1666666666666664E-2</v>
      </c>
      <c r="M15" s="56">
        <f t="shared" si="0"/>
        <v>8.8941632688845313</v>
      </c>
      <c r="N15" s="56">
        <f t="shared" si="1"/>
        <v>6.3529737634889516</v>
      </c>
      <c r="O15" s="56">
        <f t="shared" si="2"/>
        <v>7.6235685161867419</v>
      </c>
      <c r="P15" s="56">
        <f t="shared" si="3"/>
        <v>7.6235685161867419</v>
      </c>
      <c r="Q15" s="56">
        <f t="shared" si="14"/>
        <v>7.6235685161867419</v>
      </c>
      <c r="R15" s="34">
        <v>787033</v>
      </c>
      <c r="S15" s="35">
        <v>217694</v>
      </c>
      <c r="T15" s="35">
        <v>466615</v>
      </c>
      <c r="U15" s="35">
        <v>1643</v>
      </c>
      <c r="V15" s="35">
        <v>31734</v>
      </c>
      <c r="W15" s="36">
        <v>462</v>
      </c>
      <c r="X15" s="36">
        <f t="shared" si="4"/>
        <v>32196</v>
      </c>
      <c r="Y15" s="35">
        <v>2032</v>
      </c>
      <c r="Z15" s="35">
        <v>22494</v>
      </c>
      <c r="AA15" s="37">
        <v>44359</v>
      </c>
      <c r="AB15" s="33">
        <v>830811</v>
      </c>
      <c r="AC15" s="33">
        <v>4563</v>
      </c>
      <c r="AD15" s="33">
        <v>83</v>
      </c>
      <c r="AE15" s="25">
        <f t="shared" si="5"/>
        <v>5.4922238631891007</v>
      </c>
      <c r="AF15" s="25">
        <f t="shared" si="6"/>
        <v>9.9902384537518145</v>
      </c>
      <c r="AG15" s="25">
        <f t="shared" si="7"/>
        <v>30.494274064746968</v>
      </c>
      <c r="AH15" s="25">
        <f t="shared" si="8"/>
        <v>91.872077319540267</v>
      </c>
      <c r="AI15" s="25">
        <f t="shared" si="9"/>
        <v>30.62402577318009</v>
      </c>
      <c r="AJ15" s="25">
        <f t="shared" si="10"/>
        <v>6.124805154636018</v>
      </c>
      <c r="AK15" s="50">
        <v>53.800861358642578</v>
      </c>
      <c r="AL15" s="15">
        <f t="shared" si="11"/>
        <v>100</v>
      </c>
      <c r="AN15" s="15">
        <v>3</v>
      </c>
    </row>
    <row r="16" spans="1:40" x14ac:dyDescent="0.15">
      <c r="A16" s="31" t="s">
        <v>20580</v>
      </c>
      <c r="B16" s="31" t="s">
        <v>12409</v>
      </c>
      <c r="C16" s="32" t="s">
        <v>12412</v>
      </c>
      <c r="D16" s="32">
        <v>1</v>
      </c>
      <c r="E16" s="32">
        <v>0</v>
      </c>
      <c r="F16" s="32">
        <v>2</v>
      </c>
      <c r="G16" s="32">
        <v>1</v>
      </c>
      <c r="H16" s="32">
        <v>0</v>
      </c>
      <c r="I16" s="32">
        <f t="shared" si="12"/>
        <v>4</v>
      </c>
      <c r="J16" s="32">
        <v>0</v>
      </c>
      <c r="K16" s="32">
        <v>1</v>
      </c>
      <c r="L16" s="58">
        <f t="shared" si="13"/>
        <v>0.25</v>
      </c>
      <c r="M16" s="56">
        <f t="shared" si="0"/>
        <v>3.2763789459888932</v>
      </c>
      <c r="N16" s="56">
        <f t="shared" si="1"/>
        <v>0</v>
      </c>
      <c r="O16" s="56">
        <f t="shared" si="2"/>
        <v>6.5527578919777865</v>
      </c>
      <c r="P16" s="56">
        <f t="shared" si="3"/>
        <v>3.2763789459888932</v>
      </c>
      <c r="Q16" s="56">
        <f t="shared" si="14"/>
        <v>3.2763789459888932</v>
      </c>
      <c r="R16" s="34">
        <v>305215</v>
      </c>
      <c r="S16" s="35">
        <v>11912</v>
      </c>
      <c r="T16" s="35">
        <v>101593</v>
      </c>
      <c r="U16" s="36">
        <v>792</v>
      </c>
      <c r="V16" s="35">
        <v>5398</v>
      </c>
      <c r="W16" s="36">
        <v>204</v>
      </c>
      <c r="X16" s="36">
        <f t="shared" si="4"/>
        <v>5602</v>
      </c>
      <c r="Y16" s="36">
        <v>369</v>
      </c>
      <c r="Z16" s="35">
        <v>2766</v>
      </c>
      <c r="AA16" s="37">
        <v>182181</v>
      </c>
      <c r="AB16" s="33">
        <v>319211</v>
      </c>
      <c r="AC16" s="33">
        <v>2094</v>
      </c>
      <c r="AD16" s="33">
        <v>27</v>
      </c>
      <c r="AE16" s="25">
        <f t="shared" si="5"/>
        <v>6.5599243133851903</v>
      </c>
      <c r="AF16" s="25">
        <f t="shared" si="6"/>
        <v>8.4583551318720218</v>
      </c>
      <c r="AG16" s="25">
        <f t="shared" si="7"/>
        <v>13.105515783955573</v>
      </c>
      <c r="AH16" s="25">
        <f t="shared" si="8"/>
        <v>0</v>
      </c>
      <c r="AI16" s="25">
        <f t="shared" si="9"/>
        <v>0</v>
      </c>
      <c r="AJ16" s="25">
        <f t="shared" si="10"/>
        <v>0</v>
      </c>
      <c r="AK16" s="50">
        <v>40.151992797851562</v>
      </c>
      <c r="AL16" s="15">
        <f t="shared" si="11"/>
        <v>0</v>
      </c>
      <c r="AN16" s="15">
        <v>5</v>
      </c>
    </row>
    <row r="17" spans="1:40" x14ac:dyDescent="0.15">
      <c r="A17" s="31" t="s">
        <v>20580</v>
      </c>
      <c r="B17" s="31" t="s">
        <v>285</v>
      </c>
      <c r="C17" s="32" t="s">
        <v>286</v>
      </c>
      <c r="D17" s="32">
        <v>9</v>
      </c>
      <c r="E17" s="32">
        <v>11</v>
      </c>
      <c r="F17" s="32">
        <v>6</v>
      </c>
      <c r="G17" s="32">
        <v>4</v>
      </c>
      <c r="H17" s="32">
        <v>1</v>
      </c>
      <c r="I17" s="32">
        <f t="shared" si="12"/>
        <v>30</v>
      </c>
      <c r="J17" s="32">
        <v>10</v>
      </c>
      <c r="K17" s="32">
        <v>7</v>
      </c>
      <c r="L17" s="58">
        <f t="shared" si="13"/>
        <v>0.23333333333333334</v>
      </c>
      <c r="M17" s="56">
        <f t="shared" si="0"/>
        <v>7.5136748882966993</v>
      </c>
      <c r="N17" s="56">
        <f t="shared" si="1"/>
        <v>9.1833804190293016</v>
      </c>
      <c r="O17" s="56">
        <f t="shared" si="2"/>
        <v>5.0091165921977998</v>
      </c>
      <c r="P17" s="56">
        <f t="shared" si="3"/>
        <v>3.3394110614652002</v>
      </c>
      <c r="Q17" s="56">
        <f t="shared" si="14"/>
        <v>6.2613957402472495</v>
      </c>
      <c r="R17" s="34">
        <v>1197816</v>
      </c>
      <c r="S17" s="35">
        <v>294159</v>
      </c>
      <c r="T17" s="35">
        <v>345205</v>
      </c>
      <c r="U17" s="35">
        <v>3167</v>
      </c>
      <c r="V17" s="35">
        <v>33609</v>
      </c>
      <c r="W17" s="36">
        <v>311</v>
      </c>
      <c r="X17" s="36">
        <f t="shared" si="4"/>
        <v>33920</v>
      </c>
      <c r="Y17" s="35">
        <v>1824</v>
      </c>
      <c r="Z17" s="35">
        <v>12232</v>
      </c>
      <c r="AA17" s="37">
        <v>507309</v>
      </c>
      <c r="AB17" s="33">
        <v>1272396</v>
      </c>
      <c r="AC17" s="33">
        <v>8457</v>
      </c>
      <c r="AD17" s="33">
        <v>116</v>
      </c>
      <c r="AE17" s="25">
        <f t="shared" si="5"/>
        <v>6.6465157073741201</v>
      </c>
      <c r="AF17" s="25">
        <f t="shared" si="6"/>
        <v>9.116658650294406</v>
      </c>
      <c r="AG17" s="25">
        <f t="shared" si="7"/>
        <v>25.045582960988998</v>
      </c>
      <c r="AH17" s="25">
        <f t="shared" si="8"/>
        <v>33.995220272029748</v>
      </c>
      <c r="AI17" s="25">
        <f t="shared" si="9"/>
        <v>11.331740090676583</v>
      </c>
      <c r="AJ17" s="25">
        <f t="shared" si="10"/>
        <v>2.2663480181353166</v>
      </c>
      <c r="AK17" s="50">
        <v>66.134841918945312</v>
      </c>
      <c r="AL17" s="15">
        <f t="shared" si="11"/>
        <v>25</v>
      </c>
      <c r="AN17" s="15">
        <v>3</v>
      </c>
    </row>
    <row r="18" spans="1:40" x14ac:dyDescent="0.15">
      <c r="A18" s="31" t="s">
        <v>20579</v>
      </c>
      <c r="B18" s="31" t="s">
        <v>1298</v>
      </c>
      <c r="C18" s="32" t="s">
        <v>1299</v>
      </c>
      <c r="D18" s="32">
        <v>4</v>
      </c>
      <c r="E18" s="32">
        <v>4</v>
      </c>
      <c r="F18" s="32">
        <v>4</v>
      </c>
      <c r="G18" s="32">
        <v>5</v>
      </c>
      <c r="H18" s="32">
        <v>0</v>
      </c>
      <c r="I18" s="32">
        <f t="shared" si="12"/>
        <v>17</v>
      </c>
      <c r="J18" s="32">
        <v>0</v>
      </c>
      <c r="K18" s="32">
        <v>2</v>
      </c>
      <c r="L18" s="58">
        <f t="shared" si="13"/>
        <v>0.11764705882352941</v>
      </c>
      <c r="M18" s="56">
        <f t="shared" si="0"/>
        <v>6.6649115732857016</v>
      </c>
      <c r="N18" s="56">
        <f t="shared" si="1"/>
        <v>6.6649115732857016</v>
      </c>
      <c r="O18" s="56">
        <f t="shared" si="2"/>
        <v>6.6649115732857016</v>
      </c>
      <c r="P18" s="56">
        <f t="shared" si="3"/>
        <v>8.3311394666071266</v>
      </c>
      <c r="Q18" s="56">
        <f t="shared" si="14"/>
        <v>7.0814685466160583</v>
      </c>
      <c r="R18" s="34">
        <v>600158</v>
      </c>
      <c r="S18" s="35">
        <v>58388</v>
      </c>
      <c r="T18" s="35">
        <v>313012</v>
      </c>
      <c r="U18" s="35">
        <v>3525</v>
      </c>
      <c r="V18" s="35">
        <v>19925</v>
      </c>
      <c r="W18" s="36">
        <v>495</v>
      </c>
      <c r="X18" s="36">
        <f t="shared" si="4"/>
        <v>20420</v>
      </c>
      <c r="Y18" s="35">
        <v>1208</v>
      </c>
      <c r="Z18" s="35">
        <v>12640</v>
      </c>
      <c r="AA18" s="37">
        <v>190965</v>
      </c>
      <c r="AB18" s="33">
        <v>665353</v>
      </c>
      <c r="AC18" s="33">
        <v>3983</v>
      </c>
      <c r="AD18" s="33">
        <v>31</v>
      </c>
      <c r="AE18" s="25">
        <f t="shared" si="5"/>
        <v>5.9862959962606315</v>
      </c>
      <c r="AF18" s="25">
        <f t="shared" si="6"/>
        <v>4.659180915994968</v>
      </c>
      <c r="AG18" s="25">
        <f t="shared" si="7"/>
        <v>28.325874186464233</v>
      </c>
      <c r="AH18" s="25">
        <f t="shared" si="8"/>
        <v>0</v>
      </c>
      <c r="AI18" s="25">
        <f t="shared" si="9"/>
        <v>0</v>
      </c>
      <c r="AJ18" s="25">
        <f t="shared" si="10"/>
        <v>0</v>
      </c>
      <c r="AK18" s="50">
        <v>54.686649322509766</v>
      </c>
      <c r="AL18" s="15">
        <f t="shared" si="11"/>
        <v>0</v>
      </c>
      <c r="AN18" s="15">
        <v>4</v>
      </c>
    </row>
    <row r="19" spans="1:40" x14ac:dyDescent="0.15">
      <c r="A19" s="31" t="s">
        <v>20597</v>
      </c>
      <c r="B19" s="31" t="s">
        <v>444</v>
      </c>
      <c r="C19" s="32" t="s">
        <v>2177</v>
      </c>
      <c r="D19" s="32">
        <v>1</v>
      </c>
      <c r="E19" s="32">
        <v>7</v>
      </c>
      <c r="F19" s="32">
        <v>1</v>
      </c>
      <c r="G19" s="32">
        <v>1</v>
      </c>
      <c r="H19" s="32">
        <v>1</v>
      </c>
      <c r="I19" s="32">
        <f t="shared" si="12"/>
        <v>10</v>
      </c>
      <c r="J19" s="32">
        <v>3</v>
      </c>
      <c r="K19" s="32">
        <v>1</v>
      </c>
      <c r="L19" s="58">
        <f t="shared" si="13"/>
        <v>0.1</v>
      </c>
      <c r="M19" s="56">
        <f t="shared" si="0"/>
        <v>1.4009977906264843</v>
      </c>
      <c r="N19" s="56">
        <f t="shared" si="1"/>
        <v>9.8069845343853892</v>
      </c>
      <c r="O19" s="56">
        <f t="shared" si="2"/>
        <v>1.4009977906264843</v>
      </c>
      <c r="P19" s="56">
        <f t="shared" si="3"/>
        <v>1.4009977906264843</v>
      </c>
      <c r="Q19" s="56">
        <f t="shared" si="14"/>
        <v>3.50249447656621</v>
      </c>
      <c r="R19" s="34">
        <v>713777</v>
      </c>
      <c r="S19" s="35">
        <v>586573</v>
      </c>
      <c r="T19" s="35">
        <v>55604</v>
      </c>
      <c r="U19" s="35">
        <v>1927</v>
      </c>
      <c r="V19" s="35">
        <v>7436</v>
      </c>
      <c r="W19" s="36">
        <v>82</v>
      </c>
      <c r="X19" s="36">
        <f t="shared" si="4"/>
        <v>7518</v>
      </c>
      <c r="Y19" s="36">
        <v>994</v>
      </c>
      <c r="Z19" s="35">
        <v>12482</v>
      </c>
      <c r="AA19" s="37">
        <v>48679</v>
      </c>
      <c r="AB19" s="33">
        <v>684694</v>
      </c>
      <c r="AC19" s="33">
        <v>13616</v>
      </c>
      <c r="AD19" s="33">
        <v>298</v>
      </c>
      <c r="AE19" s="25">
        <f t="shared" si="5"/>
        <v>19.886255758046659</v>
      </c>
      <c r="AF19" s="25">
        <f t="shared" si="6"/>
        <v>43.523092067405294</v>
      </c>
      <c r="AG19" s="25">
        <f t="shared" si="7"/>
        <v>14.009977906264842</v>
      </c>
      <c r="AH19" s="25">
        <f t="shared" si="8"/>
        <v>5.1144529325420702</v>
      </c>
      <c r="AI19" s="25">
        <f t="shared" si="9"/>
        <v>1.7048176441806902</v>
      </c>
      <c r="AJ19" s="25">
        <f t="shared" si="10"/>
        <v>0.34096352883613801</v>
      </c>
      <c r="AK19" s="50">
        <v>59.169761657714844</v>
      </c>
      <c r="AL19" s="15">
        <f t="shared" si="11"/>
        <v>100</v>
      </c>
      <c r="AN19" s="15">
        <v>4</v>
      </c>
    </row>
    <row r="20" spans="1:40" x14ac:dyDescent="0.15">
      <c r="A20" s="31" t="s">
        <v>20580</v>
      </c>
      <c r="B20" s="31" t="s">
        <v>857</v>
      </c>
      <c r="C20" s="32" t="s">
        <v>858</v>
      </c>
      <c r="D20" s="32">
        <v>4</v>
      </c>
      <c r="E20" s="32">
        <v>1</v>
      </c>
      <c r="F20" s="32">
        <v>4</v>
      </c>
      <c r="G20" s="32">
        <v>2</v>
      </c>
      <c r="H20" s="32">
        <v>1</v>
      </c>
      <c r="I20" s="32">
        <f t="shared" si="12"/>
        <v>11</v>
      </c>
      <c r="J20" s="32">
        <v>2</v>
      </c>
      <c r="K20" s="32">
        <v>3</v>
      </c>
      <c r="L20" s="58">
        <f t="shared" si="13"/>
        <v>0.27272727272727271</v>
      </c>
      <c r="M20" s="56">
        <f t="shared" si="0"/>
        <v>6.1621793163370153</v>
      </c>
      <c r="N20" s="56">
        <f t="shared" si="1"/>
        <v>1.5405448290842538</v>
      </c>
      <c r="O20" s="56">
        <f t="shared" si="2"/>
        <v>6.1621793163370153</v>
      </c>
      <c r="P20" s="56">
        <f t="shared" si="3"/>
        <v>3.0810896581685077</v>
      </c>
      <c r="Q20" s="56">
        <f t="shared" si="14"/>
        <v>4.2364982799816984</v>
      </c>
      <c r="R20" s="34">
        <v>649121</v>
      </c>
      <c r="S20" s="35">
        <v>18155</v>
      </c>
      <c r="T20" s="35">
        <v>92426</v>
      </c>
      <c r="U20" s="35">
        <v>1633</v>
      </c>
      <c r="V20" s="35">
        <v>7092</v>
      </c>
      <c r="W20" s="36">
        <v>737</v>
      </c>
      <c r="X20" s="36">
        <f t="shared" si="4"/>
        <v>7829</v>
      </c>
      <c r="Y20" s="36">
        <v>543</v>
      </c>
      <c r="Z20" s="35">
        <v>4814</v>
      </c>
      <c r="AA20" s="37">
        <v>523721</v>
      </c>
      <c r="AB20" s="33">
        <v>680273</v>
      </c>
      <c r="AC20" s="33">
        <v>2671</v>
      </c>
      <c r="AD20" s="33">
        <v>21</v>
      </c>
      <c r="AE20" s="25">
        <f t="shared" si="5"/>
        <v>3.9263648564620381</v>
      </c>
      <c r="AF20" s="25">
        <f t="shared" si="6"/>
        <v>3.0869959560352975</v>
      </c>
      <c r="AG20" s="25">
        <f t="shared" si="7"/>
        <v>16.945993119926793</v>
      </c>
      <c r="AH20" s="25">
        <f t="shared" si="8"/>
        <v>110.1624896722666</v>
      </c>
      <c r="AI20" s="25">
        <f t="shared" si="9"/>
        <v>36.720829890755532</v>
      </c>
      <c r="AJ20" s="25">
        <f t="shared" si="10"/>
        <v>7.3441659781511062</v>
      </c>
      <c r="AK20" s="50">
        <v>30.835353851318359</v>
      </c>
      <c r="AL20" s="15">
        <f t="shared" si="11"/>
        <v>50</v>
      </c>
    </row>
    <row r="21" spans="1:40" x14ac:dyDescent="0.15">
      <c r="A21" s="31" t="s">
        <v>20580</v>
      </c>
      <c r="B21" s="31" t="s">
        <v>926</v>
      </c>
      <c r="C21" s="32" t="s">
        <v>927</v>
      </c>
      <c r="D21" s="32">
        <v>6</v>
      </c>
      <c r="E21" s="32">
        <v>3</v>
      </c>
      <c r="F21" s="32">
        <v>5</v>
      </c>
      <c r="G21" s="32">
        <v>1</v>
      </c>
      <c r="H21" s="32">
        <v>0</v>
      </c>
      <c r="I21" s="32">
        <f t="shared" si="12"/>
        <v>15</v>
      </c>
      <c r="J21" s="32">
        <v>4</v>
      </c>
      <c r="K21" s="32">
        <v>0</v>
      </c>
      <c r="L21" s="58">
        <f t="shared" si="13"/>
        <v>0</v>
      </c>
      <c r="M21" s="56">
        <f t="shared" si="0"/>
        <v>8.0949155835219901</v>
      </c>
      <c r="N21" s="56">
        <f t="shared" si="1"/>
        <v>4.0474577917609951</v>
      </c>
      <c r="O21" s="56">
        <f t="shared" si="2"/>
        <v>6.7457629862683248</v>
      </c>
      <c r="P21" s="56">
        <f t="shared" si="3"/>
        <v>1.3491525972536651</v>
      </c>
      <c r="Q21" s="56">
        <f t="shared" si="14"/>
        <v>5.0593222397012436</v>
      </c>
      <c r="R21" s="34">
        <v>741206</v>
      </c>
      <c r="S21" s="35">
        <v>136941</v>
      </c>
      <c r="T21" s="35">
        <v>309312</v>
      </c>
      <c r="U21" s="35">
        <v>2481</v>
      </c>
      <c r="V21" s="35">
        <v>27095</v>
      </c>
      <c r="W21" s="36">
        <v>615</v>
      </c>
      <c r="X21" s="36">
        <f t="shared" si="4"/>
        <v>27710</v>
      </c>
      <c r="Y21" s="36">
        <v>993</v>
      </c>
      <c r="Z21" s="35">
        <v>11301</v>
      </c>
      <c r="AA21" s="37">
        <v>252468</v>
      </c>
      <c r="AB21" s="39">
        <v>789035</v>
      </c>
      <c r="AC21" s="33">
        <v>4420</v>
      </c>
      <c r="AD21" s="33">
        <v>48</v>
      </c>
      <c r="AE21" s="25">
        <f t="shared" si="5"/>
        <v>5.6017793887470138</v>
      </c>
      <c r="AF21" s="25">
        <f t="shared" si="6"/>
        <v>6.0833803316709654</v>
      </c>
      <c r="AG21" s="25">
        <f t="shared" si="7"/>
        <v>20.237288958804974</v>
      </c>
      <c r="AH21" s="25">
        <f t="shared" si="8"/>
        <v>29.20965963444111</v>
      </c>
      <c r="AI21" s="25">
        <f t="shared" si="9"/>
        <v>9.7365532114803699</v>
      </c>
      <c r="AJ21" s="25">
        <f t="shared" si="10"/>
        <v>1.947310642296074</v>
      </c>
      <c r="AK21" s="50">
        <v>54.993923187255859</v>
      </c>
      <c r="AL21" s="15">
        <f t="shared" si="11"/>
        <v>0</v>
      </c>
      <c r="AN21" s="15">
        <v>2</v>
      </c>
    </row>
    <row r="22" spans="1:40" x14ac:dyDescent="0.15">
      <c r="A22" s="31" t="s">
        <v>20575</v>
      </c>
      <c r="B22" s="31" t="s">
        <v>200</v>
      </c>
      <c r="C22" s="32" t="s">
        <v>201</v>
      </c>
      <c r="D22" s="32">
        <v>2</v>
      </c>
      <c r="E22" s="32">
        <v>7</v>
      </c>
      <c r="F22" s="32">
        <v>5</v>
      </c>
      <c r="G22" s="32">
        <v>2</v>
      </c>
      <c r="H22" s="32">
        <v>0</v>
      </c>
      <c r="I22" s="32">
        <f t="shared" si="12"/>
        <v>16</v>
      </c>
      <c r="J22" s="32">
        <v>1</v>
      </c>
      <c r="K22" s="32">
        <v>4</v>
      </c>
      <c r="L22" s="58">
        <f t="shared" si="13"/>
        <v>0.25</v>
      </c>
      <c r="M22" s="56">
        <f t="shared" si="0"/>
        <v>4.0431403070765066</v>
      </c>
      <c r="N22" s="56">
        <f t="shared" si="1"/>
        <v>14.150991074767772</v>
      </c>
      <c r="O22" s="56">
        <f t="shared" si="2"/>
        <v>10.107850767691266</v>
      </c>
      <c r="P22" s="56">
        <f t="shared" si="3"/>
        <v>4.0431403070765066</v>
      </c>
      <c r="Q22" s="56">
        <f t="shared" si="14"/>
        <v>8.0862806141530132</v>
      </c>
      <c r="R22" s="34">
        <v>494665</v>
      </c>
      <c r="S22" s="35">
        <v>37885</v>
      </c>
      <c r="T22" s="35">
        <v>148598</v>
      </c>
      <c r="U22" s="35">
        <v>3127</v>
      </c>
      <c r="V22" s="35">
        <v>60939</v>
      </c>
      <c r="W22" s="36">
        <v>663</v>
      </c>
      <c r="X22" s="36">
        <f t="shared" si="4"/>
        <v>61602</v>
      </c>
      <c r="Y22" s="36">
        <v>984</v>
      </c>
      <c r="Z22" s="35">
        <v>10414</v>
      </c>
      <c r="AA22" s="37">
        <v>232055</v>
      </c>
      <c r="AB22" s="33">
        <v>513187</v>
      </c>
      <c r="AC22" s="33">
        <v>2382</v>
      </c>
      <c r="AD22" s="33">
        <v>47</v>
      </c>
      <c r="AE22" s="25">
        <f t="shared" si="5"/>
        <v>4.6415828927856708</v>
      </c>
      <c r="AF22" s="25">
        <f t="shared" si="6"/>
        <v>9.1584549101984276</v>
      </c>
      <c r="AG22" s="25">
        <f t="shared" si="7"/>
        <v>32.345122456612053</v>
      </c>
      <c r="AH22" s="25">
        <f t="shared" si="8"/>
        <v>26.395671109937972</v>
      </c>
      <c r="AI22" s="25">
        <f t="shared" si="9"/>
        <v>8.79855703664599</v>
      </c>
      <c r="AJ22" s="25">
        <f t="shared" si="10"/>
        <v>1.759711407329198</v>
      </c>
      <c r="AK22" s="50">
        <v>42.013145446777344</v>
      </c>
      <c r="AL22" s="15">
        <f t="shared" si="11"/>
        <v>0</v>
      </c>
      <c r="AN22" s="15">
        <v>1</v>
      </c>
    </row>
    <row r="23" spans="1:40" x14ac:dyDescent="0.15">
      <c r="A23" s="31" t="s">
        <v>3943</v>
      </c>
      <c r="B23" s="31" t="s">
        <v>2362</v>
      </c>
      <c r="C23" s="32" t="s">
        <v>3582</v>
      </c>
      <c r="D23" s="32">
        <v>3</v>
      </c>
      <c r="E23" s="32">
        <v>3</v>
      </c>
      <c r="F23" s="32">
        <v>1</v>
      </c>
      <c r="G23" s="32">
        <v>1</v>
      </c>
      <c r="H23" s="32">
        <v>0</v>
      </c>
      <c r="I23" s="32">
        <f t="shared" si="12"/>
        <v>8</v>
      </c>
      <c r="J23" s="32">
        <v>0</v>
      </c>
      <c r="K23" s="32">
        <v>2</v>
      </c>
      <c r="L23" s="58">
        <f t="shared" si="13"/>
        <v>0.25</v>
      </c>
      <c r="M23" s="56">
        <f t="shared" si="0"/>
        <v>8.8953198757027305</v>
      </c>
      <c r="N23" s="56">
        <f t="shared" si="1"/>
        <v>8.8953198757027305</v>
      </c>
      <c r="O23" s="56">
        <f t="shared" si="2"/>
        <v>2.9651066252342435</v>
      </c>
      <c r="P23" s="56">
        <f t="shared" si="3"/>
        <v>2.9651066252342435</v>
      </c>
      <c r="Q23" s="56">
        <f t="shared" si="14"/>
        <v>5.930213250468487</v>
      </c>
      <c r="R23" s="34">
        <v>337256</v>
      </c>
      <c r="S23" s="35">
        <v>4642</v>
      </c>
      <c r="T23" s="35">
        <v>55762</v>
      </c>
      <c r="U23" s="36">
        <v>517</v>
      </c>
      <c r="V23" s="35">
        <v>182792</v>
      </c>
      <c r="W23" s="35">
        <v>27346</v>
      </c>
      <c r="X23" s="36">
        <f t="shared" si="4"/>
        <v>210138</v>
      </c>
      <c r="Y23" s="36">
        <v>512</v>
      </c>
      <c r="Z23" s="35">
        <v>47384</v>
      </c>
      <c r="AA23" s="37">
        <v>18301</v>
      </c>
      <c r="AB23" s="39">
        <v>337256</v>
      </c>
      <c r="AC23" s="39">
        <v>2605</v>
      </c>
      <c r="AD23" s="33">
        <v>16</v>
      </c>
      <c r="AE23" s="25">
        <f t="shared" si="5"/>
        <v>7.7241027587352038</v>
      </c>
      <c r="AF23" s="25">
        <f t="shared" si="6"/>
        <v>4.7441706003747894</v>
      </c>
      <c r="AG23" s="25">
        <f t="shared" si="7"/>
        <v>23.720853001873948</v>
      </c>
      <c r="AH23" s="25">
        <f t="shared" si="8"/>
        <v>0</v>
      </c>
      <c r="AI23" s="25">
        <f t="shared" si="9"/>
        <v>0</v>
      </c>
      <c r="AJ23" s="25">
        <f t="shared" si="10"/>
        <v>0</v>
      </c>
      <c r="AK23" s="50">
        <v>30.276092529296875</v>
      </c>
      <c r="AL23" s="15">
        <f t="shared" si="11"/>
        <v>0</v>
      </c>
      <c r="AN23" s="15">
        <v>3</v>
      </c>
    </row>
    <row r="24" spans="1:40" x14ac:dyDescent="0.15">
      <c r="A24" s="31" t="s">
        <v>20580</v>
      </c>
      <c r="B24" s="31" t="s">
        <v>723</v>
      </c>
      <c r="C24" s="32" t="s">
        <v>724</v>
      </c>
      <c r="D24" s="32">
        <v>9</v>
      </c>
      <c r="E24" s="32">
        <v>13</v>
      </c>
      <c r="F24" s="32">
        <v>14</v>
      </c>
      <c r="G24" s="32">
        <v>9</v>
      </c>
      <c r="H24" s="32">
        <v>5</v>
      </c>
      <c r="I24" s="32">
        <f t="shared" si="12"/>
        <v>45</v>
      </c>
      <c r="J24" s="32">
        <v>25</v>
      </c>
      <c r="K24" s="32">
        <v>7</v>
      </c>
      <c r="L24" s="58">
        <f t="shared" si="13"/>
        <v>0.15555555555555556</v>
      </c>
      <c r="M24" s="56">
        <f t="shared" si="0"/>
        <v>4.2868349868608506</v>
      </c>
      <c r="N24" s="56">
        <f t="shared" si="1"/>
        <v>6.1920949810212287</v>
      </c>
      <c r="O24" s="56">
        <f t="shared" si="2"/>
        <v>6.6684099795613232</v>
      </c>
      <c r="P24" s="56">
        <f t="shared" si="3"/>
        <v>4.2868349868608506</v>
      </c>
      <c r="Q24" s="56">
        <f t="shared" si="14"/>
        <v>5.3585437335760631</v>
      </c>
      <c r="R24" s="34">
        <v>2099451</v>
      </c>
      <c r="S24" s="35">
        <v>485956</v>
      </c>
      <c r="T24" s="35">
        <v>537901</v>
      </c>
      <c r="U24" s="35">
        <v>3528</v>
      </c>
      <c r="V24" s="35">
        <v>124859</v>
      </c>
      <c r="W24" s="36">
        <v>711</v>
      </c>
      <c r="X24" s="36">
        <f t="shared" si="4"/>
        <v>125570</v>
      </c>
      <c r="Y24" s="35">
        <v>4128</v>
      </c>
      <c r="Z24" s="35">
        <v>22700</v>
      </c>
      <c r="AA24" s="37">
        <v>919668</v>
      </c>
      <c r="AB24" s="33">
        <v>2219933</v>
      </c>
      <c r="AC24" s="33">
        <v>22008</v>
      </c>
      <c r="AD24" s="33">
        <v>242</v>
      </c>
      <c r="AE24" s="25">
        <f t="shared" si="5"/>
        <v>9.9138127141675003</v>
      </c>
      <c r="AF24" s="25">
        <f t="shared" si="6"/>
        <v>10.901229901983529</v>
      </c>
      <c r="AG24" s="25">
        <f t="shared" si="7"/>
        <v>21.434174934304252</v>
      </c>
      <c r="AH24" s="25">
        <f t="shared" si="8"/>
        <v>51.444986788927388</v>
      </c>
      <c r="AI24" s="25">
        <f t="shared" si="9"/>
        <v>17.148328929642464</v>
      </c>
      <c r="AJ24" s="25">
        <f t="shared" si="10"/>
        <v>3.4296657859284929</v>
      </c>
      <c r="AK24" s="50">
        <v>68.565139770507812</v>
      </c>
      <c r="AL24" s="15">
        <f t="shared" si="11"/>
        <v>55.555555555555557</v>
      </c>
      <c r="AN24" s="15">
        <v>1</v>
      </c>
    </row>
    <row r="25" spans="1:40" x14ac:dyDescent="0.15">
      <c r="A25" s="31" t="s">
        <v>10381</v>
      </c>
      <c r="B25" s="31" t="s">
        <v>216</v>
      </c>
      <c r="C25" s="32" t="s">
        <v>218</v>
      </c>
      <c r="D25" s="32">
        <v>7</v>
      </c>
      <c r="E25" s="32">
        <v>5</v>
      </c>
      <c r="F25" s="32">
        <v>9</v>
      </c>
      <c r="G25" s="32">
        <v>3</v>
      </c>
      <c r="H25" s="32">
        <v>3</v>
      </c>
      <c r="I25" s="32">
        <f t="shared" si="12"/>
        <v>24</v>
      </c>
      <c r="J25" s="57">
        <v>13</v>
      </c>
      <c r="K25" s="32">
        <v>5</v>
      </c>
      <c r="L25" s="58">
        <f t="shared" si="13"/>
        <v>0.20833333333333334</v>
      </c>
      <c r="M25" s="56">
        <f t="shared" si="0"/>
        <v>8.5319552194236046</v>
      </c>
      <c r="N25" s="56">
        <f t="shared" si="1"/>
        <v>6.0942537281597184</v>
      </c>
      <c r="O25" s="56">
        <f t="shared" si="2"/>
        <v>10.969656710687493</v>
      </c>
      <c r="P25" s="56">
        <f t="shared" si="3"/>
        <v>3.6565522368958305</v>
      </c>
      <c r="Q25" s="56">
        <f t="shared" si="14"/>
        <v>7.313104473791662</v>
      </c>
      <c r="R25" s="34">
        <v>820445</v>
      </c>
      <c r="S25" s="35">
        <v>223053</v>
      </c>
      <c r="T25" s="35">
        <v>480960</v>
      </c>
      <c r="U25" s="35">
        <v>1760</v>
      </c>
      <c r="V25" s="35">
        <v>17053</v>
      </c>
      <c r="W25" s="36">
        <v>274</v>
      </c>
      <c r="X25" s="36">
        <f t="shared" si="4"/>
        <v>17327</v>
      </c>
      <c r="Y25" s="35">
        <v>2123</v>
      </c>
      <c r="Z25" s="35">
        <v>17870</v>
      </c>
      <c r="AA25" s="37">
        <v>77352</v>
      </c>
      <c r="AB25" s="33">
        <v>858238</v>
      </c>
      <c r="AC25" s="33">
        <v>10768</v>
      </c>
      <c r="AD25" s="33">
        <v>136</v>
      </c>
      <c r="AE25" s="25">
        <f t="shared" si="5"/>
        <v>12.546636247754119</v>
      </c>
      <c r="AF25" s="25">
        <f t="shared" si="6"/>
        <v>15.846420223760774</v>
      </c>
      <c r="AG25" s="25">
        <f t="shared" si="7"/>
        <v>29.252417895166644</v>
      </c>
      <c r="AH25" s="25">
        <f t="shared" si="8"/>
        <v>58.28211232308017</v>
      </c>
      <c r="AI25" s="25">
        <f t="shared" si="9"/>
        <v>19.427370774360057</v>
      </c>
      <c r="AJ25" s="25">
        <f t="shared" si="10"/>
        <v>3.8854741548720115</v>
      </c>
      <c r="AK25" s="50">
        <v>55.86541748046875</v>
      </c>
      <c r="AL25" s="15">
        <f t="shared" si="11"/>
        <v>100</v>
      </c>
      <c r="AN25" s="15">
        <v>1</v>
      </c>
    </row>
    <row r="26" spans="1:40" x14ac:dyDescent="0.15">
      <c r="A26" s="31" t="s">
        <v>20581</v>
      </c>
      <c r="B26" s="31" t="s">
        <v>651</v>
      </c>
      <c r="C26" s="32" t="s">
        <v>653</v>
      </c>
      <c r="D26" s="32">
        <v>7</v>
      </c>
      <c r="E26" s="32">
        <v>7</v>
      </c>
      <c r="F26" s="32">
        <v>6</v>
      </c>
      <c r="G26" s="32">
        <v>4</v>
      </c>
      <c r="H26" s="32">
        <v>2</v>
      </c>
      <c r="I26" s="32">
        <f t="shared" si="12"/>
        <v>24</v>
      </c>
      <c r="J26" s="32">
        <v>14</v>
      </c>
      <c r="K26" s="32">
        <v>7</v>
      </c>
      <c r="L26" s="58">
        <f t="shared" si="13"/>
        <v>0.29166666666666669</v>
      </c>
      <c r="M26" s="56">
        <f t="shared" si="0"/>
        <v>8.5180534057611261</v>
      </c>
      <c r="N26" s="56">
        <f t="shared" si="1"/>
        <v>8.5180534057611261</v>
      </c>
      <c r="O26" s="56">
        <f t="shared" si="2"/>
        <v>7.3011886335095353</v>
      </c>
      <c r="P26" s="56">
        <f t="shared" si="3"/>
        <v>4.8674590890063563</v>
      </c>
      <c r="Q26" s="56">
        <f t="shared" si="14"/>
        <v>7.3011886335095362</v>
      </c>
      <c r="R26" s="34">
        <v>821784</v>
      </c>
      <c r="S26" s="35">
        <v>247516</v>
      </c>
      <c r="T26" s="35">
        <v>452525</v>
      </c>
      <c r="U26" s="35">
        <v>2687</v>
      </c>
      <c r="V26" s="35">
        <v>34731</v>
      </c>
      <c r="W26" s="36">
        <v>668</v>
      </c>
      <c r="X26" s="36">
        <f t="shared" si="4"/>
        <v>35399</v>
      </c>
      <c r="Y26" s="35">
        <v>1949</v>
      </c>
      <c r="Z26" s="35">
        <v>18223</v>
      </c>
      <c r="AA26" s="37">
        <v>63485</v>
      </c>
      <c r="AB26" s="33">
        <v>856021</v>
      </c>
      <c r="AC26" s="33">
        <v>5853</v>
      </c>
      <c r="AD26" s="33">
        <v>96</v>
      </c>
      <c r="AE26" s="25">
        <f t="shared" si="5"/>
        <v>6.8374490812725393</v>
      </c>
      <c r="AF26" s="25">
        <f t="shared" si="6"/>
        <v>11.21467814457823</v>
      </c>
      <c r="AG26" s="25">
        <f t="shared" si="7"/>
        <v>29.204754534038141</v>
      </c>
      <c r="AH26" s="25">
        <f t="shared" si="8"/>
        <v>56.562000032321144</v>
      </c>
      <c r="AI26" s="25">
        <f t="shared" si="9"/>
        <v>18.854000010773714</v>
      </c>
      <c r="AJ26" s="25">
        <f t="shared" si="10"/>
        <v>3.7708000021547425</v>
      </c>
      <c r="AK26" s="50">
        <v>47.544624328613281</v>
      </c>
      <c r="AL26" s="15">
        <f t="shared" si="11"/>
        <v>50</v>
      </c>
      <c r="AN26" s="15">
        <v>3</v>
      </c>
    </row>
    <row r="27" spans="1:40" x14ac:dyDescent="0.15">
      <c r="A27" s="31" t="s">
        <v>20577</v>
      </c>
      <c r="B27" s="31" t="s">
        <v>21219</v>
      </c>
      <c r="C27" s="32" t="s">
        <v>434</v>
      </c>
      <c r="D27" s="32">
        <v>5</v>
      </c>
      <c r="E27" s="32">
        <v>5</v>
      </c>
      <c r="F27" s="32">
        <v>3</v>
      </c>
      <c r="G27" s="32">
        <v>2</v>
      </c>
      <c r="H27" s="32">
        <v>2</v>
      </c>
      <c r="I27" s="32">
        <f t="shared" si="12"/>
        <v>15</v>
      </c>
      <c r="J27" s="32">
        <v>8</v>
      </c>
      <c r="K27" s="32">
        <v>2</v>
      </c>
      <c r="L27" s="58">
        <f t="shared" si="13"/>
        <v>0.13333333333333333</v>
      </c>
      <c r="M27" s="56">
        <f t="shared" si="0"/>
        <v>10.874600630291852</v>
      </c>
      <c r="N27" s="56">
        <f t="shared" si="1"/>
        <v>10.874600630291852</v>
      </c>
      <c r="O27" s="56">
        <f t="shared" si="2"/>
        <v>6.5247603781751113</v>
      </c>
      <c r="P27" s="56">
        <f t="shared" si="3"/>
        <v>4.3498402521167412</v>
      </c>
      <c r="Q27" s="56">
        <f t="shared" si="14"/>
        <v>8.1559504727188887</v>
      </c>
      <c r="R27" s="34">
        <v>459787</v>
      </c>
      <c r="S27" s="35">
        <v>135916</v>
      </c>
      <c r="T27" s="35">
        <v>252257</v>
      </c>
      <c r="U27" s="35">
        <v>1823</v>
      </c>
      <c r="V27" s="35">
        <v>11275</v>
      </c>
      <c r="W27" s="36">
        <v>787</v>
      </c>
      <c r="X27" s="36">
        <f t="shared" si="4"/>
        <v>12062</v>
      </c>
      <c r="Y27" s="36">
        <v>709</v>
      </c>
      <c r="Z27" s="35">
        <v>11067</v>
      </c>
      <c r="AA27" s="37">
        <v>45953</v>
      </c>
      <c r="AB27" s="33">
        <v>468417</v>
      </c>
      <c r="AC27" s="33">
        <v>5862</v>
      </c>
      <c r="AD27" s="33">
        <v>78</v>
      </c>
      <c r="AE27" s="25">
        <f t="shared" si="5"/>
        <v>12.514490293904791</v>
      </c>
      <c r="AF27" s="25">
        <f t="shared" si="6"/>
        <v>16.651829459648134</v>
      </c>
      <c r="AG27" s="25">
        <f t="shared" si="7"/>
        <v>32.623801890875555</v>
      </c>
      <c r="AH27" s="25">
        <f t="shared" si="8"/>
        <v>58.859884046028434</v>
      </c>
      <c r="AI27" s="25">
        <f t="shared" si="9"/>
        <v>19.619961348676146</v>
      </c>
      <c r="AJ27" s="25">
        <f t="shared" si="10"/>
        <v>3.923992269735229</v>
      </c>
      <c r="AK27" s="50">
        <v>62.232200622558594</v>
      </c>
      <c r="AL27" s="15">
        <f t="shared" si="11"/>
        <v>100</v>
      </c>
      <c r="AN27" s="15">
        <v>0</v>
      </c>
    </row>
    <row r="28" spans="1:40" x14ac:dyDescent="0.15">
      <c r="A28" s="31" t="s">
        <v>20586</v>
      </c>
      <c r="B28" s="31" t="s">
        <v>655</v>
      </c>
      <c r="C28" s="32" t="s">
        <v>571</v>
      </c>
      <c r="D28" s="32">
        <v>6</v>
      </c>
      <c r="E28" s="32">
        <v>9</v>
      </c>
      <c r="F28" s="32">
        <v>11</v>
      </c>
      <c r="G28" s="32">
        <v>4</v>
      </c>
      <c r="H28" s="32">
        <v>1</v>
      </c>
      <c r="I28" s="32">
        <f t="shared" si="12"/>
        <v>30</v>
      </c>
      <c r="J28" s="32">
        <v>3</v>
      </c>
      <c r="K28" s="32">
        <v>6</v>
      </c>
      <c r="L28" s="58">
        <f t="shared" si="13"/>
        <v>0.2</v>
      </c>
      <c r="M28" s="56">
        <f t="shared" si="0"/>
        <v>2.9587724644799365</v>
      </c>
      <c r="N28" s="56">
        <f t="shared" si="1"/>
        <v>4.4381586967199045</v>
      </c>
      <c r="O28" s="56">
        <f t="shared" si="2"/>
        <v>5.4244161848798838</v>
      </c>
      <c r="P28" s="56">
        <f t="shared" si="3"/>
        <v>1.9725149763199576</v>
      </c>
      <c r="Q28" s="56">
        <f t="shared" si="14"/>
        <v>3.6984655805999207</v>
      </c>
      <c r="R28" s="34">
        <v>2027868</v>
      </c>
      <c r="S28" s="35">
        <v>62008</v>
      </c>
      <c r="T28" s="35">
        <v>279703</v>
      </c>
      <c r="U28" s="35">
        <v>2391</v>
      </c>
      <c r="V28" s="35">
        <v>34606</v>
      </c>
      <c r="W28" s="35">
        <v>3103</v>
      </c>
      <c r="X28" s="36">
        <f t="shared" si="4"/>
        <v>37709</v>
      </c>
      <c r="Y28" s="35">
        <v>1101</v>
      </c>
      <c r="Z28" s="35">
        <v>16985</v>
      </c>
      <c r="AA28" s="37">
        <v>183859</v>
      </c>
      <c r="AB28" s="33">
        <v>1530899</v>
      </c>
      <c r="AC28" s="33">
        <v>12876</v>
      </c>
      <c r="AD28" s="33">
        <v>122</v>
      </c>
      <c r="AE28" s="25">
        <f t="shared" si="5"/>
        <v>8.4107442750958743</v>
      </c>
      <c r="AF28" s="25">
        <f t="shared" si="6"/>
        <v>7.9691736685437773</v>
      </c>
      <c r="AG28" s="25">
        <f t="shared" si="7"/>
        <v>14.793862322399683</v>
      </c>
      <c r="AH28" s="25">
        <f t="shared" si="8"/>
        <v>48.380854083344083</v>
      </c>
      <c r="AI28" s="25">
        <f t="shared" si="9"/>
        <v>16.126951361114696</v>
      </c>
      <c r="AJ28" s="25">
        <f t="shared" si="10"/>
        <v>3.2253902722229393</v>
      </c>
      <c r="AK28" s="50">
        <v>32.4434814453125</v>
      </c>
      <c r="AL28" s="15">
        <f t="shared" si="11"/>
        <v>25</v>
      </c>
      <c r="AN28" s="15">
        <v>4</v>
      </c>
    </row>
    <row r="29" spans="1:40" x14ac:dyDescent="0.15">
      <c r="A29" s="31" t="s">
        <v>20575</v>
      </c>
      <c r="B29" s="31" t="s">
        <v>489</v>
      </c>
      <c r="C29" s="32" t="s">
        <v>490</v>
      </c>
      <c r="D29" s="32">
        <v>6</v>
      </c>
      <c r="E29" s="32">
        <v>3</v>
      </c>
      <c r="F29" s="32">
        <v>5</v>
      </c>
      <c r="G29" s="32">
        <v>3</v>
      </c>
      <c r="H29" s="32">
        <v>1</v>
      </c>
      <c r="I29" s="32">
        <f t="shared" si="12"/>
        <v>17</v>
      </c>
      <c r="J29" s="32">
        <v>5</v>
      </c>
      <c r="K29" s="32">
        <v>4</v>
      </c>
      <c r="L29" s="58">
        <f t="shared" si="13"/>
        <v>0.23529411764705882</v>
      </c>
      <c r="M29" s="56">
        <f t="shared" si="0"/>
        <v>12.97979262617981</v>
      </c>
      <c r="N29" s="56">
        <f t="shared" si="1"/>
        <v>6.489896313089905</v>
      </c>
      <c r="O29" s="56">
        <f t="shared" si="2"/>
        <v>10.81649385514984</v>
      </c>
      <c r="P29" s="56">
        <f t="shared" si="3"/>
        <v>6.489896313089905</v>
      </c>
      <c r="Q29" s="56">
        <f t="shared" si="14"/>
        <v>9.194019776877365</v>
      </c>
      <c r="R29" s="34">
        <v>462257</v>
      </c>
      <c r="S29" s="35">
        <v>59925</v>
      </c>
      <c r="T29" s="35">
        <v>135698</v>
      </c>
      <c r="U29" s="35">
        <v>1349</v>
      </c>
      <c r="V29" s="35">
        <v>58268</v>
      </c>
      <c r="W29" s="35">
        <v>4915</v>
      </c>
      <c r="X29" s="36">
        <f t="shared" si="4"/>
        <v>63183</v>
      </c>
      <c r="Y29" s="35">
        <v>1118</v>
      </c>
      <c r="Z29" s="35">
        <v>12572</v>
      </c>
      <c r="AA29" s="37">
        <v>188412</v>
      </c>
      <c r="AB29" s="33">
        <v>471123</v>
      </c>
      <c r="AC29" s="33">
        <v>2304</v>
      </c>
      <c r="AD29" s="33">
        <v>23</v>
      </c>
      <c r="AE29" s="25">
        <f t="shared" si="5"/>
        <v>4.8904426232639882</v>
      </c>
      <c r="AF29" s="25">
        <f t="shared" si="6"/>
        <v>4.8819522714874886</v>
      </c>
      <c r="AG29" s="25">
        <f t="shared" si="7"/>
        <v>36.77607910750946</v>
      </c>
      <c r="AH29" s="25">
        <f t="shared" si="8"/>
        <v>83.437630371297459</v>
      </c>
      <c r="AI29" s="25">
        <f t="shared" si="9"/>
        <v>27.812543457099153</v>
      </c>
      <c r="AJ29" s="25">
        <f t="shared" si="10"/>
        <v>5.562508691419831</v>
      </c>
      <c r="AK29" s="50">
        <v>57.354034423828125</v>
      </c>
      <c r="AL29" s="15">
        <f t="shared" si="11"/>
        <v>33.333333333333329</v>
      </c>
    </row>
    <row r="30" spans="1:40" x14ac:dyDescent="0.15">
      <c r="A30" s="31" t="s">
        <v>20575</v>
      </c>
      <c r="B30" s="31" t="s">
        <v>98</v>
      </c>
      <c r="C30" s="32" t="s">
        <v>99</v>
      </c>
      <c r="D30" s="32">
        <v>18</v>
      </c>
      <c r="E30" s="32">
        <v>23</v>
      </c>
      <c r="F30" s="32">
        <v>24</v>
      </c>
      <c r="G30" s="32">
        <v>19</v>
      </c>
      <c r="H30" s="32">
        <v>5</v>
      </c>
      <c r="I30" s="32">
        <f t="shared" si="12"/>
        <v>84</v>
      </c>
      <c r="J30" s="57">
        <v>21</v>
      </c>
      <c r="K30" s="32">
        <v>12</v>
      </c>
      <c r="L30" s="58">
        <f t="shared" si="13"/>
        <v>0.14285714285714285</v>
      </c>
      <c r="M30" s="56">
        <f t="shared" si="0"/>
        <v>4.746058200911718</v>
      </c>
      <c r="N30" s="56">
        <f t="shared" si="1"/>
        <v>6.0644077011649733</v>
      </c>
      <c r="O30" s="56">
        <f t="shared" si="2"/>
        <v>6.3280776012156243</v>
      </c>
      <c r="P30" s="56">
        <f t="shared" si="3"/>
        <v>5.0097281009623691</v>
      </c>
      <c r="Q30" s="56">
        <f t="shared" si="14"/>
        <v>5.5370679010636712</v>
      </c>
      <c r="R30" s="34">
        <v>3792621</v>
      </c>
      <c r="S30" s="35">
        <v>347380</v>
      </c>
      <c r="T30" s="35">
        <v>1086908</v>
      </c>
      <c r="U30" s="35">
        <v>6589</v>
      </c>
      <c r="V30" s="35">
        <v>420212</v>
      </c>
      <c r="W30" s="35">
        <v>4300</v>
      </c>
      <c r="X30" s="36">
        <f t="shared" si="4"/>
        <v>424512</v>
      </c>
      <c r="Y30" s="35">
        <v>12057</v>
      </c>
      <c r="Z30" s="35">
        <v>76353</v>
      </c>
      <c r="AA30" s="37">
        <v>1838822</v>
      </c>
      <c r="AB30" s="33">
        <v>3906772</v>
      </c>
      <c r="AC30" s="33">
        <v>19171</v>
      </c>
      <c r="AD30" s="33">
        <v>260</v>
      </c>
      <c r="AE30" s="25">
        <f t="shared" si="5"/>
        <v>4.907120251706524</v>
      </c>
      <c r="AF30" s="25">
        <f t="shared" si="6"/>
        <v>6.6551106642517146</v>
      </c>
      <c r="AG30" s="25">
        <f t="shared" si="7"/>
        <v>22.148271604254685</v>
      </c>
      <c r="AH30" s="25">
        <f t="shared" si="8"/>
        <v>60.452530370199781</v>
      </c>
      <c r="AI30" s="25">
        <f t="shared" si="9"/>
        <v>20.150843456733259</v>
      </c>
      <c r="AJ30" s="25">
        <f t="shared" si="10"/>
        <v>4.0301686913466517</v>
      </c>
      <c r="AK30" s="50">
        <v>66.91314697265625</v>
      </c>
      <c r="AL30" s="15">
        <f t="shared" si="11"/>
        <v>26.315789473684209</v>
      </c>
      <c r="AN30" s="15">
        <v>3</v>
      </c>
    </row>
    <row r="31" spans="1:40" x14ac:dyDescent="0.15">
      <c r="A31" s="31" t="s">
        <v>20591</v>
      </c>
      <c r="B31" s="31" t="s">
        <v>890</v>
      </c>
      <c r="C31" s="32" t="s">
        <v>891</v>
      </c>
      <c r="D31" s="32">
        <v>2</v>
      </c>
      <c r="E31" s="32">
        <v>5</v>
      </c>
      <c r="F31" s="32">
        <v>2</v>
      </c>
      <c r="G31" s="32">
        <v>1</v>
      </c>
      <c r="H31" s="32">
        <v>1</v>
      </c>
      <c r="I31" s="32">
        <f t="shared" si="12"/>
        <v>10</v>
      </c>
      <c r="J31" s="32">
        <v>6</v>
      </c>
      <c r="K31" s="32">
        <v>0</v>
      </c>
      <c r="L31" s="58">
        <f t="shared" si="13"/>
        <v>0</v>
      </c>
      <c r="M31" s="56">
        <f t="shared" si="0"/>
        <v>3.3481937331857896</v>
      </c>
      <c r="N31" s="56">
        <f t="shared" si="1"/>
        <v>8.3704843329644749</v>
      </c>
      <c r="O31" s="56">
        <f t="shared" si="2"/>
        <v>3.3481937331857896</v>
      </c>
      <c r="P31" s="56">
        <f t="shared" si="3"/>
        <v>1.6740968665928948</v>
      </c>
      <c r="Q31" s="56">
        <f t="shared" si="14"/>
        <v>4.1852421664822375</v>
      </c>
      <c r="R31" s="34">
        <v>597337</v>
      </c>
      <c r="S31" s="35">
        <v>135138</v>
      </c>
      <c r="T31" s="35">
        <v>408157</v>
      </c>
      <c r="U31" s="35">
        <v>1289</v>
      </c>
      <c r="V31" s="35">
        <v>12764</v>
      </c>
      <c r="W31" s="36">
        <v>347</v>
      </c>
      <c r="X31" s="36">
        <f t="shared" si="4"/>
        <v>13111</v>
      </c>
      <c r="Y31" s="35">
        <v>1018</v>
      </c>
      <c r="Z31" s="35">
        <v>11834</v>
      </c>
      <c r="AA31" s="37">
        <v>26790</v>
      </c>
      <c r="AB31" s="33">
        <v>677710</v>
      </c>
      <c r="AC31" s="33">
        <v>4005</v>
      </c>
      <c r="AD31" s="33">
        <v>56</v>
      </c>
      <c r="AE31" s="25">
        <f t="shared" si="5"/>
        <v>5.9096073541780409</v>
      </c>
      <c r="AF31" s="25">
        <f t="shared" si="6"/>
        <v>8.2631213941066246</v>
      </c>
      <c r="AG31" s="25">
        <f t="shared" si="7"/>
        <v>16.74096866592895</v>
      </c>
      <c r="AH31" s="25">
        <f t="shared" si="8"/>
        <v>44.399058739954711</v>
      </c>
      <c r="AI31" s="25">
        <f t="shared" si="9"/>
        <v>14.79968624665157</v>
      </c>
      <c r="AJ31" s="25">
        <f t="shared" si="10"/>
        <v>2.9599372493303138</v>
      </c>
      <c r="AK31" s="50">
        <v>55.443042755126953</v>
      </c>
      <c r="AL31" s="15">
        <f t="shared" si="11"/>
        <v>100</v>
      </c>
      <c r="AN31" s="15">
        <v>5</v>
      </c>
    </row>
    <row r="32" spans="1:40" x14ac:dyDescent="0.15">
      <c r="A32" s="31" t="s">
        <v>20584</v>
      </c>
      <c r="B32" s="31" t="s">
        <v>1192</v>
      </c>
      <c r="C32" s="32" t="s">
        <v>1194</v>
      </c>
      <c r="D32" s="32">
        <v>10</v>
      </c>
      <c r="E32" s="32">
        <v>1</v>
      </c>
      <c r="F32" s="32">
        <v>3</v>
      </c>
      <c r="G32" s="32">
        <v>3</v>
      </c>
      <c r="H32" s="32">
        <v>2</v>
      </c>
      <c r="I32" s="32">
        <f t="shared" si="12"/>
        <v>17</v>
      </c>
      <c r="J32" s="32">
        <v>10</v>
      </c>
      <c r="K32" s="32">
        <v>2</v>
      </c>
      <c r="L32" s="58">
        <f t="shared" si="13"/>
        <v>0.11764705882352941</v>
      </c>
      <c r="M32" s="56">
        <f t="shared" si="0"/>
        <v>15.458602635073404</v>
      </c>
      <c r="N32" s="56">
        <f t="shared" si="1"/>
        <v>1.5458602635073406</v>
      </c>
      <c r="O32" s="56">
        <f t="shared" si="2"/>
        <v>4.6375807905220219</v>
      </c>
      <c r="P32" s="56">
        <f t="shared" si="3"/>
        <v>4.6375807905220219</v>
      </c>
      <c r="Q32" s="56">
        <f t="shared" si="14"/>
        <v>6.5699061199061974</v>
      </c>
      <c r="R32" s="34">
        <v>646889</v>
      </c>
      <c r="S32" s="35">
        <v>408075</v>
      </c>
      <c r="T32" s="35">
        <v>177735</v>
      </c>
      <c r="U32" s="35">
        <v>1186</v>
      </c>
      <c r="V32" s="35">
        <v>10067</v>
      </c>
      <c r="W32" s="36">
        <v>159</v>
      </c>
      <c r="X32" s="36">
        <f t="shared" si="4"/>
        <v>10226</v>
      </c>
      <c r="Y32" s="36">
        <v>742</v>
      </c>
      <c r="Z32" s="35">
        <v>6931</v>
      </c>
      <c r="AA32" s="37">
        <v>41994</v>
      </c>
      <c r="AB32" s="33">
        <v>654922</v>
      </c>
      <c r="AC32" s="33">
        <v>11399</v>
      </c>
      <c r="AD32" s="33">
        <v>140</v>
      </c>
      <c r="AE32" s="25">
        <f t="shared" si="5"/>
        <v>17.40512610662033</v>
      </c>
      <c r="AF32" s="25">
        <f t="shared" si="6"/>
        <v>21.37659141088557</v>
      </c>
      <c r="AG32" s="25">
        <f t="shared" si="7"/>
        <v>26.27962447962479</v>
      </c>
      <c r="AH32" s="25">
        <f t="shared" si="8"/>
        <v>24.505299270967345</v>
      </c>
      <c r="AI32" s="25">
        <f t="shared" si="9"/>
        <v>8.1684330903224485</v>
      </c>
      <c r="AJ32" s="25">
        <f t="shared" si="10"/>
        <v>1.6336866180644898</v>
      </c>
      <c r="AK32" s="50">
        <v>67.858688354492188</v>
      </c>
      <c r="AL32" s="15">
        <f t="shared" si="11"/>
        <v>66.666666666666657</v>
      </c>
    </row>
    <row r="33" spans="1:40" x14ac:dyDescent="0.15">
      <c r="A33" s="31" t="s">
        <v>20578</v>
      </c>
      <c r="B33" s="31" t="s">
        <v>1428</v>
      </c>
      <c r="C33" s="32" t="s">
        <v>1429</v>
      </c>
      <c r="D33" s="32">
        <v>4</v>
      </c>
      <c r="E33" s="32">
        <v>0</v>
      </c>
      <c r="F33" s="32">
        <v>4</v>
      </c>
      <c r="G33" s="32">
        <v>4</v>
      </c>
      <c r="H33" s="32">
        <v>0</v>
      </c>
      <c r="I33" s="32">
        <f t="shared" si="12"/>
        <v>12</v>
      </c>
      <c r="J33" s="32">
        <v>0</v>
      </c>
      <c r="K33" s="32">
        <v>2</v>
      </c>
      <c r="L33" s="58">
        <f t="shared" si="13"/>
        <v>0.16666666666666666</v>
      </c>
      <c r="M33" s="56">
        <f t="shared" si="0"/>
        <v>9.1107664204482042</v>
      </c>
      <c r="N33" s="56">
        <f t="shared" si="1"/>
        <v>0</v>
      </c>
      <c r="O33" s="56">
        <f t="shared" si="2"/>
        <v>9.1107664204482042</v>
      </c>
      <c r="P33" s="56">
        <f t="shared" si="3"/>
        <v>9.1107664204482042</v>
      </c>
      <c r="Q33" s="56">
        <f t="shared" si="14"/>
        <v>6.8330748153361531</v>
      </c>
      <c r="R33" s="34">
        <v>439041</v>
      </c>
      <c r="S33" s="35">
        <v>14101</v>
      </c>
      <c r="T33" s="35">
        <v>282505</v>
      </c>
      <c r="U33" s="35">
        <v>8359</v>
      </c>
      <c r="V33" s="35">
        <v>8174</v>
      </c>
      <c r="W33" s="35">
        <v>1532</v>
      </c>
      <c r="X33" s="36">
        <f t="shared" si="4"/>
        <v>9706</v>
      </c>
      <c r="Y33" s="36">
        <v>555</v>
      </c>
      <c r="Z33" s="35">
        <v>8062</v>
      </c>
      <c r="AA33" s="37">
        <v>115753</v>
      </c>
      <c r="AB33" s="33">
        <v>462092</v>
      </c>
      <c r="AC33" s="33">
        <v>2119</v>
      </c>
      <c r="AD33" s="33">
        <v>13</v>
      </c>
      <c r="AE33" s="25">
        <f t="shared" si="5"/>
        <v>4.5856669234697858</v>
      </c>
      <c r="AF33" s="25">
        <f t="shared" si="6"/>
        <v>2.8132925910857578</v>
      </c>
      <c r="AG33" s="25">
        <f t="shared" si="7"/>
        <v>27.332299261344613</v>
      </c>
      <c r="AH33" s="25">
        <f t="shared" si="8"/>
        <v>0</v>
      </c>
      <c r="AI33" s="25">
        <f t="shared" si="9"/>
        <v>0</v>
      </c>
      <c r="AJ33" s="25">
        <f t="shared" si="10"/>
        <v>0</v>
      </c>
      <c r="AK33" s="50">
        <v>29.538684844970703</v>
      </c>
      <c r="AL33" s="15">
        <f t="shared" si="11"/>
        <v>0</v>
      </c>
      <c r="AN33" s="15">
        <v>2</v>
      </c>
    </row>
    <row r="34" spans="1:40" x14ac:dyDescent="0.15">
      <c r="A34" s="31" t="s">
        <v>20581</v>
      </c>
      <c r="B34" s="31" t="s">
        <v>213</v>
      </c>
      <c r="C34" s="32" t="s">
        <v>456</v>
      </c>
      <c r="D34" s="32">
        <v>1</v>
      </c>
      <c r="E34" s="32">
        <v>1</v>
      </c>
      <c r="F34" s="32">
        <v>3</v>
      </c>
      <c r="G34" s="32">
        <v>1</v>
      </c>
      <c r="H34" s="32">
        <v>0</v>
      </c>
      <c r="I34" s="32">
        <f t="shared" si="12"/>
        <v>6</v>
      </c>
      <c r="J34" s="57">
        <v>2</v>
      </c>
      <c r="K34" s="32">
        <v>1</v>
      </c>
      <c r="L34" s="58">
        <f t="shared" si="13"/>
        <v>0.16666666666666666</v>
      </c>
      <c r="M34" s="56">
        <f t="shared" ref="M34:M62" si="15">D34/R34*1000000</f>
        <v>2.50339836327815</v>
      </c>
      <c r="N34" s="56">
        <f t="shared" ref="N34:N62" si="16">E34/R34*1000000</f>
        <v>2.50339836327815</v>
      </c>
      <c r="O34" s="56">
        <f t="shared" ref="O34:O62" si="17">F34/R34*1000000</f>
        <v>7.5101950898344505</v>
      </c>
      <c r="P34" s="56">
        <f t="shared" ref="P34:P62" si="18">G34/R34*1000000</f>
        <v>2.50339836327815</v>
      </c>
      <c r="Q34" s="56">
        <f t="shared" si="14"/>
        <v>3.7550975449172248</v>
      </c>
      <c r="R34" s="34">
        <v>399457</v>
      </c>
      <c r="S34" s="35">
        <v>64993</v>
      </c>
      <c r="T34" s="35">
        <v>47622</v>
      </c>
      <c r="U34" s="36">
        <v>361</v>
      </c>
      <c r="V34" s="35">
        <v>3649</v>
      </c>
      <c r="W34" s="36">
        <v>58</v>
      </c>
      <c r="X34" s="36">
        <f t="shared" ref="X34:X61" si="19">V34+W34</f>
        <v>3707</v>
      </c>
      <c r="Y34" s="36">
        <v>676</v>
      </c>
      <c r="Z34" s="35">
        <v>2642</v>
      </c>
      <c r="AA34" s="37">
        <v>279456</v>
      </c>
      <c r="AB34" s="33">
        <v>421996</v>
      </c>
      <c r="AC34" s="33">
        <v>4473</v>
      </c>
      <c r="AD34" s="33">
        <v>81</v>
      </c>
      <c r="AE34" s="25">
        <f t="shared" ref="AE34:AE62" si="20">AC34/AB34*1000</f>
        <v>10.599626536744424</v>
      </c>
      <c r="AF34" s="25">
        <f t="shared" ref="AF34:AF62" si="21">AD34/AB34*100000</f>
        <v>19.194494734547245</v>
      </c>
      <c r="AG34" s="25">
        <f t="shared" ref="AG34:AG62" si="22">I34/R34*1000000</f>
        <v>15.020390179668901</v>
      </c>
      <c r="AH34" s="25">
        <f t="shared" ref="AH34:AH62" si="23">J34/S34*1000000</f>
        <v>30.772544735586909</v>
      </c>
      <c r="AI34" s="25">
        <f t="shared" ref="AI34:AI63" si="24">AH34/3</f>
        <v>10.257514911862303</v>
      </c>
      <c r="AJ34" s="25">
        <f t="shared" ref="AJ34:AJ63" si="25">(AI34*2)/10</f>
        <v>2.0515029823724609</v>
      </c>
      <c r="AK34" s="50">
        <v>75.532684326171875</v>
      </c>
      <c r="AL34" s="15">
        <f t="shared" ref="AL34:AL63" si="26">H34/G34*100</f>
        <v>0</v>
      </c>
      <c r="AN34" s="15">
        <v>6</v>
      </c>
    </row>
    <row r="35" spans="1:40" x14ac:dyDescent="0.15">
      <c r="A35" s="31" t="s">
        <v>20596</v>
      </c>
      <c r="B35" s="31" t="s">
        <v>887</v>
      </c>
      <c r="C35" s="32" t="s">
        <v>3865</v>
      </c>
      <c r="D35" s="32">
        <v>4</v>
      </c>
      <c r="E35" s="32">
        <v>2</v>
      </c>
      <c r="F35" s="32">
        <v>2</v>
      </c>
      <c r="G35" s="32">
        <v>3</v>
      </c>
      <c r="H35" s="32">
        <v>3</v>
      </c>
      <c r="I35" s="32">
        <f t="shared" si="12"/>
        <v>11</v>
      </c>
      <c r="J35" s="32">
        <v>10</v>
      </c>
      <c r="K35" s="32">
        <v>0</v>
      </c>
      <c r="L35" s="58">
        <f t="shared" si="13"/>
        <v>0</v>
      </c>
      <c r="M35" s="56">
        <f t="shared" si="15"/>
        <v>6.7245764777677088</v>
      </c>
      <c r="N35" s="56">
        <f t="shared" si="16"/>
        <v>3.3622882388838544</v>
      </c>
      <c r="O35" s="56">
        <f t="shared" si="17"/>
        <v>3.3622882388838544</v>
      </c>
      <c r="P35" s="56">
        <f t="shared" si="18"/>
        <v>5.0434323583257825</v>
      </c>
      <c r="Q35" s="56">
        <f t="shared" si="14"/>
        <v>4.6231463284652996</v>
      </c>
      <c r="R35" s="34">
        <v>594833</v>
      </c>
      <c r="S35" s="35">
        <v>233325</v>
      </c>
      <c r="T35" s="35">
        <v>220219</v>
      </c>
      <c r="U35" s="35">
        <v>3408</v>
      </c>
      <c r="V35" s="35">
        <v>20553</v>
      </c>
      <c r="W35" s="36">
        <v>195</v>
      </c>
      <c r="X35" s="36">
        <f t="shared" si="19"/>
        <v>20748</v>
      </c>
      <c r="Y35" s="36">
        <v>819</v>
      </c>
      <c r="Z35" s="35">
        <v>13307</v>
      </c>
      <c r="AA35" s="37">
        <v>103007</v>
      </c>
      <c r="AB35" s="33">
        <v>600374</v>
      </c>
      <c r="AC35" s="33">
        <v>8864</v>
      </c>
      <c r="AD35" s="33">
        <v>90</v>
      </c>
      <c r="AE35" s="25">
        <f t="shared" si="20"/>
        <v>14.764130358743049</v>
      </c>
      <c r="AF35" s="25">
        <f t="shared" si="21"/>
        <v>14.99065582453604</v>
      </c>
      <c r="AG35" s="25">
        <f t="shared" si="22"/>
        <v>18.492585313861198</v>
      </c>
      <c r="AH35" s="25">
        <f t="shared" si="23"/>
        <v>42.858673524054431</v>
      </c>
      <c r="AI35" s="25">
        <f t="shared" si="24"/>
        <v>14.286224508018144</v>
      </c>
      <c r="AJ35" s="25">
        <f t="shared" si="25"/>
        <v>2.8572449016036288</v>
      </c>
      <c r="AK35" s="50">
        <v>70.111480712890625</v>
      </c>
      <c r="AL35" s="15">
        <f t="shared" si="26"/>
        <v>100</v>
      </c>
      <c r="AN35" s="15">
        <v>3</v>
      </c>
    </row>
    <row r="36" spans="1:40" x14ac:dyDescent="0.15">
      <c r="A36" s="31" t="s">
        <v>6779</v>
      </c>
      <c r="B36" s="31" t="s">
        <v>6779</v>
      </c>
      <c r="C36" s="32" t="s">
        <v>16779</v>
      </c>
      <c r="D36" s="32">
        <v>2</v>
      </c>
      <c r="E36" s="32">
        <v>0</v>
      </c>
      <c r="F36" s="32">
        <v>1</v>
      </c>
      <c r="G36" s="32">
        <v>2</v>
      </c>
      <c r="H36" s="32">
        <v>1</v>
      </c>
      <c r="I36" s="32">
        <f t="shared" si="12"/>
        <v>5</v>
      </c>
      <c r="J36" s="32">
        <v>3</v>
      </c>
      <c r="K36" s="32">
        <v>1</v>
      </c>
      <c r="L36" s="58">
        <f t="shared" si="13"/>
        <v>0.2</v>
      </c>
      <c r="M36" s="56">
        <f t="shared" si="15"/>
        <v>5.2276921307550355</v>
      </c>
      <c r="N36" s="56">
        <f t="shared" si="16"/>
        <v>0</v>
      </c>
      <c r="O36" s="56">
        <f t="shared" si="17"/>
        <v>2.6138460653775177</v>
      </c>
      <c r="P36" s="56">
        <f t="shared" si="18"/>
        <v>5.2276921307550355</v>
      </c>
      <c r="Q36" s="56">
        <f t="shared" si="14"/>
        <v>3.2673075817218971</v>
      </c>
      <c r="R36" s="34">
        <v>382578</v>
      </c>
      <c r="S36" s="35">
        <v>69971</v>
      </c>
      <c r="T36" s="35">
        <v>230650</v>
      </c>
      <c r="U36" s="35">
        <v>6351</v>
      </c>
      <c r="V36" s="35">
        <v>21399</v>
      </c>
      <c r="W36" s="36">
        <v>168</v>
      </c>
      <c r="X36" s="36">
        <f t="shared" si="19"/>
        <v>21567</v>
      </c>
      <c r="Y36" s="36">
        <v>962</v>
      </c>
      <c r="Z36" s="35">
        <v>13004</v>
      </c>
      <c r="AA36" s="37">
        <v>40073</v>
      </c>
      <c r="AB36" s="33">
        <v>404461</v>
      </c>
      <c r="AC36" s="33">
        <v>4093</v>
      </c>
      <c r="AD36" s="33">
        <v>31</v>
      </c>
      <c r="AE36" s="25">
        <f t="shared" si="20"/>
        <v>10.119640707015016</v>
      </c>
      <c r="AF36" s="25">
        <f t="shared" si="21"/>
        <v>7.6645214248098084</v>
      </c>
      <c r="AG36" s="25">
        <f t="shared" si="22"/>
        <v>13.06923032688759</v>
      </c>
      <c r="AH36" s="25">
        <f t="shared" si="23"/>
        <v>42.874905317917424</v>
      </c>
      <c r="AI36" s="25">
        <f t="shared" si="24"/>
        <v>14.291635105972475</v>
      </c>
      <c r="AJ36" s="25">
        <f t="shared" si="25"/>
        <v>2.8583270211944951</v>
      </c>
      <c r="AK36" s="50">
        <v>50.918025970458984</v>
      </c>
      <c r="AL36" s="15">
        <f t="shared" si="26"/>
        <v>50</v>
      </c>
      <c r="AN36" s="15">
        <v>4</v>
      </c>
    </row>
    <row r="37" spans="1:40" x14ac:dyDescent="0.15">
      <c r="A37" s="31" t="s">
        <v>20584</v>
      </c>
      <c r="B37" s="31" t="s">
        <v>2028</v>
      </c>
      <c r="C37" s="32" t="s">
        <v>880</v>
      </c>
      <c r="D37" s="32">
        <v>0</v>
      </c>
      <c r="E37" s="32">
        <v>3</v>
      </c>
      <c r="F37" s="32">
        <v>4</v>
      </c>
      <c r="G37" s="32">
        <v>1</v>
      </c>
      <c r="H37" s="32">
        <v>0</v>
      </c>
      <c r="I37" s="32">
        <f t="shared" si="12"/>
        <v>8</v>
      </c>
      <c r="J37" s="32">
        <v>3</v>
      </c>
      <c r="K37" s="32">
        <v>1</v>
      </c>
      <c r="L37" s="58">
        <f t="shared" si="13"/>
        <v>0.125</v>
      </c>
      <c r="M37" s="56">
        <f t="shared" si="15"/>
        <v>0</v>
      </c>
      <c r="N37" s="56">
        <f t="shared" si="16"/>
        <v>4.9898373645674976</v>
      </c>
      <c r="O37" s="56">
        <f t="shared" si="17"/>
        <v>6.6531164860899974</v>
      </c>
      <c r="P37" s="56">
        <f t="shared" si="18"/>
        <v>1.6632791215224993</v>
      </c>
      <c r="Q37" s="56">
        <f t="shared" si="14"/>
        <v>3.3265582430449987</v>
      </c>
      <c r="R37" s="34">
        <v>601222</v>
      </c>
      <c r="S37" s="35">
        <v>169272</v>
      </c>
      <c r="T37" s="35">
        <v>338782</v>
      </c>
      <c r="U37" s="35">
        <v>1418</v>
      </c>
      <c r="V37" s="35">
        <v>18497</v>
      </c>
      <c r="W37" s="36">
        <v>275</v>
      </c>
      <c r="X37" s="36">
        <f t="shared" si="19"/>
        <v>18772</v>
      </c>
      <c r="Y37" s="35">
        <v>1155</v>
      </c>
      <c r="Z37" s="35">
        <v>11433</v>
      </c>
      <c r="AA37" s="37">
        <v>60390</v>
      </c>
      <c r="AB37" s="33">
        <v>647689</v>
      </c>
      <c r="AC37" s="33">
        <v>7270</v>
      </c>
      <c r="AD37" s="33">
        <v>41</v>
      </c>
      <c r="AE37" s="25">
        <f t="shared" si="20"/>
        <v>11.224522880580031</v>
      </c>
      <c r="AF37" s="25">
        <f t="shared" si="21"/>
        <v>6.3301985984013927</v>
      </c>
      <c r="AG37" s="25">
        <f t="shared" si="22"/>
        <v>13.306232972179995</v>
      </c>
      <c r="AH37" s="25">
        <f t="shared" si="23"/>
        <v>17.722954771019424</v>
      </c>
      <c r="AI37" s="25">
        <f t="shared" si="24"/>
        <v>5.9076515903398077</v>
      </c>
      <c r="AJ37" s="25">
        <f t="shared" si="25"/>
        <v>1.1815303180679615</v>
      </c>
      <c r="AK37" s="50">
        <v>49.157066345214844</v>
      </c>
      <c r="AL37" s="15">
        <f t="shared" si="26"/>
        <v>0</v>
      </c>
      <c r="AN37" s="15">
        <v>3</v>
      </c>
    </row>
    <row r="38" spans="1:40" x14ac:dyDescent="0.15">
      <c r="A38" s="31" t="s">
        <v>20576</v>
      </c>
      <c r="B38" s="31" t="s">
        <v>1039</v>
      </c>
      <c r="C38" s="32" t="s">
        <v>1041</v>
      </c>
      <c r="D38" s="32">
        <v>0</v>
      </c>
      <c r="E38" s="32">
        <v>3</v>
      </c>
      <c r="F38" s="32">
        <v>4</v>
      </c>
      <c r="G38" s="32">
        <v>1</v>
      </c>
      <c r="H38" s="32">
        <v>0</v>
      </c>
      <c r="I38" s="32">
        <f t="shared" si="12"/>
        <v>8</v>
      </c>
      <c r="J38" s="32">
        <v>5</v>
      </c>
      <c r="K38" s="32">
        <v>0</v>
      </c>
      <c r="L38" s="58">
        <f t="shared" si="13"/>
        <v>0</v>
      </c>
      <c r="M38" s="56">
        <f t="shared" si="15"/>
        <v>0</v>
      </c>
      <c r="N38" s="56">
        <f t="shared" si="16"/>
        <v>8.7252675021595039</v>
      </c>
      <c r="O38" s="56">
        <f t="shared" si="17"/>
        <v>11.633690002879339</v>
      </c>
      <c r="P38" s="56">
        <f t="shared" si="18"/>
        <v>2.9084225007198348</v>
      </c>
      <c r="Q38" s="56">
        <f t="shared" si="14"/>
        <v>5.8168450014396695</v>
      </c>
      <c r="R38" s="34">
        <v>343829</v>
      </c>
      <c r="S38" s="35">
        <v>204866</v>
      </c>
      <c r="T38" s="35">
        <v>104770</v>
      </c>
      <c r="U38" s="36">
        <v>827</v>
      </c>
      <c r="V38" s="35">
        <v>9883</v>
      </c>
      <c r="W38" s="36">
        <v>105</v>
      </c>
      <c r="X38" s="36">
        <f t="shared" si="19"/>
        <v>9988</v>
      </c>
      <c r="Y38" s="36">
        <v>967</v>
      </c>
      <c r="Z38" s="35">
        <v>4360</v>
      </c>
      <c r="AA38" s="37">
        <v>18051</v>
      </c>
      <c r="AB38" s="33">
        <v>387113</v>
      </c>
      <c r="AC38" s="33">
        <v>3770</v>
      </c>
      <c r="AD38" s="33">
        <v>150</v>
      </c>
      <c r="AE38" s="25">
        <f t="shared" si="20"/>
        <v>9.738758450374954</v>
      </c>
      <c r="AF38" s="25">
        <f t="shared" si="21"/>
        <v>38.748375797247832</v>
      </c>
      <c r="AG38" s="25">
        <f t="shared" si="22"/>
        <v>23.267380005758678</v>
      </c>
      <c r="AH38" s="25">
        <f t="shared" si="23"/>
        <v>24.406197221598507</v>
      </c>
      <c r="AI38" s="25">
        <f t="shared" si="24"/>
        <v>8.1353990738661697</v>
      </c>
      <c r="AJ38" s="25">
        <f t="shared" si="25"/>
        <v>1.6270798147732339</v>
      </c>
      <c r="AK38" s="50">
        <v>67.626632690429688</v>
      </c>
      <c r="AL38" s="15">
        <f t="shared" si="26"/>
        <v>0</v>
      </c>
      <c r="AN38" s="15">
        <v>5</v>
      </c>
    </row>
    <row r="39" spans="1:40" x14ac:dyDescent="0.15">
      <c r="A39" s="31" t="s">
        <v>754</v>
      </c>
      <c r="B39" s="31" t="s">
        <v>754</v>
      </c>
      <c r="C39" s="32" t="s">
        <v>582</v>
      </c>
      <c r="D39" s="32">
        <v>21</v>
      </c>
      <c r="E39" s="32">
        <v>16</v>
      </c>
      <c r="F39" s="32">
        <v>11</v>
      </c>
      <c r="G39" s="32">
        <v>12</v>
      </c>
      <c r="H39" s="32">
        <v>7</v>
      </c>
      <c r="I39" s="32">
        <f t="shared" si="12"/>
        <v>60</v>
      </c>
      <c r="J39" s="57">
        <v>37</v>
      </c>
      <c r="K39" s="32">
        <v>20</v>
      </c>
      <c r="L39" s="58">
        <f t="shared" si="13"/>
        <v>0.33333333333333331</v>
      </c>
      <c r="M39" s="56">
        <f t="shared" si="15"/>
        <v>2.5687655479121871</v>
      </c>
      <c r="N39" s="56">
        <f t="shared" si="16"/>
        <v>1.9571547031711898</v>
      </c>
      <c r="O39" s="56">
        <f t="shared" si="17"/>
        <v>1.3455438584301931</v>
      </c>
      <c r="P39" s="56">
        <f t="shared" si="18"/>
        <v>1.4678660273783926</v>
      </c>
      <c r="Q39" s="56">
        <f t="shared" si="14"/>
        <v>1.8348325342229908</v>
      </c>
      <c r="R39" s="34">
        <v>8175133</v>
      </c>
      <c r="S39" s="35">
        <v>1861295</v>
      </c>
      <c r="T39" s="35">
        <v>2722904</v>
      </c>
      <c r="U39" s="35">
        <v>17427</v>
      </c>
      <c r="V39" s="35">
        <v>1028119</v>
      </c>
      <c r="W39" s="35">
        <v>2795</v>
      </c>
      <c r="X39" s="36">
        <f t="shared" si="19"/>
        <v>1030914</v>
      </c>
      <c r="Y39" s="35">
        <v>57841</v>
      </c>
      <c r="Z39" s="35">
        <v>148676</v>
      </c>
      <c r="AA39" s="37">
        <v>2336076</v>
      </c>
      <c r="AB39" s="33">
        <v>8473938</v>
      </c>
      <c r="AC39" s="33">
        <v>50564</v>
      </c>
      <c r="AD39" s="33">
        <v>333</v>
      </c>
      <c r="AE39" s="25">
        <f t="shared" si="20"/>
        <v>5.9670014106782467</v>
      </c>
      <c r="AF39" s="25">
        <f t="shared" si="21"/>
        <v>3.9296959689815996</v>
      </c>
      <c r="AG39" s="25">
        <f t="shared" si="22"/>
        <v>7.3393301368919621</v>
      </c>
      <c r="AH39" s="25">
        <f t="shared" si="23"/>
        <v>19.8786328873177</v>
      </c>
      <c r="AI39" s="25">
        <f t="shared" si="24"/>
        <v>6.6262109624392336</v>
      </c>
      <c r="AJ39" s="25">
        <f t="shared" si="25"/>
        <v>1.3252421924878468</v>
      </c>
      <c r="AK39" s="50">
        <v>81.406463623046875</v>
      </c>
      <c r="AL39" s="15">
        <f t="shared" si="26"/>
        <v>58.333333333333336</v>
      </c>
      <c r="AN39" s="15">
        <v>4</v>
      </c>
    </row>
    <row r="40" spans="1:40" x14ac:dyDescent="0.15">
      <c r="A40" s="31" t="s">
        <v>20575</v>
      </c>
      <c r="B40" s="31" t="s">
        <v>601</v>
      </c>
      <c r="C40" s="32" t="s">
        <v>603</v>
      </c>
      <c r="D40" s="32">
        <v>2</v>
      </c>
      <c r="E40" s="32">
        <v>1</v>
      </c>
      <c r="F40" s="32">
        <v>5</v>
      </c>
      <c r="G40" s="32">
        <v>0</v>
      </c>
      <c r="H40" s="32">
        <v>0</v>
      </c>
      <c r="I40" s="32">
        <f t="shared" si="12"/>
        <v>8</v>
      </c>
      <c r="J40" s="32">
        <v>6</v>
      </c>
      <c r="K40" s="32">
        <v>3</v>
      </c>
      <c r="L40" s="58">
        <f t="shared" si="13"/>
        <v>0.375</v>
      </c>
      <c r="M40" s="56">
        <f t="shared" si="15"/>
        <v>5.1187027159836616</v>
      </c>
      <c r="N40" s="56">
        <f t="shared" si="16"/>
        <v>2.5593513579918308</v>
      </c>
      <c r="O40" s="56">
        <f t="shared" si="17"/>
        <v>12.796756789959153</v>
      </c>
      <c r="P40" s="56">
        <f t="shared" si="18"/>
        <v>0</v>
      </c>
      <c r="Q40" s="56">
        <f t="shared" si="14"/>
        <v>5.1187027159836607</v>
      </c>
      <c r="R40" s="34">
        <v>390724</v>
      </c>
      <c r="S40" s="35">
        <v>106637</v>
      </c>
      <c r="T40" s="35">
        <v>101308</v>
      </c>
      <c r="U40" s="35">
        <v>1214</v>
      </c>
      <c r="V40" s="35">
        <v>65127</v>
      </c>
      <c r="W40" s="35">
        <v>2081</v>
      </c>
      <c r="X40" s="36">
        <f t="shared" si="19"/>
        <v>67208</v>
      </c>
      <c r="Y40" s="35">
        <v>1213</v>
      </c>
      <c r="Z40" s="35">
        <v>14076</v>
      </c>
      <c r="AA40" s="37">
        <v>99068</v>
      </c>
      <c r="AB40" s="33">
        <v>409994</v>
      </c>
      <c r="AC40" s="33">
        <v>6910</v>
      </c>
      <c r="AD40" s="33">
        <v>80</v>
      </c>
      <c r="AE40" s="25">
        <f t="shared" si="20"/>
        <v>16.853905179100181</v>
      </c>
      <c r="AF40" s="25">
        <f t="shared" si="21"/>
        <v>19.512480670448838</v>
      </c>
      <c r="AG40" s="25">
        <f t="shared" si="22"/>
        <v>20.474810863934646</v>
      </c>
      <c r="AH40" s="25">
        <f t="shared" si="23"/>
        <v>56.265648883595752</v>
      </c>
      <c r="AI40" s="25">
        <f t="shared" si="24"/>
        <v>18.755216294531916</v>
      </c>
      <c r="AJ40" s="25">
        <f t="shared" si="25"/>
        <v>3.7510432589063831</v>
      </c>
      <c r="AK40" s="50">
        <v>51.889305114746094</v>
      </c>
      <c r="AL40" s="15" t="e">
        <f t="shared" si="26"/>
        <v>#DIV/0!</v>
      </c>
      <c r="AN40" s="15">
        <v>4</v>
      </c>
    </row>
    <row r="41" spans="1:40" x14ac:dyDescent="0.15">
      <c r="A41" s="31" t="s">
        <v>1095</v>
      </c>
      <c r="B41" s="31" t="s">
        <v>1094</v>
      </c>
      <c r="C41" s="32" t="s">
        <v>1096</v>
      </c>
      <c r="D41" s="32">
        <v>9</v>
      </c>
      <c r="E41" s="32">
        <v>10</v>
      </c>
      <c r="F41" s="32">
        <v>8</v>
      </c>
      <c r="G41" s="32">
        <v>6</v>
      </c>
      <c r="H41" s="32">
        <v>3</v>
      </c>
      <c r="I41" s="32">
        <f t="shared" si="12"/>
        <v>33</v>
      </c>
      <c r="J41" s="32">
        <v>15</v>
      </c>
      <c r="K41" s="32">
        <v>4</v>
      </c>
      <c r="L41" s="58">
        <f t="shared" si="13"/>
        <v>0.12121212121212122</v>
      </c>
      <c r="M41" s="56">
        <f t="shared" si="15"/>
        <v>15.517268133220918</v>
      </c>
      <c r="N41" s="56">
        <f t="shared" si="16"/>
        <v>17.241409036912131</v>
      </c>
      <c r="O41" s="56">
        <f t="shared" si="17"/>
        <v>13.793127229529706</v>
      </c>
      <c r="P41" s="56">
        <f t="shared" si="18"/>
        <v>10.34484542214728</v>
      </c>
      <c r="Q41" s="56">
        <f t="shared" si="14"/>
        <v>14.224162455452509</v>
      </c>
      <c r="R41" s="34">
        <v>579999</v>
      </c>
      <c r="S41" s="35">
        <v>85744</v>
      </c>
      <c r="T41" s="35">
        <v>328582</v>
      </c>
      <c r="U41" s="35">
        <v>18208</v>
      </c>
      <c r="V41" s="35">
        <v>23051</v>
      </c>
      <c r="W41" s="36">
        <v>464</v>
      </c>
      <c r="X41" s="36">
        <f t="shared" si="19"/>
        <v>23515</v>
      </c>
      <c r="Y41" s="36">
        <v>700</v>
      </c>
      <c r="Z41" s="35">
        <v>23212</v>
      </c>
      <c r="AA41" s="37">
        <v>100038</v>
      </c>
      <c r="AB41" s="33">
        <v>617975</v>
      </c>
      <c r="AC41" s="33">
        <v>4782</v>
      </c>
      <c r="AD41" s="33">
        <v>45</v>
      </c>
      <c r="AE41" s="25">
        <f t="shared" si="20"/>
        <v>7.7381771107245436</v>
      </c>
      <c r="AF41" s="25">
        <f t="shared" si="21"/>
        <v>7.281847971196246</v>
      </c>
      <c r="AG41" s="25">
        <f t="shared" si="22"/>
        <v>56.896649821810037</v>
      </c>
      <c r="AH41" s="25">
        <f t="shared" si="23"/>
        <v>174.93935435715619</v>
      </c>
      <c r="AI41" s="25">
        <f t="shared" si="24"/>
        <v>58.313118119052064</v>
      </c>
      <c r="AJ41" s="25">
        <f t="shared" si="25"/>
        <v>11.662623623810413</v>
      </c>
      <c r="AK41" s="50">
        <v>46.731357574462891</v>
      </c>
      <c r="AL41" s="15">
        <f t="shared" si="26"/>
        <v>50</v>
      </c>
      <c r="AN41" s="15">
        <v>2</v>
      </c>
    </row>
    <row r="42" spans="1:40" x14ac:dyDescent="0.15">
      <c r="A42" s="31" t="s">
        <v>20582</v>
      </c>
      <c r="B42" s="31" t="s">
        <v>1627</v>
      </c>
      <c r="C42" s="32" t="s">
        <v>2253</v>
      </c>
      <c r="D42" s="32">
        <v>3</v>
      </c>
      <c r="E42" s="32">
        <v>3</v>
      </c>
      <c r="F42" s="32">
        <v>4</v>
      </c>
      <c r="G42" s="32">
        <v>3</v>
      </c>
      <c r="H42" s="32">
        <v>1</v>
      </c>
      <c r="I42" s="32">
        <f t="shared" si="12"/>
        <v>13</v>
      </c>
      <c r="J42" s="32">
        <v>4</v>
      </c>
      <c r="K42" s="32">
        <v>2</v>
      </c>
      <c r="L42" s="58">
        <f t="shared" si="13"/>
        <v>0.15384615384615385</v>
      </c>
      <c r="M42" s="56">
        <f t="shared" si="15"/>
        <v>7.3357166261572093</v>
      </c>
      <c r="N42" s="56">
        <f t="shared" si="16"/>
        <v>7.3357166261572093</v>
      </c>
      <c r="O42" s="56">
        <f t="shared" si="17"/>
        <v>9.7809555015429446</v>
      </c>
      <c r="P42" s="56">
        <f t="shared" si="18"/>
        <v>7.3357166261572093</v>
      </c>
      <c r="Q42" s="56">
        <f t="shared" si="14"/>
        <v>7.9470263450036427</v>
      </c>
      <c r="R42" s="34">
        <v>408958</v>
      </c>
      <c r="S42" s="35">
        <v>55128</v>
      </c>
      <c r="T42" s="35">
        <v>278172</v>
      </c>
      <c r="U42" s="35">
        <v>2263</v>
      </c>
      <c r="V42" s="35">
        <v>9889</v>
      </c>
      <c r="W42" s="36">
        <v>253</v>
      </c>
      <c r="X42" s="36">
        <f t="shared" si="19"/>
        <v>10142</v>
      </c>
      <c r="Y42" s="36">
        <v>806</v>
      </c>
      <c r="Z42" s="35">
        <v>8894</v>
      </c>
      <c r="AA42" s="37">
        <v>53553</v>
      </c>
      <c r="AB42" s="33">
        <v>438465</v>
      </c>
      <c r="AC42" s="33">
        <v>2458</v>
      </c>
      <c r="AD42" s="33">
        <v>32</v>
      </c>
      <c r="AE42" s="25">
        <f t="shared" si="20"/>
        <v>5.6059206550123726</v>
      </c>
      <c r="AF42" s="25">
        <f t="shared" si="21"/>
        <v>7.2981879967614294</v>
      </c>
      <c r="AG42" s="25">
        <f t="shared" si="22"/>
        <v>31.788105380014571</v>
      </c>
      <c r="AH42" s="25">
        <f t="shared" si="23"/>
        <v>72.558409519663329</v>
      </c>
      <c r="AI42" s="25">
        <f t="shared" si="24"/>
        <v>24.186136506554444</v>
      </c>
      <c r="AJ42" s="25">
        <f t="shared" si="25"/>
        <v>4.8372273013108886</v>
      </c>
      <c r="AK42" s="50">
        <v>58.031440734863281</v>
      </c>
      <c r="AL42" s="15">
        <f t="shared" si="26"/>
        <v>33.333333333333329</v>
      </c>
      <c r="AN42" s="15">
        <v>2</v>
      </c>
    </row>
    <row r="43" spans="1:40" x14ac:dyDescent="0.15">
      <c r="A43" s="31" t="s">
        <v>20598</v>
      </c>
      <c r="B43" s="31" t="s">
        <v>1100</v>
      </c>
      <c r="C43" s="32" t="s">
        <v>1101</v>
      </c>
      <c r="D43" s="32">
        <v>12</v>
      </c>
      <c r="E43" s="32">
        <v>4</v>
      </c>
      <c r="F43" s="32">
        <v>2</v>
      </c>
      <c r="G43" s="32">
        <v>5</v>
      </c>
      <c r="H43" s="32">
        <v>4</v>
      </c>
      <c r="I43" s="32">
        <f t="shared" si="12"/>
        <v>23</v>
      </c>
      <c r="J43" s="57">
        <v>12</v>
      </c>
      <c r="K43" s="32">
        <v>1</v>
      </c>
      <c r="L43" s="58">
        <f t="shared" si="13"/>
        <v>4.3478260869565216E-2</v>
      </c>
      <c r="M43" s="56">
        <f t="shared" si="15"/>
        <v>7.863665018355106</v>
      </c>
      <c r="N43" s="56">
        <f t="shared" si="16"/>
        <v>2.621221672785035</v>
      </c>
      <c r="O43" s="56">
        <f t="shared" si="17"/>
        <v>1.3106108363925175</v>
      </c>
      <c r="P43" s="56">
        <f t="shared" si="18"/>
        <v>3.2765270909812938</v>
      </c>
      <c r="Q43" s="56">
        <f t="shared" si="14"/>
        <v>3.7680061546284875</v>
      </c>
      <c r="R43" s="34">
        <v>1526006</v>
      </c>
      <c r="S43" s="35">
        <v>644287</v>
      </c>
      <c r="T43" s="35">
        <v>562585</v>
      </c>
      <c r="U43" s="35">
        <v>3498</v>
      </c>
      <c r="V43" s="35">
        <v>95521</v>
      </c>
      <c r="W43" s="36">
        <v>457</v>
      </c>
      <c r="X43" s="36">
        <f t="shared" si="19"/>
        <v>95978</v>
      </c>
      <c r="Y43" s="35">
        <v>4105</v>
      </c>
      <c r="Z43" s="35">
        <v>27942</v>
      </c>
      <c r="AA43" s="37">
        <v>187611</v>
      </c>
      <c r="AB43" s="33">
        <v>1559062</v>
      </c>
      <c r="AC43" s="33">
        <v>15925</v>
      </c>
      <c r="AD43" s="33">
        <v>248</v>
      </c>
      <c r="AE43" s="25">
        <f t="shared" si="20"/>
        <v>10.214475113882578</v>
      </c>
      <c r="AF43" s="25">
        <f t="shared" si="21"/>
        <v>15.907000491321064</v>
      </c>
      <c r="AG43" s="25">
        <f t="shared" si="22"/>
        <v>15.07202461851395</v>
      </c>
      <c r="AH43" s="25">
        <f t="shared" si="23"/>
        <v>18.625239993977839</v>
      </c>
      <c r="AI43" s="25">
        <f t="shared" si="24"/>
        <v>6.2084133313259464</v>
      </c>
      <c r="AJ43" s="25">
        <f t="shared" si="25"/>
        <v>1.2416826662651892</v>
      </c>
      <c r="AK43" s="50">
        <v>73.347763061523438</v>
      </c>
      <c r="AL43" s="15">
        <f t="shared" si="26"/>
        <v>80</v>
      </c>
      <c r="AN43" s="15">
        <v>7</v>
      </c>
    </row>
    <row r="44" spans="1:40" x14ac:dyDescent="0.15">
      <c r="A44" s="31" t="s">
        <v>20578</v>
      </c>
      <c r="B44" s="31" t="s">
        <v>632</v>
      </c>
      <c r="C44" s="32" t="s">
        <v>634</v>
      </c>
      <c r="D44" s="32">
        <v>18</v>
      </c>
      <c r="E44" s="32">
        <v>16</v>
      </c>
      <c r="F44" s="32">
        <v>8</v>
      </c>
      <c r="G44" s="32">
        <v>19</v>
      </c>
      <c r="H44" s="32">
        <v>2</v>
      </c>
      <c r="I44" s="32">
        <f t="shared" si="12"/>
        <v>61</v>
      </c>
      <c r="J44" s="32">
        <v>6</v>
      </c>
      <c r="K44" s="32">
        <v>8</v>
      </c>
      <c r="L44" s="58">
        <f t="shared" si="13"/>
        <v>0.13114754098360656</v>
      </c>
      <c r="M44" s="56">
        <f t="shared" si="15"/>
        <v>12.451301576058086</v>
      </c>
      <c r="N44" s="56">
        <f t="shared" si="16"/>
        <v>11.067823623162742</v>
      </c>
      <c r="O44" s="56">
        <f t="shared" si="17"/>
        <v>5.5339118115813708</v>
      </c>
      <c r="P44" s="56">
        <f t="shared" si="18"/>
        <v>13.143040552505754</v>
      </c>
      <c r="Q44" s="56">
        <f t="shared" si="14"/>
        <v>10.549019390826988</v>
      </c>
      <c r="R44" s="34">
        <v>1445632</v>
      </c>
      <c r="S44" s="35">
        <v>86788</v>
      </c>
      <c r="T44" s="35">
        <v>672573</v>
      </c>
      <c r="U44" s="35">
        <v>23327</v>
      </c>
      <c r="V44" s="35">
        <v>43894</v>
      </c>
      <c r="W44" s="35">
        <v>2055</v>
      </c>
      <c r="X44" s="36">
        <f t="shared" si="19"/>
        <v>45949</v>
      </c>
      <c r="Y44" s="35">
        <v>2242</v>
      </c>
      <c r="Z44" s="35">
        <v>24876</v>
      </c>
      <c r="AA44" s="37">
        <v>589877</v>
      </c>
      <c r="AB44" s="33">
        <v>1529852</v>
      </c>
      <c r="AC44" s="33">
        <v>8749</v>
      </c>
      <c r="AD44" s="33">
        <v>114</v>
      </c>
      <c r="AE44" s="25">
        <f t="shared" si="20"/>
        <v>5.7188538499148942</v>
      </c>
      <c r="AF44" s="25">
        <f t="shared" si="21"/>
        <v>7.4517012103131544</v>
      </c>
      <c r="AG44" s="25">
        <f t="shared" si="22"/>
        <v>42.196077563307952</v>
      </c>
      <c r="AH44" s="25">
        <f t="shared" si="23"/>
        <v>69.133981656450189</v>
      </c>
      <c r="AI44" s="25">
        <f t="shared" si="24"/>
        <v>23.044660552150063</v>
      </c>
      <c r="AJ44" s="25">
        <f t="shared" si="25"/>
        <v>4.6089321104300129</v>
      </c>
      <c r="AK44" s="50">
        <v>49.885498046875</v>
      </c>
      <c r="AL44" s="15">
        <f t="shared" si="26"/>
        <v>10.526315789473683</v>
      </c>
      <c r="AN44" s="15">
        <v>3</v>
      </c>
    </row>
    <row r="45" spans="1:40" x14ac:dyDescent="0.15">
      <c r="A45" s="31" t="s">
        <v>20587</v>
      </c>
      <c r="B45" s="31" t="s">
        <v>1561</v>
      </c>
      <c r="C45" s="32" t="s">
        <v>17750</v>
      </c>
      <c r="D45" s="32">
        <v>2</v>
      </c>
      <c r="E45" s="32">
        <v>2</v>
      </c>
      <c r="F45" s="32">
        <v>3</v>
      </c>
      <c r="G45" s="32">
        <v>1</v>
      </c>
      <c r="H45" s="32">
        <v>0</v>
      </c>
      <c r="I45" s="32">
        <f t="shared" si="12"/>
        <v>8</v>
      </c>
      <c r="J45" s="32">
        <v>0</v>
      </c>
      <c r="K45" s="32">
        <v>1</v>
      </c>
      <c r="L45" s="58">
        <f t="shared" si="13"/>
        <v>0.125</v>
      </c>
      <c r="M45" s="56">
        <f t="shared" si="15"/>
        <v>3.4259716055473333</v>
      </c>
      <c r="N45" s="56">
        <f t="shared" si="16"/>
        <v>3.4259716055473333</v>
      </c>
      <c r="O45" s="56">
        <f t="shared" si="17"/>
        <v>5.1389574083209997</v>
      </c>
      <c r="P45" s="56">
        <f t="shared" si="18"/>
        <v>1.7129858027736666</v>
      </c>
      <c r="Q45" s="56">
        <f t="shared" si="14"/>
        <v>3.4259716055473328</v>
      </c>
      <c r="R45" s="34">
        <v>583776</v>
      </c>
      <c r="S45" s="35">
        <v>35462</v>
      </c>
      <c r="T45" s="35">
        <v>421773</v>
      </c>
      <c r="U45" s="35">
        <v>4381</v>
      </c>
      <c r="V45" s="35">
        <v>41335</v>
      </c>
      <c r="W45" s="35">
        <v>2978</v>
      </c>
      <c r="X45" s="36">
        <f t="shared" si="19"/>
        <v>44313</v>
      </c>
      <c r="Y45" s="35">
        <v>1299</v>
      </c>
      <c r="Z45" s="35">
        <v>21708</v>
      </c>
      <c r="AA45" s="37">
        <v>54840</v>
      </c>
      <c r="AB45" s="33">
        <v>615672</v>
      </c>
      <c r="AC45" s="33">
        <v>2911</v>
      </c>
      <c r="AD45" s="33">
        <v>26</v>
      </c>
      <c r="AE45" s="25">
        <f t="shared" si="20"/>
        <v>4.7281669460362012</v>
      </c>
      <c r="AF45" s="25">
        <f t="shared" si="21"/>
        <v>4.2230278459959196</v>
      </c>
      <c r="AG45" s="25">
        <f t="shared" si="22"/>
        <v>13.703886422189333</v>
      </c>
      <c r="AH45" s="25">
        <f t="shared" si="23"/>
        <v>0</v>
      </c>
      <c r="AI45" s="25">
        <f t="shared" si="24"/>
        <v>0</v>
      </c>
      <c r="AJ45" s="25">
        <f t="shared" si="25"/>
        <v>0</v>
      </c>
      <c r="AK45" s="50">
        <v>38.6396484375</v>
      </c>
      <c r="AL45" s="15">
        <f t="shared" si="26"/>
        <v>0</v>
      </c>
      <c r="AN45" s="15">
        <v>2</v>
      </c>
    </row>
    <row r="46" spans="1:40" x14ac:dyDescent="0.15">
      <c r="A46" s="31" t="s">
        <v>20595</v>
      </c>
      <c r="B46" s="31" t="s">
        <v>151</v>
      </c>
      <c r="C46" s="32" t="s">
        <v>17337</v>
      </c>
      <c r="D46" s="32">
        <v>1</v>
      </c>
      <c r="E46" s="32">
        <v>0</v>
      </c>
      <c r="F46" s="32">
        <v>1</v>
      </c>
      <c r="G46" s="32">
        <v>2</v>
      </c>
      <c r="H46" s="32">
        <v>2</v>
      </c>
      <c r="I46" s="32">
        <f t="shared" si="12"/>
        <v>4</v>
      </c>
      <c r="J46" s="32">
        <v>3</v>
      </c>
      <c r="K46" s="32">
        <v>0</v>
      </c>
      <c r="L46" s="58">
        <f t="shared" si="13"/>
        <v>0</v>
      </c>
      <c r="M46" s="56">
        <f t="shared" si="15"/>
        <v>2.4759094015231797</v>
      </c>
      <c r="N46" s="56">
        <f t="shared" si="16"/>
        <v>0</v>
      </c>
      <c r="O46" s="56">
        <f t="shared" si="17"/>
        <v>2.4759094015231797</v>
      </c>
      <c r="P46" s="56">
        <f t="shared" si="18"/>
        <v>4.9518188030463595</v>
      </c>
      <c r="Q46" s="56">
        <f t="shared" si="14"/>
        <v>2.4759094015231797</v>
      </c>
      <c r="R46" s="34">
        <v>403892</v>
      </c>
      <c r="S46" s="35">
        <v>115976</v>
      </c>
      <c r="T46" s="35">
        <v>215204</v>
      </c>
      <c r="U46" s="35">
        <v>1019</v>
      </c>
      <c r="V46" s="35">
        <v>17309</v>
      </c>
      <c r="W46" s="36">
        <v>139</v>
      </c>
      <c r="X46" s="36">
        <f t="shared" si="19"/>
        <v>17448</v>
      </c>
      <c r="Y46" s="36">
        <v>828</v>
      </c>
      <c r="Z46" s="35">
        <v>7549</v>
      </c>
      <c r="AA46" s="37">
        <v>45868</v>
      </c>
      <c r="AB46" s="39">
        <v>428993</v>
      </c>
      <c r="AC46" s="33">
        <v>1683</v>
      </c>
      <c r="AD46" s="33">
        <v>12</v>
      </c>
      <c r="AE46" s="25">
        <f t="shared" si="20"/>
        <v>3.9231409370316062</v>
      </c>
      <c r="AF46" s="25">
        <f t="shared" si="21"/>
        <v>2.7972484399512347</v>
      </c>
      <c r="AG46" s="25">
        <f t="shared" si="22"/>
        <v>9.9036376060927189</v>
      </c>
      <c r="AH46" s="25">
        <f t="shared" si="23"/>
        <v>25.867420845692212</v>
      </c>
      <c r="AI46" s="25">
        <f t="shared" si="24"/>
        <v>8.6224736152307369</v>
      </c>
      <c r="AJ46" s="25">
        <f t="shared" si="25"/>
        <v>1.7244947230461474</v>
      </c>
      <c r="AK46" s="50">
        <v>50.263767242431641</v>
      </c>
      <c r="AL46" s="15">
        <f t="shared" si="26"/>
        <v>100</v>
      </c>
      <c r="AN46" s="15">
        <v>4</v>
      </c>
    </row>
    <row r="47" spans="1:40" x14ac:dyDescent="0.15">
      <c r="A47" s="31" t="s">
        <v>20575</v>
      </c>
      <c r="B47" s="31" t="s">
        <v>783</v>
      </c>
      <c r="C47" s="32" t="s">
        <v>5936</v>
      </c>
      <c r="D47" s="32">
        <v>5</v>
      </c>
      <c r="E47" s="32">
        <v>1</v>
      </c>
      <c r="F47" s="32">
        <v>0</v>
      </c>
      <c r="G47" s="32">
        <v>0</v>
      </c>
      <c r="H47" s="32">
        <v>0</v>
      </c>
      <c r="I47" s="32">
        <f t="shared" si="12"/>
        <v>6</v>
      </c>
      <c r="J47" s="32">
        <v>2</v>
      </c>
      <c r="K47" s="32">
        <v>0</v>
      </c>
      <c r="L47" s="58">
        <f t="shared" si="13"/>
        <v>0</v>
      </c>
      <c r="M47" s="56">
        <f t="shared" si="15"/>
        <v>16.454350694867227</v>
      </c>
      <c r="N47" s="56">
        <f t="shared" si="16"/>
        <v>3.290870138973446</v>
      </c>
      <c r="O47" s="56">
        <f t="shared" si="17"/>
        <v>0</v>
      </c>
      <c r="P47" s="56">
        <f t="shared" si="18"/>
        <v>0</v>
      </c>
      <c r="Q47" s="56">
        <f t="shared" si="14"/>
        <v>4.9363052084601682</v>
      </c>
      <c r="R47" s="34">
        <v>303871</v>
      </c>
      <c r="S47" s="35">
        <v>19917</v>
      </c>
      <c r="T47" s="35">
        <v>103398</v>
      </c>
      <c r="U47" s="35">
        <v>1297</v>
      </c>
      <c r="V47" s="35">
        <v>21934</v>
      </c>
      <c r="W47" s="35">
        <v>1019</v>
      </c>
      <c r="X47" s="36">
        <f t="shared" si="19"/>
        <v>22953</v>
      </c>
      <c r="Y47" s="36">
        <v>617</v>
      </c>
      <c r="Z47" s="35">
        <v>6736</v>
      </c>
      <c r="AA47" s="37">
        <v>148953</v>
      </c>
      <c r="AB47" s="33">
        <v>319453</v>
      </c>
      <c r="AC47" s="33">
        <v>1384</v>
      </c>
      <c r="AD47" s="33">
        <v>12</v>
      </c>
      <c r="AE47" s="25">
        <f t="shared" si="20"/>
        <v>4.3324057060037005</v>
      </c>
      <c r="AF47" s="25">
        <f t="shared" si="21"/>
        <v>3.7564211323731507</v>
      </c>
      <c r="AG47" s="25">
        <f t="shared" si="22"/>
        <v>19.745220833840676</v>
      </c>
      <c r="AH47" s="25">
        <f t="shared" si="23"/>
        <v>100.41672942712255</v>
      </c>
      <c r="AI47" s="25">
        <f t="shared" si="24"/>
        <v>33.472243142374182</v>
      </c>
      <c r="AJ47" s="25">
        <f t="shared" si="25"/>
        <v>6.6944486284748361</v>
      </c>
      <c r="AK47" s="50">
        <v>25.409904479980469</v>
      </c>
      <c r="AL47" s="15" t="e">
        <f t="shared" si="26"/>
        <v>#DIV/0!</v>
      </c>
      <c r="AN47" s="15">
        <v>3</v>
      </c>
    </row>
    <row r="48" spans="1:40" x14ac:dyDescent="0.15">
      <c r="A48" s="31" t="s">
        <v>20575</v>
      </c>
      <c r="B48" s="31" t="s">
        <v>1642</v>
      </c>
      <c r="C48" s="32" t="s">
        <v>2323</v>
      </c>
      <c r="D48" s="32">
        <v>2</v>
      </c>
      <c r="E48" s="32">
        <v>3</v>
      </c>
      <c r="F48" s="32">
        <v>1</v>
      </c>
      <c r="G48" s="32">
        <v>3</v>
      </c>
      <c r="H48" s="32">
        <v>2</v>
      </c>
      <c r="I48" s="32">
        <f t="shared" si="12"/>
        <v>9</v>
      </c>
      <c r="J48" s="32">
        <v>2</v>
      </c>
      <c r="K48" s="32">
        <v>1</v>
      </c>
      <c r="L48" s="58">
        <f t="shared" si="13"/>
        <v>0.1111111111111111</v>
      </c>
      <c r="M48" s="56">
        <f t="shared" si="15"/>
        <v>4.2873557304796694</v>
      </c>
      <c r="N48" s="56">
        <f t="shared" si="16"/>
        <v>6.4310335957195042</v>
      </c>
      <c r="O48" s="56">
        <f t="shared" si="17"/>
        <v>2.1436778652398347</v>
      </c>
      <c r="P48" s="56">
        <f t="shared" si="18"/>
        <v>6.4310335957195042</v>
      </c>
      <c r="Q48" s="56">
        <f t="shared" si="14"/>
        <v>4.8232751967896279</v>
      </c>
      <c r="R48" s="34">
        <v>466488</v>
      </c>
      <c r="S48" s="35">
        <v>64967</v>
      </c>
      <c r="T48" s="35">
        <v>161062</v>
      </c>
      <c r="U48" s="35">
        <v>2586</v>
      </c>
      <c r="V48" s="35">
        <v>83841</v>
      </c>
      <c r="W48" s="35">
        <v>6392</v>
      </c>
      <c r="X48" s="36">
        <f t="shared" si="19"/>
        <v>90233</v>
      </c>
      <c r="Y48" s="35">
        <v>1253</v>
      </c>
      <c r="Z48" s="35">
        <v>21111</v>
      </c>
      <c r="AA48" s="37">
        <v>125276</v>
      </c>
      <c r="AB48" s="33">
        <v>482767</v>
      </c>
      <c r="AC48" s="33">
        <v>2968</v>
      </c>
      <c r="AD48" s="33">
        <v>28</v>
      </c>
      <c r="AE48" s="25">
        <f t="shared" si="20"/>
        <v>6.1478932901378922</v>
      </c>
      <c r="AF48" s="25">
        <f t="shared" si="21"/>
        <v>5.799899330318766</v>
      </c>
      <c r="AG48" s="25">
        <f t="shared" si="22"/>
        <v>19.293100787158512</v>
      </c>
      <c r="AH48" s="25">
        <f t="shared" si="23"/>
        <v>30.784860005849122</v>
      </c>
      <c r="AI48" s="25">
        <f t="shared" si="24"/>
        <v>10.261620001949707</v>
      </c>
      <c r="AJ48" s="25">
        <f t="shared" si="25"/>
        <v>2.0523240003899414</v>
      </c>
      <c r="AK48" s="50">
        <v>40.570213317871094</v>
      </c>
      <c r="AL48" s="15">
        <f t="shared" si="26"/>
        <v>66.666666666666657</v>
      </c>
    </row>
    <row r="49" spans="1:40" x14ac:dyDescent="0.15">
      <c r="A49" s="31" t="s">
        <v>20580</v>
      </c>
      <c r="B49" s="31" t="s">
        <v>575</v>
      </c>
      <c r="C49" s="32" t="s">
        <v>577</v>
      </c>
      <c r="D49" s="32">
        <v>7</v>
      </c>
      <c r="E49" s="32">
        <v>8</v>
      </c>
      <c r="F49" s="32">
        <v>5</v>
      </c>
      <c r="G49" s="32">
        <v>9</v>
      </c>
      <c r="H49" s="32">
        <v>2</v>
      </c>
      <c r="I49" s="32">
        <f t="shared" si="12"/>
        <v>29</v>
      </c>
      <c r="J49" s="32">
        <v>7</v>
      </c>
      <c r="K49" s="32">
        <v>7</v>
      </c>
      <c r="L49" s="58">
        <f t="shared" si="13"/>
        <v>0.2413793103448276</v>
      </c>
      <c r="M49" s="56">
        <f t="shared" si="15"/>
        <v>5.2734391185220506</v>
      </c>
      <c r="N49" s="56">
        <f t="shared" si="16"/>
        <v>6.0267875640252004</v>
      </c>
      <c r="O49" s="56">
        <f t="shared" si="17"/>
        <v>3.7667422275157505</v>
      </c>
      <c r="P49" s="56">
        <f t="shared" si="18"/>
        <v>6.7801360095283512</v>
      </c>
      <c r="Q49" s="56">
        <f t="shared" si="14"/>
        <v>5.4617762298978381</v>
      </c>
      <c r="R49" s="34">
        <v>1327407</v>
      </c>
      <c r="S49" s="35">
        <v>83365</v>
      </c>
      <c r="T49" s="35">
        <v>353106</v>
      </c>
      <c r="U49" s="35">
        <v>2771</v>
      </c>
      <c r="V49" s="35">
        <v>30596</v>
      </c>
      <c r="W49" s="35">
        <v>1097</v>
      </c>
      <c r="X49" s="36">
        <f t="shared" si="19"/>
        <v>31693</v>
      </c>
      <c r="Y49" s="35">
        <v>2105</v>
      </c>
      <c r="Z49" s="35">
        <v>15415</v>
      </c>
      <c r="AA49" s="37">
        <v>838952</v>
      </c>
      <c r="AB49" s="33">
        <v>1428465</v>
      </c>
      <c r="AC49" s="33">
        <v>7704</v>
      </c>
      <c r="AD49" s="33">
        <v>103</v>
      </c>
      <c r="AE49" s="25">
        <f t="shared" si="20"/>
        <v>5.3932017935336187</v>
      </c>
      <c r="AF49" s="25">
        <f t="shared" si="21"/>
        <v>7.210537185020284</v>
      </c>
      <c r="AG49" s="25">
        <f t="shared" si="22"/>
        <v>21.847104919591352</v>
      </c>
      <c r="AH49" s="25">
        <f t="shared" si="23"/>
        <v>83.968092124992495</v>
      </c>
      <c r="AI49" s="25">
        <f t="shared" si="24"/>
        <v>27.989364041664164</v>
      </c>
      <c r="AJ49" s="25">
        <f t="shared" si="25"/>
        <v>5.5978728083328324</v>
      </c>
      <c r="AK49" s="50">
        <v>43.077556610107422</v>
      </c>
      <c r="AL49" s="15">
        <f t="shared" si="26"/>
        <v>22.222222222222221</v>
      </c>
      <c r="AN49" s="15">
        <v>3</v>
      </c>
    </row>
    <row r="50" spans="1:40" x14ac:dyDescent="0.15">
      <c r="A50" s="31" t="s">
        <v>20575</v>
      </c>
      <c r="B50" s="31" t="s">
        <v>156</v>
      </c>
      <c r="C50" s="32" t="s">
        <v>157</v>
      </c>
      <c r="D50" s="32">
        <v>6</v>
      </c>
      <c r="E50" s="32">
        <v>4</v>
      </c>
      <c r="F50" s="32">
        <v>8</v>
      </c>
      <c r="G50" s="32">
        <v>3</v>
      </c>
      <c r="H50" s="32">
        <v>0</v>
      </c>
      <c r="I50" s="32">
        <f t="shared" si="12"/>
        <v>21</v>
      </c>
      <c r="J50" s="32">
        <v>1</v>
      </c>
      <c r="K50" s="32">
        <v>5</v>
      </c>
      <c r="L50" s="58">
        <f t="shared" si="13"/>
        <v>0.23809523809523808</v>
      </c>
      <c r="M50" s="56">
        <f t="shared" si="15"/>
        <v>4.5892541085297403</v>
      </c>
      <c r="N50" s="56">
        <f t="shared" si="16"/>
        <v>3.0595027390198268</v>
      </c>
      <c r="O50" s="56">
        <f t="shared" si="17"/>
        <v>6.1190054780396537</v>
      </c>
      <c r="P50" s="56">
        <f t="shared" si="18"/>
        <v>2.2946270542648701</v>
      </c>
      <c r="Q50" s="56">
        <f t="shared" si="14"/>
        <v>4.0155973449635223</v>
      </c>
      <c r="R50" s="34">
        <v>1307402</v>
      </c>
      <c r="S50" s="35">
        <v>82497</v>
      </c>
      <c r="T50" s="35">
        <v>589702</v>
      </c>
      <c r="U50" s="35">
        <v>3545</v>
      </c>
      <c r="V50" s="35">
        <v>204347</v>
      </c>
      <c r="W50" s="35">
        <v>5178</v>
      </c>
      <c r="X50" s="36">
        <f t="shared" si="19"/>
        <v>209525</v>
      </c>
      <c r="Y50" s="35">
        <v>3293</v>
      </c>
      <c r="Z50" s="35">
        <v>42820</v>
      </c>
      <c r="AA50" s="37">
        <v>376020</v>
      </c>
      <c r="AB50" s="33">
        <v>1368690</v>
      </c>
      <c r="AC50" s="33">
        <v>5214</v>
      </c>
      <c r="AD50" s="33">
        <v>32</v>
      </c>
      <c r="AE50" s="25">
        <f t="shared" si="20"/>
        <v>3.8094820594875394</v>
      </c>
      <c r="AF50" s="25">
        <f t="shared" si="21"/>
        <v>2.3380020311392649</v>
      </c>
      <c r="AG50" s="25">
        <f t="shared" si="22"/>
        <v>16.062389379854089</v>
      </c>
      <c r="AH50" s="25">
        <f t="shared" si="23"/>
        <v>12.121652908590615</v>
      </c>
      <c r="AI50" s="25">
        <f t="shared" si="24"/>
        <v>4.0405509695302051</v>
      </c>
      <c r="AJ50" s="25">
        <f t="shared" si="25"/>
        <v>0.808110193906041</v>
      </c>
      <c r="AK50" s="50">
        <v>54.567657470703125</v>
      </c>
      <c r="AL50" s="15">
        <f t="shared" si="26"/>
        <v>0</v>
      </c>
      <c r="AN50" s="15">
        <v>2</v>
      </c>
    </row>
    <row r="51" spans="1:40" x14ac:dyDescent="0.15">
      <c r="A51" s="31" t="s">
        <v>20575</v>
      </c>
      <c r="B51" s="31" t="s">
        <v>945</v>
      </c>
      <c r="C51" s="32" t="s">
        <v>946</v>
      </c>
      <c r="D51" s="32">
        <v>1</v>
      </c>
      <c r="E51" s="32">
        <v>3</v>
      </c>
      <c r="F51" s="32">
        <v>8</v>
      </c>
      <c r="G51" s="32">
        <v>3</v>
      </c>
      <c r="H51" s="32">
        <v>1</v>
      </c>
      <c r="I51" s="32">
        <f t="shared" si="12"/>
        <v>15</v>
      </c>
      <c r="J51" s="32">
        <v>3</v>
      </c>
      <c r="K51" s="32">
        <v>4</v>
      </c>
      <c r="L51" s="58">
        <f t="shared" si="13"/>
        <v>0.26666666666666666</v>
      </c>
      <c r="M51" s="56">
        <f t="shared" si="15"/>
        <v>1.2418734903475384</v>
      </c>
      <c r="N51" s="56">
        <f t="shared" si="16"/>
        <v>3.7256204710426148</v>
      </c>
      <c r="O51" s="56">
        <f t="shared" si="17"/>
        <v>9.9349879227803068</v>
      </c>
      <c r="P51" s="56">
        <f t="shared" si="18"/>
        <v>3.7256204710426148</v>
      </c>
      <c r="Q51" s="56">
        <f t="shared" si="14"/>
        <v>4.6570255888032683</v>
      </c>
      <c r="R51" s="34">
        <v>805235</v>
      </c>
      <c r="S51" s="35">
        <v>46781</v>
      </c>
      <c r="T51" s="35">
        <v>337451</v>
      </c>
      <c r="U51" s="35">
        <v>1828</v>
      </c>
      <c r="V51" s="35">
        <v>265700</v>
      </c>
      <c r="W51" s="35">
        <v>3128</v>
      </c>
      <c r="X51" s="36">
        <f t="shared" si="19"/>
        <v>268828</v>
      </c>
      <c r="Y51" s="35">
        <v>2494</v>
      </c>
      <c r="Z51" s="35">
        <v>26079</v>
      </c>
      <c r="AA51" s="37">
        <v>121774</v>
      </c>
      <c r="AB51" s="33">
        <v>850294</v>
      </c>
      <c r="AC51" s="33">
        <v>6761</v>
      </c>
      <c r="AD51" s="33">
        <v>45</v>
      </c>
      <c r="AE51" s="25">
        <f t="shared" si="20"/>
        <v>7.951367409390163</v>
      </c>
      <c r="AF51" s="25">
        <f t="shared" si="21"/>
        <v>5.2922871383309769</v>
      </c>
      <c r="AG51" s="25">
        <f t="shared" si="22"/>
        <v>18.628102355213077</v>
      </c>
      <c r="AH51" s="25">
        <f t="shared" si="23"/>
        <v>64.128599217631091</v>
      </c>
      <c r="AI51" s="25">
        <f t="shared" si="24"/>
        <v>21.376199739210364</v>
      </c>
      <c r="AJ51" s="25">
        <f t="shared" si="25"/>
        <v>4.2752399478420724</v>
      </c>
      <c r="AK51" s="50">
        <v>52.759510040283203</v>
      </c>
      <c r="AL51" s="15">
        <f t="shared" si="26"/>
        <v>33.333333333333329</v>
      </c>
      <c r="AN51" s="15">
        <v>3</v>
      </c>
    </row>
    <row r="52" spans="1:40" x14ac:dyDescent="0.15">
      <c r="A52" s="31" t="s">
        <v>20575</v>
      </c>
      <c r="B52" s="31" t="s">
        <v>606</v>
      </c>
      <c r="C52" s="32" t="s">
        <v>727</v>
      </c>
      <c r="D52" s="32">
        <v>3</v>
      </c>
      <c r="E52" s="32">
        <v>1</v>
      </c>
      <c r="F52" s="32">
        <v>6</v>
      </c>
      <c r="G52" s="32">
        <v>2</v>
      </c>
      <c r="H52" s="32">
        <v>0</v>
      </c>
      <c r="I52" s="32">
        <f t="shared" si="12"/>
        <v>12</v>
      </c>
      <c r="J52" s="32">
        <v>1</v>
      </c>
      <c r="K52" s="32">
        <v>2</v>
      </c>
      <c r="L52" s="58">
        <f t="shared" si="13"/>
        <v>0.16666666666666666</v>
      </c>
      <c r="M52" s="56">
        <f t="shared" si="15"/>
        <v>3.171441800871512</v>
      </c>
      <c r="N52" s="56">
        <f t="shared" si="16"/>
        <v>1.0571472669571707</v>
      </c>
      <c r="O52" s="56">
        <f t="shared" si="17"/>
        <v>6.3428836017430239</v>
      </c>
      <c r="P52" s="56">
        <f t="shared" si="18"/>
        <v>2.1142945339143413</v>
      </c>
      <c r="Q52" s="56">
        <f t="shared" si="14"/>
        <v>3.171441800871512</v>
      </c>
      <c r="R52" s="34">
        <v>945942</v>
      </c>
      <c r="S52" s="35">
        <v>27508</v>
      </c>
      <c r="T52" s="35">
        <v>271382</v>
      </c>
      <c r="U52" s="35">
        <v>2255</v>
      </c>
      <c r="V52" s="35">
        <v>300022</v>
      </c>
      <c r="W52" s="35">
        <v>3492</v>
      </c>
      <c r="X52" s="36">
        <f t="shared" si="19"/>
        <v>303514</v>
      </c>
      <c r="Y52" s="35">
        <v>1820</v>
      </c>
      <c r="Z52" s="35">
        <v>25827</v>
      </c>
      <c r="AA52" s="37">
        <v>313636</v>
      </c>
      <c r="AB52" s="33">
        <v>1009679</v>
      </c>
      <c r="AC52" s="33">
        <v>3242</v>
      </c>
      <c r="AD52" s="33">
        <v>32</v>
      </c>
      <c r="AE52" s="25">
        <f t="shared" si="20"/>
        <v>3.210921490889679</v>
      </c>
      <c r="AF52" s="25">
        <f t="shared" si="21"/>
        <v>3.1693241119207189</v>
      </c>
      <c r="AG52" s="25">
        <f t="shared" si="22"/>
        <v>12.685767203486048</v>
      </c>
      <c r="AH52" s="25">
        <f t="shared" si="23"/>
        <v>36.353060927730112</v>
      </c>
      <c r="AI52" s="25">
        <f t="shared" si="24"/>
        <v>12.117686975910038</v>
      </c>
      <c r="AJ52" s="25">
        <f t="shared" si="25"/>
        <v>2.4235373951820076</v>
      </c>
      <c r="AK52" s="50">
        <v>36.757720947265625</v>
      </c>
      <c r="AL52" s="15">
        <f t="shared" si="26"/>
        <v>0</v>
      </c>
      <c r="AN52" s="15">
        <v>2</v>
      </c>
    </row>
    <row r="53" spans="1:40" x14ac:dyDescent="0.15">
      <c r="A53" s="31" t="s">
        <v>20575</v>
      </c>
      <c r="B53" s="31" t="s">
        <v>3690</v>
      </c>
      <c r="C53" s="32" t="s">
        <v>3692</v>
      </c>
      <c r="D53" s="32">
        <v>6</v>
      </c>
      <c r="E53" s="32">
        <v>0</v>
      </c>
      <c r="F53" s="32">
        <v>2</v>
      </c>
      <c r="G53" s="32">
        <v>4</v>
      </c>
      <c r="H53" s="32">
        <v>1</v>
      </c>
      <c r="I53" s="32">
        <f t="shared" si="12"/>
        <v>12</v>
      </c>
      <c r="J53" s="32">
        <v>1</v>
      </c>
      <c r="K53" s="32">
        <v>2</v>
      </c>
      <c r="L53" s="58">
        <f t="shared" si="13"/>
        <v>0.16666666666666666</v>
      </c>
      <c r="M53" s="56">
        <f t="shared" si="15"/>
        <v>18.488389291524921</v>
      </c>
      <c r="N53" s="56">
        <f t="shared" si="16"/>
        <v>0</v>
      </c>
      <c r="O53" s="56">
        <f t="shared" si="17"/>
        <v>6.1627964305083074</v>
      </c>
      <c r="P53" s="56">
        <f t="shared" si="18"/>
        <v>12.325592861016615</v>
      </c>
      <c r="Q53" s="56">
        <f t="shared" si="14"/>
        <v>9.2441946457624606</v>
      </c>
      <c r="R53" s="34">
        <v>324528</v>
      </c>
      <c r="S53" s="35">
        <v>3177</v>
      </c>
      <c r="T53" s="35">
        <v>29950</v>
      </c>
      <c r="U53" s="36">
        <v>507</v>
      </c>
      <c r="V53" s="35">
        <v>33618</v>
      </c>
      <c r="W53" s="36">
        <v>826</v>
      </c>
      <c r="X53" s="36">
        <f t="shared" si="19"/>
        <v>34444</v>
      </c>
      <c r="Y53" s="36">
        <v>375</v>
      </c>
      <c r="Z53" s="35">
        <v>2147</v>
      </c>
      <c r="AA53" s="37">
        <v>253928</v>
      </c>
      <c r="AB53" s="33">
        <v>336462</v>
      </c>
      <c r="AC53" s="33">
        <v>1260</v>
      </c>
      <c r="AD53" s="33">
        <v>18</v>
      </c>
      <c r="AE53" s="25">
        <f t="shared" si="20"/>
        <v>3.744850830108601</v>
      </c>
      <c r="AF53" s="25">
        <f t="shared" si="21"/>
        <v>5.3497869001551432</v>
      </c>
      <c r="AG53" s="25">
        <f t="shared" si="22"/>
        <v>36.976778583049843</v>
      </c>
      <c r="AH53" s="25">
        <f t="shared" si="23"/>
        <v>314.76235442241108</v>
      </c>
      <c r="AI53" s="25">
        <f t="shared" si="24"/>
        <v>104.92078480747035</v>
      </c>
      <c r="AJ53" s="25">
        <f t="shared" si="25"/>
        <v>20.984156961494072</v>
      </c>
      <c r="AK53" s="50">
        <v>24.480152130126953</v>
      </c>
      <c r="AL53" s="15">
        <f t="shared" si="26"/>
        <v>25</v>
      </c>
      <c r="AN53" s="15">
        <v>2</v>
      </c>
    </row>
    <row r="54" spans="1:40" x14ac:dyDescent="0.15">
      <c r="A54" s="31" t="s">
        <v>118</v>
      </c>
      <c r="B54" s="31" t="s">
        <v>1208</v>
      </c>
      <c r="C54" s="32" t="s">
        <v>1210</v>
      </c>
      <c r="D54" s="32">
        <v>5</v>
      </c>
      <c r="E54" s="32">
        <v>6</v>
      </c>
      <c r="F54" s="32">
        <v>3</v>
      </c>
      <c r="G54" s="32">
        <v>2</v>
      </c>
      <c r="H54" s="32">
        <v>1</v>
      </c>
      <c r="I54" s="32">
        <f t="shared" si="12"/>
        <v>16</v>
      </c>
      <c r="J54" s="32">
        <v>2</v>
      </c>
      <c r="K54" s="32">
        <v>2</v>
      </c>
      <c r="L54" s="58">
        <f t="shared" si="13"/>
        <v>0.125</v>
      </c>
      <c r="M54" s="56">
        <f t="shared" si="15"/>
        <v>8.2147668649163741</v>
      </c>
      <c r="N54" s="56">
        <f t="shared" si="16"/>
        <v>9.8577202378996489</v>
      </c>
      <c r="O54" s="56">
        <f t="shared" si="17"/>
        <v>4.9288601189498245</v>
      </c>
      <c r="P54" s="56">
        <f t="shared" si="18"/>
        <v>3.2859067459665492</v>
      </c>
      <c r="Q54" s="56">
        <f t="shared" si="14"/>
        <v>6.5718134919330993</v>
      </c>
      <c r="R54" s="34">
        <v>608660</v>
      </c>
      <c r="S54" s="35">
        <v>47113</v>
      </c>
      <c r="T54" s="35">
        <v>403578</v>
      </c>
      <c r="U54" s="35">
        <v>3881</v>
      </c>
      <c r="V54" s="35">
        <v>83537</v>
      </c>
      <c r="W54" s="35">
        <v>2246</v>
      </c>
      <c r="X54" s="36">
        <f t="shared" si="19"/>
        <v>85783</v>
      </c>
      <c r="Y54" s="35">
        <v>1464</v>
      </c>
      <c r="Z54" s="35">
        <v>26512</v>
      </c>
      <c r="AA54" s="37">
        <v>40329</v>
      </c>
      <c r="AB54" s="33">
        <v>663410</v>
      </c>
      <c r="AC54" s="33">
        <v>4001</v>
      </c>
      <c r="AD54" s="33">
        <v>26</v>
      </c>
      <c r="AE54" s="25">
        <f t="shared" si="20"/>
        <v>6.0309612456851722</v>
      </c>
      <c r="AF54" s="25">
        <f t="shared" si="21"/>
        <v>3.9191450234395018</v>
      </c>
      <c r="AG54" s="25">
        <f t="shared" si="22"/>
        <v>26.287253967732394</v>
      </c>
      <c r="AH54" s="25">
        <f t="shared" si="23"/>
        <v>42.45112813873029</v>
      </c>
      <c r="AI54" s="25">
        <f t="shared" si="24"/>
        <v>14.15037604624343</v>
      </c>
      <c r="AJ54" s="25">
        <f t="shared" si="25"/>
        <v>2.8300752092486858</v>
      </c>
      <c r="AK54" s="50">
        <v>51.675041198730469</v>
      </c>
      <c r="AL54" s="15">
        <f t="shared" si="26"/>
        <v>50</v>
      </c>
      <c r="AN54" s="15">
        <v>5</v>
      </c>
    </row>
    <row r="55" spans="1:40" x14ac:dyDescent="0.15">
      <c r="A55" s="31" t="s">
        <v>20577</v>
      </c>
      <c r="B55" s="31" t="s">
        <v>709</v>
      </c>
      <c r="C55" s="32" t="s">
        <v>4516</v>
      </c>
      <c r="D55" s="32">
        <v>7</v>
      </c>
      <c r="E55" s="32">
        <v>5</v>
      </c>
      <c r="F55" s="32">
        <v>4</v>
      </c>
      <c r="G55" s="32">
        <v>5</v>
      </c>
      <c r="H55" s="32">
        <v>5</v>
      </c>
      <c r="I55" s="32">
        <f t="shared" si="12"/>
        <v>21</v>
      </c>
      <c r="J55" s="32">
        <v>19</v>
      </c>
      <c r="K55" s="32">
        <v>2</v>
      </c>
      <c r="L55" s="58">
        <f t="shared" si="13"/>
        <v>9.5238095238095233E-2</v>
      </c>
      <c r="M55" s="56">
        <f t="shared" si="15"/>
        <v>21.923368431602224</v>
      </c>
      <c r="N55" s="56">
        <f t="shared" si="16"/>
        <v>15.659548879715873</v>
      </c>
      <c r="O55" s="56">
        <f t="shared" si="17"/>
        <v>12.527639103772698</v>
      </c>
      <c r="P55" s="56">
        <f t="shared" si="18"/>
        <v>15.659548879715873</v>
      </c>
      <c r="Q55" s="56">
        <f t="shared" si="14"/>
        <v>16.442526323701667</v>
      </c>
      <c r="R55" s="34">
        <v>319294</v>
      </c>
      <c r="S55" s="35">
        <v>156389</v>
      </c>
      <c r="T55" s="35">
        <v>134702</v>
      </c>
      <c r="U55" s="36">
        <v>684</v>
      </c>
      <c r="V55" s="35">
        <v>9233</v>
      </c>
      <c r="W55" s="36">
        <v>62</v>
      </c>
      <c r="X55" s="36">
        <f t="shared" si="19"/>
        <v>9295</v>
      </c>
      <c r="Y55" s="36">
        <v>478</v>
      </c>
      <c r="Z55" s="35">
        <v>6616</v>
      </c>
      <c r="AA55" s="37">
        <v>11130</v>
      </c>
      <c r="AB55" s="33">
        <v>318574</v>
      </c>
      <c r="AC55" s="33">
        <v>5348</v>
      </c>
      <c r="AD55" s="33">
        <v>159</v>
      </c>
      <c r="AE55" s="25">
        <f t="shared" si="20"/>
        <v>16.787308443250232</v>
      </c>
      <c r="AF55" s="25">
        <f t="shared" si="21"/>
        <v>49.909911041076803</v>
      </c>
      <c r="AG55" s="25">
        <f t="shared" si="22"/>
        <v>65.770105294806669</v>
      </c>
      <c r="AH55" s="25">
        <f t="shared" si="23"/>
        <v>121.49192078726765</v>
      </c>
      <c r="AI55" s="25">
        <f t="shared" si="24"/>
        <v>40.497306929089213</v>
      </c>
      <c r="AJ55" s="25">
        <f t="shared" si="25"/>
        <v>8.0994613858178433</v>
      </c>
      <c r="AK55" s="50">
        <v>65.280593872070312</v>
      </c>
      <c r="AL55" s="15">
        <f t="shared" si="26"/>
        <v>100</v>
      </c>
      <c r="AN55" s="15">
        <v>4</v>
      </c>
    </row>
    <row r="56" spans="1:40" x14ac:dyDescent="0.15">
      <c r="A56" s="31" t="s">
        <v>20581</v>
      </c>
      <c r="B56" s="31" t="s">
        <v>1567</v>
      </c>
      <c r="C56" s="32" t="s">
        <v>1569</v>
      </c>
      <c r="D56" s="32">
        <v>0</v>
      </c>
      <c r="E56" s="32">
        <v>2</v>
      </c>
      <c r="F56" s="32">
        <v>2</v>
      </c>
      <c r="G56" s="32">
        <v>3</v>
      </c>
      <c r="H56" s="32">
        <v>1</v>
      </c>
      <c r="I56" s="32">
        <f t="shared" si="12"/>
        <v>7</v>
      </c>
      <c r="J56" s="57">
        <v>2</v>
      </c>
      <c r="K56" s="32">
        <v>3</v>
      </c>
      <c r="L56" s="58">
        <f t="shared" si="13"/>
        <v>0.42857142857142855</v>
      </c>
      <c r="M56" s="56">
        <f t="shared" si="15"/>
        <v>0</v>
      </c>
      <c r="N56" s="56">
        <f t="shared" si="16"/>
        <v>5.9575406080861697</v>
      </c>
      <c r="O56" s="56">
        <f t="shared" si="17"/>
        <v>5.9575406080861697</v>
      </c>
      <c r="P56" s="56">
        <f t="shared" si="18"/>
        <v>8.9363109121292563</v>
      </c>
      <c r="Q56" s="56">
        <f t="shared" si="14"/>
        <v>5.2128480320753994</v>
      </c>
      <c r="R56" s="34">
        <v>335709</v>
      </c>
      <c r="S56" s="35">
        <v>83032</v>
      </c>
      <c r="T56" s="35">
        <v>155552</v>
      </c>
      <c r="U56" s="36">
        <v>755</v>
      </c>
      <c r="V56" s="35">
        <v>11362</v>
      </c>
      <c r="W56" s="36">
        <v>207</v>
      </c>
      <c r="X56" s="36">
        <f t="shared" si="19"/>
        <v>11569</v>
      </c>
      <c r="Y56" s="36">
        <v>794</v>
      </c>
      <c r="Z56" s="35">
        <v>6535</v>
      </c>
      <c r="AA56" s="37">
        <v>77472</v>
      </c>
      <c r="AB56" s="33">
        <v>357124</v>
      </c>
      <c r="AC56" s="33">
        <v>2080</v>
      </c>
      <c r="AD56" s="33">
        <v>28</v>
      </c>
      <c r="AE56" s="25">
        <f t="shared" si="20"/>
        <v>5.8243075234372368</v>
      </c>
      <c r="AF56" s="25">
        <f t="shared" si="21"/>
        <v>7.84041397385782</v>
      </c>
      <c r="AG56" s="25">
        <f t="shared" si="22"/>
        <v>20.851392128301594</v>
      </c>
      <c r="AH56" s="25">
        <f t="shared" si="23"/>
        <v>24.087098949802485</v>
      </c>
      <c r="AI56" s="25">
        <f t="shared" si="24"/>
        <v>8.0290329832674949</v>
      </c>
      <c r="AJ56" s="25">
        <f t="shared" si="25"/>
        <v>1.6058065966534989</v>
      </c>
      <c r="AK56" s="50">
        <v>58.694190979003906</v>
      </c>
      <c r="AL56" s="15">
        <f t="shared" si="26"/>
        <v>33.333333333333329</v>
      </c>
      <c r="AN56" s="15">
        <v>1</v>
      </c>
    </row>
    <row r="57" spans="1:40" x14ac:dyDescent="0.15">
      <c r="A57" s="31" t="s">
        <v>20578</v>
      </c>
      <c r="B57" s="31" t="s">
        <v>561</v>
      </c>
      <c r="C57" s="32" t="s">
        <v>563</v>
      </c>
      <c r="D57" s="32">
        <v>5</v>
      </c>
      <c r="E57" s="32">
        <v>5</v>
      </c>
      <c r="F57" s="32">
        <v>3</v>
      </c>
      <c r="G57" s="32">
        <v>5</v>
      </c>
      <c r="H57" s="32">
        <v>1</v>
      </c>
      <c r="I57" s="32">
        <f t="shared" si="12"/>
        <v>18</v>
      </c>
      <c r="J57" s="32">
        <v>2</v>
      </c>
      <c r="K57" s="32">
        <v>1</v>
      </c>
      <c r="L57" s="58">
        <f t="shared" si="13"/>
        <v>5.5555555555555552E-2</v>
      </c>
      <c r="M57" s="56">
        <f t="shared" si="15"/>
        <v>9.6132401233570963</v>
      </c>
      <c r="N57" s="56">
        <f t="shared" si="16"/>
        <v>9.6132401233570963</v>
      </c>
      <c r="O57" s="56">
        <f t="shared" si="17"/>
        <v>5.7679440740142578</v>
      </c>
      <c r="P57" s="56">
        <f t="shared" si="18"/>
        <v>9.6132401233570963</v>
      </c>
      <c r="Q57" s="56">
        <f t="shared" si="14"/>
        <v>8.6519161110213858</v>
      </c>
      <c r="R57" s="34">
        <v>520116</v>
      </c>
      <c r="S57" s="35">
        <v>23362</v>
      </c>
      <c r="T57" s="35">
        <v>245323</v>
      </c>
      <c r="U57" s="35">
        <v>8776</v>
      </c>
      <c r="V57" s="35">
        <v>14211</v>
      </c>
      <c r="W57" s="36">
        <v>951</v>
      </c>
      <c r="X57" s="36">
        <f t="shared" si="19"/>
        <v>15162</v>
      </c>
      <c r="Y57" s="36">
        <v>792</v>
      </c>
      <c r="Z57" s="35">
        <v>10393</v>
      </c>
      <c r="AA57" s="37">
        <v>216308</v>
      </c>
      <c r="AB57" s="39">
        <v>525486</v>
      </c>
      <c r="AC57" s="33">
        <v>3368</v>
      </c>
      <c r="AD57" s="33">
        <v>47</v>
      </c>
      <c r="AE57" s="25">
        <f t="shared" si="20"/>
        <v>6.4093049101212971</v>
      </c>
      <c r="AF57" s="25">
        <f t="shared" si="21"/>
        <v>8.9441012700623812</v>
      </c>
      <c r="AG57" s="25">
        <f t="shared" si="22"/>
        <v>34.60766444408555</v>
      </c>
      <c r="AH57" s="25">
        <f t="shared" si="23"/>
        <v>85.6091088091773</v>
      </c>
      <c r="AI57" s="25">
        <f t="shared" si="24"/>
        <v>28.5363696030591</v>
      </c>
      <c r="AJ57" s="25">
        <f t="shared" si="25"/>
        <v>5.7072739206118204</v>
      </c>
      <c r="AK57" s="50">
        <v>25.654352188110352</v>
      </c>
      <c r="AL57" s="15">
        <f t="shared" si="26"/>
        <v>20</v>
      </c>
      <c r="AN57" s="15">
        <v>3</v>
      </c>
    </row>
    <row r="58" spans="1:40" x14ac:dyDescent="0.15">
      <c r="A58" s="31" t="s">
        <v>1095</v>
      </c>
      <c r="B58" s="31" t="s">
        <v>2487</v>
      </c>
      <c r="C58" s="32" t="s">
        <v>3379</v>
      </c>
      <c r="D58" s="32">
        <v>1</v>
      </c>
      <c r="E58" s="32">
        <v>4</v>
      </c>
      <c r="F58" s="32">
        <v>1</v>
      </c>
      <c r="G58" s="32">
        <v>8</v>
      </c>
      <c r="H58" s="32">
        <v>2</v>
      </c>
      <c r="I58" s="32">
        <f t="shared" si="12"/>
        <v>14</v>
      </c>
      <c r="J58" s="32">
        <v>4</v>
      </c>
      <c r="K58" s="32">
        <v>6</v>
      </c>
      <c r="L58" s="58">
        <f t="shared" si="13"/>
        <v>0.42857142857142855</v>
      </c>
      <c r="M58" s="56">
        <f t="shared" si="15"/>
        <v>2.5516322791689845</v>
      </c>
      <c r="N58" s="56">
        <f t="shared" si="16"/>
        <v>10.206529116675938</v>
      </c>
      <c r="O58" s="56">
        <f t="shared" si="17"/>
        <v>2.5516322791689845</v>
      </c>
      <c r="P58" s="56">
        <f t="shared" si="18"/>
        <v>20.413058233351876</v>
      </c>
      <c r="Q58" s="56">
        <f t="shared" si="14"/>
        <v>8.9307129770914457</v>
      </c>
      <c r="R58" s="34">
        <v>391906</v>
      </c>
      <c r="S58" s="35">
        <v>61230</v>
      </c>
      <c r="T58" s="35">
        <v>227021</v>
      </c>
      <c r="U58" s="35">
        <v>19473</v>
      </c>
      <c r="V58" s="35">
        <v>8926</v>
      </c>
      <c r="W58" s="36">
        <v>278</v>
      </c>
      <c r="X58" s="36">
        <f t="shared" si="19"/>
        <v>9204</v>
      </c>
      <c r="Y58" s="36">
        <v>473</v>
      </c>
      <c r="Z58" s="35">
        <v>19239</v>
      </c>
      <c r="AA58" s="37">
        <v>55266</v>
      </c>
      <c r="AB58" s="33">
        <v>399556</v>
      </c>
      <c r="AC58" s="33">
        <v>3217</v>
      </c>
      <c r="AD58" s="33">
        <v>46</v>
      </c>
      <c r="AE58" s="25">
        <f t="shared" si="20"/>
        <v>8.0514370951756451</v>
      </c>
      <c r="AF58" s="25">
        <f t="shared" si="21"/>
        <v>11.512779184895233</v>
      </c>
      <c r="AG58" s="25">
        <f t="shared" si="22"/>
        <v>35.722851908365776</v>
      </c>
      <c r="AH58" s="25">
        <f t="shared" si="23"/>
        <v>65.327453862485712</v>
      </c>
      <c r="AI58" s="25">
        <f t="shared" si="24"/>
        <v>21.775817954161905</v>
      </c>
      <c r="AJ58" s="25">
        <f t="shared" si="25"/>
        <v>4.3551635908323814</v>
      </c>
      <c r="AK58" s="50">
        <v>49.789894104003906</v>
      </c>
      <c r="AL58" s="15">
        <f t="shared" si="26"/>
        <v>25</v>
      </c>
      <c r="AN58" s="15">
        <v>3</v>
      </c>
    </row>
    <row r="59" spans="1:40" x14ac:dyDescent="0.15">
      <c r="A59" s="31" t="s">
        <v>20589</v>
      </c>
      <c r="B59" s="31" t="s">
        <v>477</v>
      </c>
      <c r="C59" s="32" t="s">
        <v>479</v>
      </c>
      <c r="D59" s="32">
        <v>1</v>
      </c>
      <c r="E59" s="32">
        <v>0</v>
      </c>
      <c r="F59" s="32">
        <v>2</v>
      </c>
      <c r="G59" s="32">
        <v>0</v>
      </c>
      <c r="H59" s="32">
        <v>0</v>
      </c>
      <c r="I59" s="32">
        <f t="shared" si="12"/>
        <v>3</v>
      </c>
      <c r="J59" s="32">
        <v>2</v>
      </c>
      <c r="K59" s="32">
        <v>1</v>
      </c>
      <c r="L59" s="58">
        <f t="shared" si="13"/>
        <v>0.33333333333333331</v>
      </c>
      <c r="M59" s="56">
        <f t="shared" si="15"/>
        <v>2.2831362986707582</v>
      </c>
      <c r="N59" s="56">
        <f t="shared" si="16"/>
        <v>0</v>
      </c>
      <c r="O59" s="56">
        <f t="shared" si="17"/>
        <v>4.5662725973415164</v>
      </c>
      <c r="P59" s="56">
        <f t="shared" si="18"/>
        <v>0</v>
      </c>
      <c r="Q59" s="56">
        <f t="shared" si="14"/>
        <v>1.7123522240030686</v>
      </c>
      <c r="R59" s="34">
        <v>437994</v>
      </c>
      <c r="S59" s="35">
        <v>83210</v>
      </c>
      <c r="T59" s="35">
        <v>282470</v>
      </c>
      <c r="U59" s="35">
        <v>1349</v>
      </c>
      <c r="V59" s="35">
        <v>26312</v>
      </c>
      <c r="W59" s="36">
        <v>602</v>
      </c>
      <c r="X59" s="36">
        <f t="shared" si="19"/>
        <v>26914</v>
      </c>
      <c r="Y59" s="36">
        <v>863</v>
      </c>
      <c r="Z59" s="35">
        <v>14201</v>
      </c>
      <c r="AA59" s="37">
        <v>28987</v>
      </c>
      <c r="AB59" s="33">
        <v>451102</v>
      </c>
      <c r="AC59" s="33">
        <v>660</v>
      </c>
      <c r="AD59" s="33">
        <v>17</v>
      </c>
      <c r="AE59" s="25">
        <f t="shared" si="20"/>
        <v>1.4630837371592234</v>
      </c>
      <c r="AF59" s="25">
        <f t="shared" si="21"/>
        <v>3.7685490199555756</v>
      </c>
      <c r="AG59" s="25">
        <f t="shared" si="22"/>
        <v>6.8494088960122745</v>
      </c>
      <c r="AH59" s="25">
        <f t="shared" si="23"/>
        <v>24.035572647518329</v>
      </c>
      <c r="AI59" s="25">
        <f t="shared" si="24"/>
        <v>8.0118575491727757</v>
      </c>
      <c r="AJ59" s="25">
        <f t="shared" si="25"/>
        <v>1.6023715098345552</v>
      </c>
      <c r="AK59" s="50">
        <v>36.355953216552734</v>
      </c>
      <c r="AL59" s="15" t="e">
        <f t="shared" si="26"/>
        <v>#DIV/0!</v>
      </c>
      <c r="AN59" s="15">
        <v>3</v>
      </c>
    </row>
    <row r="60" spans="1:40" x14ac:dyDescent="0.15">
      <c r="A60" s="31" t="s">
        <v>3666</v>
      </c>
      <c r="B60" s="31" t="s">
        <v>118</v>
      </c>
      <c r="C60" s="32" t="s">
        <v>19405</v>
      </c>
      <c r="D60" s="32">
        <v>4</v>
      </c>
      <c r="E60" s="32">
        <v>4</v>
      </c>
      <c r="F60" s="32">
        <v>2</v>
      </c>
      <c r="G60" s="32">
        <v>4</v>
      </c>
      <c r="H60" s="32">
        <v>4</v>
      </c>
      <c r="I60" s="32">
        <f t="shared" si="12"/>
        <v>14</v>
      </c>
      <c r="J60" s="57">
        <v>13</v>
      </c>
      <c r="K60" s="32">
        <v>3</v>
      </c>
      <c r="L60" s="58">
        <f t="shared" si="13"/>
        <v>0.21428571428571427</v>
      </c>
      <c r="M60" s="56">
        <f t="shared" si="15"/>
        <v>6.6475770412631725</v>
      </c>
      <c r="N60" s="56">
        <f t="shared" si="16"/>
        <v>6.6475770412631725</v>
      </c>
      <c r="O60" s="56">
        <f t="shared" si="17"/>
        <v>3.3237885206315863</v>
      </c>
      <c r="P60" s="56">
        <f t="shared" si="18"/>
        <v>6.6475770412631725</v>
      </c>
      <c r="Q60" s="56">
        <f t="shared" si="14"/>
        <v>5.8166299111052764</v>
      </c>
      <c r="R60" s="34">
        <v>601723</v>
      </c>
      <c r="S60" s="35">
        <v>301053</v>
      </c>
      <c r="T60" s="35">
        <v>209464</v>
      </c>
      <c r="U60" s="35">
        <v>1322</v>
      </c>
      <c r="V60" s="35">
        <v>20818</v>
      </c>
      <c r="W60" s="36">
        <v>216</v>
      </c>
      <c r="X60" s="36">
        <f t="shared" si="19"/>
        <v>21034</v>
      </c>
      <c r="Y60" s="35">
        <v>1451</v>
      </c>
      <c r="Z60" s="35">
        <v>12650</v>
      </c>
      <c r="AA60" s="37">
        <v>54749</v>
      </c>
      <c r="AB60" s="38">
        <v>658893</v>
      </c>
      <c r="AC60" s="33">
        <v>7810</v>
      </c>
      <c r="AD60" s="33">
        <v>105</v>
      </c>
      <c r="AE60" s="25">
        <f t="shared" si="20"/>
        <v>11.85321440658802</v>
      </c>
      <c r="AF60" s="25">
        <f t="shared" si="21"/>
        <v>15.935819624734211</v>
      </c>
      <c r="AG60" s="25">
        <f t="shared" si="22"/>
        <v>23.266519644421106</v>
      </c>
      <c r="AH60" s="25">
        <f t="shared" si="23"/>
        <v>43.181765337000456</v>
      </c>
      <c r="AI60" s="25">
        <f t="shared" si="24"/>
        <v>14.393921779000152</v>
      </c>
      <c r="AJ60" s="25">
        <f t="shared" si="25"/>
        <v>2.8787843558000303</v>
      </c>
      <c r="AK60" s="50">
        <v>72.177276611328125</v>
      </c>
      <c r="AL60" s="15">
        <f t="shared" si="26"/>
        <v>100</v>
      </c>
      <c r="AN60" s="15">
        <v>6</v>
      </c>
    </row>
    <row r="61" spans="1:40" x14ac:dyDescent="0.15">
      <c r="A61" s="31" t="s">
        <v>20585</v>
      </c>
      <c r="B61" s="31" t="s">
        <v>683</v>
      </c>
      <c r="C61" s="32" t="s">
        <v>685</v>
      </c>
      <c r="D61" s="32">
        <v>2</v>
      </c>
      <c r="E61" s="32">
        <v>3</v>
      </c>
      <c r="F61" s="32">
        <v>2</v>
      </c>
      <c r="G61" s="32">
        <v>0</v>
      </c>
      <c r="H61" s="32">
        <v>0</v>
      </c>
      <c r="I61" s="32">
        <f t="shared" si="12"/>
        <v>7</v>
      </c>
      <c r="J61" s="32">
        <v>1</v>
      </c>
      <c r="K61" s="32">
        <v>1</v>
      </c>
      <c r="L61" s="58">
        <f t="shared" si="13"/>
        <v>0.14285714285714285</v>
      </c>
      <c r="M61" s="56">
        <f t="shared" si="15"/>
        <v>5.2305632270482887</v>
      </c>
      <c r="N61" s="56">
        <f t="shared" si="16"/>
        <v>7.8458448405724326</v>
      </c>
      <c r="O61" s="56">
        <f t="shared" si="17"/>
        <v>5.2305632270482887</v>
      </c>
      <c r="P61" s="56">
        <f t="shared" si="18"/>
        <v>0</v>
      </c>
      <c r="Q61" s="56">
        <f t="shared" si="14"/>
        <v>4.5767428236672529</v>
      </c>
      <c r="R61" s="34">
        <v>382368</v>
      </c>
      <c r="S61" s="35">
        <v>42676</v>
      </c>
      <c r="T61" s="35">
        <v>246744</v>
      </c>
      <c r="U61" s="35">
        <v>3424</v>
      </c>
      <c r="V61" s="35">
        <v>18272</v>
      </c>
      <c r="W61" s="36">
        <v>311</v>
      </c>
      <c r="X61" s="36">
        <f t="shared" si="19"/>
        <v>18583</v>
      </c>
      <c r="Y61" s="36">
        <v>472</v>
      </c>
      <c r="Z61" s="35">
        <v>12121</v>
      </c>
      <c r="AA61" s="37">
        <v>58348</v>
      </c>
      <c r="AB61" s="39">
        <v>386486</v>
      </c>
      <c r="AC61" s="33">
        <v>3065</v>
      </c>
      <c r="AD61" s="33">
        <v>15</v>
      </c>
      <c r="AE61" s="25">
        <f t="shared" si="20"/>
        <v>7.9304295627784702</v>
      </c>
      <c r="AF61" s="25">
        <f t="shared" si="21"/>
        <v>3.881123766449496</v>
      </c>
      <c r="AG61" s="25">
        <f t="shared" si="22"/>
        <v>18.306971294669012</v>
      </c>
      <c r="AH61" s="25">
        <f t="shared" si="23"/>
        <v>23.432374168150716</v>
      </c>
      <c r="AI61" s="25">
        <f t="shared" si="24"/>
        <v>7.8107913893835716</v>
      </c>
      <c r="AJ61" s="25">
        <f t="shared" si="25"/>
        <v>1.5621582778767142</v>
      </c>
      <c r="AK61" s="50">
        <v>49.265998840332031</v>
      </c>
      <c r="AL61" s="15" t="e">
        <f t="shared" si="26"/>
        <v>#DIV/0!</v>
      </c>
      <c r="AN61" s="15">
        <v>2</v>
      </c>
    </row>
    <row r="62" spans="1:40" x14ac:dyDescent="0.15">
      <c r="A62" s="31" t="s">
        <v>21228</v>
      </c>
      <c r="B62" s="31" t="s">
        <v>26091</v>
      </c>
      <c r="C62" s="31" t="s">
        <v>26091</v>
      </c>
      <c r="D62" s="31">
        <f t="shared" ref="D62:J62" si="27">SUM(D2:D61)</f>
        <v>288</v>
      </c>
      <c r="E62" s="31">
        <f t="shared" si="27"/>
        <v>272</v>
      </c>
      <c r="F62" s="31">
        <f t="shared" si="27"/>
        <v>272</v>
      </c>
      <c r="G62" s="31">
        <f t="shared" si="27"/>
        <v>232</v>
      </c>
      <c r="H62" s="31">
        <f t="shared" si="27"/>
        <v>104</v>
      </c>
      <c r="I62" s="31">
        <f>SUM(I2:I61)</f>
        <v>1064</v>
      </c>
      <c r="J62" s="26">
        <f t="shared" si="27"/>
        <v>426</v>
      </c>
      <c r="K62" s="26">
        <f>SUM(K2:K61)</f>
        <v>190</v>
      </c>
      <c r="L62" s="58">
        <f t="shared" si="13"/>
        <v>0.17857142857142858</v>
      </c>
      <c r="M62" s="56">
        <f t="shared" si="15"/>
        <v>5.5903076643292779</v>
      </c>
      <c r="N62" s="56">
        <f t="shared" si="16"/>
        <v>5.2797350163109842</v>
      </c>
      <c r="O62" s="56">
        <f t="shared" si="17"/>
        <v>5.2797350163109842</v>
      </c>
      <c r="P62" s="56">
        <f t="shared" si="18"/>
        <v>4.5033033962652516</v>
      </c>
      <c r="Q62" s="56">
        <f t="shared" ref="Q62" si="28">(M62+N62+O62+P62)/4</f>
        <v>5.1632702733041249</v>
      </c>
      <c r="R62" s="34">
        <f>SUM(R2:R61)</f>
        <v>51517737</v>
      </c>
      <c r="S62" s="35">
        <f>SUM(S2:S61)</f>
        <v>10684271</v>
      </c>
      <c r="T62" s="35">
        <f>SUM(T1:T9)</f>
        <v>1483111</v>
      </c>
      <c r="U62" s="41">
        <f>T62/R62</f>
        <v>2.8788356910941178E-2</v>
      </c>
      <c r="V62" s="35"/>
      <c r="W62" s="35"/>
      <c r="X62" s="36"/>
      <c r="Y62" s="36"/>
      <c r="Z62" s="35"/>
      <c r="AA62" s="37"/>
      <c r="AB62" s="33">
        <f>SUM(AB1:AB9)</f>
        <v>3988960</v>
      </c>
      <c r="AC62" s="33">
        <f>SUM(AC1:AC9)</f>
        <v>28519</v>
      </c>
      <c r="AD62" s="33">
        <f>SUM(AD1:AD9)</f>
        <v>421</v>
      </c>
      <c r="AE62" s="25">
        <f t="shared" si="20"/>
        <v>7.1494825718984396</v>
      </c>
      <c r="AF62" s="25">
        <f t="shared" si="21"/>
        <v>10.554129397136094</v>
      </c>
      <c r="AG62" s="25">
        <f t="shared" si="22"/>
        <v>20.653081093216496</v>
      </c>
      <c r="AH62" s="25">
        <f t="shared" si="23"/>
        <v>39.871695504541208</v>
      </c>
      <c r="AI62" s="25">
        <f t="shared" si="24"/>
        <v>13.290565168180402</v>
      </c>
      <c r="AJ62" s="25">
        <f t="shared" si="25"/>
        <v>2.6581130336360803</v>
      </c>
      <c r="AL62" s="15">
        <f t="shared" si="26"/>
        <v>44.827586206896555</v>
      </c>
    </row>
    <row r="63" spans="1:40" x14ac:dyDescent="0.15">
      <c r="A63" s="31" t="s">
        <v>21228</v>
      </c>
      <c r="B63" s="31" t="s">
        <v>26092</v>
      </c>
      <c r="C63" s="32" t="s">
        <v>26092</v>
      </c>
      <c r="D63" s="32">
        <v>1122</v>
      </c>
      <c r="E63" s="32">
        <v>1167</v>
      </c>
      <c r="F63" s="32">
        <v>1209</v>
      </c>
      <c r="G63" s="32">
        <v>1155</v>
      </c>
      <c r="H63" s="32">
        <v>309</v>
      </c>
      <c r="I63" s="26">
        <f>D63+E63+F63+G63</f>
        <v>4653</v>
      </c>
      <c r="J63" s="26">
        <v>1274</v>
      </c>
      <c r="K63" s="26">
        <v>816</v>
      </c>
      <c r="R63" s="80">
        <v>323127513</v>
      </c>
      <c r="S63" s="35">
        <v>42975959.229000002</v>
      </c>
      <c r="T63" s="35">
        <v>199046548</v>
      </c>
      <c r="AB63" s="80">
        <v>323127513</v>
      </c>
      <c r="AC63" s="31"/>
      <c r="AD63" s="39"/>
      <c r="AE63" s="25">
        <v>3.66</v>
      </c>
      <c r="AF63" s="26">
        <v>4.5</v>
      </c>
      <c r="AG63" s="25">
        <f>G63/R63*1000000</f>
        <v>3.5744402860551214</v>
      </c>
      <c r="AH63" s="25">
        <f>I63/S63*1000000</f>
        <v>108.26983465816801</v>
      </c>
      <c r="AI63" s="25">
        <f t="shared" si="24"/>
        <v>36.089944886056003</v>
      </c>
      <c r="AJ63" s="25">
        <f t="shared" si="25"/>
        <v>7.2179889772112009</v>
      </c>
      <c r="AL63" s="15">
        <f t="shared" si="26"/>
        <v>26.753246753246749</v>
      </c>
    </row>
    <row r="64" spans="1:40" x14ac:dyDescent="0.15">
      <c r="B64" s="31"/>
      <c r="J64" s="32"/>
      <c r="K64" s="32"/>
      <c r="L64" s="32"/>
      <c r="R64" s="34"/>
      <c r="S64" s="35"/>
      <c r="T64" s="35"/>
      <c r="U64" s="36"/>
      <c r="V64" s="35"/>
      <c r="W64" s="36"/>
      <c r="X64" s="36"/>
      <c r="Y64" s="36"/>
      <c r="Z64" s="35"/>
      <c r="AA64" s="37"/>
      <c r="AB64" s="33"/>
      <c r="AC64" s="33"/>
      <c r="AD64" s="33"/>
      <c r="AE64" s="25"/>
      <c r="AF64" s="25"/>
      <c r="AG64" s="25"/>
      <c r="AH64" s="25"/>
      <c r="AI64" s="25"/>
      <c r="AJ64" s="25"/>
      <c r="AK64" s="50"/>
    </row>
    <row r="65" spans="2:37" x14ac:dyDescent="0.15">
      <c r="B65" s="31"/>
      <c r="J65" s="32"/>
      <c r="K65" s="32"/>
      <c r="L65" s="32"/>
      <c r="R65" s="34"/>
      <c r="S65" s="35"/>
      <c r="T65" s="35"/>
      <c r="U65" s="35"/>
      <c r="V65" s="35"/>
      <c r="W65" s="35"/>
      <c r="X65" s="36"/>
      <c r="Y65" s="36"/>
      <c r="Z65" s="35"/>
      <c r="AA65" s="37"/>
      <c r="AB65" s="33"/>
      <c r="AC65" s="33"/>
      <c r="AD65" s="33"/>
      <c r="AE65" s="25"/>
      <c r="AF65" s="25"/>
      <c r="AG65" s="25"/>
      <c r="AH65" s="25"/>
      <c r="AI65" s="25"/>
      <c r="AJ65" s="25"/>
      <c r="AK65" s="50"/>
    </row>
    <row r="66" spans="2:37" x14ac:dyDescent="0.15">
      <c r="B66" s="31"/>
      <c r="J66" s="32"/>
      <c r="K66" s="32"/>
      <c r="L66" s="32"/>
      <c r="R66" s="34"/>
      <c r="S66" s="35"/>
      <c r="T66" s="35"/>
      <c r="U66" s="35"/>
      <c r="V66" s="35"/>
      <c r="W66" s="35"/>
      <c r="X66" s="36"/>
      <c r="Y66" s="36"/>
      <c r="Z66" s="35"/>
      <c r="AA66" s="37"/>
      <c r="AB66" s="33"/>
      <c r="AC66" s="33"/>
      <c r="AD66" s="33"/>
      <c r="AE66" s="25"/>
      <c r="AF66" s="25"/>
      <c r="AG66" s="25"/>
      <c r="AH66" s="25"/>
      <c r="AI66" s="25"/>
      <c r="AJ66" s="25"/>
      <c r="AK66" s="50"/>
    </row>
    <row r="67" spans="2:37" x14ac:dyDescent="0.15">
      <c r="B67" s="31"/>
      <c r="J67" s="32"/>
      <c r="K67" s="32"/>
      <c r="L67" s="32"/>
      <c r="R67" s="34"/>
      <c r="S67" s="35"/>
      <c r="T67" s="35"/>
      <c r="U67" s="36"/>
      <c r="V67" s="35"/>
      <c r="W67" s="36"/>
      <c r="X67" s="36"/>
      <c r="Y67" s="36"/>
      <c r="Z67" s="35"/>
      <c r="AA67" s="37"/>
      <c r="AB67" s="33"/>
      <c r="AC67" s="33"/>
      <c r="AD67" s="33"/>
      <c r="AE67" s="25"/>
      <c r="AF67" s="25"/>
      <c r="AG67" s="25"/>
      <c r="AH67" s="25"/>
      <c r="AI67" s="25"/>
      <c r="AJ67" s="25"/>
      <c r="AK67" s="50"/>
    </row>
    <row r="68" spans="2:37" x14ac:dyDescent="0.15">
      <c r="B68" s="31"/>
      <c r="J68" s="32"/>
      <c r="K68" s="32"/>
      <c r="L68" s="32"/>
      <c r="R68" s="34"/>
      <c r="S68" s="35"/>
      <c r="T68" s="35"/>
      <c r="U68" s="35"/>
      <c r="V68" s="35"/>
      <c r="W68" s="36"/>
      <c r="X68" s="36"/>
      <c r="Y68" s="36"/>
      <c r="Z68" s="35"/>
      <c r="AA68" s="37"/>
      <c r="AB68" s="33"/>
      <c r="AC68" s="33"/>
      <c r="AD68" s="33"/>
      <c r="AE68" s="25"/>
      <c r="AF68" s="25"/>
      <c r="AG68" s="25"/>
      <c r="AH68" s="25"/>
      <c r="AI68" s="25"/>
      <c r="AJ68" s="25"/>
      <c r="AK68" s="50"/>
    </row>
    <row r="69" spans="2:37" x14ac:dyDescent="0.15">
      <c r="B69" s="31"/>
      <c r="J69" s="32"/>
      <c r="K69" s="32"/>
      <c r="L69" s="32"/>
      <c r="R69" s="34"/>
      <c r="S69" s="35"/>
      <c r="T69" s="35"/>
      <c r="U69" s="36"/>
      <c r="V69" s="35"/>
      <c r="W69" s="36"/>
      <c r="X69" s="36"/>
      <c r="Y69" s="35"/>
      <c r="Z69" s="35"/>
      <c r="AA69" s="37"/>
      <c r="AB69" s="33"/>
      <c r="AC69" s="33"/>
      <c r="AD69" s="33"/>
      <c r="AE69" s="25"/>
      <c r="AF69" s="25"/>
      <c r="AG69" s="25"/>
      <c r="AH69" s="25"/>
      <c r="AI69" s="25"/>
      <c r="AJ69" s="25"/>
      <c r="AK69" s="50"/>
    </row>
    <row r="70" spans="2:37" x14ac:dyDescent="0.15">
      <c r="B70" s="31"/>
      <c r="J70" s="32"/>
      <c r="K70" s="32"/>
      <c r="L70" s="32"/>
      <c r="R70" s="34"/>
      <c r="S70" s="35"/>
      <c r="T70" s="35"/>
      <c r="U70" s="35"/>
      <c r="V70" s="35"/>
      <c r="W70" s="36"/>
      <c r="X70" s="36"/>
      <c r="Y70" s="36"/>
      <c r="Z70" s="35"/>
      <c r="AA70" s="37"/>
      <c r="AB70" s="33"/>
      <c r="AC70" s="33"/>
      <c r="AD70" s="33"/>
      <c r="AE70" s="25"/>
      <c r="AF70" s="25"/>
      <c r="AG70" s="25"/>
      <c r="AH70" s="25"/>
      <c r="AI70" s="25"/>
      <c r="AJ70" s="25"/>
      <c r="AK70" s="50"/>
    </row>
    <row r="71" spans="2:37" x14ac:dyDescent="0.15">
      <c r="B71" s="31"/>
      <c r="J71" s="32"/>
      <c r="K71" s="32"/>
      <c r="L71" s="32"/>
      <c r="R71" s="34"/>
      <c r="S71" s="35"/>
      <c r="T71" s="35"/>
      <c r="U71" s="35"/>
      <c r="V71" s="35"/>
      <c r="W71" s="36"/>
      <c r="X71" s="36"/>
      <c r="Y71" s="36"/>
      <c r="Z71" s="35"/>
      <c r="AA71" s="37"/>
      <c r="AB71" s="33"/>
      <c r="AC71" s="33"/>
      <c r="AD71" s="33"/>
      <c r="AE71" s="25"/>
      <c r="AF71" s="25"/>
      <c r="AG71" s="25"/>
      <c r="AH71" s="25"/>
      <c r="AI71" s="25"/>
      <c r="AJ71" s="25"/>
      <c r="AK71" s="50"/>
    </row>
    <row r="72" spans="2:37" x14ac:dyDescent="0.15">
      <c r="B72" s="31"/>
      <c r="J72" s="32"/>
      <c r="K72" s="32"/>
      <c r="L72" s="32"/>
      <c r="R72" s="34"/>
      <c r="S72" s="35"/>
      <c r="T72" s="35"/>
      <c r="U72" s="36"/>
      <c r="V72" s="35"/>
      <c r="W72" s="36"/>
      <c r="X72" s="36"/>
      <c r="Y72" s="36"/>
      <c r="Z72" s="35"/>
      <c r="AA72" s="37"/>
      <c r="AB72" s="33"/>
      <c r="AC72" s="33"/>
      <c r="AD72" s="33"/>
      <c r="AE72" s="25"/>
      <c r="AF72" s="25"/>
      <c r="AG72" s="25"/>
      <c r="AH72" s="25"/>
      <c r="AI72" s="25"/>
      <c r="AJ72" s="25"/>
      <c r="AK72" s="50"/>
    </row>
    <row r="73" spans="2:37" x14ac:dyDescent="0.15">
      <c r="B73" s="31"/>
      <c r="J73" s="32"/>
      <c r="K73" s="32"/>
      <c r="L73" s="32"/>
      <c r="R73" s="34"/>
      <c r="S73" s="35"/>
      <c r="T73" s="35"/>
      <c r="U73" s="35"/>
      <c r="V73" s="35"/>
      <c r="W73" s="36"/>
      <c r="X73" s="36"/>
      <c r="Y73" s="36"/>
      <c r="Z73" s="35"/>
      <c r="AA73" s="37"/>
      <c r="AB73" s="33"/>
      <c r="AC73" s="33"/>
      <c r="AD73" s="33"/>
      <c r="AE73" s="25"/>
      <c r="AF73" s="25"/>
      <c r="AG73" s="25"/>
      <c r="AH73" s="25"/>
      <c r="AI73" s="25"/>
      <c r="AJ73" s="25"/>
      <c r="AK73" s="50"/>
    </row>
    <row r="74" spans="2:37" x14ac:dyDescent="0.15">
      <c r="B74" s="31"/>
      <c r="J74" s="32"/>
      <c r="K74" s="32"/>
      <c r="L74" s="32"/>
      <c r="R74" s="34"/>
      <c r="S74" s="35"/>
      <c r="T74" s="35"/>
      <c r="U74" s="35"/>
      <c r="V74" s="35"/>
      <c r="W74" s="35"/>
      <c r="X74" s="36"/>
      <c r="Y74" s="36"/>
      <c r="Z74" s="35"/>
      <c r="AA74" s="37"/>
      <c r="AB74" s="33"/>
      <c r="AC74" s="33"/>
      <c r="AD74" s="33"/>
      <c r="AE74" s="25"/>
      <c r="AF74" s="25"/>
      <c r="AG74" s="25"/>
      <c r="AH74" s="25"/>
      <c r="AI74" s="25"/>
      <c r="AJ74" s="25"/>
      <c r="AK74" s="50"/>
    </row>
    <row r="75" spans="2:37" x14ac:dyDescent="0.15">
      <c r="B75" s="31"/>
      <c r="J75" s="32"/>
      <c r="K75" s="32"/>
      <c r="L75" s="32"/>
      <c r="R75" s="34"/>
      <c r="S75" s="35"/>
      <c r="T75" s="35"/>
      <c r="U75" s="36"/>
      <c r="V75" s="35"/>
      <c r="W75" s="36"/>
      <c r="X75" s="36"/>
      <c r="Y75" s="36"/>
      <c r="Z75" s="35"/>
      <c r="AA75" s="37"/>
      <c r="AB75" s="33"/>
      <c r="AC75" s="33"/>
      <c r="AD75" s="33"/>
      <c r="AE75" s="25"/>
      <c r="AF75" s="25"/>
      <c r="AG75" s="25"/>
      <c r="AH75" s="25"/>
      <c r="AI75" s="25"/>
      <c r="AJ75" s="25"/>
      <c r="AK75" s="50"/>
    </row>
    <row r="76" spans="2:37" x14ac:dyDescent="0.15">
      <c r="B76" s="31"/>
      <c r="J76" s="32"/>
      <c r="K76" s="32"/>
      <c r="L76" s="32"/>
      <c r="R76" s="34"/>
      <c r="S76" s="35"/>
      <c r="T76" s="35"/>
      <c r="U76" s="36"/>
      <c r="V76" s="35"/>
      <c r="W76" s="36"/>
      <c r="X76" s="36"/>
      <c r="Y76" s="35"/>
      <c r="Z76" s="35"/>
      <c r="AA76" s="37"/>
      <c r="AB76" s="33"/>
      <c r="AC76" s="33"/>
      <c r="AD76" s="33"/>
      <c r="AE76" s="25"/>
      <c r="AF76" s="25"/>
      <c r="AG76" s="25"/>
      <c r="AH76" s="25"/>
      <c r="AI76" s="25"/>
      <c r="AJ76" s="25"/>
      <c r="AK76" s="50"/>
    </row>
    <row r="77" spans="2:37" x14ac:dyDescent="0.15">
      <c r="B77" s="31"/>
      <c r="J77" s="32"/>
      <c r="K77" s="32"/>
      <c r="L77" s="32"/>
      <c r="R77" s="34"/>
      <c r="S77" s="35"/>
      <c r="T77" s="35"/>
      <c r="U77" s="36"/>
      <c r="V77" s="35"/>
      <c r="W77" s="36"/>
      <c r="X77" s="36"/>
      <c r="Y77" s="36"/>
      <c r="Z77" s="35"/>
      <c r="AA77" s="37"/>
      <c r="AB77" s="33"/>
      <c r="AC77" s="33"/>
      <c r="AD77" s="33"/>
      <c r="AE77" s="25"/>
      <c r="AF77" s="25"/>
      <c r="AG77" s="25"/>
      <c r="AH77" s="25"/>
      <c r="AI77" s="25"/>
      <c r="AJ77" s="25"/>
      <c r="AK77" s="50"/>
    </row>
    <row r="78" spans="2:37" x14ac:dyDescent="0.15">
      <c r="B78" s="31"/>
      <c r="J78" s="32"/>
      <c r="K78" s="32"/>
      <c r="L78" s="32"/>
      <c r="R78" s="34"/>
      <c r="S78" s="35"/>
      <c r="T78" s="35"/>
      <c r="U78" s="36"/>
      <c r="V78" s="35"/>
      <c r="W78" s="35"/>
      <c r="X78" s="36"/>
      <c r="Y78" s="36"/>
      <c r="Z78" s="35"/>
      <c r="AA78" s="37"/>
      <c r="AB78" s="33"/>
      <c r="AC78" s="33"/>
      <c r="AD78" s="33"/>
      <c r="AE78" s="25"/>
      <c r="AF78" s="25"/>
      <c r="AG78" s="25"/>
      <c r="AH78" s="25"/>
      <c r="AI78" s="25"/>
      <c r="AJ78" s="25"/>
      <c r="AK78" s="50"/>
    </row>
    <row r="79" spans="2:37" x14ac:dyDescent="0.15">
      <c r="B79" s="31"/>
      <c r="J79" s="32"/>
      <c r="K79" s="32"/>
      <c r="L79" s="32"/>
      <c r="R79" s="34"/>
      <c r="S79" s="35"/>
      <c r="T79" s="35"/>
      <c r="U79" s="36"/>
      <c r="V79" s="35"/>
      <c r="W79" s="36"/>
      <c r="X79" s="36"/>
      <c r="Y79" s="36"/>
      <c r="Z79" s="35"/>
      <c r="AA79" s="37"/>
      <c r="AB79" s="33"/>
      <c r="AC79" s="33"/>
      <c r="AD79" s="33"/>
      <c r="AE79" s="25"/>
      <c r="AF79" s="25"/>
      <c r="AG79" s="25"/>
      <c r="AH79" s="25"/>
      <c r="AI79" s="25"/>
      <c r="AJ79" s="25"/>
      <c r="AK79" s="50"/>
    </row>
    <row r="80" spans="2:37" x14ac:dyDescent="0.15">
      <c r="B80" s="31"/>
      <c r="J80" s="32"/>
      <c r="K80" s="32"/>
      <c r="L80" s="32"/>
      <c r="R80" s="34"/>
      <c r="S80" s="35"/>
      <c r="T80" s="35"/>
      <c r="U80" s="36"/>
      <c r="V80" s="35"/>
      <c r="W80" s="36"/>
      <c r="X80" s="36"/>
      <c r="Y80" s="35"/>
      <c r="Z80" s="35"/>
      <c r="AA80" s="37"/>
      <c r="AB80" s="33"/>
      <c r="AC80" s="33"/>
      <c r="AD80" s="33"/>
      <c r="AE80" s="25"/>
      <c r="AF80" s="25"/>
      <c r="AG80" s="25"/>
      <c r="AH80" s="25"/>
      <c r="AI80" s="25"/>
      <c r="AJ80" s="25"/>
      <c r="AK80" s="50"/>
    </row>
    <row r="81" spans="2:37" x14ac:dyDescent="0.15">
      <c r="B81" s="31"/>
      <c r="J81" s="32"/>
      <c r="K81" s="32"/>
      <c r="L81" s="32"/>
      <c r="R81" s="34"/>
      <c r="S81" s="35"/>
      <c r="T81" s="35"/>
      <c r="U81" s="35"/>
      <c r="V81" s="35"/>
      <c r="W81" s="36"/>
      <c r="X81" s="36"/>
      <c r="Y81" s="36"/>
      <c r="Z81" s="35"/>
      <c r="AA81" s="37"/>
      <c r="AB81" s="33"/>
      <c r="AC81" s="33"/>
      <c r="AD81" s="33"/>
      <c r="AE81" s="25"/>
      <c r="AF81" s="25"/>
      <c r="AG81" s="25"/>
      <c r="AH81" s="25"/>
      <c r="AI81" s="25"/>
      <c r="AJ81" s="25"/>
      <c r="AK81" s="50"/>
    </row>
    <row r="82" spans="2:37" x14ac:dyDescent="0.15">
      <c r="B82" s="31"/>
      <c r="J82" s="32"/>
      <c r="K82" s="32"/>
      <c r="L82" s="32"/>
      <c r="R82" s="34"/>
      <c r="S82" s="36"/>
      <c r="T82" s="35"/>
      <c r="U82" s="36"/>
      <c r="V82" s="35"/>
      <c r="W82" s="36"/>
      <c r="X82" s="36"/>
      <c r="Y82" s="36"/>
      <c r="Z82" s="36"/>
      <c r="AA82" s="37"/>
      <c r="AB82" s="33"/>
      <c r="AC82" s="33"/>
      <c r="AD82" s="33"/>
      <c r="AE82" s="25"/>
      <c r="AF82" s="25"/>
      <c r="AG82" s="25"/>
      <c r="AH82" s="25"/>
      <c r="AI82" s="25"/>
      <c r="AJ82" s="25"/>
      <c r="AK82" s="50"/>
    </row>
    <row r="83" spans="2:37" x14ac:dyDescent="0.15">
      <c r="B83" s="31"/>
      <c r="J83" s="32"/>
      <c r="K83" s="32"/>
      <c r="L83" s="32"/>
      <c r="R83" s="34"/>
      <c r="S83" s="35"/>
      <c r="T83" s="35"/>
      <c r="U83" s="36"/>
      <c r="V83" s="35"/>
      <c r="W83" s="36"/>
      <c r="X83" s="36"/>
      <c r="Y83" s="36"/>
      <c r="Z83" s="35"/>
      <c r="AA83" s="37"/>
      <c r="AB83" s="33"/>
      <c r="AC83" s="33"/>
      <c r="AD83" s="33"/>
      <c r="AE83" s="25"/>
      <c r="AF83" s="25"/>
      <c r="AG83" s="25"/>
      <c r="AH83" s="25"/>
      <c r="AI83" s="25"/>
      <c r="AJ83" s="25"/>
      <c r="AK83" s="50"/>
    </row>
    <row r="84" spans="2:37" x14ac:dyDescent="0.15">
      <c r="B84" s="31"/>
      <c r="J84" s="32"/>
      <c r="K84" s="32"/>
      <c r="L84" s="32"/>
      <c r="R84" s="34"/>
      <c r="S84" s="35"/>
      <c r="T84" s="35"/>
      <c r="U84" s="36"/>
      <c r="V84" s="35"/>
      <c r="W84" s="36"/>
      <c r="X84" s="36"/>
      <c r="Y84" s="36"/>
      <c r="Z84" s="35"/>
      <c r="AA84" s="37"/>
      <c r="AB84" s="33"/>
      <c r="AC84" s="33"/>
      <c r="AD84" s="33"/>
      <c r="AE84" s="25"/>
      <c r="AF84" s="25"/>
      <c r="AG84" s="25"/>
      <c r="AH84" s="25"/>
      <c r="AI84" s="25"/>
      <c r="AJ84" s="25"/>
      <c r="AK84" s="50"/>
    </row>
    <row r="85" spans="2:37" x14ac:dyDescent="0.15">
      <c r="B85" s="31"/>
      <c r="J85" s="32"/>
      <c r="K85" s="32"/>
      <c r="L85" s="32"/>
      <c r="R85" s="34"/>
      <c r="S85" s="35"/>
      <c r="T85" s="35"/>
      <c r="U85" s="36"/>
      <c r="V85" s="35"/>
      <c r="W85" s="36"/>
      <c r="X85" s="36"/>
      <c r="Y85" s="36"/>
      <c r="Z85" s="35"/>
      <c r="AA85" s="37"/>
      <c r="AB85" s="33"/>
      <c r="AC85" s="33"/>
      <c r="AD85" s="33"/>
      <c r="AE85" s="25"/>
      <c r="AF85" s="25"/>
      <c r="AG85" s="25"/>
      <c r="AH85" s="25"/>
      <c r="AI85" s="25"/>
      <c r="AJ85" s="25"/>
      <c r="AK85" s="50"/>
    </row>
    <row r="86" spans="2:37" x14ac:dyDescent="0.15">
      <c r="B86" s="31"/>
      <c r="J86" s="32"/>
      <c r="K86" s="32"/>
      <c r="L86" s="32"/>
      <c r="R86" s="34"/>
      <c r="S86" s="35"/>
      <c r="T86" s="35"/>
      <c r="U86" s="36"/>
      <c r="V86" s="35"/>
      <c r="W86" s="36"/>
      <c r="X86" s="36"/>
      <c r="Y86" s="36"/>
      <c r="Z86" s="35"/>
      <c r="AA86" s="37"/>
      <c r="AB86" s="33"/>
      <c r="AC86" s="33"/>
      <c r="AD86" s="33"/>
      <c r="AE86" s="25"/>
      <c r="AF86" s="25"/>
      <c r="AG86" s="25"/>
      <c r="AH86" s="25"/>
      <c r="AI86" s="25"/>
      <c r="AJ86" s="25"/>
      <c r="AK86" s="50"/>
    </row>
    <row r="87" spans="2:37" x14ac:dyDescent="0.15">
      <c r="B87" s="31"/>
      <c r="J87" s="32"/>
      <c r="K87" s="32"/>
      <c r="L87" s="32"/>
      <c r="R87" s="34"/>
      <c r="S87" s="35"/>
      <c r="T87" s="35"/>
      <c r="U87" s="36"/>
      <c r="V87" s="35"/>
      <c r="W87" s="36"/>
      <c r="X87" s="36"/>
      <c r="Y87" s="36"/>
      <c r="Z87" s="35"/>
      <c r="AA87" s="37"/>
      <c r="AB87" s="33"/>
      <c r="AC87" s="33"/>
      <c r="AD87" s="33"/>
      <c r="AE87" s="25"/>
      <c r="AF87" s="25"/>
      <c r="AG87" s="25"/>
      <c r="AH87" s="25"/>
      <c r="AI87" s="25"/>
      <c r="AJ87" s="25"/>
      <c r="AK87" s="50"/>
    </row>
    <row r="88" spans="2:37" x14ac:dyDescent="0.15">
      <c r="B88" s="31"/>
      <c r="J88" s="32"/>
      <c r="K88" s="32"/>
      <c r="L88" s="32"/>
      <c r="R88" s="34"/>
      <c r="S88" s="35"/>
      <c r="T88" s="35"/>
      <c r="U88" s="36"/>
      <c r="V88" s="35"/>
      <c r="W88" s="36"/>
      <c r="X88" s="36"/>
      <c r="Y88" s="36"/>
      <c r="Z88" s="35"/>
      <c r="AA88" s="37"/>
      <c r="AB88" s="33"/>
      <c r="AC88" s="33"/>
      <c r="AD88" s="33"/>
      <c r="AE88" s="25"/>
      <c r="AF88" s="25"/>
      <c r="AG88" s="25"/>
      <c r="AH88" s="25"/>
      <c r="AI88" s="25"/>
      <c r="AJ88" s="25"/>
      <c r="AK88" s="50"/>
    </row>
    <row r="89" spans="2:37" x14ac:dyDescent="0.15">
      <c r="B89" s="31"/>
      <c r="J89" s="32"/>
      <c r="K89" s="32"/>
      <c r="L89" s="32"/>
      <c r="R89" s="34"/>
      <c r="S89" s="35"/>
      <c r="T89" s="35"/>
      <c r="U89" s="35"/>
      <c r="V89" s="35"/>
      <c r="W89" s="36"/>
      <c r="X89" s="36"/>
      <c r="Y89" s="36"/>
      <c r="Z89" s="35"/>
      <c r="AA89" s="37"/>
      <c r="AB89" s="39"/>
      <c r="AC89" s="33"/>
      <c r="AD89" s="33"/>
      <c r="AE89" s="25"/>
      <c r="AF89" s="25"/>
      <c r="AG89" s="25"/>
      <c r="AH89" s="25"/>
      <c r="AI89" s="25"/>
      <c r="AJ89" s="25"/>
      <c r="AK89" s="50"/>
    </row>
    <row r="90" spans="2:37" x14ac:dyDescent="0.15">
      <c r="B90" s="31"/>
      <c r="J90" s="32"/>
      <c r="K90" s="32"/>
      <c r="L90" s="32"/>
      <c r="R90" s="34"/>
      <c r="S90" s="35"/>
      <c r="T90" s="35"/>
      <c r="U90" s="35"/>
      <c r="V90" s="35"/>
      <c r="W90" s="35"/>
      <c r="X90" s="36"/>
      <c r="Y90" s="36"/>
      <c r="Z90" s="35"/>
      <c r="AA90" s="37"/>
      <c r="AB90" s="33"/>
      <c r="AC90" s="33"/>
      <c r="AD90" s="33"/>
      <c r="AE90" s="25"/>
      <c r="AF90" s="25"/>
      <c r="AG90" s="25"/>
      <c r="AH90" s="25"/>
      <c r="AI90" s="25"/>
      <c r="AJ90" s="25"/>
      <c r="AK90" s="50"/>
    </row>
    <row r="91" spans="2:37" x14ac:dyDescent="0.15">
      <c r="B91" s="31"/>
      <c r="J91" s="32"/>
      <c r="K91" s="32"/>
      <c r="L91" s="32"/>
      <c r="R91" s="34"/>
      <c r="S91" s="35"/>
      <c r="T91" s="35"/>
      <c r="U91" s="36"/>
      <c r="V91" s="36"/>
      <c r="W91" s="36"/>
      <c r="X91" s="36"/>
      <c r="Y91" s="36"/>
      <c r="Z91" s="36"/>
      <c r="AA91" s="37"/>
      <c r="AB91" s="33"/>
      <c r="AC91" s="33"/>
      <c r="AD91" s="33"/>
      <c r="AE91" s="25"/>
      <c r="AF91" s="25"/>
      <c r="AG91" s="25"/>
      <c r="AH91" s="25"/>
      <c r="AI91" s="25"/>
      <c r="AJ91" s="25"/>
      <c r="AK91" s="50"/>
    </row>
    <row r="92" spans="2:37" x14ac:dyDescent="0.15">
      <c r="B92" s="31"/>
      <c r="J92" s="32"/>
      <c r="K92" s="32"/>
      <c r="L92" s="32"/>
      <c r="R92" s="34"/>
      <c r="S92" s="35"/>
      <c r="T92" s="35"/>
      <c r="U92" s="36"/>
      <c r="V92" s="35"/>
      <c r="W92" s="36"/>
      <c r="X92" s="36"/>
      <c r="Y92" s="36"/>
      <c r="Z92" s="35"/>
      <c r="AA92" s="37"/>
      <c r="AB92" s="33"/>
      <c r="AC92" s="33"/>
      <c r="AD92" s="33"/>
      <c r="AE92" s="25"/>
      <c r="AF92" s="25"/>
      <c r="AG92" s="25"/>
      <c r="AH92" s="25"/>
      <c r="AI92" s="25"/>
      <c r="AJ92" s="25"/>
      <c r="AK92" s="50"/>
    </row>
    <row r="93" spans="2:37" x14ac:dyDescent="0.15">
      <c r="B93" s="31"/>
      <c r="J93" s="32"/>
      <c r="K93" s="32"/>
      <c r="L93" s="32"/>
      <c r="R93" s="34"/>
      <c r="S93" s="35"/>
      <c r="T93" s="35"/>
      <c r="U93" s="35"/>
      <c r="V93" s="35"/>
      <c r="W93" s="36"/>
      <c r="X93" s="36"/>
      <c r="Y93" s="36"/>
      <c r="Z93" s="35"/>
      <c r="AA93" s="37"/>
      <c r="AB93" s="39"/>
      <c r="AC93" s="33"/>
      <c r="AD93" s="33"/>
      <c r="AE93" s="25"/>
      <c r="AF93" s="25"/>
      <c r="AG93" s="25"/>
      <c r="AH93" s="25"/>
      <c r="AI93" s="25"/>
      <c r="AJ93" s="25"/>
      <c r="AK93" s="50"/>
    </row>
    <row r="94" spans="2:37" x14ac:dyDescent="0.15">
      <c r="B94" s="31"/>
      <c r="J94" s="32"/>
      <c r="K94" s="32"/>
      <c r="L94" s="32"/>
      <c r="R94" s="34"/>
      <c r="S94" s="35"/>
      <c r="T94" s="35"/>
      <c r="U94" s="36"/>
      <c r="V94" s="35"/>
      <c r="W94" s="35"/>
      <c r="X94" s="36"/>
      <c r="Y94" s="36"/>
      <c r="Z94" s="35"/>
      <c r="AA94" s="37"/>
      <c r="AB94" s="33"/>
      <c r="AC94" s="33"/>
      <c r="AD94" s="33"/>
      <c r="AE94" s="25"/>
      <c r="AF94" s="25"/>
      <c r="AG94" s="25"/>
      <c r="AH94" s="25"/>
      <c r="AI94" s="25"/>
      <c r="AJ94" s="25"/>
      <c r="AK94" s="50"/>
    </row>
    <row r="95" spans="2:37" x14ac:dyDescent="0.15">
      <c r="B95" s="31"/>
      <c r="J95" s="32"/>
      <c r="K95" s="32"/>
      <c r="L95" s="32"/>
      <c r="R95" s="40"/>
      <c r="S95" s="35"/>
      <c r="T95" s="35"/>
      <c r="U95" s="36"/>
      <c r="V95" s="35"/>
      <c r="W95" s="36"/>
      <c r="X95" s="36"/>
      <c r="Y95" s="36"/>
      <c r="Z95" s="35"/>
      <c r="AA95" s="37"/>
      <c r="AB95" s="33"/>
      <c r="AC95" s="33"/>
      <c r="AD95" s="33"/>
      <c r="AE95" s="25"/>
      <c r="AF95" s="25"/>
      <c r="AG95" s="25"/>
      <c r="AH95" s="25"/>
      <c r="AI95" s="25"/>
      <c r="AJ95" s="25"/>
      <c r="AK95" s="50"/>
    </row>
    <row r="96" spans="2:37" x14ac:dyDescent="0.15">
      <c r="B96" s="31"/>
      <c r="J96" s="32"/>
      <c r="K96" s="32"/>
      <c r="L96" s="32"/>
      <c r="R96" s="34"/>
      <c r="S96" s="35"/>
      <c r="T96" s="35"/>
      <c r="U96" s="36"/>
      <c r="V96" s="35"/>
      <c r="W96" s="35"/>
      <c r="X96" s="36"/>
      <c r="Y96" s="36"/>
      <c r="Z96" s="35"/>
      <c r="AA96" s="37"/>
      <c r="AB96" s="33"/>
      <c r="AC96" s="33"/>
      <c r="AD96" s="33"/>
      <c r="AE96" s="25"/>
      <c r="AF96" s="25"/>
      <c r="AG96" s="25"/>
      <c r="AH96" s="25"/>
      <c r="AI96" s="25"/>
      <c r="AJ96" s="25"/>
      <c r="AK96" s="50"/>
    </row>
    <row r="97" spans="2:37" x14ac:dyDescent="0.15">
      <c r="B97" s="31"/>
      <c r="J97" s="32"/>
      <c r="K97" s="32"/>
      <c r="L97" s="32"/>
      <c r="R97" s="34"/>
      <c r="S97" s="35"/>
      <c r="T97" s="35"/>
      <c r="U97" s="36"/>
      <c r="V97" s="35"/>
      <c r="W97" s="36"/>
      <c r="X97" s="36"/>
      <c r="Y97" s="36"/>
      <c r="Z97" s="35"/>
      <c r="AA97" s="37"/>
      <c r="AB97" s="38"/>
      <c r="AC97" s="33"/>
      <c r="AD97" s="33"/>
      <c r="AE97" s="25"/>
      <c r="AF97" s="25"/>
      <c r="AG97" s="25"/>
      <c r="AH97" s="25"/>
      <c r="AI97" s="25"/>
      <c r="AJ97" s="25"/>
      <c r="AK97" s="50"/>
    </row>
    <row r="98" spans="2:37" x14ac:dyDescent="0.15">
      <c r="B98" s="31"/>
      <c r="J98" s="32"/>
      <c r="K98" s="32"/>
      <c r="L98" s="32"/>
      <c r="R98" s="34"/>
      <c r="S98" s="35"/>
      <c r="T98" s="35"/>
      <c r="U98" s="36"/>
      <c r="V98" s="35"/>
      <c r="W98" s="36"/>
      <c r="X98" s="36"/>
      <c r="Y98" s="36"/>
      <c r="Z98" s="35"/>
      <c r="AA98" s="37"/>
      <c r="AB98" s="33"/>
      <c r="AC98" s="33"/>
      <c r="AD98" s="33"/>
      <c r="AE98" s="25"/>
      <c r="AF98" s="25"/>
      <c r="AG98" s="25"/>
      <c r="AH98" s="25"/>
      <c r="AI98" s="25"/>
      <c r="AJ98" s="25"/>
      <c r="AK98" s="50"/>
    </row>
    <row r="99" spans="2:37" x14ac:dyDescent="0.15">
      <c r="B99" s="31"/>
      <c r="J99" s="32"/>
      <c r="K99" s="32"/>
      <c r="L99" s="32"/>
      <c r="R99" s="40"/>
      <c r="S99" s="35"/>
      <c r="T99" s="35"/>
      <c r="U99" s="36"/>
      <c r="V99" s="35"/>
      <c r="W99" s="36"/>
      <c r="X99" s="36"/>
      <c r="Y99" s="36"/>
      <c r="Z99" s="35"/>
      <c r="AA99" s="37"/>
      <c r="AB99" s="33"/>
      <c r="AC99" s="33"/>
      <c r="AD99" s="33"/>
      <c r="AE99" s="25"/>
      <c r="AF99" s="25"/>
      <c r="AG99" s="25"/>
      <c r="AH99" s="25"/>
      <c r="AI99" s="25"/>
      <c r="AJ99" s="25"/>
      <c r="AK99" s="50"/>
    </row>
    <row r="100" spans="2:37" x14ac:dyDescent="0.15">
      <c r="B100" s="31"/>
      <c r="J100" s="32"/>
      <c r="K100" s="32"/>
      <c r="L100" s="32"/>
      <c r="R100" s="34"/>
      <c r="S100" s="35"/>
      <c r="T100" s="35"/>
      <c r="U100" s="36"/>
      <c r="V100" s="35"/>
      <c r="W100" s="36"/>
      <c r="X100" s="36"/>
      <c r="Y100" s="36"/>
      <c r="Z100" s="35"/>
      <c r="AA100" s="37"/>
      <c r="AB100" s="38"/>
      <c r="AC100" s="33"/>
      <c r="AD100" s="33"/>
      <c r="AE100" s="25"/>
      <c r="AF100" s="25"/>
      <c r="AG100" s="25"/>
      <c r="AH100" s="25"/>
      <c r="AI100" s="25"/>
      <c r="AJ100" s="25"/>
      <c r="AK100" s="50"/>
    </row>
    <row r="101" spans="2:37" x14ac:dyDescent="0.15">
      <c r="B101" s="31"/>
      <c r="J101" s="32"/>
      <c r="K101" s="32"/>
      <c r="L101" s="32"/>
      <c r="R101" s="34"/>
      <c r="S101" s="35"/>
      <c r="T101" s="35"/>
      <c r="U101" s="35"/>
      <c r="V101" s="35"/>
      <c r="W101" s="35"/>
      <c r="X101" s="36"/>
      <c r="Y101" s="36"/>
      <c r="Z101" s="35"/>
      <c r="AA101" s="37"/>
      <c r="AB101" s="55"/>
      <c r="AC101" s="33"/>
      <c r="AD101" s="33"/>
      <c r="AE101" s="25"/>
      <c r="AF101" s="25"/>
      <c r="AG101" s="25"/>
      <c r="AH101" s="25"/>
      <c r="AI101" s="25"/>
      <c r="AJ101" s="25"/>
      <c r="AK101" s="50"/>
    </row>
    <row r="102" spans="2:37" x14ac:dyDescent="0.15">
      <c r="AC102" s="31"/>
      <c r="AD102" s="39"/>
    </row>
    <row r="103" spans="2:37" x14ac:dyDescent="0.15">
      <c r="AE103" s="42"/>
    </row>
    <row r="106" spans="2:37" x14ac:dyDescent="0.15">
      <c r="B106" s="32"/>
    </row>
  </sheetData>
  <sortState ref="A2:AA110">
    <sortCondition ref="B2:B110"/>
  </sortState>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workbookViewId="0">
      <selection activeCell="H27" sqref="H27"/>
    </sheetView>
  </sheetViews>
  <sheetFormatPr baseColWidth="10" defaultRowHeight="13" x14ac:dyDescent="0.15"/>
  <cols>
    <col min="1" max="1" width="23.1640625" style="26" customWidth="1"/>
    <col min="2" max="2" width="29.1640625" style="32" customWidth="1"/>
    <col min="3" max="4" width="10.83203125" style="26" customWidth="1"/>
  </cols>
  <sheetData>
    <row r="1" spans="1:6" x14ac:dyDescent="0.15">
      <c r="A1" s="28" t="s">
        <v>21207</v>
      </c>
      <c r="B1" s="29" t="s">
        <v>24957</v>
      </c>
      <c r="C1" s="24" t="s">
        <v>31430</v>
      </c>
      <c r="D1" s="24" t="s">
        <v>31432</v>
      </c>
      <c r="E1" s="93" t="s">
        <v>31433</v>
      </c>
      <c r="F1" s="93" t="s">
        <v>31431</v>
      </c>
    </row>
    <row r="2" spans="1:6" x14ac:dyDescent="0.15">
      <c r="A2" s="31" t="s">
        <v>1611</v>
      </c>
      <c r="B2" s="32" t="s">
        <v>7469</v>
      </c>
      <c r="C2" s="32">
        <v>10</v>
      </c>
      <c r="D2" s="32">
        <v>3</v>
      </c>
      <c r="E2" s="32">
        <v>3556</v>
      </c>
      <c r="F2" s="94">
        <f>D2/E2/3.5*100000</f>
        <v>24.104129840912744</v>
      </c>
    </row>
    <row r="3" spans="1:6" x14ac:dyDescent="0.15">
      <c r="A3" s="31" t="s">
        <v>1141</v>
      </c>
      <c r="B3" s="32" t="s">
        <v>1142</v>
      </c>
      <c r="C3" s="32">
        <v>6</v>
      </c>
      <c r="D3" s="32">
        <v>2</v>
      </c>
      <c r="E3" s="32">
        <v>3494</v>
      </c>
      <c r="F3" s="94">
        <f>D3/E3/3.5*100000</f>
        <v>16.354567012838334</v>
      </c>
    </row>
    <row r="4" spans="1:6" x14ac:dyDescent="0.15">
      <c r="A4" s="31" t="s">
        <v>3690</v>
      </c>
      <c r="B4" s="32" t="s">
        <v>3692</v>
      </c>
      <c r="C4" s="32">
        <v>13</v>
      </c>
      <c r="D4" s="32">
        <v>1</v>
      </c>
      <c r="E4" s="32">
        <v>1779</v>
      </c>
      <c r="F4" s="94">
        <f>D4/E4/3.5*100000</f>
        <v>16.060387055328032</v>
      </c>
    </row>
    <row r="5" spans="1:6" x14ac:dyDescent="0.15">
      <c r="A5" s="31" t="s">
        <v>687</v>
      </c>
      <c r="B5" s="32" t="s">
        <v>4878</v>
      </c>
      <c r="C5" s="32">
        <v>6</v>
      </c>
      <c r="D5" s="32">
        <v>1</v>
      </c>
      <c r="E5" s="32">
        <v>2178</v>
      </c>
      <c r="F5" s="94">
        <f>D5/E5/3.5*100000</f>
        <v>13.118194936376755</v>
      </c>
    </row>
    <row r="6" spans="1:6" x14ac:dyDescent="0.15">
      <c r="A6" s="31" t="s">
        <v>1094</v>
      </c>
      <c r="B6" s="32" t="s">
        <v>1096</v>
      </c>
      <c r="C6" s="32">
        <v>35</v>
      </c>
      <c r="D6" s="32">
        <v>16</v>
      </c>
      <c r="E6" s="32">
        <v>42192</v>
      </c>
      <c r="F6" s="94">
        <f>D6/E6/3.5*100000</f>
        <v>10.834823121512541</v>
      </c>
    </row>
    <row r="7" spans="1:6" x14ac:dyDescent="0.15">
      <c r="A7" s="31" t="s">
        <v>6443</v>
      </c>
      <c r="B7" s="32" t="s">
        <v>6444</v>
      </c>
      <c r="C7" s="32">
        <v>3</v>
      </c>
      <c r="D7" s="32">
        <v>1</v>
      </c>
      <c r="E7" s="32">
        <v>2715</v>
      </c>
      <c r="F7" s="94">
        <f>D7/E7/3.5*100000</f>
        <v>10.523546435148646</v>
      </c>
    </row>
    <row r="8" spans="1:6" x14ac:dyDescent="0.15">
      <c r="A8" s="31" t="s">
        <v>838</v>
      </c>
      <c r="B8" s="32" t="s">
        <v>839</v>
      </c>
      <c r="C8" s="32">
        <v>9</v>
      </c>
      <c r="D8" s="32">
        <v>1</v>
      </c>
      <c r="E8" s="32">
        <v>2932</v>
      </c>
      <c r="F8" s="94">
        <f>D8/E8/3.5*100000</f>
        <v>9.7446891444162933</v>
      </c>
    </row>
    <row r="9" spans="1:6" x14ac:dyDescent="0.15">
      <c r="A9" s="31" t="s">
        <v>709</v>
      </c>
      <c r="B9" s="32" t="s">
        <v>4516</v>
      </c>
      <c r="C9" s="32">
        <v>28</v>
      </c>
      <c r="D9" s="32">
        <v>22</v>
      </c>
      <c r="E9" s="32">
        <v>69439</v>
      </c>
      <c r="F9" s="94">
        <f>D9/E9/3.5*100000</f>
        <v>9.0521382590680819</v>
      </c>
    </row>
    <row r="10" spans="1:6" x14ac:dyDescent="0.15">
      <c r="A10" s="31" t="s">
        <v>922</v>
      </c>
      <c r="B10" s="32" t="s">
        <v>4961</v>
      </c>
      <c r="C10" s="32">
        <v>19</v>
      </c>
      <c r="D10" s="32">
        <v>3</v>
      </c>
      <c r="E10" s="32">
        <v>9944</v>
      </c>
      <c r="F10" s="94">
        <f>D10/E10/3.5*100000</f>
        <v>8.6196988851856098</v>
      </c>
    </row>
    <row r="11" spans="1:6" x14ac:dyDescent="0.15">
      <c r="A11" s="31" t="s">
        <v>3324</v>
      </c>
      <c r="B11" s="32" t="s">
        <v>3327</v>
      </c>
      <c r="C11" s="32">
        <v>7</v>
      </c>
      <c r="D11" s="32">
        <v>2</v>
      </c>
      <c r="E11" s="32">
        <v>6845</v>
      </c>
      <c r="F11" s="94">
        <f>D11/E11/3.5*100000</f>
        <v>8.3481164562245631</v>
      </c>
    </row>
    <row r="12" spans="1:6" x14ac:dyDescent="0.15">
      <c r="A12" s="31" t="s">
        <v>1879</v>
      </c>
      <c r="B12" s="32" t="s">
        <v>1881</v>
      </c>
      <c r="C12" s="32">
        <v>9</v>
      </c>
      <c r="D12" s="32">
        <v>1</v>
      </c>
      <c r="E12" s="32">
        <v>4021</v>
      </c>
      <c r="F12" s="94">
        <f>D12/E12/3.5*100000</f>
        <v>7.1055529896614207</v>
      </c>
    </row>
    <row r="13" spans="1:6" x14ac:dyDescent="0.15">
      <c r="A13" s="31" t="s">
        <v>1760</v>
      </c>
      <c r="B13" s="32" t="s">
        <v>1763</v>
      </c>
      <c r="C13" s="32">
        <v>17</v>
      </c>
      <c r="D13" s="32">
        <v>4</v>
      </c>
      <c r="E13" s="32">
        <v>16219</v>
      </c>
      <c r="F13" s="94">
        <f>D13/E13/3.5*100000</f>
        <v>7.0464094140029765</v>
      </c>
    </row>
    <row r="14" spans="1:6" x14ac:dyDescent="0.15">
      <c r="A14" s="31" t="s">
        <v>2160</v>
      </c>
      <c r="B14" s="32" t="s">
        <v>3839</v>
      </c>
      <c r="C14" s="32">
        <v>6</v>
      </c>
      <c r="D14" s="32">
        <v>2</v>
      </c>
      <c r="E14" s="32">
        <v>8339</v>
      </c>
      <c r="F14" s="94">
        <f>D14/E14/3.5*100000</f>
        <v>6.8524831685882175</v>
      </c>
    </row>
    <row r="15" spans="1:6" x14ac:dyDescent="0.15">
      <c r="A15" s="31" t="s">
        <v>783</v>
      </c>
      <c r="B15" s="32" t="s">
        <v>5936</v>
      </c>
      <c r="C15" s="32">
        <v>6</v>
      </c>
      <c r="D15" s="32">
        <v>2</v>
      </c>
      <c r="E15" s="32">
        <v>9145</v>
      </c>
      <c r="F15" s="94">
        <f>D15/E15/3.5*100000</f>
        <v>6.2485354994923057</v>
      </c>
    </row>
    <row r="16" spans="1:6" x14ac:dyDescent="0.15">
      <c r="A16" s="31" t="s">
        <v>1060</v>
      </c>
      <c r="B16" s="32" t="s">
        <v>1062</v>
      </c>
      <c r="C16" s="32">
        <v>15</v>
      </c>
      <c r="D16" s="32">
        <v>7</v>
      </c>
      <c r="E16" s="32">
        <v>32609</v>
      </c>
      <c r="F16" s="94">
        <f>D16/E16/3.5*100000</f>
        <v>6.1332760894231653</v>
      </c>
    </row>
    <row r="17" spans="1:6" x14ac:dyDescent="0.15">
      <c r="A17" s="31" t="s">
        <v>1801</v>
      </c>
      <c r="B17" s="32" t="s">
        <v>1804</v>
      </c>
      <c r="C17" s="32">
        <v>8</v>
      </c>
      <c r="D17" s="32">
        <v>4</v>
      </c>
      <c r="E17" s="32">
        <v>18668</v>
      </c>
      <c r="F17" s="94">
        <f>D17/E17/3.5*100000</f>
        <v>6.1220116930423334</v>
      </c>
    </row>
    <row r="18" spans="1:6" x14ac:dyDescent="0.15">
      <c r="A18" s="31" t="s">
        <v>3592</v>
      </c>
      <c r="B18" s="32" t="s">
        <v>4914</v>
      </c>
      <c r="C18" s="32">
        <v>11</v>
      </c>
      <c r="D18" s="32">
        <v>4</v>
      </c>
      <c r="E18" s="32">
        <v>22298</v>
      </c>
      <c r="F18" s="94">
        <f>D18/E18/3.5*100000</f>
        <v>5.1253795984265089</v>
      </c>
    </row>
    <row r="19" spans="1:6" x14ac:dyDescent="0.15">
      <c r="A19" s="31" t="s">
        <v>1287</v>
      </c>
      <c r="B19" s="32" t="s">
        <v>12562</v>
      </c>
      <c r="C19" s="32">
        <v>24</v>
      </c>
      <c r="D19" s="32">
        <v>19</v>
      </c>
      <c r="E19" s="32">
        <v>106487</v>
      </c>
      <c r="F19" s="94">
        <f>D19/E19/3.5*100000</f>
        <v>5.0978724431822</v>
      </c>
    </row>
    <row r="20" spans="1:6" x14ac:dyDescent="0.15">
      <c r="A20" s="31" t="s">
        <v>489</v>
      </c>
      <c r="B20" s="32" t="s">
        <v>490</v>
      </c>
      <c r="C20" s="32">
        <v>21</v>
      </c>
      <c r="D20" s="32">
        <v>5</v>
      </c>
      <c r="E20" s="32">
        <v>28435</v>
      </c>
      <c r="F20" s="94">
        <f>D20/E20/3.5*100000</f>
        <v>5.023989550101736</v>
      </c>
    </row>
    <row r="21" spans="1:6" x14ac:dyDescent="0.15">
      <c r="A21" s="31" t="s">
        <v>2316</v>
      </c>
      <c r="B21" s="32" t="s">
        <v>10291</v>
      </c>
      <c r="C21" s="32">
        <v>2</v>
      </c>
      <c r="D21" s="32">
        <v>1</v>
      </c>
      <c r="E21" s="32">
        <v>6770</v>
      </c>
      <c r="F21" s="94">
        <f>D21/E21/3.5*100000</f>
        <v>4.2202996412745302</v>
      </c>
    </row>
    <row r="22" spans="1:6" x14ac:dyDescent="0.15">
      <c r="A22" s="31" t="s">
        <v>655</v>
      </c>
      <c r="B22" s="32" t="s">
        <v>571</v>
      </c>
      <c r="C22" s="32">
        <v>36</v>
      </c>
      <c r="D22" s="32">
        <v>5</v>
      </c>
      <c r="E22" s="32">
        <v>34344</v>
      </c>
      <c r="F22" s="94">
        <f>D22/E22/3.5*100000</f>
        <v>4.1595953545639084</v>
      </c>
    </row>
    <row r="23" spans="1:6" x14ac:dyDescent="0.15">
      <c r="A23" s="31" t="s">
        <v>857</v>
      </c>
      <c r="B23" s="32" t="s">
        <v>858</v>
      </c>
      <c r="C23" s="32">
        <v>11</v>
      </c>
      <c r="D23" s="32">
        <v>2</v>
      </c>
      <c r="E23" s="32">
        <v>13912</v>
      </c>
      <c r="F23" s="94">
        <f>D23/E23/3.5*100000</f>
        <v>4.1074509159615546</v>
      </c>
    </row>
    <row r="24" spans="1:6" x14ac:dyDescent="0.15">
      <c r="A24" s="31" t="s">
        <v>575</v>
      </c>
      <c r="B24" s="32" t="s">
        <v>577</v>
      </c>
      <c r="C24" s="32">
        <v>31</v>
      </c>
      <c r="D24" s="32">
        <v>7</v>
      </c>
      <c r="E24" s="95">
        <v>48934</v>
      </c>
      <c r="F24" s="94">
        <f>D24/E24/3.5*100000</f>
        <v>4.087137777414477</v>
      </c>
    </row>
    <row r="25" spans="1:6" x14ac:dyDescent="0.15">
      <c r="A25" s="31" t="s">
        <v>561</v>
      </c>
      <c r="B25" s="32" t="s">
        <v>563</v>
      </c>
      <c r="C25" s="32">
        <v>19</v>
      </c>
      <c r="D25" s="32">
        <v>2</v>
      </c>
      <c r="E25" s="95">
        <v>14785</v>
      </c>
      <c r="F25" s="94">
        <f>D25/E25/3.5*100000</f>
        <v>3.8649210106768446</v>
      </c>
    </row>
    <row r="26" spans="1:6" x14ac:dyDescent="0.15">
      <c r="A26" s="31" t="s">
        <v>632</v>
      </c>
      <c r="B26" s="32" t="s">
        <v>634</v>
      </c>
      <c r="C26" s="32">
        <v>70</v>
      </c>
      <c r="D26" s="32">
        <v>7</v>
      </c>
      <c r="E26" s="95">
        <v>52194</v>
      </c>
      <c r="F26" s="94">
        <f>D26/E26/3.5*100000</f>
        <v>3.8318580679771617</v>
      </c>
    </row>
    <row r="27" spans="1:6" x14ac:dyDescent="0.15">
      <c r="A27" s="31" t="s">
        <v>1208</v>
      </c>
      <c r="B27" s="32" t="s">
        <v>1210</v>
      </c>
      <c r="C27" s="32">
        <v>18</v>
      </c>
      <c r="D27" s="32">
        <v>3</v>
      </c>
      <c r="E27" s="95">
        <v>25403</v>
      </c>
      <c r="F27" s="94">
        <f>D27/E27/3.5*100000</f>
        <v>3.3741796525719683</v>
      </c>
    </row>
    <row r="28" spans="1:6" x14ac:dyDescent="0.15">
      <c r="A28" s="31" t="s">
        <v>6133</v>
      </c>
      <c r="B28" s="32" t="s">
        <v>6135</v>
      </c>
      <c r="C28" s="32">
        <v>6</v>
      </c>
      <c r="D28" s="32">
        <v>2</v>
      </c>
      <c r="E28" s="95">
        <v>13197</v>
      </c>
      <c r="F28" s="94">
        <f>D28/E28/3.5*100000</f>
        <v>4.3299884172809842</v>
      </c>
    </row>
    <row r="29" spans="1:6" x14ac:dyDescent="0.15">
      <c r="A29" s="31" t="s">
        <v>21219</v>
      </c>
      <c r="B29" s="32" t="s">
        <v>434</v>
      </c>
      <c r="C29" s="32">
        <v>17</v>
      </c>
      <c r="D29" s="32">
        <v>9</v>
      </c>
      <c r="E29" s="95">
        <v>62560</v>
      </c>
      <c r="F29" s="94">
        <f t="shared" ref="F29:F33" si="0">D29/E29/3.5*100000</f>
        <v>4.1103397880891483</v>
      </c>
    </row>
    <row r="30" spans="1:6" x14ac:dyDescent="0.15">
      <c r="A30" s="31" t="s">
        <v>1627</v>
      </c>
      <c r="B30" s="32" t="s">
        <v>2253</v>
      </c>
      <c r="C30" s="32">
        <v>15</v>
      </c>
      <c r="D30" s="32">
        <v>4</v>
      </c>
      <c r="E30" s="95">
        <v>26951</v>
      </c>
      <c r="F30" s="94">
        <f t="shared" si="0"/>
        <v>4.2404999549446876</v>
      </c>
    </row>
    <row r="31" spans="1:6" x14ac:dyDescent="0.15">
      <c r="A31" s="31" t="s">
        <v>98</v>
      </c>
      <c r="B31" s="32" t="s">
        <v>99</v>
      </c>
      <c r="C31" s="32">
        <v>93</v>
      </c>
      <c r="D31" s="32">
        <v>22</v>
      </c>
      <c r="E31" s="95">
        <v>165839</v>
      </c>
      <c r="F31" s="94">
        <f t="shared" si="0"/>
        <v>3.7902509576844325</v>
      </c>
    </row>
    <row r="32" spans="1:6" x14ac:dyDescent="0.15">
      <c r="A32" s="31" t="s">
        <v>87</v>
      </c>
      <c r="B32" s="32" t="s">
        <v>89</v>
      </c>
      <c r="C32" s="32">
        <v>66</v>
      </c>
      <c r="D32" s="32">
        <v>46</v>
      </c>
      <c r="E32" s="92">
        <v>384976</v>
      </c>
      <c r="F32" s="94">
        <f>D32/E32/3.5*100000</f>
        <v>3.4139419451750608</v>
      </c>
    </row>
    <row r="33" spans="1:6" x14ac:dyDescent="0.15">
      <c r="A33" s="31" t="s">
        <v>31428</v>
      </c>
      <c r="B33" s="31" t="s">
        <v>31428</v>
      </c>
      <c r="C33" s="32"/>
      <c r="D33" s="32">
        <v>1366</v>
      </c>
      <c r="E33" s="95">
        <v>19056501</v>
      </c>
      <c r="F33" s="94">
        <f t="shared" si="0"/>
        <v>2.0480449915003511</v>
      </c>
    </row>
    <row r="34" spans="1:6" x14ac:dyDescent="0.15">
      <c r="A34" s="26" t="s">
        <v>31434</v>
      </c>
      <c r="B34" s="26" t="s">
        <v>31434</v>
      </c>
      <c r="F34">
        <v>4.9000000000000004</v>
      </c>
    </row>
    <row r="35" spans="1:6" x14ac:dyDescent="0.15">
      <c r="A35" s="32" t="s">
        <v>31426</v>
      </c>
    </row>
  </sheetData>
  <sortState ref="A2:G108">
    <sortCondition descending="1" ref="F2:F10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2013-2017 Police Killings</vt:lpstr>
      <vt:lpstr>2013-2017 Killings by PD</vt:lpstr>
      <vt:lpstr>2013-2016 Killings by State</vt:lpstr>
      <vt:lpstr>2016 Killings by PD</vt:lpstr>
      <vt:lpstr>Police Killings of Black Men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Samuel Sinyangwe</cp:lastModifiedBy>
  <dcterms:created xsi:type="dcterms:W3CDTF">2015-11-04T15:56:20Z</dcterms:created>
  <dcterms:modified xsi:type="dcterms:W3CDTF">2017-07-18T18:39:50Z</dcterms:modified>
</cp:coreProperties>
</file>